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totoja\Desktop\27 POSĖDIS\SP\J. Sakavičienė\"/>
    </mc:Choice>
  </mc:AlternateContent>
  <bookViews>
    <workbookView xWindow="0" yWindow="0" windowWidth="19200" windowHeight="7248"/>
  </bookViews>
  <sheets>
    <sheet name="1 priedas" sheetId="11" r:id="rId1"/>
    <sheet name="2 priedas" sheetId="12" r:id="rId2"/>
    <sheet name="3 priedas" sheetId="13" r:id="rId3"/>
    <sheet name="4 priedas" sheetId="14" r:id="rId4"/>
    <sheet name="5 priedas" sheetId="15" r:id="rId5"/>
    <sheet name="6 priedas " sheetId="16" r:id="rId6"/>
    <sheet name="7 priedas " sheetId="17" r:id="rId7"/>
    <sheet name="8 priedas" sheetId="18" r:id="rId8"/>
    <sheet name="9 priedas" sheetId="19" r:id="rId9"/>
    <sheet name="10 priedas" sheetId="20" r:id="rId10"/>
  </sheets>
  <definedNames>
    <definedName name="_xlnm.Print_Area" localSheetId="0">'1 priedas'!$A$1:$L$310</definedName>
    <definedName name="_xlnm.Print_Area" localSheetId="1">'2 priedas'!$A$1:$L$63</definedName>
    <definedName name="_xlnm.Print_Area" localSheetId="2">'3 priedas'!$A$1:$Q$65</definedName>
    <definedName name="_xlnm.Print_Area" localSheetId="3">'4 priedas'!$A$1:$L$49</definedName>
    <definedName name="_xlnm.Print_Area" localSheetId="4">'5 priedas'!$A$1:$L$85</definedName>
    <definedName name="_xlnm.Print_Area" localSheetId="5">'6 priedas '!$A$1:$P$109</definedName>
    <definedName name="_xlnm.Print_Area" localSheetId="6">'7 priedas '!$A$1:$P$71</definedName>
    <definedName name="_xlnm.Print_Area" localSheetId="7">'8 priedas'!$A$1:$P$136</definedName>
    <definedName name="_xlnm.Print_Area" localSheetId="8">'9 priedas'!$A$1:$L$57</definedName>
    <definedName name="_xlnm.Print_Titles" localSheetId="0">'1 priedas'!$11:$11</definedName>
    <definedName name="_xlnm.Print_Titles" localSheetId="1">'2 priedas'!$12:$12</definedName>
    <definedName name="_xlnm.Print_Titles" localSheetId="2">'3 priedas'!$11:$11</definedName>
    <definedName name="_xlnm.Print_Titles" localSheetId="3">'4 priedas'!$11:$11</definedName>
    <definedName name="_xlnm.Print_Titles" localSheetId="4">'5 priedas'!$11:$11</definedName>
    <definedName name="_xlnm.Print_Titles" localSheetId="5">'6 priedas '!$12:$12</definedName>
    <definedName name="_xlnm.Print_Titles" localSheetId="6">'7 priedas '!$11:$11</definedName>
    <definedName name="_xlnm.Print_Titles" localSheetId="7">'8 priedas'!$11:$11</definedName>
    <definedName name="_xlnm.Print_Titles" localSheetId="8">'9 priedas'!$11:$11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8" l="1"/>
  <c r="E54" i="18"/>
  <c r="G53" i="18"/>
  <c r="E53" i="18" s="1"/>
  <c r="H53" i="18"/>
  <c r="F53" i="18" s="1"/>
  <c r="F54" i="18"/>
  <c r="H44" i="19" l="1"/>
  <c r="H93" i="11" l="1"/>
  <c r="H88" i="11"/>
  <c r="H50" i="19" l="1"/>
  <c r="H42" i="16"/>
  <c r="H36" i="16"/>
  <c r="F28" i="16"/>
  <c r="J30" i="18" l="1"/>
  <c r="J25" i="18"/>
  <c r="J63" i="18"/>
  <c r="F73" i="18"/>
  <c r="F283" i="11" l="1"/>
  <c r="H18" i="13" l="1"/>
  <c r="H34" i="13"/>
  <c r="H37" i="13"/>
  <c r="H45" i="13"/>
  <c r="H41" i="13"/>
  <c r="H42" i="13"/>
  <c r="H50" i="13"/>
  <c r="H49" i="13"/>
  <c r="H56" i="12"/>
  <c r="H29" i="12"/>
  <c r="H43" i="14"/>
  <c r="H42" i="14"/>
  <c r="H153" i="11"/>
  <c r="L92" i="11"/>
  <c r="H24" i="11"/>
  <c r="H20" i="11"/>
  <c r="H96" i="11" l="1"/>
  <c r="E14" i="18" l="1"/>
  <c r="E23" i="20" l="1"/>
  <c r="E22" i="20"/>
  <c r="E21" i="20"/>
  <c r="L20" i="20"/>
  <c r="L19" i="20" s="1"/>
  <c r="K20" i="20"/>
  <c r="I20" i="20"/>
  <c r="I19" i="20" s="1"/>
  <c r="G20" i="20"/>
  <c r="E20" i="20" s="1"/>
  <c r="K19" i="20"/>
  <c r="J19" i="20"/>
  <c r="H19" i="20"/>
  <c r="G19" i="20"/>
  <c r="E19" i="20" s="1"/>
  <c r="E18" i="20"/>
  <c r="L17" i="20"/>
  <c r="L16" i="20" s="1"/>
  <c r="K17" i="20"/>
  <c r="E17" i="20" s="1"/>
  <c r="I17" i="20"/>
  <c r="I16" i="20" s="1"/>
  <c r="G17" i="20"/>
  <c r="G16" i="20" s="1"/>
  <c r="J16" i="20"/>
  <c r="H16" i="20"/>
  <c r="E15" i="20"/>
  <c r="L14" i="20"/>
  <c r="L13" i="20" s="1"/>
  <c r="L12" i="20" s="1"/>
  <c r="E14" i="20"/>
  <c r="K13" i="20"/>
  <c r="I13" i="20"/>
  <c r="I12" i="20" s="1"/>
  <c r="G13" i="20"/>
  <c r="G12" i="20" s="1"/>
  <c r="J12" i="20"/>
  <c r="J24" i="20" s="1"/>
  <c r="H12" i="20"/>
  <c r="K53" i="19"/>
  <c r="G53" i="19"/>
  <c r="E53" i="19" s="1"/>
  <c r="F53" i="19"/>
  <c r="K52" i="19"/>
  <c r="G52" i="19"/>
  <c r="E52" i="19" s="1"/>
  <c r="F52" i="19"/>
  <c r="K51" i="19"/>
  <c r="G51" i="19"/>
  <c r="F51" i="19"/>
  <c r="K50" i="19"/>
  <c r="G50" i="19"/>
  <c r="F50" i="19"/>
  <c r="K49" i="19"/>
  <c r="G49" i="19"/>
  <c r="E49" i="19" s="1"/>
  <c r="F49" i="19"/>
  <c r="K48" i="19"/>
  <c r="G48" i="19"/>
  <c r="F48" i="19"/>
  <c r="F47" i="19"/>
  <c r="E47" i="19"/>
  <c r="L46" i="19"/>
  <c r="K46" i="19"/>
  <c r="K45" i="19" s="1"/>
  <c r="H46" i="19"/>
  <c r="L45" i="19"/>
  <c r="J45" i="19"/>
  <c r="I45" i="19"/>
  <c r="K44" i="19"/>
  <c r="E44" i="19" s="1"/>
  <c r="F44" i="19"/>
  <c r="G44" i="19"/>
  <c r="K43" i="19"/>
  <c r="E43" i="19" s="1"/>
  <c r="G43" i="19"/>
  <c r="F43" i="19"/>
  <c r="K42" i="19"/>
  <c r="E42" i="19" s="1"/>
  <c r="G42" i="19"/>
  <c r="F42" i="19"/>
  <c r="K41" i="19"/>
  <c r="G41" i="19"/>
  <c r="F41" i="19"/>
  <c r="K40" i="19"/>
  <c r="G40" i="19"/>
  <c r="E40" i="19" s="1"/>
  <c r="F40" i="19"/>
  <c r="L39" i="19"/>
  <c r="H39" i="19"/>
  <c r="F39" i="19" s="1"/>
  <c r="L38" i="19"/>
  <c r="J38" i="19"/>
  <c r="I38" i="19"/>
  <c r="K37" i="19"/>
  <c r="E37" i="19" s="1"/>
  <c r="F37" i="19"/>
  <c r="F36" i="19"/>
  <c r="E36" i="19"/>
  <c r="K35" i="19"/>
  <c r="F35" i="19"/>
  <c r="G34" i="19"/>
  <c r="E34" i="19" s="1"/>
  <c r="F34" i="19"/>
  <c r="L33" i="19"/>
  <c r="H33" i="19"/>
  <c r="F33" i="19" s="1"/>
  <c r="G33" i="19"/>
  <c r="F32" i="19"/>
  <c r="E32" i="19"/>
  <c r="L31" i="19"/>
  <c r="K31" i="19"/>
  <c r="H31" i="19"/>
  <c r="G31" i="19"/>
  <c r="E31" i="19" s="1"/>
  <c r="X30" i="19"/>
  <c r="L30" i="19"/>
  <c r="F29" i="19"/>
  <c r="E29" i="19"/>
  <c r="L28" i="19"/>
  <c r="L27" i="19" s="1"/>
  <c r="K28" i="19"/>
  <c r="I28" i="19"/>
  <c r="H28" i="19"/>
  <c r="G28" i="19"/>
  <c r="F28" i="19"/>
  <c r="K27" i="19"/>
  <c r="J27" i="19"/>
  <c r="I27" i="19"/>
  <c r="H27" i="19"/>
  <c r="G27" i="19"/>
  <c r="E27" i="19" s="1"/>
  <c r="F27" i="19"/>
  <c r="K26" i="19"/>
  <c r="G26" i="19"/>
  <c r="F26" i="19"/>
  <c r="F25" i="19"/>
  <c r="E25" i="19"/>
  <c r="L24" i="19"/>
  <c r="K24" i="19"/>
  <c r="J24" i="19"/>
  <c r="I24" i="19"/>
  <c r="H24" i="19"/>
  <c r="F24" i="19" s="1"/>
  <c r="F23" i="19"/>
  <c r="E23" i="19"/>
  <c r="L22" i="19"/>
  <c r="K22" i="19"/>
  <c r="J22" i="19"/>
  <c r="I22" i="19"/>
  <c r="I21" i="19" s="1"/>
  <c r="H22" i="19"/>
  <c r="F22" i="19" s="1"/>
  <c r="G22" i="19"/>
  <c r="E22" i="19"/>
  <c r="L21" i="19"/>
  <c r="K21" i="19"/>
  <c r="J21" i="19"/>
  <c r="H21" i="19"/>
  <c r="K20" i="19"/>
  <c r="E20" i="19" s="1"/>
  <c r="G20" i="19"/>
  <c r="F20" i="19"/>
  <c r="K19" i="19"/>
  <c r="K17" i="19" s="1"/>
  <c r="K12" i="19" s="1"/>
  <c r="G19" i="19"/>
  <c r="F19" i="19"/>
  <c r="L18" i="19"/>
  <c r="K18" i="19"/>
  <c r="H18" i="19"/>
  <c r="G18" i="19"/>
  <c r="L17" i="19"/>
  <c r="J17" i="19"/>
  <c r="I17" i="19"/>
  <c r="H17" i="19"/>
  <c r="F16" i="19"/>
  <c r="E16" i="19"/>
  <c r="F15" i="19"/>
  <c r="E15" i="19"/>
  <c r="F14" i="19"/>
  <c r="E14" i="19"/>
  <c r="L13" i="19"/>
  <c r="L12" i="19" s="1"/>
  <c r="K13" i="19"/>
  <c r="J13" i="19"/>
  <c r="I13" i="19"/>
  <c r="H13" i="19"/>
  <c r="G13" i="19"/>
  <c r="E13" i="19"/>
  <c r="J12" i="19"/>
  <c r="E134" i="18"/>
  <c r="G130" i="18"/>
  <c r="F130" i="18"/>
  <c r="E130" i="18"/>
  <c r="K129" i="18"/>
  <c r="I129" i="18"/>
  <c r="H129" i="18"/>
  <c r="F129" i="18" s="1"/>
  <c r="G129" i="18"/>
  <c r="F128" i="18"/>
  <c r="E128" i="18"/>
  <c r="K127" i="18"/>
  <c r="K126" i="18" s="1"/>
  <c r="J127" i="18"/>
  <c r="J126" i="18" s="1"/>
  <c r="I127" i="18"/>
  <c r="I126" i="18" s="1"/>
  <c r="H127" i="18"/>
  <c r="F127" i="18" s="1"/>
  <c r="G127" i="18"/>
  <c r="E127" i="18" s="1"/>
  <c r="P126" i="18"/>
  <c r="O126" i="18"/>
  <c r="N126" i="18"/>
  <c r="M126" i="18"/>
  <c r="L126" i="18"/>
  <c r="F125" i="18"/>
  <c r="E125" i="18"/>
  <c r="K124" i="18"/>
  <c r="I124" i="18"/>
  <c r="H124" i="18"/>
  <c r="F124" i="18" s="1"/>
  <c r="G124" i="18"/>
  <c r="P123" i="18"/>
  <c r="O123" i="18"/>
  <c r="N123" i="18"/>
  <c r="M123" i="18"/>
  <c r="L123" i="18"/>
  <c r="K123" i="18"/>
  <c r="J123" i="18"/>
  <c r="I123" i="18"/>
  <c r="K122" i="18"/>
  <c r="F122" i="18"/>
  <c r="H121" i="18"/>
  <c r="F121" i="18" s="1"/>
  <c r="G121" i="18"/>
  <c r="E121" i="18" s="1"/>
  <c r="H120" i="18"/>
  <c r="F120" i="18" s="1"/>
  <c r="G120" i="18"/>
  <c r="E120" i="18" s="1"/>
  <c r="F119" i="18"/>
  <c r="E119" i="18"/>
  <c r="G118" i="18"/>
  <c r="E118" i="18" s="1"/>
  <c r="F118" i="18"/>
  <c r="G117" i="18"/>
  <c r="E117" i="18" s="1"/>
  <c r="F117" i="18"/>
  <c r="G116" i="18"/>
  <c r="E116" i="18" s="1"/>
  <c r="F116" i="18"/>
  <c r="G115" i="18"/>
  <c r="E115" i="18" s="1"/>
  <c r="F115" i="18"/>
  <c r="G114" i="18"/>
  <c r="F114" i="18"/>
  <c r="E114" i="18"/>
  <c r="G113" i="18"/>
  <c r="F113" i="18"/>
  <c r="G112" i="18"/>
  <c r="E112" i="18" s="1"/>
  <c r="F112" i="18"/>
  <c r="G111" i="18"/>
  <c r="E111" i="18" s="1"/>
  <c r="F111" i="18"/>
  <c r="G110" i="18"/>
  <c r="E110" i="18" s="1"/>
  <c r="F110" i="18"/>
  <c r="F109" i="18"/>
  <c r="E109" i="18"/>
  <c r="P108" i="18"/>
  <c r="O108" i="18"/>
  <c r="O107" i="18" s="1"/>
  <c r="N108" i="18"/>
  <c r="N107" i="18" s="1"/>
  <c r="M108" i="18"/>
  <c r="M107" i="18" s="1"/>
  <c r="L108" i="18"/>
  <c r="J108" i="18"/>
  <c r="I108" i="18"/>
  <c r="P107" i="18"/>
  <c r="L107" i="18"/>
  <c r="I107" i="18"/>
  <c r="K106" i="18"/>
  <c r="F106" i="18"/>
  <c r="E106" i="18"/>
  <c r="F105" i="18"/>
  <c r="E105" i="18"/>
  <c r="F104" i="18"/>
  <c r="E104" i="18"/>
  <c r="F103" i="18"/>
  <c r="E103" i="18"/>
  <c r="K102" i="18"/>
  <c r="F102" i="18"/>
  <c r="E102" i="18"/>
  <c r="K101" i="18"/>
  <c r="F101" i="18"/>
  <c r="E101" i="18"/>
  <c r="K100" i="18"/>
  <c r="E100" i="18" s="1"/>
  <c r="F100" i="18"/>
  <c r="K99" i="18"/>
  <c r="E99" i="18" s="1"/>
  <c r="F99" i="18"/>
  <c r="K98" i="18"/>
  <c r="E98" i="18" s="1"/>
  <c r="F98" i="18"/>
  <c r="P97" i="18"/>
  <c r="F97" i="18" s="1"/>
  <c r="K97" i="18"/>
  <c r="E97" i="18" s="1"/>
  <c r="K96" i="18"/>
  <c r="F96" i="18"/>
  <c r="K95" i="18"/>
  <c r="E95" i="18" s="1"/>
  <c r="F95" i="18"/>
  <c r="P94" i="18"/>
  <c r="O94" i="18"/>
  <c r="O93" i="18" s="1"/>
  <c r="N94" i="18"/>
  <c r="M94" i="18"/>
  <c r="M93" i="18" s="1"/>
  <c r="L94" i="18"/>
  <c r="L93" i="18" s="1"/>
  <c r="I94" i="18"/>
  <c r="G94" i="18"/>
  <c r="N93" i="18"/>
  <c r="I93" i="18"/>
  <c r="F92" i="18"/>
  <c r="E92" i="18"/>
  <c r="F91" i="18"/>
  <c r="E91" i="18"/>
  <c r="P90" i="18"/>
  <c r="P89" i="18" s="1"/>
  <c r="F89" i="18" s="1"/>
  <c r="O90" i="18"/>
  <c r="O89" i="18" s="1"/>
  <c r="N90" i="18"/>
  <c r="M90" i="18"/>
  <c r="L90" i="18"/>
  <c r="L89" i="18" s="1"/>
  <c r="K90" i="18"/>
  <c r="K89" i="18" s="1"/>
  <c r="I90" i="18"/>
  <c r="I89" i="18" s="1"/>
  <c r="G90" i="18"/>
  <c r="F90" i="18"/>
  <c r="E90" i="18"/>
  <c r="N89" i="18"/>
  <c r="M89" i="18"/>
  <c r="G89" i="18"/>
  <c r="K88" i="18"/>
  <c r="G88" i="18"/>
  <c r="F88" i="18"/>
  <c r="P87" i="18"/>
  <c r="O87" i="18"/>
  <c r="N87" i="18"/>
  <c r="M87" i="18"/>
  <c r="L87" i="18"/>
  <c r="K87" i="18"/>
  <c r="I87" i="18"/>
  <c r="H87" i="18"/>
  <c r="F87" i="18"/>
  <c r="J86" i="18"/>
  <c r="F85" i="18"/>
  <c r="E85" i="18"/>
  <c r="P84" i="18"/>
  <c r="P83" i="18" s="1"/>
  <c r="F83" i="18" s="1"/>
  <c r="O84" i="18"/>
  <c r="N84" i="18"/>
  <c r="M84" i="18"/>
  <c r="M83" i="18" s="1"/>
  <c r="M82" i="18" s="1"/>
  <c r="L84" i="18"/>
  <c r="L83" i="18" s="1"/>
  <c r="L82" i="18" s="1"/>
  <c r="K84" i="18"/>
  <c r="K83" i="18" s="1"/>
  <c r="K82" i="18" s="1"/>
  <c r="I84" i="18"/>
  <c r="I83" i="18" s="1"/>
  <c r="I82" i="18" s="1"/>
  <c r="G84" i="18"/>
  <c r="F84" i="18"/>
  <c r="O83" i="18"/>
  <c r="O82" i="18" s="1"/>
  <c r="N83" i="18"/>
  <c r="N82" i="18" s="1"/>
  <c r="K81" i="18"/>
  <c r="E81" i="18" s="1"/>
  <c r="F81" i="18"/>
  <c r="P80" i="18"/>
  <c r="F80" i="18" s="1"/>
  <c r="O80" i="18"/>
  <c r="O79" i="18" s="1"/>
  <c r="O78" i="18" s="1"/>
  <c r="N80" i="18"/>
  <c r="N79" i="18" s="1"/>
  <c r="N78" i="18" s="1"/>
  <c r="M80" i="18"/>
  <c r="M79" i="18" s="1"/>
  <c r="L80" i="18"/>
  <c r="L79" i="18" s="1"/>
  <c r="L78" i="18" s="1"/>
  <c r="I80" i="18"/>
  <c r="I79" i="18" s="1"/>
  <c r="I78" i="18" s="1"/>
  <c r="G80" i="18"/>
  <c r="P79" i="18"/>
  <c r="P78" i="18" s="1"/>
  <c r="F78" i="18" s="1"/>
  <c r="M78" i="18"/>
  <c r="I77" i="18"/>
  <c r="G77" i="18"/>
  <c r="E77" i="18" s="1"/>
  <c r="F77" i="18"/>
  <c r="I76" i="18"/>
  <c r="G76" i="18"/>
  <c r="E76" i="18" s="1"/>
  <c r="F76" i="18"/>
  <c r="I75" i="18"/>
  <c r="G75" i="18"/>
  <c r="E75" i="18" s="1"/>
  <c r="F75" i="18"/>
  <c r="I74" i="18"/>
  <c r="G74" i="18"/>
  <c r="E74" i="18" s="1"/>
  <c r="F74" i="18"/>
  <c r="I73" i="18"/>
  <c r="G73" i="18"/>
  <c r="E73" i="18" s="1"/>
  <c r="I72" i="18"/>
  <c r="G72" i="18"/>
  <c r="E72" i="18" s="1"/>
  <c r="F72" i="18"/>
  <c r="I71" i="18"/>
  <c r="G71" i="18"/>
  <c r="E71" i="18" s="1"/>
  <c r="F71" i="18"/>
  <c r="I70" i="18"/>
  <c r="G70" i="18"/>
  <c r="E70" i="18" s="1"/>
  <c r="F70" i="18"/>
  <c r="I69" i="18"/>
  <c r="G69" i="18"/>
  <c r="E69" i="18" s="1"/>
  <c r="F69" i="18"/>
  <c r="I68" i="18"/>
  <c r="G68" i="18"/>
  <c r="E68" i="18" s="1"/>
  <c r="F68" i="18"/>
  <c r="I67" i="18"/>
  <c r="I65" i="18" s="1"/>
  <c r="G67" i="18"/>
  <c r="E67" i="18" s="1"/>
  <c r="F67" i="18"/>
  <c r="G66" i="18"/>
  <c r="F66" i="18"/>
  <c r="E66" i="18"/>
  <c r="P65" i="18"/>
  <c r="O65" i="18"/>
  <c r="N65" i="18"/>
  <c r="M65" i="18"/>
  <c r="L65" i="18"/>
  <c r="K65" i="18"/>
  <c r="J65" i="18"/>
  <c r="H65" i="18"/>
  <c r="F65" i="18" s="1"/>
  <c r="F64" i="18"/>
  <c r="E64" i="18"/>
  <c r="J59" i="18"/>
  <c r="F63" i="18"/>
  <c r="E63" i="18"/>
  <c r="F62" i="18"/>
  <c r="E62" i="18"/>
  <c r="F61" i="18"/>
  <c r="E61" i="18"/>
  <c r="F60" i="18"/>
  <c r="E60" i="18"/>
  <c r="P59" i="18"/>
  <c r="O59" i="18"/>
  <c r="N59" i="18"/>
  <c r="M59" i="18"/>
  <c r="L59" i="18"/>
  <c r="K59" i="18"/>
  <c r="I59" i="18"/>
  <c r="H59" i="18"/>
  <c r="G59" i="18"/>
  <c r="E59" i="18" s="1"/>
  <c r="F58" i="18"/>
  <c r="E58" i="18"/>
  <c r="P57" i="18"/>
  <c r="O57" i="18"/>
  <c r="O56" i="18" s="1"/>
  <c r="O55" i="18" s="1"/>
  <c r="N57" i="18"/>
  <c r="N56" i="18" s="1"/>
  <c r="N55" i="18" s="1"/>
  <c r="M57" i="18"/>
  <c r="L57" i="18"/>
  <c r="K57" i="18"/>
  <c r="K56" i="18" s="1"/>
  <c r="K55" i="18" s="1"/>
  <c r="I57" i="18"/>
  <c r="I56" i="18" s="1"/>
  <c r="G57" i="18"/>
  <c r="F57" i="18"/>
  <c r="E57" i="18"/>
  <c r="P56" i="18"/>
  <c r="P55" i="18" s="1"/>
  <c r="M56" i="18"/>
  <c r="L56" i="18"/>
  <c r="L55" i="18" s="1"/>
  <c r="G56" i="18"/>
  <c r="E56" i="18" s="1"/>
  <c r="F56" i="18"/>
  <c r="F52" i="18"/>
  <c r="E52" i="18"/>
  <c r="E51" i="18" s="1"/>
  <c r="O51" i="18"/>
  <c r="N51" i="18"/>
  <c r="M51" i="18"/>
  <c r="L51" i="18"/>
  <c r="H51" i="18"/>
  <c r="G51" i="18"/>
  <c r="F50" i="18"/>
  <c r="E50" i="18"/>
  <c r="F49" i="18"/>
  <c r="E49" i="18"/>
  <c r="P48" i="18"/>
  <c r="P47" i="18" s="1"/>
  <c r="O48" i="18"/>
  <c r="N48" i="18"/>
  <c r="M48" i="18"/>
  <c r="M47" i="18" s="1"/>
  <c r="M46" i="18" s="1"/>
  <c r="L48" i="18"/>
  <c r="L47" i="18" s="1"/>
  <c r="K48" i="18"/>
  <c r="K47" i="18" s="1"/>
  <c r="K46" i="18" s="1"/>
  <c r="I48" i="18"/>
  <c r="I47" i="18" s="1"/>
  <c r="I46" i="18" s="1"/>
  <c r="G48" i="18"/>
  <c r="F48" i="18"/>
  <c r="O47" i="18"/>
  <c r="O46" i="18" s="1"/>
  <c r="N47" i="18"/>
  <c r="N46" i="18" s="1"/>
  <c r="L46" i="18"/>
  <c r="I45" i="18"/>
  <c r="G45" i="18"/>
  <c r="F45" i="18"/>
  <c r="E45" i="18"/>
  <c r="I44" i="18"/>
  <c r="G44" i="18"/>
  <c r="F44" i="18"/>
  <c r="E44" i="18"/>
  <c r="I43" i="18"/>
  <c r="F43" i="18"/>
  <c r="E43" i="18"/>
  <c r="I42" i="18"/>
  <c r="F42" i="18"/>
  <c r="E42" i="18"/>
  <c r="I41" i="18"/>
  <c r="F41" i="18"/>
  <c r="E41" i="18"/>
  <c r="I40" i="18"/>
  <c r="F40" i="18"/>
  <c r="E40" i="18"/>
  <c r="F39" i="18"/>
  <c r="E39" i="18"/>
  <c r="I38" i="18"/>
  <c r="G38" i="18"/>
  <c r="E38" i="18" s="1"/>
  <c r="F38" i="18"/>
  <c r="I37" i="18"/>
  <c r="F37" i="18"/>
  <c r="E37" i="18"/>
  <c r="I36" i="18"/>
  <c r="F36" i="18"/>
  <c r="E36" i="18"/>
  <c r="I35" i="18"/>
  <c r="F35" i="18"/>
  <c r="E35" i="18"/>
  <c r="I34" i="18"/>
  <c r="G34" i="18"/>
  <c r="F34" i="18"/>
  <c r="I33" i="18"/>
  <c r="F33" i="18"/>
  <c r="E33" i="18"/>
  <c r="P32" i="18"/>
  <c r="O32" i="18"/>
  <c r="N32" i="18"/>
  <c r="M32" i="18"/>
  <c r="L32" i="18"/>
  <c r="K32" i="18"/>
  <c r="J32" i="18"/>
  <c r="H32" i="18"/>
  <c r="F32" i="18" s="1"/>
  <c r="F31" i="18"/>
  <c r="E31" i="18"/>
  <c r="F30" i="18"/>
  <c r="E30" i="18"/>
  <c r="F29" i="18"/>
  <c r="E29" i="18"/>
  <c r="F28" i="18"/>
  <c r="E28" i="18"/>
  <c r="F27" i="18"/>
  <c r="E27" i="18"/>
  <c r="F26" i="18"/>
  <c r="E26" i="18"/>
  <c r="F25" i="18"/>
  <c r="E25" i="18"/>
  <c r="F24" i="18"/>
  <c r="E24" i="18"/>
  <c r="F23" i="18"/>
  <c r="E23" i="18"/>
  <c r="F22" i="18"/>
  <c r="E22" i="18"/>
  <c r="P21" i="18"/>
  <c r="O21" i="18"/>
  <c r="N21" i="18"/>
  <c r="M21" i="18"/>
  <c r="L21" i="18"/>
  <c r="K21" i="18"/>
  <c r="J21" i="18"/>
  <c r="I21" i="18"/>
  <c r="H21" i="18"/>
  <c r="G21" i="18"/>
  <c r="E21" i="18" s="1"/>
  <c r="F21" i="18"/>
  <c r="G20" i="18"/>
  <c r="F20" i="18"/>
  <c r="K19" i="18"/>
  <c r="I19" i="18"/>
  <c r="H19" i="18"/>
  <c r="F19" i="18" s="1"/>
  <c r="F18" i="18"/>
  <c r="E18" i="18"/>
  <c r="K17" i="18"/>
  <c r="E17" i="18" s="1"/>
  <c r="F17" i="18"/>
  <c r="P16" i="18"/>
  <c r="P15" i="18" s="1"/>
  <c r="O16" i="18"/>
  <c r="N16" i="18"/>
  <c r="M16" i="18"/>
  <c r="M15" i="18" s="1"/>
  <c r="L16" i="18"/>
  <c r="L15" i="18" s="1"/>
  <c r="K16" i="18"/>
  <c r="K15" i="18" s="1"/>
  <c r="I16" i="18"/>
  <c r="G16" i="18"/>
  <c r="F16" i="18"/>
  <c r="O15" i="18"/>
  <c r="O12" i="18" s="1"/>
  <c r="N15" i="18"/>
  <c r="I15" i="18"/>
  <c r="L14" i="18"/>
  <c r="I14" i="18"/>
  <c r="F14" i="18"/>
  <c r="L13" i="18"/>
  <c r="K13" i="18"/>
  <c r="J13" i="18"/>
  <c r="I13" i="18"/>
  <c r="H13" i="18"/>
  <c r="F13" i="18" s="1"/>
  <c r="G13" i="18"/>
  <c r="E13" i="18" s="1"/>
  <c r="L65" i="17"/>
  <c r="I65" i="17"/>
  <c r="G65" i="17"/>
  <c r="E65" i="17" s="1"/>
  <c r="F65" i="17"/>
  <c r="L64" i="17"/>
  <c r="I64" i="17"/>
  <c r="H64" i="17"/>
  <c r="F64" i="17" s="1"/>
  <c r="G64" i="17"/>
  <c r="E64" i="17" s="1"/>
  <c r="F63" i="17"/>
  <c r="E63" i="17"/>
  <c r="L62" i="17"/>
  <c r="I62" i="17"/>
  <c r="G62" i="17"/>
  <c r="F62" i="17"/>
  <c r="L61" i="17"/>
  <c r="I61" i="17"/>
  <c r="G61" i="17"/>
  <c r="E61" i="17" s="1"/>
  <c r="F61" i="17"/>
  <c r="L60" i="17"/>
  <c r="J60" i="17"/>
  <c r="I60" i="17"/>
  <c r="G60" i="17"/>
  <c r="E60" i="17" s="1"/>
  <c r="F60" i="17"/>
  <c r="L59" i="17"/>
  <c r="J59" i="17"/>
  <c r="I59" i="17"/>
  <c r="H59" i="17"/>
  <c r="F59" i="17" s="1"/>
  <c r="G59" i="17"/>
  <c r="E59" i="17" s="1"/>
  <c r="L58" i="17"/>
  <c r="H58" i="17"/>
  <c r="L57" i="17"/>
  <c r="I57" i="17"/>
  <c r="G57" i="17"/>
  <c r="E57" i="17" s="1"/>
  <c r="F57" i="17"/>
  <c r="L56" i="17"/>
  <c r="I56" i="17"/>
  <c r="G56" i="17"/>
  <c r="E56" i="17" s="1"/>
  <c r="F56" i="17"/>
  <c r="L55" i="17"/>
  <c r="F55" i="17"/>
  <c r="E55" i="17"/>
  <c r="F54" i="17"/>
  <c r="E54" i="17"/>
  <c r="L53" i="17"/>
  <c r="I53" i="17"/>
  <c r="G53" i="17"/>
  <c r="E53" i="17" s="1"/>
  <c r="F53" i="17"/>
  <c r="F52" i="17"/>
  <c r="E52" i="17"/>
  <c r="L51" i="17"/>
  <c r="I51" i="17"/>
  <c r="G51" i="17"/>
  <c r="E51" i="17" s="1"/>
  <c r="F51" i="17"/>
  <c r="F50" i="17"/>
  <c r="E50" i="17"/>
  <c r="L49" i="17"/>
  <c r="I49" i="17"/>
  <c r="G49" i="17"/>
  <c r="F49" i="17"/>
  <c r="E49" i="17"/>
  <c r="F48" i="17"/>
  <c r="E48" i="17"/>
  <c r="L47" i="17"/>
  <c r="I47" i="17"/>
  <c r="G47" i="17"/>
  <c r="E47" i="17" s="1"/>
  <c r="F47" i="17"/>
  <c r="F46" i="17"/>
  <c r="E46" i="17"/>
  <c r="L45" i="17"/>
  <c r="K45" i="17"/>
  <c r="I45" i="17"/>
  <c r="G45" i="17"/>
  <c r="F45" i="17"/>
  <c r="F44" i="17"/>
  <c r="E44" i="17"/>
  <c r="L43" i="17"/>
  <c r="I43" i="17"/>
  <c r="G43" i="17"/>
  <c r="E43" i="17" s="1"/>
  <c r="F43" i="17"/>
  <c r="F42" i="17"/>
  <c r="E42" i="17"/>
  <c r="L41" i="17"/>
  <c r="I41" i="17"/>
  <c r="G41" i="17"/>
  <c r="E41" i="17" s="1"/>
  <c r="F41" i="17"/>
  <c r="F40" i="17"/>
  <c r="E40" i="17"/>
  <c r="L39" i="17"/>
  <c r="I39" i="17"/>
  <c r="G39" i="17"/>
  <c r="F39" i="17"/>
  <c r="E39" i="17"/>
  <c r="F38" i="17"/>
  <c r="E38" i="17"/>
  <c r="L37" i="17"/>
  <c r="I37" i="17"/>
  <c r="G37" i="17"/>
  <c r="E37" i="17" s="1"/>
  <c r="F37" i="17"/>
  <c r="G36" i="17"/>
  <c r="E36" i="17" s="1"/>
  <c r="F36" i="17"/>
  <c r="L35" i="17"/>
  <c r="K35" i="17"/>
  <c r="I35" i="17"/>
  <c r="F35" i="17"/>
  <c r="F34" i="17"/>
  <c r="E34" i="17"/>
  <c r="L33" i="17"/>
  <c r="I33" i="17"/>
  <c r="G33" i="17"/>
  <c r="F33" i="17"/>
  <c r="E33" i="17"/>
  <c r="F32" i="17"/>
  <c r="E32" i="17"/>
  <c r="L31" i="17"/>
  <c r="I31" i="17"/>
  <c r="G31" i="17"/>
  <c r="E31" i="17" s="1"/>
  <c r="F31" i="17"/>
  <c r="F30" i="17"/>
  <c r="E30" i="17"/>
  <c r="L29" i="17"/>
  <c r="I29" i="17"/>
  <c r="G29" i="17"/>
  <c r="E29" i="17" s="1"/>
  <c r="F29" i="17"/>
  <c r="G28" i="17"/>
  <c r="E28" i="17" s="1"/>
  <c r="F28" i="17"/>
  <c r="P27" i="17"/>
  <c r="O27" i="17"/>
  <c r="N27" i="17"/>
  <c r="M27" i="17"/>
  <c r="L27" i="17"/>
  <c r="K27" i="17"/>
  <c r="I27" i="17"/>
  <c r="F27" i="17"/>
  <c r="G26" i="17"/>
  <c r="E26" i="17" s="1"/>
  <c r="F26" i="17"/>
  <c r="P25" i="17"/>
  <c r="O25" i="17"/>
  <c r="N25" i="17"/>
  <c r="M25" i="17"/>
  <c r="M13" i="17" s="1"/>
  <c r="M12" i="17" s="1"/>
  <c r="M66" i="17" s="1"/>
  <c r="L25" i="17"/>
  <c r="K25" i="17"/>
  <c r="I25" i="17"/>
  <c r="G24" i="17"/>
  <c r="E24" i="17" s="1"/>
  <c r="F24" i="17"/>
  <c r="P23" i="17"/>
  <c r="F23" i="17" s="1"/>
  <c r="O23" i="17"/>
  <c r="N23" i="17"/>
  <c r="M23" i="17"/>
  <c r="L23" i="17"/>
  <c r="K23" i="17"/>
  <c r="I23" i="17"/>
  <c r="F22" i="17"/>
  <c r="E22" i="17"/>
  <c r="L21" i="17"/>
  <c r="I21" i="17"/>
  <c r="G21" i="17"/>
  <c r="E21" i="17" s="1"/>
  <c r="F21" i="17"/>
  <c r="L20" i="17"/>
  <c r="I20" i="17"/>
  <c r="G20" i="17"/>
  <c r="F20" i="17"/>
  <c r="E20" i="17"/>
  <c r="L19" i="17"/>
  <c r="I19" i="17"/>
  <c r="G19" i="17"/>
  <c r="E19" i="17" s="1"/>
  <c r="F19" i="17"/>
  <c r="L18" i="17"/>
  <c r="I18" i="17"/>
  <c r="G18" i="17"/>
  <c r="E18" i="17" s="1"/>
  <c r="F18" i="17"/>
  <c r="L17" i="17"/>
  <c r="I17" i="17"/>
  <c r="G17" i="17"/>
  <c r="E17" i="17" s="1"/>
  <c r="F17" i="17"/>
  <c r="L16" i="17"/>
  <c r="I16" i="17"/>
  <c r="G16" i="17"/>
  <c r="E16" i="17" s="1"/>
  <c r="F16" i="17"/>
  <c r="L15" i="17"/>
  <c r="I15" i="17"/>
  <c r="G15" i="17"/>
  <c r="F15" i="17"/>
  <c r="L14" i="17"/>
  <c r="I14" i="17"/>
  <c r="G14" i="17"/>
  <c r="E14" i="17" s="1"/>
  <c r="F14" i="17"/>
  <c r="E106" i="16"/>
  <c r="L102" i="16"/>
  <c r="F102" i="16"/>
  <c r="E102" i="16"/>
  <c r="L101" i="16"/>
  <c r="F101" i="16"/>
  <c r="E101" i="16"/>
  <c r="L100" i="16"/>
  <c r="F100" i="16"/>
  <c r="E100" i="16"/>
  <c r="L99" i="16"/>
  <c r="F99" i="16"/>
  <c r="E99" i="16"/>
  <c r="L98" i="16"/>
  <c r="F98" i="16"/>
  <c r="E98" i="16"/>
  <c r="L97" i="16"/>
  <c r="F97" i="16"/>
  <c r="E97" i="16"/>
  <c r="L96" i="16"/>
  <c r="F96" i="16"/>
  <c r="E96" i="16"/>
  <c r="L95" i="16"/>
  <c r="F95" i="16"/>
  <c r="E95" i="16"/>
  <c r="L94" i="16"/>
  <c r="F94" i="16"/>
  <c r="E94" i="16"/>
  <c r="L93" i="16"/>
  <c r="F93" i="16"/>
  <c r="E93" i="16"/>
  <c r="L92" i="16"/>
  <c r="F92" i="16"/>
  <c r="E92" i="16"/>
  <c r="L91" i="16"/>
  <c r="J91" i="16"/>
  <c r="I91" i="16"/>
  <c r="H91" i="16"/>
  <c r="F91" i="16" s="1"/>
  <c r="G91" i="16"/>
  <c r="L90" i="16"/>
  <c r="F90" i="16"/>
  <c r="E90" i="16"/>
  <c r="L89" i="16"/>
  <c r="F89" i="16"/>
  <c r="E89" i="16"/>
  <c r="E88" i="16" s="1"/>
  <c r="L88" i="16"/>
  <c r="J88" i="16"/>
  <c r="I88" i="16"/>
  <c r="H88" i="16"/>
  <c r="F88" i="16" s="1"/>
  <c r="G88" i="16"/>
  <c r="L87" i="16"/>
  <c r="F87" i="16"/>
  <c r="E87" i="16"/>
  <c r="E86" i="16" s="1"/>
  <c r="L86" i="16"/>
  <c r="J86" i="16"/>
  <c r="I86" i="16"/>
  <c r="H86" i="16"/>
  <c r="F86" i="16" s="1"/>
  <c r="G86" i="16"/>
  <c r="L85" i="16"/>
  <c r="F85" i="16"/>
  <c r="E85" i="16"/>
  <c r="L84" i="16"/>
  <c r="J84" i="16"/>
  <c r="I84" i="16"/>
  <c r="H84" i="16"/>
  <c r="F84" i="16" s="1"/>
  <c r="G84" i="16"/>
  <c r="E84" i="16"/>
  <c r="L83" i="16"/>
  <c r="J83" i="16"/>
  <c r="J82" i="16" s="1"/>
  <c r="I83" i="16"/>
  <c r="G83" i="16"/>
  <c r="F83" i="16"/>
  <c r="L82" i="16"/>
  <c r="I82" i="16"/>
  <c r="H82" i="16"/>
  <c r="F82" i="16" s="1"/>
  <c r="L81" i="16"/>
  <c r="I81" i="16"/>
  <c r="I80" i="16" s="1"/>
  <c r="G81" i="16"/>
  <c r="E81" i="16" s="1"/>
  <c r="E80" i="16" s="1"/>
  <c r="F81" i="16"/>
  <c r="L80" i="16"/>
  <c r="J80" i="16"/>
  <c r="H80" i="16"/>
  <c r="F80" i="16" s="1"/>
  <c r="G80" i="16"/>
  <c r="L79" i="16"/>
  <c r="F79" i="16"/>
  <c r="E79" i="16"/>
  <c r="E78" i="16" s="1"/>
  <c r="L78" i="16"/>
  <c r="J78" i="16"/>
  <c r="I78" i="16"/>
  <c r="H78" i="16"/>
  <c r="F78" i="16" s="1"/>
  <c r="G78" i="16"/>
  <c r="L77" i="16"/>
  <c r="F77" i="16"/>
  <c r="E77" i="16"/>
  <c r="E76" i="16" s="1"/>
  <c r="L76" i="16"/>
  <c r="J76" i="16"/>
  <c r="I76" i="16"/>
  <c r="H76" i="16"/>
  <c r="F76" i="16" s="1"/>
  <c r="G76" i="16"/>
  <c r="L75" i="16"/>
  <c r="F75" i="16"/>
  <c r="E75" i="16"/>
  <c r="E74" i="16" s="1"/>
  <c r="L74" i="16"/>
  <c r="J74" i="16"/>
  <c r="I74" i="16"/>
  <c r="H74" i="16"/>
  <c r="F74" i="16" s="1"/>
  <c r="G74" i="16"/>
  <c r="L73" i="16"/>
  <c r="F73" i="16"/>
  <c r="E73" i="16"/>
  <c r="E72" i="16" s="1"/>
  <c r="L72" i="16"/>
  <c r="J72" i="16"/>
  <c r="I72" i="16"/>
  <c r="H72" i="16"/>
  <c r="G72" i="16"/>
  <c r="L71" i="16"/>
  <c r="F71" i="16"/>
  <c r="E71" i="16"/>
  <c r="L70" i="16"/>
  <c r="J70" i="16"/>
  <c r="I70" i="16"/>
  <c r="H70" i="16"/>
  <c r="F70" i="16" s="1"/>
  <c r="G70" i="16"/>
  <c r="E70" i="16"/>
  <c r="L69" i="16"/>
  <c r="F69" i="16"/>
  <c r="E69" i="16"/>
  <c r="L68" i="16"/>
  <c r="L67" i="16" s="1"/>
  <c r="J68" i="16"/>
  <c r="J67" i="16" s="1"/>
  <c r="I68" i="16"/>
  <c r="H68" i="16"/>
  <c r="G68" i="16"/>
  <c r="F68" i="16"/>
  <c r="E68" i="16"/>
  <c r="P67" i="16"/>
  <c r="O67" i="16"/>
  <c r="N67" i="16"/>
  <c r="M67" i="16"/>
  <c r="K67" i="16"/>
  <c r="L66" i="16"/>
  <c r="F66" i="16"/>
  <c r="E66" i="16"/>
  <c r="L65" i="16"/>
  <c r="J65" i="16"/>
  <c r="I65" i="16"/>
  <c r="H65" i="16"/>
  <c r="G65" i="16"/>
  <c r="E65" i="16" s="1"/>
  <c r="F65" i="16"/>
  <c r="L64" i="16"/>
  <c r="G64" i="16"/>
  <c r="F64" i="16"/>
  <c r="L63" i="16"/>
  <c r="F63" i="16"/>
  <c r="E63" i="16"/>
  <c r="P62" i="16"/>
  <c r="P49" i="16" s="1"/>
  <c r="O62" i="16"/>
  <c r="O49" i="16" s="1"/>
  <c r="N62" i="16"/>
  <c r="N49" i="16" s="1"/>
  <c r="M62" i="16"/>
  <c r="L62" i="16"/>
  <c r="L49" i="16" s="1"/>
  <c r="K62" i="16"/>
  <c r="K49" i="16" s="1"/>
  <c r="J62" i="16"/>
  <c r="I62" i="16"/>
  <c r="H62" i="16"/>
  <c r="F62" i="16" s="1"/>
  <c r="L61" i="16"/>
  <c r="F61" i="16"/>
  <c r="E61" i="16"/>
  <c r="L60" i="16"/>
  <c r="F60" i="16"/>
  <c r="E60" i="16"/>
  <c r="L59" i="16"/>
  <c r="F59" i="16"/>
  <c r="E59" i="16"/>
  <c r="L58" i="16"/>
  <c r="F58" i="16"/>
  <c r="E58" i="16"/>
  <c r="L57" i="16"/>
  <c r="F57" i="16"/>
  <c r="E57" i="16"/>
  <c r="L56" i="16"/>
  <c r="F56" i="16"/>
  <c r="E56" i="16"/>
  <c r="L55" i="16"/>
  <c r="F55" i="16"/>
  <c r="E55" i="16"/>
  <c r="L54" i="16"/>
  <c r="F54" i="16"/>
  <c r="E54" i="16"/>
  <c r="L53" i="16"/>
  <c r="F53" i="16"/>
  <c r="E53" i="16"/>
  <c r="L52" i="16"/>
  <c r="F52" i="16"/>
  <c r="E52" i="16"/>
  <c r="L51" i="16"/>
  <c r="H51" i="16"/>
  <c r="F51" i="16" s="1"/>
  <c r="E51" i="16"/>
  <c r="E50" i="16" s="1"/>
  <c r="L50" i="16"/>
  <c r="J50" i="16"/>
  <c r="I50" i="16"/>
  <c r="H50" i="16"/>
  <c r="F50" i="16" s="1"/>
  <c r="G50" i="16"/>
  <c r="M49" i="16"/>
  <c r="L48" i="16"/>
  <c r="G48" i="16"/>
  <c r="F48" i="16"/>
  <c r="L47" i="16"/>
  <c r="J47" i="16"/>
  <c r="I47" i="16"/>
  <c r="H47" i="16"/>
  <c r="F47" i="16" s="1"/>
  <c r="L46" i="16"/>
  <c r="G46" i="16"/>
  <c r="E46" i="16" s="1"/>
  <c r="E45" i="16" s="1"/>
  <c r="F46" i="16"/>
  <c r="L45" i="16"/>
  <c r="J45" i="16"/>
  <c r="I45" i="16"/>
  <c r="H45" i="16"/>
  <c r="F45" i="16" s="1"/>
  <c r="L44" i="16"/>
  <c r="I44" i="16"/>
  <c r="G44" i="16"/>
  <c r="F44" i="16"/>
  <c r="E44" i="16"/>
  <c r="L43" i="16"/>
  <c r="F43" i="16"/>
  <c r="E43" i="16"/>
  <c r="L42" i="16"/>
  <c r="I42" i="16"/>
  <c r="G42" i="16"/>
  <c r="E42" i="16" s="1"/>
  <c r="F42" i="16"/>
  <c r="L41" i="16"/>
  <c r="F41" i="16"/>
  <c r="E41" i="16"/>
  <c r="L40" i="16"/>
  <c r="G40" i="16"/>
  <c r="E40" i="16" s="1"/>
  <c r="F40" i="16"/>
  <c r="L39" i="16"/>
  <c r="I39" i="16"/>
  <c r="G39" i="16"/>
  <c r="E39" i="16" s="1"/>
  <c r="F39" i="16"/>
  <c r="L38" i="16"/>
  <c r="G38" i="16"/>
  <c r="E38" i="16" s="1"/>
  <c r="F38" i="16"/>
  <c r="L37" i="16"/>
  <c r="G37" i="16"/>
  <c r="E37" i="16" s="1"/>
  <c r="F37" i="16"/>
  <c r="L36" i="16"/>
  <c r="I36" i="16"/>
  <c r="F36" i="16"/>
  <c r="G36" i="16"/>
  <c r="E36" i="16"/>
  <c r="L35" i="16"/>
  <c r="I35" i="16"/>
  <c r="G35" i="16"/>
  <c r="E35" i="16" s="1"/>
  <c r="F35" i="16"/>
  <c r="L34" i="16"/>
  <c r="I34" i="16"/>
  <c r="G34" i="16"/>
  <c r="E34" i="16" s="1"/>
  <c r="F34" i="16"/>
  <c r="L33" i="16"/>
  <c r="G33" i="16"/>
  <c r="F33" i="16"/>
  <c r="L32" i="16"/>
  <c r="J32" i="16"/>
  <c r="H32" i="16"/>
  <c r="F32" i="16" s="1"/>
  <c r="L31" i="16"/>
  <c r="F31" i="16"/>
  <c r="E31" i="16"/>
  <c r="E30" i="16" s="1"/>
  <c r="L30" i="16"/>
  <c r="J30" i="16"/>
  <c r="I30" i="16"/>
  <c r="H30" i="16"/>
  <c r="F30" i="16" s="1"/>
  <c r="G30" i="16"/>
  <c r="L29" i="16"/>
  <c r="F29" i="16"/>
  <c r="E29" i="16"/>
  <c r="L28" i="16"/>
  <c r="G28" i="16"/>
  <c r="E28" i="16" s="1"/>
  <c r="L27" i="16"/>
  <c r="I27" i="16"/>
  <c r="G27" i="16"/>
  <c r="F27" i="16"/>
  <c r="L26" i="16"/>
  <c r="I26" i="16"/>
  <c r="G26" i="16"/>
  <c r="E26" i="16" s="1"/>
  <c r="F26" i="16"/>
  <c r="L25" i="16"/>
  <c r="I25" i="16"/>
  <c r="G25" i="16"/>
  <c r="E25" i="16" s="1"/>
  <c r="F25" i="16"/>
  <c r="L24" i="16"/>
  <c r="I24" i="16"/>
  <c r="I23" i="16" s="1"/>
  <c r="G24" i="16"/>
  <c r="F24" i="16"/>
  <c r="E24" i="16"/>
  <c r="P23" i="16"/>
  <c r="P22" i="16" s="1"/>
  <c r="O23" i="16"/>
  <c r="N23" i="16"/>
  <c r="N22" i="16" s="1"/>
  <c r="M23" i="16"/>
  <c r="M22" i="16" s="1"/>
  <c r="K23" i="16"/>
  <c r="K22" i="16" s="1"/>
  <c r="J23" i="16"/>
  <c r="H23" i="16"/>
  <c r="H22" i="16" s="1"/>
  <c r="F22" i="16" s="1"/>
  <c r="O22" i="16"/>
  <c r="L21" i="16"/>
  <c r="F21" i="16"/>
  <c r="E21" i="16"/>
  <c r="E20" i="16" s="1"/>
  <c r="L20" i="16"/>
  <c r="J20" i="16"/>
  <c r="I20" i="16"/>
  <c r="H20" i="16"/>
  <c r="F20" i="16" s="1"/>
  <c r="G20" i="16"/>
  <c r="L19" i="16"/>
  <c r="F19" i="16"/>
  <c r="E19" i="16"/>
  <c r="L18" i="16"/>
  <c r="H18" i="16"/>
  <c r="G18" i="16"/>
  <c r="L17" i="16"/>
  <c r="F17" i="16"/>
  <c r="E17" i="16"/>
  <c r="E16" i="16" s="1"/>
  <c r="L16" i="16"/>
  <c r="J16" i="16"/>
  <c r="I16" i="16"/>
  <c r="H16" i="16"/>
  <c r="F16" i="16" s="1"/>
  <c r="G16" i="16"/>
  <c r="L15" i="16"/>
  <c r="F15" i="16"/>
  <c r="E15" i="16"/>
  <c r="E14" i="16" s="1"/>
  <c r="L14" i="16"/>
  <c r="J14" i="16"/>
  <c r="I14" i="16"/>
  <c r="I13" i="16" s="1"/>
  <c r="H14" i="16"/>
  <c r="F14" i="16" s="1"/>
  <c r="G14" i="16"/>
  <c r="P13" i="16"/>
  <c r="O13" i="16"/>
  <c r="N13" i="16"/>
  <c r="M13" i="16"/>
  <c r="K13" i="16"/>
  <c r="G81" i="15"/>
  <c r="E81" i="15" s="1"/>
  <c r="F81" i="15"/>
  <c r="L80" i="15"/>
  <c r="L79" i="15" s="1"/>
  <c r="K80" i="15"/>
  <c r="K79" i="15" s="1"/>
  <c r="J80" i="15"/>
  <c r="I80" i="15"/>
  <c r="H80" i="15"/>
  <c r="G80" i="15"/>
  <c r="J79" i="15"/>
  <c r="I79" i="15"/>
  <c r="K78" i="15"/>
  <c r="G78" i="15"/>
  <c r="E78" i="15" s="1"/>
  <c r="F78" i="15"/>
  <c r="G77" i="15"/>
  <c r="E77" i="15" s="1"/>
  <c r="F77" i="15"/>
  <c r="K76" i="15"/>
  <c r="G76" i="15"/>
  <c r="F76" i="15"/>
  <c r="L75" i="15"/>
  <c r="L74" i="15" s="1"/>
  <c r="K75" i="15"/>
  <c r="K74" i="15" s="1"/>
  <c r="J75" i="15"/>
  <c r="I75" i="15"/>
  <c r="H75" i="15"/>
  <c r="G75" i="15"/>
  <c r="E75" i="15" s="1"/>
  <c r="J74" i="15"/>
  <c r="I74" i="15"/>
  <c r="K73" i="15"/>
  <c r="E73" i="15" s="1"/>
  <c r="F73" i="15"/>
  <c r="K72" i="15"/>
  <c r="G72" i="15"/>
  <c r="E72" i="15" s="1"/>
  <c r="F72" i="15"/>
  <c r="K71" i="15"/>
  <c r="G71" i="15"/>
  <c r="E71" i="15" s="1"/>
  <c r="F71" i="15"/>
  <c r="K70" i="15"/>
  <c r="G70" i="15"/>
  <c r="E70" i="15" s="1"/>
  <c r="F70" i="15"/>
  <c r="K69" i="15"/>
  <c r="H69" i="15"/>
  <c r="F69" i="15" s="1"/>
  <c r="G69" i="15"/>
  <c r="G66" i="15" s="1"/>
  <c r="K68" i="15"/>
  <c r="F68" i="15"/>
  <c r="E68" i="15"/>
  <c r="F67" i="15"/>
  <c r="E67" i="15"/>
  <c r="L66" i="15"/>
  <c r="L65" i="15" s="1"/>
  <c r="K66" i="15"/>
  <c r="K65" i="15" s="1"/>
  <c r="J66" i="15"/>
  <c r="I66" i="15"/>
  <c r="J65" i="15"/>
  <c r="I65" i="15"/>
  <c r="K64" i="15"/>
  <c r="F64" i="15"/>
  <c r="F63" i="15"/>
  <c r="E63" i="15"/>
  <c r="K62" i="15"/>
  <c r="G62" i="15"/>
  <c r="E62" i="15" s="1"/>
  <c r="F62" i="15"/>
  <c r="K61" i="15"/>
  <c r="H61" i="15"/>
  <c r="F61" i="15" s="1"/>
  <c r="G61" i="15"/>
  <c r="E61" i="15"/>
  <c r="K60" i="15"/>
  <c r="H60" i="15"/>
  <c r="G60" i="15"/>
  <c r="F60" i="15"/>
  <c r="K59" i="15"/>
  <c r="G59" i="15"/>
  <c r="F59" i="15"/>
  <c r="K58" i="15"/>
  <c r="H58" i="15"/>
  <c r="G58" i="15"/>
  <c r="L57" i="15"/>
  <c r="J57" i="15"/>
  <c r="J54" i="15" s="1"/>
  <c r="I57" i="15"/>
  <c r="F56" i="15"/>
  <c r="E56" i="15"/>
  <c r="L55" i="15"/>
  <c r="K55" i="15"/>
  <c r="J55" i="15"/>
  <c r="I55" i="15"/>
  <c r="I54" i="15" s="1"/>
  <c r="H55" i="15"/>
  <c r="F55" i="15" s="1"/>
  <c r="G55" i="15"/>
  <c r="E55" i="15"/>
  <c r="K53" i="15"/>
  <c r="G53" i="15"/>
  <c r="E53" i="15" s="1"/>
  <c r="F53" i="15"/>
  <c r="F52" i="15"/>
  <c r="E52" i="15"/>
  <c r="K51" i="15"/>
  <c r="E51" i="15" s="1"/>
  <c r="F51" i="15"/>
  <c r="G50" i="15"/>
  <c r="F50" i="15"/>
  <c r="E50" i="15"/>
  <c r="L49" i="15"/>
  <c r="H49" i="15"/>
  <c r="F49" i="15" s="1"/>
  <c r="G49" i="15"/>
  <c r="F48" i="15"/>
  <c r="E48" i="15"/>
  <c r="L47" i="15"/>
  <c r="K47" i="15"/>
  <c r="J47" i="15"/>
  <c r="I47" i="15"/>
  <c r="H47" i="15"/>
  <c r="G47" i="15"/>
  <c r="F47" i="15"/>
  <c r="L46" i="15"/>
  <c r="J46" i="15"/>
  <c r="I46" i="15"/>
  <c r="G45" i="15"/>
  <c r="F45" i="15"/>
  <c r="E45" i="15"/>
  <c r="K44" i="15"/>
  <c r="K43" i="15" s="1"/>
  <c r="G44" i="15"/>
  <c r="F44" i="15"/>
  <c r="E44" i="15"/>
  <c r="L43" i="15"/>
  <c r="J43" i="15"/>
  <c r="I43" i="15"/>
  <c r="H43" i="15"/>
  <c r="G43" i="15"/>
  <c r="L42" i="15"/>
  <c r="J42" i="15"/>
  <c r="I42" i="15"/>
  <c r="G42" i="15"/>
  <c r="K41" i="15"/>
  <c r="H41" i="15"/>
  <c r="F41" i="15" s="1"/>
  <c r="G41" i="15"/>
  <c r="E41" i="15"/>
  <c r="G40" i="15"/>
  <c r="E40" i="15" s="1"/>
  <c r="F40" i="15"/>
  <c r="K39" i="15"/>
  <c r="K38" i="15" s="1"/>
  <c r="G39" i="15"/>
  <c r="F39" i="15"/>
  <c r="L38" i="15"/>
  <c r="J38" i="15"/>
  <c r="I38" i="15"/>
  <c r="F37" i="15"/>
  <c r="E37" i="15"/>
  <c r="L36" i="15"/>
  <c r="K36" i="15"/>
  <c r="J36" i="15"/>
  <c r="J35" i="15" s="1"/>
  <c r="I36" i="15"/>
  <c r="H36" i="15"/>
  <c r="G36" i="15"/>
  <c r="E36" i="15" s="1"/>
  <c r="F36" i="15"/>
  <c r="L35" i="15"/>
  <c r="K34" i="15"/>
  <c r="G34" i="15"/>
  <c r="E34" i="15" s="1"/>
  <c r="F34" i="15"/>
  <c r="F33" i="15"/>
  <c r="E33" i="15"/>
  <c r="L32" i="15"/>
  <c r="K32" i="15"/>
  <c r="J32" i="15"/>
  <c r="I32" i="15"/>
  <c r="H32" i="15"/>
  <c r="F32" i="15" s="1"/>
  <c r="H31" i="15"/>
  <c r="E31" i="15"/>
  <c r="L30" i="15"/>
  <c r="K30" i="15"/>
  <c r="J30" i="15"/>
  <c r="J29" i="15" s="1"/>
  <c r="I30" i="15"/>
  <c r="G30" i="15"/>
  <c r="E30" i="15"/>
  <c r="K29" i="15"/>
  <c r="K28" i="15"/>
  <c r="E28" i="15" s="1"/>
  <c r="H28" i="15"/>
  <c r="G28" i="15"/>
  <c r="K27" i="15"/>
  <c r="G27" i="15"/>
  <c r="E27" i="15" s="1"/>
  <c r="F27" i="15"/>
  <c r="K26" i="15"/>
  <c r="G26" i="15"/>
  <c r="E26" i="15" s="1"/>
  <c r="F26" i="15"/>
  <c r="I25" i="15"/>
  <c r="G25" i="15"/>
  <c r="F25" i="15"/>
  <c r="L24" i="15"/>
  <c r="J24" i="15"/>
  <c r="I24" i="15"/>
  <c r="G23" i="15"/>
  <c r="E23" i="15" s="1"/>
  <c r="F23" i="15"/>
  <c r="F22" i="15"/>
  <c r="E22" i="15"/>
  <c r="F21" i="15"/>
  <c r="E21" i="15"/>
  <c r="F20" i="15"/>
  <c r="E20" i="15"/>
  <c r="L19" i="15"/>
  <c r="K19" i="15"/>
  <c r="J19" i="15"/>
  <c r="I19" i="15"/>
  <c r="H19" i="15"/>
  <c r="F19" i="15" s="1"/>
  <c r="G19" i="15"/>
  <c r="E19" i="15" s="1"/>
  <c r="F18" i="15"/>
  <c r="E18" i="15"/>
  <c r="L17" i="15"/>
  <c r="K17" i="15"/>
  <c r="J17" i="15"/>
  <c r="I17" i="15"/>
  <c r="H17" i="15"/>
  <c r="F17" i="15" s="1"/>
  <c r="G17" i="15"/>
  <c r="E17" i="15" s="1"/>
  <c r="F16" i="15"/>
  <c r="E16" i="15"/>
  <c r="L15" i="15"/>
  <c r="K15" i="15"/>
  <c r="J15" i="15"/>
  <c r="J12" i="15" s="1"/>
  <c r="I15" i="15"/>
  <c r="H15" i="15"/>
  <c r="G15" i="15"/>
  <c r="F15" i="15"/>
  <c r="E15" i="15"/>
  <c r="F14" i="15"/>
  <c r="E14" i="15"/>
  <c r="L13" i="15"/>
  <c r="K13" i="15"/>
  <c r="J13" i="15"/>
  <c r="I13" i="15"/>
  <c r="H13" i="15"/>
  <c r="G13" i="15"/>
  <c r="E13" i="15" s="1"/>
  <c r="F44" i="14"/>
  <c r="E44" i="14"/>
  <c r="K43" i="14"/>
  <c r="K40" i="14" s="1"/>
  <c r="G43" i="14"/>
  <c r="F43" i="14"/>
  <c r="G42" i="14"/>
  <c r="E42" i="14" s="1"/>
  <c r="F42" i="14"/>
  <c r="I41" i="14"/>
  <c r="G41" i="14"/>
  <c r="E41" i="14" s="1"/>
  <c r="F41" i="14"/>
  <c r="L40" i="14"/>
  <c r="J40" i="14"/>
  <c r="I40" i="14"/>
  <c r="H40" i="14"/>
  <c r="F40" i="14" s="1"/>
  <c r="G39" i="14"/>
  <c r="E39" i="14" s="1"/>
  <c r="F39" i="14"/>
  <c r="K38" i="14"/>
  <c r="G38" i="14"/>
  <c r="F38" i="14"/>
  <c r="F37" i="14"/>
  <c r="E37" i="14"/>
  <c r="G36" i="14"/>
  <c r="E36" i="14" s="1"/>
  <c r="F36" i="14"/>
  <c r="F35" i="14"/>
  <c r="E35" i="14"/>
  <c r="K34" i="14"/>
  <c r="G34" i="14"/>
  <c r="F34" i="14"/>
  <c r="F33" i="14"/>
  <c r="E33" i="14"/>
  <c r="I32" i="14"/>
  <c r="F32" i="14"/>
  <c r="E32" i="14"/>
  <c r="G31" i="14"/>
  <c r="E31" i="14" s="1"/>
  <c r="F31" i="14"/>
  <c r="G30" i="14"/>
  <c r="E30" i="14" s="1"/>
  <c r="F30" i="14"/>
  <c r="G29" i="14"/>
  <c r="F29" i="14"/>
  <c r="E29" i="14"/>
  <c r="G28" i="14"/>
  <c r="E28" i="14" s="1"/>
  <c r="F28" i="14"/>
  <c r="G27" i="14"/>
  <c r="E27" i="14" s="1"/>
  <c r="F27" i="14"/>
  <c r="G26" i="14"/>
  <c r="E26" i="14" s="1"/>
  <c r="F26" i="14"/>
  <c r="G25" i="14"/>
  <c r="E25" i="14" s="1"/>
  <c r="F25" i="14"/>
  <c r="G24" i="14"/>
  <c r="E24" i="14" s="1"/>
  <c r="F24" i="14"/>
  <c r="G23" i="14"/>
  <c r="E23" i="14" s="1"/>
  <c r="F23" i="14"/>
  <c r="G22" i="14"/>
  <c r="E22" i="14" s="1"/>
  <c r="F22" i="14"/>
  <c r="G21" i="14"/>
  <c r="E21" i="14" s="1"/>
  <c r="F21" i="14"/>
  <c r="F20" i="14"/>
  <c r="E20" i="14"/>
  <c r="F19" i="14"/>
  <c r="E19" i="14"/>
  <c r="F18" i="14"/>
  <c r="E18" i="14"/>
  <c r="G17" i="14"/>
  <c r="E17" i="14" s="1"/>
  <c r="F17" i="14"/>
  <c r="G16" i="14"/>
  <c r="E16" i="14" s="1"/>
  <c r="F16" i="14"/>
  <c r="G15" i="14"/>
  <c r="E15" i="14" s="1"/>
  <c r="F15" i="14"/>
  <c r="F14" i="14"/>
  <c r="E14" i="14"/>
  <c r="G13" i="14"/>
  <c r="E13" i="14" s="1"/>
  <c r="F13" i="14"/>
  <c r="L12" i="14"/>
  <c r="L45" i="14" s="1"/>
  <c r="J12" i="14"/>
  <c r="J45" i="14" s="1"/>
  <c r="I12" i="14"/>
  <c r="H12" i="14"/>
  <c r="H45" i="14" s="1"/>
  <c r="F12" i="14"/>
  <c r="E63" i="13"/>
  <c r="M59" i="13"/>
  <c r="L59" i="13" s="1"/>
  <c r="F59" i="13"/>
  <c r="E59" i="13"/>
  <c r="M58" i="13"/>
  <c r="L58" i="13" s="1"/>
  <c r="F58" i="13"/>
  <c r="E58" i="13"/>
  <c r="M57" i="13"/>
  <c r="L57" i="13" s="1"/>
  <c r="G57" i="13"/>
  <c r="E57" i="13" s="1"/>
  <c r="F57" i="13"/>
  <c r="M56" i="13"/>
  <c r="L56" i="13" s="1"/>
  <c r="F56" i="13"/>
  <c r="E56" i="13"/>
  <c r="M55" i="13"/>
  <c r="L55" i="13" s="1"/>
  <c r="F55" i="13"/>
  <c r="E55" i="13"/>
  <c r="M54" i="13"/>
  <c r="L54" i="13" s="1"/>
  <c r="F54" i="13"/>
  <c r="E54" i="13"/>
  <c r="M53" i="13"/>
  <c r="L53" i="13" s="1"/>
  <c r="F53" i="13"/>
  <c r="E53" i="13"/>
  <c r="M52" i="13"/>
  <c r="L52" i="13" s="1"/>
  <c r="H52" i="13"/>
  <c r="F52" i="13" s="1"/>
  <c r="E52" i="13"/>
  <c r="M51" i="13"/>
  <c r="L51" i="13" s="1"/>
  <c r="F51" i="13"/>
  <c r="E51" i="13"/>
  <c r="M50" i="13"/>
  <c r="L50" i="13"/>
  <c r="F50" i="13"/>
  <c r="E50" i="13"/>
  <c r="M49" i="13"/>
  <c r="L49" i="13" s="1"/>
  <c r="G49" i="13"/>
  <c r="G47" i="13" s="1"/>
  <c r="E47" i="13" s="1"/>
  <c r="F49" i="13"/>
  <c r="M48" i="13"/>
  <c r="L48" i="13" s="1"/>
  <c r="F48" i="13"/>
  <c r="E48" i="13"/>
  <c r="Q47" i="13"/>
  <c r="P47" i="13"/>
  <c r="O47" i="13"/>
  <c r="N47" i="13"/>
  <c r="K47" i="13"/>
  <c r="J47" i="13"/>
  <c r="I47" i="13"/>
  <c r="H47" i="13"/>
  <c r="F47" i="13" s="1"/>
  <c r="M46" i="13"/>
  <c r="L46" i="13" s="1"/>
  <c r="F46" i="13"/>
  <c r="E46" i="13"/>
  <c r="M45" i="13"/>
  <c r="L45" i="13" s="1"/>
  <c r="G45" i="13"/>
  <c r="F45" i="13"/>
  <c r="E45" i="13"/>
  <c r="M44" i="13"/>
  <c r="L44" i="13" s="1"/>
  <c r="F44" i="13"/>
  <c r="E44" i="13"/>
  <c r="M43" i="13"/>
  <c r="L43" i="13" s="1"/>
  <c r="G43" i="13"/>
  <c r="E43" i="13" s="1"/>
  <c r="F43" i="13"/>
  <c r="M42" i="13"/>
  <c r="L42" i="13" s="1"/>
  <c r="F42" i="13"/>
  <c r="G42" i="13"/>
  <c r="E42" i="13" s="1"/>
  <c r="M41" i="13"/>
  <c r="L41" i="13" s="1"/>
  <c r="G41" i="13"/>
  <c r="E41" i="13" s="1"/>
  <c r="F41" i="13"/>
  <c r="Q40" i="13"/>
  <c r="P40" i="13"/>
  <c r="O40" i="13"/>
  <c r="N40" i="13"/>
  <c r="K40" i="13"/>
  <c r="J40" i="13"/>
  <c r="I40" i="13"/>
  <c r="M39" i="13"/>
  <c r="L39" i="13" s="1"/>
  <c r="F39" i="13"/>
  <c r="E39" i="13"/>
  <c r="M38" i="13"/>
  <c r="L38" i="13" s="1"/>
  <c r="F38" i="13"/>
  <c r="E38" i="13"/>
  <c r="M37" i="13"/>
  <c r="L37" i="13" s="1"/>
  <c r="F37" i="13"/>
  <c r="E37" i="13"/>
  <c r="M36" i="13"/>
  <c r="L36" i="13" s="1"/>
  <c r="F36" i="13"/>
  <c r="E36" i="13"/>
  <c r="M35" i="13"/>
  <c r="L35" i="13" s="1"/>
  <c r="F35" i="13"/>
  <c r="E35" i="13"/>
  <c r="M34" i="13"/>
  <c r="L34" i="13" s="1"/>
  <c r="F34" i="13"/>
  <c r="E34" i="13"/>
  <c r="M33" i="13"/>
  <c r="L33" i="13"/>
  <c r="F33" i="13"/>
  <c r="E33" i="13"/>
  <c r="M32" i="13"/>
  <c r="L32" i="13"/>
  <c r="H32" i="13"/>
  <c r="F32" i="13" s="1"/>
  <c r="E32" i="13"/>
  <c r="M31" i="13"/>
  <c r="L31" i="13" s="1"/>
  <c r="F31" i="13"/>
  <c r="E31" i="13"/>
  <c r="M30" i="13"/>
  <c r="L30" i="13" s="1"/>
  <c r="G30" i="13"/>
  <c r="F30" i="13"/>
  <c r="E30" i="13"/>
  <c r="M29" i="13"/>
  <c r="L29" i="13" s="1"/>
  <c r="F29" i="13"/>
  <c r="E29" i="13"/>
  <c r="M28" i="13"/>
  <c r="L28" i="13" s="1"/>
  <c r="F28" i="13"/>
  <c r="E28" i="13"/>
  <c r="M27" i="13"/>
  <c r="L27" i="13" s="1"/>
  <c r="F27" i="13"/>
  <c r="E27" i="13"/>
  <c r="M26" i="13"/>
  <c r="L26" i="13" s="1"/>
  <c r="G26" i="13"/>
  <c r="E26" i="13" s="1"/>
  <c r="F26" i="13"/>
  <c r="M25" i="13"/>
  <c r="L25" i="13" s="1"/>
  <c r="F25" i="13"/>
  <c r="E25" i="13"/>
  <c r="M24" i="13"/>
  <c r="L24" i="13" s="1"/>
  <c r="F24" i="13"/>
  <c r="E24" i="13"/>
  <c r="M23" i="13"/>
  <c r="L23" i="13" s="1"/>
  <c r="G23" i="13"/>
  <c r="E23" i="13" s="1"/>
  <c r="F23" i="13"/>
  <c r="M22" i="13"/>
  <c r="L22" i="13" s="1"/>
  <c r="G22" i="13"/>
  <c r="E22" i="13" s="1"/>
  <c r="F22" i="13"/>
  <c r="M21" i="13"/>
  <c r="L21" i="13" s="1"/>
  <c r="H21" i="13"/>
  <c r="F21" i="13" s="1"/>
  <c r="E21" i="13"/>
  <c r="M20" i="13"/>
  <c r="L20" i="13" s="1"/>
  <c r="F20" i="13"/>
  <c r="E20" i="13"/>
  <c r="M19" i="13"/>
  <c r="L19" i="13" s="1"/>
  <c r="F19" i="13"/>
  <c r="E19" i="13"/>
  <c r="M18" i="13"/>
  <c r="L18" i="13" s="1"/>
  <c r="F18" i="13"/>
  <c r="E18" i="13"/>
  <c r="M17" i="13"/>
  <c r="L17" i="13" s="1"/>
  <c r="G17" i="13"/>
  <c r="E17" i="13" s="1"/>
  <c r="F17" i="13"/>
  <c r="M16" i="13"/>
  <c r="L16" i="13" s="1"/>
  <c r="G16" i="13"/>
  <c r="E16" i="13" s="1"/>
  <c r="F16" i="13"/>
  <c r="M15" i="13"/>
  <c r="L15" i="13" s="1"/>
  <c r="G15" i="13"/>
  <c r="E15" i="13" s="1"/>
  <c r="F15" i="13"/>
  <c r="M14" i="13"/>
  <c r="L14" i="13" s="1"/>
  <c r="F14" i="13"/>
  <c r="E14" i="13"/>
  <c r="M13" i="13"/>
  <c r="L13" i="13" s="1"/>
  <c r="F13" i="13"/>
  <c r="E13" i="13"/>
  <c r="Q12" i="13"/>
  <c r="P12" i="13"/>
  <c r="P60" i="13" s="1"/>
  <c r="O12" i="13"/>
  <c r="O60" i="13" s="1"/>
  <c r="N12" i="13"/>
  <c r="K12" i="13"/>
  <c r="J12" i="13"/>
  <c r="J60" i="13" s="1"/>
  <c r="I12" i="13"/>
  <c r="G59" i="12"/>
  <c r="E59" i="12" s="1"/>
  <c r="F59" i="12"/>
  <c r="G58" i="12"/>
  <c r="E58" i="12" s="1"/>
  <c r="F58" i="12"/>
  <c r="F57" i="12"/>
  <c r="E57" i="12"/>
  <c r="F56" i="12"/>
  <c r="G56" i="12"/>
  <c r="E56" i="12"/>
  <c r="G55" i="12"/>
  <c r="E55" i="12" s="1"/>
  <c r="F55" i="12"/>
  <c r="K54" i="12"/>
  <c r="I54" i="12"/>
  <c r="H54" i="12"/>
  <c r="F54" i="12" s="1"/>
  <c r="F53" i="12"/>
  <c r="E53" i="12"/>
  <c r="F52" i="12"/>
  <c r="E52" i="12"/>
  <c r="F51" i="12"/>
  <c r="E51" i="12"/>
  <c r="F50" i="12"/>
  <c r="E50" i="12"/>
  <c r="F49" i="12"/>
  <c r="E49" i="12"/>
  <c r="F48" i="12"/>
  <c r="E48" i="12"/>
  <c r="K47" i="12"/>
  <c r="I47" i="12"/>
  <c r="H47" i="12"/>
  <c r="F47" i="12" s="1"/>
  <c r="G47" i="12"/>
  <c r="E47" i="12" s="1"/>
  <c r="F46" i="12"/>
  <c r="E46" i="12"/>
  <c r="F45" i="12"/>
  <c r="E45" i="12"/>
  <c r="G44" i="12"/>
  <c r="E44" i="12" s="1"/>
  <c r="F44" i="12"/>
  <c r="G43" i="12"/>
  <c r="E43" i="12" s="1"/>
  <c r="F43" i="12"/>
  <c r="G42" i="12"/>
  <c r="F42" i="12"/>
  <c r="E42" i="12"/>
  <c r="G41" i="12"/>
  <c r="E41" i="12" s="1"/>
  <c r="F41" i="12"/>
  <c r="G40" i="12"/>
  <c r="G38" i="12" s="1"/>
  <c r="E38" i="12" s="1"/>
  <c r="F40" i="12"/>
  <c r="G39" i="12"/>
  <c r="F39" i="12"/>
  <c r="E39" i="12"/>
  <c r="K38" i="12"/>
  <c r="I38" i="12"/>
  <c r="H38" i="12"/>
  <c r="F38" i="12" s="1"/>
  <c r="G37" i="12"/>
  <c r="E37" i="12" s="1"/>
  <c r="F37" i="12"/>
  <c r="F36" i="12"/>
  <c r="E36" i="12"/>
  <c r="L35" i="12"/>
  <c r="K35" i="12"/>
  <c r="J35" i="12"/>
  <c r="I35" i="12"/>
  <c r="H35" i="12"/>
  <c r="F35" i="12" s="1"/>
  <c r="J34" i="12"/>
  <c r="J33" i="12" s="1"/>
  <c r="F34" i="12"/>
  <c r="E34" i="12"/>
  <c r="L33" i="12"/>
  <c r="K33" i="12"/>
  <c r="I33" i="12"/>
  <c r="H33" i="12"/>
  <c r="G33" i="12"/>
  <c r="E33" i="12" s="1"/>
  <c r="F32" i="12"/>
  <c r="E32" i="12"/>
  <c r="F31" i="12"/>
  <c r="E31" i="12"/>
  <c r="F30" i="12"/>
  <c r="E30" i="12"/>
  <c r="F29" i="12"/>
  <c r="E29" i="12"/>
  <c r="G28" i="12"/>
  <c r="E28" i="12" s="1"/>
  <c r="F28" i="12"/>
  <c r="F27" i="12"/>
  <c r="E27" i="12"/>
  <c r="G26" i="12"/>
  <c r="F26" i="12"/>
  <c r="E26" i="12"/>
  <c r="G25" i="12"/>
  <c r="E25" i="12" s="1"/>
  <c r="F25" i="12"/>
  <c r="F24" i="12"/>
  <c r="E24" i="12"/>
  <c r="G23" i="12"/>
  <c r="E23" i="12" s="1"/>
  <c r="F23" i="12"/>
  <c r="G22" i="12"/>
  <c r="E22" i="12" s="1"/>
  <c r="F22" i="12"/>
  <c r="G21" i="12"/>
  <c r="E21" i="12" s="1"/>
  <c r="F21" i="12"/>
  <c r="G20" i="12"/>
  <c r="E20" i="12" s="1"/>
  <c r="F20" i="12"/>
  <c r="G19" i="12"/>
  <c r="F19" i="12"/>
  <c r="E19" i="12"/>
  <c r="G18" i="12"/>
  <c r="E18" i="12" s="1"/>
  <c r="F18" i="12"/>
  <c r="I17" i="12"/>
  <c r="I13" i="12" s="1"/>
  <c r="I60" i="12" s="1"/>
  <c r="G17" i="12"/>
  <c r="E17" i="12" s="1"/>
  <c r="F17" i="12"/>
  <c r="G16" i="12"/>
  <c r="E16" i="12" s="1"/>
  <c r="F16" i="12"/>
  <c r="F15" i="12"/>
  <c r="E15" i="12"/>
  <c r="F14" i="12"/>
  <c r="E14" i="12"/>
  <c r="L13" i="12"/>
  <c r="K13" i="12"/>
  <c r="J13" i="12"/>
  <c r="H13" i="12"/>
  <c r="F305" i="11"/>
  <c r="E305" i="11"/>
  <c r="I304" i="11"/>
  <c r="G304" i="11"/>
  <c r="E304" i="11" s="1"/>
  <c r="F304" i="11"/>
  <c r="F303" i="11"/>
  <c r="E303" i="11"/>
  <c r="I302" i="11"/>
  <c r="H302" i="11"/>
  <c r="F302" i="11" s="1"/>
  <c r="G302" i="11"/>
  <c r="E302" i="11" s="1"/>
  <c r="F301" i="11"/>
  <c r="E301" i="11"/>
  <c r="J300" i="11"/>
  <c r="I300" i="11"/>
  <c r="G300" i="11"/>
  <c r="E300" i="11" s="1"/>
  <c r="F300" i="11"/>
  <c r="F299" i="11"/>
  <c r="E299" i="11"/>
  <c r="L298" i="11"/>
  <c r="I298" i="11"/>
  <c r="G298" i="11"/>
  <c r="E298" i="11"/>
  <c r="F297" i="11"/>
  <c r="E297" i="11"/>
  <c r="I296" i="11"/>
  <c r="G296" i="11"/>
  <c r="E296" i="11" s="1"/>
  <c r="F296" i="11"/>
  <c r="F295" i="11"/>
  <c r="E295" i="11"/>
  <c r="I294" i="11"/>
  <c r="G294" i="11"/>
  <c r="E294" i="11" s="1"/>
  <c r="F294" i="11"/>
  <c r="F293" i="11"/>
  <c r="E293" i="11"/>
  <c r="I292" i="11"/>
  <c r="G292" i="11"/>
  <c r="E292" i="11" s="1"/>
  <c r="F292" i="11"/>
  <c r="H291" i="11"/>
  <c r="F291" i="11" s="1"/>
  <c r="E291" i="11"/>
  <c r="I290" i="11"/>
  <c r="G290" i="11"/>
  <c r="E290" i="11" s="1"/>
  <c r="F290" i="11"/>
  <c r="F289" i="11"/>
  <c r="E289" i="11"/>
  <c r="I288" i="11"/>
  <c r="G288" i="11"/>
  <c r="E288" i="11" s="1"/>
  <c r="F288" i="11"/>
  <c r="F287" i="11"/>
  <c r="E287" i="11"/>
  <c r="I286" i="11"/>
  <c r="G286" i="11"/>
  <c r="E286" i="11" s="1"/>
  <c r="F286" i="11"/>
  <c r="F285" i="11"/>
  <c r="E285" i="11"/>
  <c r="I284" i="11"/>
  <c r="G284" i="11"/>
  <c r="E284" i="11" s="1"/>
  <c r="F284" i="11"/>
  <c r="E283" i="11"/>
  <c r="F282" i="11"/>
  <c r="E282" i="11"/>
  <c r="L281" i="11"/>
  <c r="K281" i="11"/>
  <c r="J281" i="11"/>
  <c r="I281" i="11"/>
  <c r="H281" i="11"/>
  <c r="F281" i="11" s="1"/>
  <c r="G281" i="11"/>
  <c r="E281" i="11" s="1"/>
  <c r="F280" i="11"/>
  <c r="E280" i="11"/>
  <c r="G279" i="11"/>
  <c r="E279" i="11" s="1"/>
  <c r="F279" i="11"/>
  <c r="F278" i="11"/>
  <c r="E278" i="11"/>
  <c r="G277" i="11"/>
  <c r="F277" i="11"/>
  <c r="E277" i="11"/>
  <c r="G276" i="11"/>
  <c r="E276" i="11" s="1"/>
  <c r="F276" i="11"/>
  <c r="G275" i="11"/>
  <c r="E275" i="11" s="1"/>
  <c r="F275" i="11"/>
  <c r="K274" i="11"/>
  <c r="K273" i="11" s="1"/>
  <c r="K270" i="11" s="1"/>
  <c r="I274" i="11"/>
  <c r="H274" i="11"/>
  <c r="F274" i="11" s="1"/>
  <c r="G274" i="11"/>
  <c r="L273" i="11"/>
  <c r="F273" i="11" s="1"/>
  <c r="J273" i="11"/>
  <c r="I273" i="11"/>
  <c r="I272" i="11"/>
  <c r="G272" i="11"/>
  <c r="E272" i="11" s="1"/>
  <c r="F272" i="11"/>
  <c r="F271" i="11"/>
  <c r="E271" i="11"/>
  <c r="H270" i="11"/>
  <c r="F269" i="11"/>
  <c r="E269" i="11"/>
  <c r="F268" i="11"/>
  <c r="E268" i="11"/>
  <c r="L267" i="11"/>
  <c r="L266" i="11" s="1"/>
  <c r="K267" i="11"/>
  <c r="J267" i="11"/>
  <c r="I267" i="11"/>
  <c r="I266" i="11" s="1"/>
  <c r="H267" i="11"/>
  <c r="G267" i="11"/>
  <c r="E267" i="11" s="1"/>
  <c r="K266" i="11"/>
  <c r="J266" i="11"/>
  <c r="G266" i="11"/>
  <c r="F265" i="11"/>
  <c r="E265" i="11"/>
  <c r="L264" i="11"/>
  <c r="K264" i="11"/>
  <c r="J264" i="11"/>
  <c r="J263" i="11" s="1"/>
  <c r="J262" i="11" s="1"/>
  <c r="I264" i="11"/>
  <c r="I263" i="11" s="1"/>
  <c r="I262" i="11" s="1"/>
  <c r="G264" i="11"/>
  <c r="K263" i="11"/>
  <c r="K262" i="11" s="1"/>
  <c r="H263" i="11"/>
  <c r="H262" i="11" s="1"/>
  <c r="I261" i="11"/>
  <c r="G261" i="11"/>
  <c r="E261" i="11" s="1"/>
  <c r="F261" i="11"/>
  <c r="I260" i="11"/>
  <c r="G260" i="11"/>
  <c r="E260" i="11" s="1"/>
  <c r="F260" i="11"/>
  <c r="I259" i="11"/>
  <c r="G259" i="11"/>
  <c r="E259" i="11" s="1"/>
  <c r="F259" i="11"/>
  <c r="I258" i="11"/>
  <c r="G258" i="11"/>
  <c r="E258" i="11" s="1"/>
  <c r="F258" i="11"/>
  <c r="I257" i="11"/>
  <c r="G257" i="11"/>
  <c r="E257" i="11" s="1"/>
  <c r="F257" i="11"/>
  <c r="I256" i="11"/>
  <c r="G256" i="11"/>
  <c r="E256" i="11" s="1"/>
  <c r="F256" i="11"/>
  <c r="I255" i="11"/>
  <c r="G255" i="11"/>
  <c r="E255" i="11" s="1"/>
  <c r="F255" i="11"/>
  <c r="I254" i="11"/>
  <c r="G254" i="11"/>
  <c r="E254" i="11" s="1"/>
  <c r="F254" i="11"/>
  <c r="I253" i="11"/>
  <c r="G253" i="11"/>
  <c r="E253" i="11" s="1"/>
  <c r="F253" i="11"/>
  <c r="I252" i="11"/>
  <c r="G252" i="11"/>
  <c r="E252" i="11" s="1"/>
  <c r="F252" i="11"/>
  <c r="I251" i="11"/>
  <c r="G251" i="11"/>
  <c r="E251" i="11" s="1"/>
  <c r="F251" i="11"/>
  <c r="F250" i="11"/>
  <c r="E250" i="11"/>
  <c r="G249" i="11"/>
  <c r="E249" i="11" s="1"/>
  <c r="F249" i="11"/>
  <c r="K248" i="11"/>
  <c r="G248" i="11"/>
  <c r="F248" i="11"/>
  <c r="G247" i="11"/>
  <c r="F247" i="11"/>
  <c r="F246" i="11"/>
  <c r="E246" i="11"/>
  <c r="K245" i="11"/>
  <c r="H245" i="11"/>
  <c r="F245" i="11" s="1"/>
  <c r="E245" i="11"/>
  <c r="G244" i="11"/>
  <c r="E244" i="11" s="1"/>
  <c r="F244" i="11"/>
  <c r="L243" i="11"/>
  <c r="L241" i="11" s="1"/>
  <c r="L240" i="11" s="1"/>
  <c r="K243" i="11"/>
  <c r="J243" i="11"/>
  <c r="J241" i="11" s="1"/>
  <c r="J240" i="11" s="1"/>
  <c r="I243" i="11"/>
  <c r="I241" i="11" s="1"/>
  <c r="H243" i="11"/>
  <c r="G242" i="11"/>
  <c r="E242" i="11" s="1"/>
  <c r="F242" i="11"/>
  <c r="F239" i="11"/>
  <c r="E239" i="11"/>
  <c r="F238" i="11"/>
  <c r="E238" i="11"/>
  <c r="G237" i="11"/>
  <c r="E237" i="11" s="1"/>
  <c r="F237" i="11"/>
  <c r="G236" i="11"/>
  <c r="F236" i="11"/>
  <c r="E236" i="11"/>
  <c r="G235" i="11"/>
  <c r="E235" i="11" s="1"/>
  <c r="F235" i="11"/>
  <c r="F234" i="11"/>
  <c r="E234" i="11"/>
  <c r="F233" i="11"/>
  <c r="E233" i="11"/>
  <c r="F232" i="11"/>
  <c r="E232" i="11"/>
  <c r="F231" i="11"/>
  <c r="E231" i="11"/>
  <c r="F230" i="11"/>
  <c r="E230" i="11"/>
  <c r="H229" i="11"/>
  <c r="F229" i="11"/>
  <c r="E229" i="11"/>
  <c r="K228" i="11"/>
  <c r="E228" i="11" s="1"/>
  <c r="G228" i="11"/>
  <c r="F228" i="11"/>
  <c r="F227" i="11"/>
  <c r="E227" i="11"/>
  <c r="K226" i="11"/>
  <c r="G226" i="11"/>
  <c r="E226" i="11" s="1"/>
  <c r="F226" i="11"/>
  <c r="K225" i="11"/>
  <c r="G225" i="11"/>
  <c r="E225" i="11" s="1"/>
  <c r="F225" i="11"/>
  <c r="K224" i="11"/>
  <c r="E224" i="11" s="1"/>
  <c r="F224" i="11"/>
  <c r="F223" i="11"/>
  <c r="E223" i="11"/>
  <c r="G222" i="11"/>
  <c r="E222" i="11" s="1"/>
  <c r="F222" i="11"/>
  <c r="L221" i="11"/>
  <c r="F221" i="11" s="1"/>
  <c r="K221" i="11"/>
  <c r="E221" i="11" s="1"/>
  <c r="K220" i="11"/>
  <c r="G220" i="11"/>
  <c r="F220" i="11"/>
  <c r="G219" i="11"/>
  <c r="E219" i="11" s="1"/>
  <c r="F219" i="11"/>
  <c r="K218" i="11"/>
  <c r="F218" i="11"/>
  <c r="E218" i="11"/>
  <c r="K217" i="11"/>
  <c r="E217" i="11" s="1"/>
  <c r="F217" i="11"/>
  <c r="K216" i="11"/>
  <c r="E216" i="11" s="1"/>
  <c r="F216" i="11"/>
  <c r="K215" i="11"/>
  <c r="E215" i="11" s="1"/>
  <c r="F215" i="11"/>
  <c r="K214" i="11"/>
  <c r="E214" i="11" s="1"/>
  <c r="F214" i="11"/>
  <c r="K213" i="11"/>
  <c r="E213" i="11" s="1"/>
  <c r="F213" i="11"/>
  <c r="F212" i="11"/>
  <c r="E212" i="11"/>
  <c r="K211" i="11"/>
  <c r="E211" i="11" s="1"/>
  <c r="F211" i="11"/>
  <c r="K210" i="11"/>
  <c r="E210" i="11" s="1"/>
  <c r="F210" i="11"/>
  <c r="K209" i="11"/>
  <c r="E209" i="11" s="1"/>
  <c r="F209" i="11"/>
  <c r="F208" i="11"/>
  <c r="E208" i="11"/>
  <c r="F207" i="11"/>
  <c r="E207" i="11"/>
  <c r="F206" i="11"/>
  <c r="E206" i="11"/>
  <c r="K205" i="11"/>
  <c r="F205" i="11"/>
  <c r="E205" i="11"/>
  <c r="K204" i="11"/>
  <c r="F204" i="11"/>
  <c r="K203" i="11"/>
  <c r="E203" i="11" s="1"/>
  <c r="F203" i="11"/>
  <c r="K202" i="11"/>
  <c r="E202" i="11" s="1"/>
  <c r="F202" i="11"/>
  <c r="F201" i="11"/>
  <c r="E201" i="11"/>
  <c r="F200" i="11"/>
  <c r="E200" i="11"/>
  <c r="F199" i="11"/>
  <c r="E199" i="11"/>
  <c r="F198" i="11"/>
  <c r="E198" i="11"/>
  <c r="F197" i="11"/>
  <c r="E197" i="11"/>
  <c r="L196" i="11"/>
  <c r="F196" i="11"/>
  <c r="E196" i="11"/>
  <c r="J195" i="11"/>
  <c r="J194" i="11" s="1"/>
  <c r="J193" i="11" s="1"/>
  <c r="I195" i="11"/>
  <c r="H195" i="11"/>
  <c r="H194" i="11" s="1"/>
  <c r="H193" i="11" s="1"/>
  <c r="I194" i="11"/>
  <c r="I193" i="11" s="1"/>
  <c r="F192" i="11"/>
  <c r="E192" i="11"/>
  <c r="K191" i="11"/>
  <c r="E191" i="11" s="1"/>
  <c r="F191" i="11"/>
  <c r="K190" i="11"/>
  <c r="E190" i="11" s="1"/>
  <c r="F190" i="11"/>
  <c r="K189" i="11"/>
  <c r="F189" i="11"/>
  <c r="E189" i="11"/>
  <c r="K188" i="11"/>
  <c r="F188" i="11"/>
  <c r="E188" i="11"/>
  <c r="K187" i="11"/>
  <c r="E187" i="11" s="1"/>
  <c r="G187" i="11"/>
  <c r="F187" i="11"/>
  <c r="K186" i="11"/>
  <c r="G186" i="11"/>
  <c r="F186" i="11"/>
  <c r="F185" i="11"/>
  <c r="E185" i="11"/>
  <c r="F184" i="11"/>
  <c r="E184" i="11"/>
  <c r="F183" i="11"/>
  <c r="E183" i="11"/>
  <c r="G182" i="11"/>
  <c r="F182" i="11"/>
  <c r="K181" i="11"/>
  <c r="E181" i="11" s="1"/>
  <c r="F181" i="11"/>
  <c r="K180" i="11"/>
  <c r="F180" i="11"/>
  <c r="F179" i="11"/>
  <c r="E179" i="11"/>
  <c r="L178" i="11"/>
  <c r="L174" i="11" s="1"/>
  <c r="L171" i="11" s="1"/>
  <c r="J178" i="11"/>
  <c r="J174" i="11" s="1"/>
  <c r="J171" i="11" s="1"/>
  <c r="I178" i="11"/>
  <c r="I174" i="11" s="1"/>
  <c r="I171" i="11" s="1"/>
  <c r="H178" i="11"/>
  <c r="F177" i="11"/>
  <c r="E177" i="11"/>
  <c r="F176" i="11"/>
  <c r="E176" i="11"/>
  <c r="F175" i="11"/>
  <c r="E175" i="11"/>
  <c r="H174" i="11"/>
  <c r="F173" i="11"/>
  <c r="E173" i="11"/>
  <c r="F172" i="11"/>
  <c r="E172" i="11"/>
  <c r="F170" i="11"/>
  <c r="E170" i="11"/>
  <c r="F169" i="11"/>
  <c r="E169" i="11"/>
  <c r="L168" i="11"/>
  <c r="L161" i="11" s="1"/>
  <c r="K168" i="11"/>
  <c r="G168" i="11"/>
  <c r="K167" i="11"/>
  <c r="E167" i="11" s="1"/>
  <c r="F167" i="11"/>
  <c r="K166" i="11"/>
  <c r="E166" i="11" s="1"/>
  <c r="F166" i="11"/>
  <c r="L165" i="11"/>
  <c r="F165" i="11" s="1"/>
  <c r="K165" i="11"/>
  <c r="E165" i="11" s="1"/>
  <c r="K164" i="11"/>
  <c r="G164" i="11"/>
  <c r="E164" i="11" s="1"/>
  <c r="F164" i="11"/>
  <c r="G163" i="11"/>
  <c r="F163" i="11"/>
  <c r="E163" i="11"/>
  <c r="H162" i="11"/>
  <c r="G162" i="11"/>
  <c r="E162" i="11"/>
  <c r="J161" i="11"/>
  <c r="J157" i="11" s="1"/>
  <c r="J147" i="11" s="1"/>
  <c r="I161" i="11"/>
  <c r="F160" i="11"/>
  <c r="E160" i="11"/>
  <c r="H159" i="11"/>
  <c r="F159" i="11" s="1"/>
  <c r="E159" i="11"/>
  <c r="I158" i="11"/>
  <c r="G158" i="11"/>
  <c r="E158" i="11" s="1"/>
  <c r="F158" i="11"/>
  <c r="G156" i="11"/>
  <c r="E156" i="11" s="1"/>
  <c r="F156" i="11"/>
  <c r="I155" i="11"/>
  <c r="G155" i="11"/>
  <c r="E155" i="11" s="1"/>
  <c r="F155" i="11"/>
  <c r="I154" i="11"/>
  <c r="F154" i="11"/>
  <c r="E154" i="11"/>
  <c r="I153" i="11"/>
  <c r="F153" i="11"/>
  <c r="E153" i="11"/>
  <c r="F152" i="11"/>
  <c r="E152" i="11"/>
  <c r="F151" i="11"/>
  <c r="E151" i="11"/>
  <c r="I150" i="11"/>
  <c r="F150" i="11"/>
  <c r="E150" i="11"/>
  <c r="G149" i="11"/>
  <c r="E149" i="11" s="1"/>
  <c r="F149" i="11"/>
  <c r="I148" i="11"/>
  <c r="F148" i="11"/>
  <c r="E148" i="11"/>
  <c r="F146" i="11"/>
  <c r="E146" i="11"/>
  <c r="I145" i="11"/>
  <c r="G145" i="11"/>
  <c r="E145" i="11" s="1"/>
  <c r="F145" i="11"/>
  <c r="I144" i="11"/>
  <c r="G144" i="11"/>
  <c r="E144" i="11" s="1"/>
  <c r="F144" i="11"/>
  <c r="I143" i="11"/>
  <c r="G143" i="11"/>
  <c r="E143" i="11" s="1"/>
  <c r="F143" i="11"/>
  <c r="I142" i="11"/>
  <c r="G142" i="11"/>
  <c r="E142" i="11" s="1"/>
  <c r="F142" i="11"/>
  <c r="H141" i="11"/>
  <c r="F141" i="11"/>
  <c r="E141" i="11"/>
  <c r="F140" i="11"/>
  <c r="E140" i="11"/>
  <c r="I139" i="11"/>
  <c r="H139" i="11"/>
  <c r="F139" i="11" s="1"/>
  <c r="G139" i="11"/>
  <c r="E139" i="11"/>
  <c r="F138" i="11"/>
  <c r="E138" i="11"/>
  <c r="H137" i="11"/>
  <c r="H134" i="11" s="1"/>
  <c r="F137" i="11"/>
  <c r="E137" i="11"/>
  <c r="F136" i="11"/>
  <c r="E136" i="11"/>
  <c r="K135" i="11"/>
  <c r="E135" i="11" s="1"/>
  <c r="F135" i="11"/>
  <c r="L134" i="11"/>
  <c r="L124" i="11" s="1"/>
  <c r="L123" i="11" s="1"/>
  <c r="J134" i="11"/>
  <c r="J124" i="11" s="1"/>
  <c r="J123" i="11" s="1"/>
  <c r="I134" i="11"/>
  <c r="I124" i="11" s="1"/>
  <c r="G134" i="11"/>
  <c r="F133" i="11"/>
  <c r="E133" i="11"/>
  <c r="G132" i="11"/>
  <c r="E132" i="11" s="1"/>
  <c r="F132" i="11"/>
  <c r="G131" i="11"/>
  <c r="E131" i="11" s="1"/>
  <c r="F131" i="11"/>
  <c r="G130" i="11"/>
  <c r="E130" i="11" s="1"/>
  <c r="F130" i="11"/>
  <c r="G129" i="11"/>
  <c r="E129" i="11" s="1"/>
  <c r="F129" i="11"/>
  <c r="G128" i="11"/>
  <c r="E128" i="11" s="1"/>
  <c r="F128" i="11"/>
  <c r="G127" i="11"/>
  <c r="F127" i="11"/>
  <c r="F126" i="11"/>
  <c r="I125" i="11"/>
  <c r="G125" i="11"/>
  <c r="E125" i="11" s="1"/>
  <c r="F125" i="11"/>
  <c r="I122" i="11"/>
  <c r="G122" i="11"/>
  <c r="E122" i="11" s="1"/>
  <c r="F122" i="11"/>
  <c r="I121" i="11"/>
  <c r="F121" i="11"/>
  <c r="E121" i="11"/>
  <c r="I120" i="11"/>
  <c r="G120" i="11"/>
  <c r="E120" i="11" s="1"/>
  <c r="F120" i="11"/>
  <c r="J119" i="11"/>
  <c r="I119" i="11"/>
  <c r="F119" i="11"/>
  <c r="E119" i="11"/>
  <c r="I118" i="11"/>
  <c r="G118" i="11"/>
  <c r="E118" i="11" s="1"/>
  <c r="F118" i="11"/>
  <c r="I117" i="11"/>
  <c r="G117" i="11"/>
  <c r="E117" i="11" s="1"/>
  <c r="F117" i="11"/>
  <c r="I116" i="11"/>
  <c r="G116" i="11"/>
  <c r="E116" i="11" s="1"/>
  <c r="F116" i="11"/>
  <c r="I115" i="11"/>
  <c r="G115" i="11"/>
  <c r="E115" i="11" s="1"/>
  <c r="F115" i="11"/>
  <c r="I114" i="11"/>
  <c r="G114" i="11"/>
  <c r="E114" i="11" s="1"/>
  <c r="F114" i="11"/>
  <c r="I113" i="11"/>
  <c r="G113" i="11"/>
  <c r="E113" i="11" s="1"/>
  <c r="F113" i="11"/>
  <c r="I112" i="11"/>
  <c r="G112" i="11"/>
  <c r="E112" i="11" s="1"/>
  <c r="F112" i="11"/>
  <c r="K111" i="11"/>
  <c r="G111" i="11"/>
  <c r="E111" i="11" s="1"/>
  <c r="F111" i="11"/>
  <c r="F110" i="11"/>
  <c r="E110" i="11"/>
  <c r="G109" i="11"/>
  <c r="E109" i="11" s="1"/>
  <c r="F109" i="11"/>
  <c r="K108" i="11"/>
  <c r="G108" i="11"/>
  <c r="F108" i="11"/>
  <c r="K107" i="11"/>
  <c r="G107" i="11"/>
  <c r="F107" i="11"/>
  <c r="L106" i="11"/>
  <c r="L95" i="11" s="1"/>
  <c r="L87" i="11" s="1"/>
  <c r="K106" i="11"/>
  <c r="K95" i="11" s="1"/>
  <c r="J106" i="11"/>
  <c r="J95" i="11" s="1"/>
  <c r="I106" i="11"/>
  <c r="H106" i="11"/>
  <c r="F105" i="11"/>
  <c r="E105" i="11"/>
  <c r="F104" i="11"/>
  <c r="E104" i="11"/>
  <c r="F103" i="11"/>
  <c r="E103" i="11"/>
  <c r="G102" i="11"/>
  <c r="E102" i="11" s="1"/>
  <c r="F102" i="11"/>
  <c r="F101" i="11"/>
  <c r="E101" i="11"/>
  <c r="F100" i="11"/>
  <c r="E100" i="11"/>
  <c r="F99" i="11"/>
  <c r="E99" i="11"/>
  <c r="G98" i="11"/>
  <c r="F98" i="11"/>
  <c r="F97" i="11"/>
  <c r="E97" i="11"/>
  <c r="I96" i="11"/>
  <c r="I95" i="11" s="1"/>
  <c r="G96" i="11"/>
  <c r="E96" i="11" s="1"/>
  <c r="F96" i="11"/>
  <c r="K94" i="11"/>
  <c r="G94" i="11"/>
  <c r="F94" i="11"/>
  <c r="K93" i="11"/>
  <c r="I93" i="11"/>
  <c r="G93" i="11"/>
  <c r="E93" i="11" s="1"/>
  <c r="F93" i="11"/>
  <c r="F92" i="11"/>
  <c r="K92" i="11"/>
  <c r="I92" i="11"/>
  <c r="G92" i="11"/>
  <c r="G91" i="11"/>
  <c r="E91" i="11" s="1"/>
  <c r="F91" i="11"/>
  <c r="F90" i="11"/>
  <c r="E90" i="11"/>
  <c r="G89" i="11"/>
  <c r="E89" i="11" s="1"/>
  <c r="F89" i="11"/>
  <c r="J88" i="11"/>
  <c r="I88" i="11"/>
  <c r="G88" i="11"/>
  <c r="F88" i="11"/>
  <c r="K86" i="11"/>
  <c r="K84" i="11" s="1"/>
  <c r="K67" i="11" s="1"/>
  <c r="K64" i="11" s="1"/>
  <c r="G86" i="11"/>
  <c r="F86" i="11"/>
  <c r="G85" i="11"/>
  <c r="E85" i="11" s="1"/>
  <c r="F85" i="11"/>
  <c r="L84" i="11"/>
  <c r="L67" i="11" s="1"/>
  <c r="L64" i="11" s="1"/>
  <c r="J84" i="11"/>
  <c r="J67" i="11" s="1"/>
  <c r="J64" i="11" s="1"/>
  <c r="I84" i="11"/>
  <c r="I67" i="11" s="1"/>
  <c r="I64" i="11" s="1"/>
  <c r="H84" i="11"/>
  <c r="H67" i="11" s="1"/>
  <c r="G83" i="11"/>
  <c r="F83" i="11"/>
  <c r="E83" i="11"/>
  <c r="F82" i="11"/>
  <c r="E82" i="11"/>
  <c r="G81" i="11"/>
  <c r="E81" i="11" s="1"/>
  <c r="F81" i="11"/>
  <c r="G80" i="11"/>
  <c r="E80" i="11" s="1"/>
  <c r="F80" i="11"/>
  <c r="F79" i="11"/>
  <c r="E79" i="11"/>
  <c r="G78" i="11"/>
  <c r="E78" i="11" s="1"/>
  <c r="F78" i="11"/>
  <c r="F77" i="11"/>
  <c r="E77" i="11"/>
  <c r="F76" i="11"/>
  <c r="E76" i="11"/>
  <c r="F75" i="11"/>
  <c r="E75" i="11"/>
  <c r="F74" i="11"/>
  <c r="E74" i="11"/>
  <c r="F73" i="11"/>
  <c r="E73" i="11"/>
  <c r="G72" i="11"/>
  <c r="E72" i="11" s="1"/>
  <c r="F72" i="11"/>
  <c r="F71" i="11"/>
  <c r="E71" i="11"/>
  <c r="F70" i="11"/>
  <c r="E70" i="11"/>
  <c r="G69" i="11"/>
  <c r="E69" i="11" s="1"/>
  <c r="F69" i="11"/>
  <c r="F68" i="11"/>
  <c r="E68" i="11"/>
  <c r="F66" i="11"/>
  <c r="E66" i="11"/>
  <c r="F65" i="11"/>
  <c r="E65" i="11"/>
  <c r="G63" i="11"/>
  <c r="E63" i="11" s="1"/>
  <c r="F63" i="11"/>
  <c r="F62" i="11"/>
  <c r="E62" i="11"/>
  <c r="F61" i="11"/>
  <c r="E61" i="11"/>
  <c r="F60" i="11"/>
  <c r="E60" i="11"/>
  <c r="F59" i="11"/>
  <c r="E59" i="11"/>
  <c r="F58" i="11"/>
  <c r="E58" i="11"/>
  <c r="F57" i="11"/>
  <c r="E57" i="11"/>
  <c r="K56" i="11"/>
  <c r="G56" i="11"/>
  <c r="F56" i="11"/>
  <c r="K55" i="11"/>
  <c r="G55" i="11"/>
  <c r="E55" i="11" s="1"/>
  <c r="F55" i="11"/>
  <c r="K54" i="11"/>
  <c r="H54" i="11"/>
  <c r="G54" i="11"/>
  <c r="L53" i="11"/>
  <c r="L48" i="11" s="1"/>
  <c r="L12" i="11" s="1"/>
  <c r="J53" i="11"/>
  <c r="J48" i="11" s="1"/>
  <c r="J12" i="11" s="1"/>
  <c r="I53" i="11"/>
  <c r="F52" i="11"/>
  <c r="E52" i="11"/>
  <c r="F51" i="11"/>
  <c r="E51" i="11"/>
  <c r="G50" i="11"/>
  <c r="E50" i="11" s="1"/>
  <c r="F50" i="11"/>
  <c r="I49" i="11"/>
  <c r="G49" i="11"/>
  <c r="E49" i="11" s="1"/>
  <c r="F49" i="11"/>
  <c r="I47" i="11"/>
  <c r="G47" i="11"/>
  <c r="E47" i="11" s="1"/>
  <c r="F47" i="11"/>
  <c r="I46" i="11"/>
  <c r="G46" i="11"/>
  <c r="E46" i="11" s="1"/>
  <c r="F46" i="11"/>
  <c r="I45" i="11"/>
  <c r="G45" i="11"/>
  <c r="E45" i="11" s="1"/>
  <c r="F45" i="11"/>
  <c r="F44" i="11"/>
  <c r="E44" i="11"/>
  <c r="K43" i="11"/>
  <c r="I43" i="11"/>
  <c r="G43" i="11"/>
  <c r="F43" i="11"/>
  <c r="I42" i="11"/>
  <c r="G42" i="11"/>
  <c r="E42" i="11" s="1"/>
  <c r="F42" i="11"/>
  <c r="I41" i="11"/>
  <c r="G41" i="11"/>
  <c r="E41" i="11" s="1"/>
  <c r="F41" i="11"/>
  <c r="I40" i="11"/>
  <c r="I39" i="11" s="1"/>
  <c r="G40" i="11"/>
  <c r="G39" i="11" s="1"/>
  <c r="E39" i="11" s="1"/>
  <c r="F40" i="11"/>
  <c r="K39" i="11"/>
  <c r="F39" i="11"/>
  <c r="I38" i="11"/>
  <c r="I37" i="11" s="1"/>
  <c r="G38" i="11"/>
  <c r="E38" i="11" s="1"/>
  <c r="F38" i="11"/>
  <c r="G37" i="11"/>
  <c r="E37" i="11" s="1"/>
  <c r="F37" i="11"/>
  <c r="G36" i="11"/>
  <c r="F36" i="11"/>
  <c r="E36" i="11"/>
  <c r="I35" i="11"/>
  <c r="F35" i="11"/>
  <c r="E35" i="11"/>
  <c r="I34" i="11"/>
  <c r="F34" i="11"/>
  <c r="E34" i="11"/>
  <c r="I33" i="11"/>
  <c r="F33" i="11"/>
  <c r="E33" i="11"/>
  <c r="I32" i="11"/>
  <c r="G32" i="11"/>
  <c r="E32" i="11" s="1"/>
  <c r="F32" i="11"/>
  <c r="G31" i="11"/>
  <c r="E31" i="11" s="1"/>
  <c r="F31" i="11"/>
  <c r="I30" i="11"/>
  <c r="F30" i="11"/>
  <c r="E30" i="11"/>
  <c r="F29" i="11"/>
  <c r="E29" i="11"/>
  <c r="I28" i="11"/>
  <c r="G28" i="11"/>
  <c r="F28" i="11"/>
  <c r="E28" i="11"/>
  <c r="I27" i="11"/>
  <c r="G27" i="11"/>
  <c r="F27" i="11"/>
  <c r="E27" i="11"/>
  <c r="I26" i="11"/>
  <c r="G26" i="11"/>
  <c r="F26" i="11"/>
  <c r="E26" i="11"/>
  <c r="I25" i="11"/>
  <c r="G25" i="11"/>
  <c r="F25" i="11"/>
  <c r="E25" i="11"/>
  <c r="I24" i="11"/>
  <c r="G24" i="11"/>
  <c r="F24" i="11"/>
  <c r="E24" i="11"/>
  <c r="I23" i="11"/>
  <c r="G23" i="11"/>
  <c r="F23" i="11"/>
  <c r="E23" i="11"/>
  <c r="I22" i="11"/>
  <c r="G22" i="11"/>
  <c r="F22" i="11"/>
  <c r="E22" i="11"/>
  <c r="I21" i="11"/>
  <c r="G21" i="11"/>
  <c r="F21" i="11"/>
  <c r="E21" i="11"/>
  <c r="G20" i="11"/>
  <c r="E20" i="11" s="1"/>
  <c r="F20" i="11"/>
  <c r="F19" i="11"/>
  <c r="E19" i="11"/>
  <c r="I18" i="11"/>
  <c r="G18" i="11"/>
  <c r="E18" i="11" s="1"/>
  <c r="F18" i="11"/>
  <c r="I17" i="11"/>
  <c r="G17" i="11"/>
  <c r="F17" i="11"/>
  <c r="I16" i="11"/>
  <c r="F16" i="11"/>
  <c r="E16" i="11"/>
  <c r="I15" i="11"/>
  <c r="G15" i="11"/>
  <c r="E15" i="11" s="1"/>
  <c r="F15" i="11"/>
  <c r="I14" i="11"/>
  <c r="F14" i="11"/>
  <c r="E14" i="11"/>
  <c r="G13" i="11"/>
  <c r="E13" i="11" s="1"/>
  <c r="F13" i="11"/>
  <c r="E16" i="18" l="1"/>
  <c r="M12" i="18"/>
  <c r="F79" i="18"/>
  <c r="N86" i="18"/>
  <c r="L13" i="17"/>
  <c r="L12" i="17" s="1"/>
  <c r="L66" i="17" s="1"/>
  <c r="K13" i="17"/>
  <c r="K12" i="17" s="1"/>
  <c r="K66" i="17" s="1"/>
  <c r="O13" i="17"/>
  <c r="O12" i="17" s="1"/>
  <c r="O66" i="17" s="1"/>
  <c r="G27" i="17"/>
  <c r="E27" i="17" s="1"/>
  <c r="J58" i="17"/>
  <c r="J13" i="17" s="1"/>
  <c r="J12" i="17" s="1"/>
  <c r="J66" i="17" s="1"/>
  <c r="J22" i="16"/>
  <c r="J13" i="16"/>
  <c r="I32" i="16"/>
  <c r="G45" i="16"/>
  <c r="I49" i="16"/>
  <c r="L13" i="16"/>
  <c r="H49" i="16"/>
  <c r="F49" i="16" s="1"/>
  <c r="J49" i="16"/>
  <c r="J103" i="16" s="1"/>
  <c r="E91" i="16"/>
  <c r="E34" i="14"/>
  <c r="I45" i="14"/>
  <c r="K12" i="14"/>
  <c r="E38" i="14"/>
  <c r="K60" i="13"/>
  <c r="K64" i="13" s="1"/>
  <c r="Q60" i="13"/>
  <c r="F178" i="11"/>
  <c r="J87" i="11"/>
  <c r="F134" i="11"/>
  <c r="E248" i="11"/>
  <c r="E274" i="11"/>
  <c r="E40" i="11"/>
  <c r="G106" i="11"/>
  <c r="E106" i="11" s="1"/>
  <c r="E54" i="11"/>
  <c r="G53" i="11"/>
  <c r="F84" i="11"/>
  <c r="I123" i="11"/>
  <c r="F31" i="15"/>
  <c r="H30" i="15"/>
  <c r="F18" i="16"/>
  <c r="H13" i="16"/>
  <c r="E33" i="19"/>
  <c r="F54" i="11"/>
  <c r="H53" i="11"/>
  <c r="F53" i="11" s="1"/>
  <c r="K53" i="11"/>
  <c r="K48" i="11" s="1"/>
  <c r="K12" i="11" s="1"/>
  <c r="H64" i="11"/>
  <c r="F64" i="11" s="1"/>
  <c r="F67" i="11"/>
  <c r="F33" i="12"/>
  <c r="I12" i="15"/>
  <c r="E25" i="15"/>
  <c r="G24" i="15"/>
  <c r="G12" i="15" s="1"/>
  <c r="E13" i="20"/>
  <c r="K12" i="20"/>
  <c r="E12" i="20" s="1"/>
  <c r="E98" i="11"/>
  <c r="H95" i="11"/>
  <c r="F106" i="11"/>
  <c r="F174" i="11"/>
  <c r="H171" i="11"/>
  <c r="F171" i="11" s="1"/>
  <c r="E182" i="11"/>
  <c r="G178" i="11"/>
  <c r="G174" i="11" s="1"/>
  <c r="G171" i="11" s="1"/>
  <c r="E264" i="11"/>
  <c r="E266" i="11"/>
  <c r="G13" i="12"/>
  <c r="E13" i="12" s="1"/>
  <c r="L60" i="12"/>
  <c r="L40" i="13"/>
  <c r="L47" i="13"/>
  <c r="F13" i="15"/>
  <c r="L12" i="15"/>
  <c r="J82" i="15"/>
  <c r="F28" i="15"/>
  <c r="H24" i="15"/>
  <c r="F24" i="15" s="1"/>
  <c r="I35" i="15"/>
  <c r="E39" i="15"/>
  <c r="G38" i="15"/>
  <c r="G35" i="15" s="1"/>
  <c r="E47" i="15"/>
  <c r="G46" i="15"/>
  <c r="E27" i="16"/>
  <c r="G23" i="16"/>
  <c r="E64" i="16"/>
  <c r="E62" i="16" s="1"/>
  <c r="G62" i="16"/>
  <c r="G49" i="16" s="1"/>
  <c r="E49" i="16" s="1"/>
  <c r="F13" i="19"/>
  <c r="H12" i="19"/>
  <c r="F12" i="19" s="1"/>
  <c r="L54" i="19"/>
  <c r="F46" i="19"/>
  <c r="H45" i="19"/>
  <c r="F45" i="19" s="1"/>
  <c r="E50" i="19"/>
  <c r="G46" i="19"/>
  <c r="E88" i="11"/>
  <c r="F162" i="11"/>
  <c r="H161" i="11"/>
  <c r="E186" i="11"/>
  <c r="F267" i="11"/>
  <c r="H266" i="11"/>
  <c r="F266" i="11" s="1"/>
  <c r="J270" i="11"/>
  <c r="J306" i="11" s="1"/>
  <c r="H60" i="12"/>
  <c r="N60" i="13"/>
  <c r="E43" i="14"/>
  <c r="E80" i="15"/>
  <c r="G79" i="15"/>
  <c r="E79" i="15" s="1"/>
  <c r="I22" i="16"/>
  <c r="I103" i="16" s="1"/>
  <c r="I107" i="16" s="1"/>
  <c r="P93" i="18"/>
  <c r="F93" i="18" s="1"/>
  <c r="F94" i="18"/>
  <c r="E96" i="18"/>
  <c r="K94" i="18"/>
  <c r="K93" i="18" s="1"/>
  <c r="I12" i="19"/>
  <c r="I54" i="19" s="1"/>
  <c r="F21" i="19"/>
  <c r="F80" i="15"/>
  <c r="H79" i="15"/>
  <c r="F79" i="15" s="1"/>
  <c r="M103" i="16"/>
  <c r="F25" i="17"/>
  <c r="P13" i="17"/>
  <c r="P12" i="17" s="1"/>
  <c r="P66" i="17" s="1"/>
  <c r="G58" i="17"/>
  <c r="E58" i="17" s="1"/>
  <c r="L12" i="18"/>
  <c r="I55" i="18"/>
  <c r="E89" i="18"/>
  <c r="F19" i="20"/>
  <c r="E92" i="11"/>
  <c r="K87" i="11"/>
  <c r="E108" i="11"/>
  <c r="L195" i="11"/>
  <c r="L194" i="11" s="1"/>
  <c r="L193" i="11" s="1"/>
  <c r="F193" i="11" s="1"/>
  <c r="J60" i="12"/>
  <c r="I60" i="13"/>
  <c r="I64" i="13" s="1"/>
  <c r="K57" i="15"/>
  <c r="K54" i="15" s="1"/>
  <c r="H66" i="15"/>
  <c r="F66" i="15" s="1"/>
  <c r="N103" i="16"/>
  <c r="L23" i="16"/>
  <c r="L22" i="16" s="1"/>
  <c r="L103" i="16" s="1"/>
  <c r="G32" i="16"/>
  <c r="E48" i="16"/>
  <c r="E47" i="16" s="1"/>
  <c r="G47" i="16"/>
  <c r="F72" i="16"/>
  <c r="H67" i="16"/>
  <c r="F67" i="16" s="1"/>
  <c r="K12" i="18"/>
  <c r="F51" i="18"/>
  <c r="H46" i="18"/>
  <c r="F46" i="18" s="1"/>
  <c r="K80" i="18"/>
  <c r="K79" i="18" s="1"/>
  <c r="K78" i="18" s="1"/>
  <c r="E78" i="18" s="1"/>
  <c r="G93" i="18"/>
  <c r="E124" i="18"/>
  <c r="G123" i="18"/>
  <c r="E123" i="18" s="1"/>
  <c r="E26" i="19"/>
  <c r="G24" i="19"/>
  <c r="E35" i="19"/>
  <c r="K33" i="19"/>
  <c r="K30" i="19" s="1"/>
  <c r="K54" i="19" s="1"/>
  <c r="K16" i="20"/>
  <c r="F43" i="15"/>
  <c r="H42" i="15"/>
  <c r="F42" i="15" s="1"/>
  <c r="F75" i="15"/>
  <c r="H74" i="15"/>
  <c r="F74" i="15" s="1"/>
  <c r="E83" i="16"/>
  <c r="E82" i="16" s="1"/>
  <c r="G82" i="16"/>
  <c r="G67" i="16" s="1"/>
  <c r="E67" i="16" s="1"/>
  <c r="I48" i="11"/>
  <c r="I12" i="11" s="1"/>
  <c r="E56" i="11"/>
  <c r="E107" i="11"/>
  <c r="H157" i="11"/>
  <c r="H147" i="11" s="1"/>
  <c r="I157" i="11"/>
  <c r="I147" i="11" s="1"/>
  <c r="E168" i="11"/>
  <c r="K60" i="12"/>
  <c r="G12" i="13"/>
  <c r="E12" i="13" s="1"/>
  <c r="G40" i="13"/>
  <c r="E40" i="13" s="1"/>
  <c r="K45" i="14"/>
  <c r="L29" i="15"/>
  <c r="I29" i="15"/>
  <c r="H38" i="15"/>
  <c r="F58" i="15"/>
  <c r="H57" i="15"/>
  <c r="F57" i="15" s="1"/>
  <c r="E18" i="16"/>
  <c r="G13" i="16"/>
  <c r="F23" i="16"/>
  <c r="I67" i="16"/>
  <c r="F58" i="17"/>
  <c r="H13" i="17"/>
  <c r="H12" i="17" s="1"/>
  <c r="E20" i="18"/>
  <c r="G19" i="18"/>
  <c r="E19" i="18" s="1"/>
  <c r="I86" i="18"/>
  <c r="F17" i="19"/>
  <c r="E18" i="19"/>
  <c r="G17" i="19"/>
  <c r="E19" i="19"/>
  <c r="E28" i="19"/>
  <c r="G30" i="19"/>
  <c r="E30" i="19" s="1"/>
  <c r="F31" i="19"/>
  <c r="H30" i="19"/>
  <c r="F30" i="19" s="1"/>
  <c r="K39" i="19"/>
  <c r="K38" i="19" s="1"/>
  <c r="E51" i="19"/>
  <c r="I24" i="20"/>
  <c r="L54" i="15"/>
  <c r="E60" i="15"/>
  <c r="K103" i="16"/>
  <c r="K107" i="16" s="1"/>
  <c r="O103" i="16"/>
  <c r="N13" i="17"/>
  <c r="N12" i="17" s="1"/>
  <c r="N66" i="17" s="1"/>
  <c r="E45" i="17"/>
  <c r="N12" i="18"/>
  <c r="N131" i="18" s="1"/>
  <c r="F47" i="18"/>
  <c r="P46" i="18"/>
  <c r="E84" i="18"/>
  <c r="J54" i="19"/>
  <c r="F18" i="19"/>
  <c r="E48" i="19"/>
  <c r="H24" i="20"/>
  <c r="F16" i="20"/>
  <c r="E58" i="15"/>
  <c r="G57" i="15"/>
  <c r="E57" i="15" s="1"/>
  <c r="E76" i="15"/>
  <c r="P103" i="16"/>
  <c r="E23" i="16"/>
  <c r="I58" i="17"/>
  <c r="I13" i="17" s="1"/>
  <c r="I12" i="17" s="1"/>
  <c r="I66" i="17" s="1"/>
  <c r="I32" i="18"/>
  <c r="I12" i="18" s="1"/>
  <c r="E48" i="18"/>
  <c r="J55" i="18"/>
  <c r="M86" i="18"/>
  <c r="E41" i="19"/>
  <c r="E16" i="20"/>
  <c r="K24" i="20"/>
  <c r="H38" i="19"/>
  <c r="F38" i="19" s="1"/>
  <c r="F13" i="12"/>
  <c r="L24" i="20"/>
  <c r="F12" i="20"/>
  <c r="G24" i="20"/>
  <c r="G39" i="19"/>
  <c r="P12" i="18"/>
  <c r="F15" i="18"/>
  <c r="G79" i="18"/>
  <c r="L86" i="18"/>
  <c r="L131" i="18" s="1"/>
  <c r="P86" i="18"/>
  <c r="G87" i="18"/>
  <c r="E88" i="18"/>
  <c r="K108" i="18"/>
  <c r="K107" i="18" s="1"/>
  <c r="E122" i="18"/>
  <c r="G126" i="18"/>
  <c r="E126" i="18" s="1"/>
  <c r="E129" i="18"/>
  <c r="O86" i="18"/>
  <c r="O131" i="18" s="1"/>
  <c r="J12" i="18"/>
  <c r="J131" i="18" s="1"/>
  <c r="E34" i="18"/>
  <c r="G32" i="18"/>
  <c r="E32" i="18" s="1"/>
  <c r="M55" i="18"/>
  <c r="M131" i="18" s="1"/>
  <c r="F59" i="18"/>
  <c r="H55" i="18"/>
  <c r="F55" i="18" s="1"/>
  <c r="P82" i="18"/>
  <c r="F82" i="18" s="1"/>
  <c r="G108" i="18"/>
  <c r="E113" i="18"/>
  <c r="H123" i="18"/>
  <c r="F123" i="18" s="1"/>
  <c r="H126" i="18"/>
  <c r="F126" i="18" s="1"/>
  <c r="G65" i="18"/>
  <c r="H108" i="18"/>
  <c r="H12" i="18"/>
  <c r="G15" i="18"/>
  <c r="G47" i="18"/>
  <c r="G46" i="18" s="1"/>
  <c r="G83" i="18"/>
  <c r="G23" i="17"/>
  <c r="E23" i="17" s="1"/>
  <c r="G35" i="17"/>
  <c r="E35" i="17" s="1"/>
  <c r="E15" i="17"/>
  <c r="G25" i="17"/>
  <c r="E25" i="17" s="1"/>
  <c r="E62" i="17"/>
  <c r="E33" i="16"/>
  <c r="E32" i="16" s="1"/>
  <c r="G65" i="15"/>
  <c r="E65" i="15" s="1"/>
  <c r="E66" i="15"/>
  <c r="K35" i="15"/>
  <c r="E35" i="15"/>
  <c r="E43" i="15"/>
  <c r="K42" i="15"/>
  <c r="E42" i="15" s="1"/>
  <c r="G54" i="15"/>
  <c r="E54" i="15" s="1"/>
  <c r="K49" i="15"/>
  <c r="K46" i="15" s="1"/>
  <c r="E46" i="15" s="1"/>
  <c r="G74" i="15"/>
  <c r="E74" i="15" s="1"/>
  <c r="K24" i="15"/>
  <c r="G32" i="15"/>
  <c r="H46" i="15"/>
  <c r="F46" i="15" s="1"/>
  <c r="H54" i="15"/>
  <c r="F54" i="15" s="1"/>
  <c r="E59" i="15"/>
  <c r="E64" i="15"/>
  <c r="E69" i="15"/>
  <c r="F45" i="14"/>
  <c r="G12" i="14"/>
  <c r="G40" i="14"/>
  <c r="E40" i="14" s="1"/>
  <c r="L12" i="13"/>
  <c r="M47" i="13"/>
  <c r="H12" i="13"/>
  <c r="H40" i="13"/>
  <c r="F40" i="13" s="1"/>
  <c r="E49" i="13"/>
  <c r="M12" i="13"/>
  <c r="M40" i="13"/>
  <c r="F60" i="12"/>
  <c r="G54" i="12"/>
  <c r="E54" i="12" s="1"/>
  <c r="G35" i="12"/>
  <c r="E35" i="12" s="1"/>
  <c r="E40" i="12"/>
  <c r="E43" i="11"/>
  <c r="L270" i="11"/>
  <c r="F270" i="11" s="1"/>
  <c r="F298" i="11"/>
  <c r="E127" i="11"/>
  <c r="G126" i="11"/>
  <c r="K134" i="11"/>
  <c r="K124" i="11" s="1"/>
  <c r="K123" i="11" s="1"/>
  <c r="L157" i="11"/>
  <c r="F161" i="11"/>
  <c r="F194" i="11"/>
  <c r="G243" i="11"/>
  <c r="E247" i="11"/>
  <c r="F264" i="11"/>
  <c r="L263" i="11"/>
  <c r="L262" i="11" s="1"/>
  <c r="F262" i="11" s="1"/>
  <c r="E204" i="11"/>
  <c r="K195" i="11"/>
  <c r="K194" i="11" s="1"/>
  <c r="K193" i="11" s="1"/>
  <c r="E17" i="11"/>
  <c r="H48" i="11"/>
  <c r="G84" i="11"/>
  <c r="E180" i="11"/>
  <c r="K178" i="11"/>
  <c r="F243" i="11"/>
  <c r="H241" i="11"/>
  <c r="G263" i="11"/>
  <c r="I270" i="11"/>
  <c r="E86" i="11"/>
  <c r="I87" i="11"/>
  <c r="E94" i="11"/>
  <c r="E220" i="11"/>
  <c r="G195" i="11"/>
  <c r="K241" i="11"/>
  <c r="K240" i="11" s="1"/>
  <c r="I240" i="11"/>
  <c r="H124" i="11"/>
  <c r="G161" i="11"/>
  <c r="K161" i="11"/>
  <c r="K157" i="11" s="1"/>
  <c r="K147" i="11" s="1"/>
  <c r="F168" i="11"/>
  <c r="G273" i="11"/>
  <c r="F24" i="20" l="1"/>
  <c r="E79" i="18"/>
  <c r="E22" i="16"/>
  <c r="L60" i="13"/>
  <c r="G60" i="13"/>
  <c r="F263" i="11"/>
  <c r="G95" i="11"/>
  <c r="E53" i="11"/>
  <c r="I131" i="18"/>
  <c r="I135" i="18" s="1"/>
  <c r="H12" i="15"/>
  <c r="F12" i="15" s="1"/>
  <c r="E80" i="18"/>
  <c r="E17" i="19"/>
  <c r="G12" i="19"/>
  <c r="E12" i="19" s="1"/>
  <c r="E24" i="19"/>
  <c r="G21" i="19"/>
  <c r="E21" i="19" s="1"/>
  <c r="G22" i="16"/>
  <c r="H87" i="11"/>
  <c r="F87" i="11" s="1"/>
  <c r="F95" i="11"/>
  <c r="F30" i="15"/>
  <c r="H29" i="15"/>
  <c r="F29" i="15" s="1"/>
  <c r="I306" i="11"/>
  <c r="M60" i="13"/>
  <c r="H65" i="15"/>
  <c r="F65" i="15" s="1"/>
  <c r="E38" i="15"/>
  <c r="K86" i="18"/>
  <c r="K131" i="18" s="1"/>
  <c r="K135" i="18" s="1"/>
  <c r="E93" i="18"/>
  <c r="I82" i="15"/>
  <c r="F195" i="11"/>
  <c r="G48" i="11"/>
  <c r="P131" i="18"/>
  <c r="F13" i="17"/>
  <c r="G103" i="16"/>
  <c r="E13" i="16"/>
  <c r="F38" i="15"/>
  <c r="H35" i="15"/>
  <c r="F35" i="15" s="1"/>
  <c r="E94" i="18"/>
  <c r="E46" i="19"/>
  <c r="G45" i="19"/>
  <c r="E45" i="19" s="1"/>
  <c r="L82" i="15"/>
  <c r="H103" i="16"/>
  <c r="F103" i="16" s="1"/>
  <c r="F13" i="16"/>
  <c r="H54" i="19"/>
  <c r="F54" i="19" s="1"/>
  <c r="E24" i="20"/>
  <c r="G38" i="19"/>
  <c r="E39" i="19"/>
  <c r="H107" i="18"/>
  <c r="F108" i="18"/>
  <c r="E108" i="18"/>
  <c r="G107" i="18"/>
  <c r="E107" i="18" s="1"/>
  <c r="E87" i="18"/>
  <c r="G12" i="18"/>
  <c r="E15" i="18"/>
  <c r="E83" i="18"/>
  <c r="G82" i="18"/>
  <c r="E82" i="18" s="1"/>
  <c r="E46" i="18"/>
  <c r="E47" i="18"/>
  <c r="G55" i="18"/>
  <c r="E55" i="18" s="1"/>
  <c r="E65" i="18"/>
  <c r="F12" i="18"/>
  <c r="H66" i="17"/>
  <c r="F66" i="17" s="1"/>
  <c r="F12" i="17"/>
  <c r="G13" i="17"/>
  <c r="G29" i="15"/>
  <c r="E32" i="15"/>
  <c r="E49" i="15"/>
  <c r="K12" i="15"/>
  <c r="E24" i="15"/>
  <c r="E12" i="14"/>
  <c r="G45" i="14"/>
  <c r="E45" i="14" s="1"/>
  <c r="E60" i="13"/>
  <c r="G64" i="13"/>
  <c r="E64" i="13" s="1"/>
  <c r="F12" i="13"/>
  <c r="H60" i="13"/>
  <c r="F60" i="13" s="1"/>
  <c r="G60" i="12"/>
  <c r="E60" i="12" s="1"/>
  <c r="E195" i="11"/>
  <c r="G194" i="11"/>
  <c r="E178" i="11"/>
  <c r="K174" i="11"/>
  <c r="F241" i="11"/>
  <c r="H240" i="11"/>
  <c r="F240" i="11" s="1"/>
  <c r="E84" i="11"/>
  <c r="G67" i="11"/>
  <c r="E243" i="11"/>
  <c r="G241" i="11"/>
  <c r="L147" i="11"/>
  <c r="F157" i="11"/>
  <c r="H123" i="11"/>
  <c r="F123" i="11" s="1"/>
  <c r="F124" i="11"/>
  <c r="E263" i="11"/>
  <c r="G262" i="11"/>
  <c r="E262" i="11" s="1"/>
  <c r="G157" i="11"/>
  <c r="E161" i="11"/>
  <c r="H12" i="11"/>
  <c r="F48" i="11"/>
  <c r="E126" i="11"/>
  <c r="G124" i="11"/>
  <c r="E273" i="11"/>
  <c r="G270" i="11"/>
  <c r="E270" i="11" s="1"/>
  <c r="E134" i="11"/>
  <c r="E95" i="11" l="1"/>
  <c r="G87" i="11"/>
  <c r="E87" i="11" s="1"/>
  <c r="E103" i="16"/>
  <c r="G107" i="16"/>
  <c r="E107" i="16" s="1"/>
  <c r="H82" i="15"/>
  <c r="F82" i="15" s="1"/>
  <c r="E48" i="11"/>
  <c r="G12" i="11"/>
  <c r="E12" i="11" s="1"/>
  <c r="E38" i="19"/>
  <c r="G54" i="19"/>
  <c r="E54" i="19" s="1"/>
  <c r="G86" i="18"/>
  <c r="E86" i="18" s="1"/>
  <c r="E12" i="18"/>
  <c r="H86" i="18"/>
  <c r="F107" i="18"/>
  <c r="G12" i="17"/>
  <c r="E13" i="17"/>
  <c r="K82" i="15"/>
  <c r="E12" i="15"/>
  <c r="E29" i="15"/>
  <c r="G82" i="15"/>
  <c r="E124" i="11"/>
  <c r="G123" i="11"/>
  <c r="E123" i="11" s="1"/>
  <c r="E67" i="11"/>
  <c r="G64" i="11"/>
  <c r="K171" i="11"/>
  <c r="E174" i="11"/>
  <c r="E157" i="11"/>
  <c r="G147" i="11"/>
  <c r="E147" i="11" s="1"/>
  <c r="L306" i="11"/>
  <c r="F147" i="11"/>
  <c r="H306" i="11"/>
  <c r="F12" i="11"/>
  <c r="E241" i="11"/>
  <c r="G240" i="11"/>
  <c r="E240" i="11" s="1"/>
  <c r="E194" i="11"/>
  <c r="G193" i="11"/>
  <c r="E193" i="11" s="1"/>
  <c r="E82" i="15" l="1"/>
  <c r="G131" i="18"/>
  <c r="E131" i="18" s="1"/>
  <c r="F86" i="18"/>
  <c r="H131" i="18"/>
  <c r="F131" i="18" s="1"/>
  <c r="G66" i="17"/>
  <c r="E66" i="17" s="1"/>
  <c r="E12" i="17"/>
  <c r="E64" i="11"/>
  <c r="G306" i="11"/>
  <c r="F306" i="11"/>
  <c r="E171" i="11"/>
  <c r="K306" i="11"/>
  <c r="G135" i="18" l="1"/>
  <c r="E135" i="18" s="1"/>
  <c r="E306" i="11"/>
</calcChain>
</file>

<file path=xl/sharedStrings.xml><?xml version="1.0" encoding="utf-8"?>
<sst xmlns="http://schemas.openxmlformats.org/spreadsheetml/2006/main" count="2001" uniqueCount="803">
  <si>
    <t>KĖDAINIŲ RAJONO SAVIVALDYBĖS 2020 METŲ BIUDŽETO ASIGNAVIMAI  SAVARANKIŠKOMS FUNKCIJOMS ATLIKTI</t>
  </si>
  <si>
    <t>(tūkst. Eur)</t>
  </si>
  <si>
    <t>Eil.   Nr.</t>
  </si>
  <si>
    <t>Programos kodas</t>
  </si>
  <si>
    <t>Asignavimų valdytojas</t>
  </si>
  <si>
    <t>Funkcijos kodas</t>
  </si>
  <si>
    <t>Iš viso</t>
  </si>
  <si>
    <t>Iš jų:</t>
  </si>
  <si>
    <t>išlaidoms</t>
  </si>
  <si>
    <t>turtui įsigyti</t>
  </si>
  <si>
    <t>Planas</t>
  </si>
  <si>
    <t>Įvykdyta</t>
  </si>
  <si>
    <t>iš viso</t>
  </si>
  <si>
    <t>iš jų darbo užmokesčiui</t>
  </si>
  <si>
    <t>2</t>
  </si>
  <si>
    <t>01</t>
  </si>
  <si>
    <t>ŠVIETIMAS IR UGDYMAS</t>
  </si>
  <si>
    <t>Kėdainių lopšelis-darželis „Aviliukas“</t>
  </si>
  <si>
    <t>09.01.01.01
09.05.01.01</t>
  </si>
  <si>
    <t>Kėdainių lopšelis-darželis „Pasaka“</t>
  </si>
  <si>
    <t>09.01.01.01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</si>
  <si>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</si>
  <si>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</si>
  <si>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</si>
  <si>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</si>
  <si>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</si>
  <si>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</si>
  <si>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09.01.02.01</t>
  </si>
  <si>
    <t>Kėdainių „Atžalyno“ gimnazija</t>
  </si>
  <si>
    <t>09.02.02.01</t>
  </si>
  <si>
    <t>Kėdainių šviesioji gimnazija</t>
  </si>
  <si>
    <t>09.02.02.01
09.05.01.01</t>
  </si>
  <si>
    <t>Kėdainių r. Akademijos gimnazija</t>
  </si>
  <si>
    <t>Kėdainių r. Josvainių gimnazija</t>
  </si>
  <si>
    <t>Kėdainių r. Krakių Mikalojaus Katkaus gimnazija</t>
  </si>
  <si>
    <t>Kėdainių r. Šėtos  gimnazija</t>
  </si>
  <si>
    <t>Lietuvos sporto universiteto Kėdainių „Aušros“ progimnazija</t>
  </si>
  <si>
    <t>09.02.01.01</t>
  </si>
  <si>
    <t>Kėdainių „Ryto“ progimnazija</t>
  </si>
  <si>
    <t>Kėdainių Juozo Paukštelio progimnazija</t>
  </si>
  <si>
    <t>Kėdainių r. Dotnuvos pagrindinė mokykla</t>
  </si>
  <si>
    <t>Kėdainių r. Labūnavos pagrindinė mokykla</t>
  </si>
  <si>
    <t>Kėdainių r. Miegėnų pagrindinė mokykla</t>
  </si>
  <si>
    <t>Kėdainių r. Surviliškio Vinco Svirskio pagrindinė mokykla</t>
  </si>
  <si>
    <t>Kėdainių r. Truskavos pagrindinė mokykla</t>
  </si>
  <si>
    <t>Kėdainių suaugusiųjų ir jaunimo mokymo centras</t>
  </si>
  <si>
    <t>09.02.01.01
09.02.02.01 
09.05.01.01</t>
  </si>
  <si>
    <t>Kėdainių specialioji mokykla</t>
  </si>
  <si>
    <t>Kėdainių dailės mokykla</t>
  </si>
  <si>
    <t>09.05.01.01</t>
  </si>
  <si>
    <t>iš jų: valstybės biudžeto lėšos, skirtos mokytojams, dirbantiems pagal neformaliojo vaikų švietimo (išskyrus ikimokyklinio ir priešmokyklinio ugdymo) programas</t>
  </si>
  <si>
    <t>Kėdainių kalbų mokykla</t>
  </si>
  <si>
    <t>Kėdainių muzikos  mokykla</t>
  </si>
  <si>
    <t>Kėdainių sporto centras</t>
  </si>
  <si>
    <t xml:space="preserve">Kėdainių švietimo pagalbos tarnyba </t>
  </si>
  <si>
    <t>09.05.01.01  09.05.01.02 09.05.01.03</t>
  </si>
  <si>
    <t>Josvainių socialinis ir ugdymo centras</t>
  </si>
  <si>
    <t>Šėtos socialinis ir ugdymo  centras</t>
  </si>
  <si>
    <t xml:space="preserve">Kėdainių rajono savivaldybės administracija iš viso: </t>
  </si>
  <si>
    <t>33.1</t>
  </si>
  <si>
    <t xml:space="preserve">Kėdainių rajono savivaldybės administracija </t>
  </si>
  <si>
    <t xml:space="preserve">09.08.01.09    </t>
  </si>
  <si>
    <t>33.2</t>
  </si>
  <si>
    <t>Įgyvendinti  Kėdainių rajono savivaldybės mokytojų motyvacijos programą</t>
  </si>
  <si>
    <t>09.</t>
  </si>
  <si>
    <t>33.3</t>
  </si>
  <si>
    <t>Finansuoti vaikų vasaros poilsio ir užimtumo programas, įskaitant dienos stovyklų organizavimą</t>
  </si>
  <si>
    <t>09.08.01.01</t>
  </si>
  <si>
    <t>33.4</t>
  </si>
  <si>
    <t>Skatinti  savivaldybės gabius mokinius</t>
  </si>
  <si>
    <t>09.06.01.01</t>
  </si>
  <si>
    <t>33.5</t>
  </si>
  <si>
    <t>Kėdainių rajono savivaldybės 2020 m. biudžeto asignavimai investicijų projektams ir remonto darbams finansuoti pagal objektus:</t>
  </si>
  <si>
    <t>33.5.1</t>
  </si>
  <si>
    <t>Atnaujinti Lietuvos sporto universiteto Kėdainių  „Aušros“ progimnaziją, kuriant modernias ir saugias erdves</t>
  </si>
  <si>
    <t>33.5.2</t>
  </si>
  <si>
    <t>Modernizuoti Kėdainių lopšelio-darželio „Vaikystė“ infrastruktūrą</t>
  </si>
  <si>
    <t>33.5.3</t>
  </si>
  <si>
    <t>Modernizuoti Kėdainių lopšelio-darželio „Žilvitis“ infrastruktūrą</t>
  </si>
  <si>
    <t>33.5.4</t>
  </si>
  <si>
    <t>Remontuoti Kėdainių Juozo Paukštelio progimnazijos vidaus patalpas</t>
  </si>
  <si>
    <t>33.5.5</t>
  </si>
  <si>
    <t>Remontuoti Kėdainių specialiąją mokyklą</t>
  </si>
  <si>
    <t>33.5.6</t>
  </si>
  <si>
    <t>Atnaujinti ikimokyklinio ugdymo įstaigų lauko inventorių</t>
  </si>
  <si>
    <t>33.5.7</t>
  </si>
  <si>
    <t>Šalinti higienos normų reikalavimų trūkumus, sudarant saugias ugdymo sąlygas įstaigose, vykdančiose ugdymo programas</t>
  </si>
  <si>
    <t>33.5.8</t>
  </si>
  <si>
    <t>Atnaujinti maitinimo įrangą ir inventorių ikimokyklinio ugdymo įstaigose</t>
  </si>
  <si>
    <t>33.5.9</t>
  </si>
  <si>
    <t>Įrengti patalpų vėdinimo (kondincionavimo) sistemas ikimokyklinio ugdymo įstaigose</t>
  </si>
  <si>
    <t>33.5.10</t>
  </si>
  <si>
    <t>Koofinansuoti  švietimo įstaigų dalyvavimą infrastruktūros gerinimo/modernizavimo projektuose</t>
  </si>
  <si>
    <t>02</t>
  </si>
  <si>
    <t>SVEIKATOS APSAUGA</t>
  </si>
  <si>
    <t>Kėdainių rajono savivaldybės visuomenės sveikatos biuras iš viso:</t>
  </si>
  <si>
    <t xml:space="preserve">07.04.01.02 </t>
  </si>
  <si>
    <t>iš jų: įgyvendinti projektą "Sveikos gyvensenos skatinimas Kėdainių rajone"</t>
  </si>
  <si>
    <t>07.06.01.06</t>
  </si>
  <si>
    <t>36.1</t>
  </si>
  <si>
    <t>07.06.01.09</t>
  </si>
  <si>
    <t>36.2</t>
  </si>
  <si>
    <t>Gerinti pirminės asmens sveikatos priežiūros paslaugų teikimo prieinamumą tuberkuliozės srityje</t>
  </si>
  <si>
    <t>36.3</t>
  </si>
  <si>
    <t>Vykdyti  E sveikatos informacinės sistemos diegimo, palaikymo ir tobulinimo VšĮ Kėdainių PSPC ir VšĮ Kėdainių ligoninėje 2016-2021 m. programą</t>
  </si>
  <si>
    <t>07.01.03.01</t>
  </si>
  <si>
    <t>36.4</t>
  </si>
  <si>
    <t>Vykdyti VšĮ Kėdainių ligoninės dantų protezavimo programą</t>
  </si>
  <si>
    <t>07.02.03.01</t>
  </si>
  <si>
    <t>36.5</t>
  </si>
  <si>
    <t>Vykdyti VšĮ Kėdainių ligoninės vaikų slaugos programą</t>
  </si>
  <si>
    <t>07.03.01.01</t>
  </si>
  <si>
    <t>36.6</t>
  </si>
  <si>
    <t>Vykdyti odontologinės priežiūros/pagalbos kokybės gerinimo Kėdainių rajono savivaldybės gyventojams 2011-2021 m. programą</t>
  </si>
  <si>
    <t>36.7</t>
  </si>
  <si>
    <t>Vykdyti traumatologinės  pagalbos kokybės gerinimo Kėdainių rajono savivaldybės gyventojams 2016-2021 m. programą</t>
  </si>
  <si>
    <t>36.8</t>
  </si>
  <si>
    <t xml:space="preserve">Vykdyti Kėdainių rajono tuberkuliozės prevencijos, ankstyvosios diagnostikos, gydymo ir kontrolės                          2017-2022 m. programą </t>
  </si>
  <si>
    <t>36.9</t>
  </si>
  <si>
    <t>Vykdyti ultragarsinių diagnostinių paslaugų teikimo efektyvumo gerinimo Kėdainių rajono savivaldybėje                          2017-2022 m. programą</t>
  </si>
  <si>
    <t>36.10</t>
  </si>
  <si>
    <t>Vykdyti pirminės asmens sveikatos priežiūros paslaugų prieinamumo ir kokybės užtikrinimo Kėdainių rajono kaimiškųjų vietovių gyventojams 2017-2020 m. programą</t>
  </si>
  <si>
    <t>36.11</t>
  </si>
  <si>
    <t xml:space="preserve">Vykdyti priėmimo-skubiosios pagalbos  skyriuje teikiamos pagalbos kokybės gerinimo Kėdainių rajono savivaldybės gyventojams 2019-2020 m. programą </t>
  </si>
  <si>
    <t>36.12</t>
  </si>
  <si>
    <t xml:space="preserve">Vykdyti ambulatorinės akušerinės ir ginekologinės pagalbos kokybės gerinimo Kėdainių rajono savivaldybės moterims 2019-2024 m. programą </t>
  </si>
  <si>
    <t>07.02.01.01</t>
  </si>
  <si>
    <t>36.13</t>
  </si>
  <si>
    <t xml:space="preserve">Vykdyti akušerinės pagalbos kokybės gerinimo Kėdainių rajono savivaldybės moterims 2020-2021 m. programą </t>
  </si>
  <si>
    <t>36.14</t>
  </si>
  <si>
    <t>Vykdyti endoskopinių paslaugų prieinamumo ir kokybės gerinimo Kėdainių rajono savivaldybėje 2020-2025 m. programą</t>
  </si>
  <si>
    <t>36.15</t>
  </si>
  <si>
    <t>Vykdyti mamografijos paslaugų tęstinumo, kokybės gerinimo Kėdainių rajono savivaldybėje 2020-2025 m. programą</t>
  </si>
  <si>
    <t>36.16</t>
  </si>
  <si>
    <t>Vykdyti aplinkos apsaugos rėmimo specialiąją programą (pridedama 13 priedas)</t>
  </si>
  <si>
    <t>07.06.01.02</t>
  </si>
  <si>
    <t>36.17</t>
  </si>
  <si>
    <t>36.17.1</t>
  </si>
  <si>
    <t xml:space="preserve">Didinti pirminės asmens sveikatos priežiūros veiklos efektyvumą VšĮ Kėdainių pirminės sveikatos priežiūros centre </t>
  </si>
  <si>
    <t>36.17.2</t>
  </si>
  <si>
    <t>Atnaujinti Dotnuvos seniūnijos Akademijos miestelio visuomeninės paskirties pastatą, pritaikant jį kaimo bendruomenės poreikiams</t>
  </si>
  <si>
    <t>03</t>
  </si>
  <si>
    <t>SOCIALINĖS APSAUGOS PLĖTOJIMAS</t>
  </si>
  <si>
    <t>Kėdainių bendruomenės socialinis centras</t>
  </si>
  <si>
    <t>10.01.02.02
10.07.01.01
10.09.01.01</t>
  </si>
  <si>
    <t>iš jų: vykdyti socialinės paramos 2020 m. programą</t>
  </si>
  <si>
    <t xml:space="preserve">iš jų: teikti integralią pagalbą į namus Kėdainių rajone </t>
  </si>
  <si>
    <t>Dotnuvos slaugos namai</t>
  </si>
  <si>
    <t>10.02.01.02</t>
  </si>
  <si>
    <t xml:space="preserve">10.02.01.02 </t>
  </si>
  <si>
    <t>Kėdainių pagalbos šeimai centras</t>
  </si>
  <si>
    <t>10.04.01.01</t>
  </si>
  <si>
    <t>43.1</t>
  </si>
  <si>
    <t>10.01.02.02
10.06.01.01
10.09.01.01 
10.09.01.09</t>
  </si>
  <si>
    <t>43.2</t>
  </si>
  <si>
    <t>Organizuoti nemokamą socialiai remtinų vaikų maitinimą ikimokyklinėse įstaigose</t>
  </si>
  <si>
    <t>10.07.01.01</t>
  </si>
  <si>
    <t>43.3</t>
  </si>
  <si>
    <t xml:space="preserve">Kompensuoti nemokamo mokinių maitinimo kainą bendrojo lavinimo mokyklose </t>
  </si>
  <si>
    <t>43.4</t>
  </si>
  <si>
    <t>Organizuoti socialinės reabilitacijos paslaugų neįgaliesiems bendruomenėje projektų konkursus</t>
  </si>
  <si>
    <t>10.01.02.01</t>
  </si>
  <si>
    <t>43.5</t>
  </si>
  <si>
    <t xml:space="preserve">Dengti kainų skirtumą gyventojams už šildymą </t>
  </si>
  <si>
    <t>10.06.01.01</t>
  </si>
  <si>
    <t>43.6</t>
  </si>
  <si>
    <t>Kompensuoti karšto ir šalto vandens pardavimo kainą socialiai remtiniems asmenims</t>
  </si>
  <si>
    <t>43.7</t>
  </si>
  <si>
    <t xml:space="preserve">Kompensuoti kelionės išlaidas už lengvatinį keleivių vežimą </t>
  </si>
  <si>
    <t>09.06.01.01
10.01.02.40
10.02.01.40</t>
  </si>
  <si>
    <t>43.8</t>
  </si>
  <si>
    <t xml:space="preserve">Užtikrinti paslaugų teikimą VšĮ „Gyvenimo namai  sutrikusio intelekto asmenims“   </t>
  </si>
  <si>
    <t>10.01.02.40</t>
  </si>
  <si>
    <t>43.9</t>
  </si>
  <si>
    <t>Finansuoti dienos socialinės globos paslaugų teikimo Kėdainių socialinės globos namuose programą</t>
  </si>
  <si>
    <t>10.01.02.02</t>
  </si>
  <si>
    <t>43.10</t>
  </si>
  <si>
    <t>Finansuoti vaikų dienos centrų veiklos programas</t>
  </si>
  <si>
    <t>43.11</t>
  </si>
  <si>
    <t>43.11.1</t>
  </si>
  <si>
    <t xml:space="preserve">Užtikrinti socialinio būsto fondo plėtrą Kėdainiuose </t>
  </si>
  <si>
    <t>06.01.01.01</t>
  </si>
  <si>
    <t>43.11.2</t>
  </si>
  <si>
    <t>Atnaujinti Josvainių socialinio ir ugdymo centrą bei įkurti savarankiško gyvenimo namus jame</t>
  </si>
  <si>
    <t>43.11.3</t>
  </si>
  <si>
    <t>Remontuoti savivaldybės ir socialinį būstą</t>
  </si>
  <si>
    <t>10.06.01.40 06.01.01.01</t>
  </si>
  <si>
    <t>43.11.4</t>
  </si>
  <si>
    <t>Pritaikyti viešąją aplinką specialiųjų poreikių turintiems gyventojams</t>
  </si>
  <si>
    <t>43.11.5</t>
  </si>
  <si>
    <t>Bendruomeninių vaikų globos namų įkūrimas ir vaikų dienos centrų tinklo plėtra Kėdainių rajono savivaldybėje</t>
  </si>
  <si>
    <t>Kėdainių rajono savivaldybės administracijos Kėdainių miesto seniūnija</t>
  </si>
  <si>
    <t xml:space="preserve">10.06.01.01 10.07.01.01
10.09.01.09 </t>
  </si>
  <si>
    <t>Kėdainių rajono savivaldybės administracijos Dotnuvos seniūnija</t>
  </si>
  <si>
    <t>10.06.01.01 10.07.01.01
10.09.01.09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</si>
  <si>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</si>
  <si>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</si>
  <si>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</si>
  <si>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</si>
  <si>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</si>
  <si>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</si>
  <si>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</si>
  <si>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</si>
  <si>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</si>
  <si>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04</t>
  </si>
  <si>
    <t xml:space="preserve">SPORTO VEIKLOS PLĖTRA </t>
  </si>
  <si>
    <t>56.1</t>
  </si>
  <si>
    <t>08.06.01.09</t>
  </si>
  <si>
    <t>56.2</t>
  </si>
  <si>
    <t>Finansuoti strateginių sporto šakų programas, iš jų:</t>
  </si>
  <si>
    <t>08.01.01.03</t>
  </si>
  <si>
    <t>VŠĮ Krepšinio klubo „Nevėžis“ veiklos programai</t>
  </si>
  <si>
    <t>VšĮ „Sporto perspektyvos" veiklos programai</t>
  </si>
  <si>
    <t>Kėdainių bokso federacijos veiklos programai</t>
  </si>
  <si>
    <t>VšĮ „Sporto perspektyvos" vaikų ir jaunimo futbolo plėtros veiklos programai</t>
  </si>
  <si>
    <t>Kėdainių sporto klubo "Ateitis" veikos programai</t>
  </si>
  <si>
    <t>56.3</t>
  </si>
  <si>
    <t>Finansuoti fizinio aktyvumo ir sporto veiklos projektus</t>
  </si>
  <si>
    <t>56.4</t>
  </si>
  <si>
    <t>Finansuoti ir administruoti Neįgaliųjų socialinės integracijos per kūno kultūrą ir sportą projektus</t>
  </si>
  <si>
    <t>56.5</t>
  </si>
  <si>
    <t>56.5.1</t>
  </si>
  <si>
    <t>Tobulinti Kėdainių sporto centro infrastruktūrą (Parko g. 4, Vilainiai)</t>
  </si>
  <si>
    <t>56.5.2</t>
  </si>
  <si>
    <t>Atnaujinti Kėdainių  „Ryto“ progimnazijos stadioną ir sporto aikštyną</t>
  </si>
  <si>
    <t>56.5.3</t>
  </si>
  <si>
    <t>Remontuoti Kėdainių miesto stadiono dangą</t>
  </si>
  <si>
    <t>Kėdainių rajono savivaldybės administracijos Šėtos   seniūnija</t>
  </si>
  <si>
    <t>05</t>
  </si>
  <si>
    <t>KULTŪROS VEIKLOS PLĖTRA</t>
  </si>
  <si>
    <t>Kėdainių kultūros centras</t>
  </si>
  <si>
    <t>08.02.01.08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</si>
  <si>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</si>
  <si>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</si>
  <si>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</si>
  <si>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</si>
  <si>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</si>
  <si>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</si>
  <si>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08.02.01.01</t>
  </si>
  <si>
    <t>Kėdainių krašto muziejus</t>
  </si>
  <si>
    <t>08.02.01.02</t>
  </si>
  <si>
    <t>iš jų: dalyvauti projekte "Lietuvos-Lenkijos istorija iš trijų miestų perspektyvos" pagal INTEREG V-A Lietuvos-Lenkijos programą (kompensavimo būdu)</t>
  </si>
  <si>
    <t>75.1</t>
  </si>
  <si>
    <t>08.02.01.06
08.06.01.09</t>
  </si>
  <si>
    <t>75.2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</si>
  <si>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</si>
  <si>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>08.04.01.01</t>
  </si>
  <si>
    <t>75.3</t>
  </si>
  <si>
    <t xml:space="preserve">Sudaryti sąlygas bendruomeninių organizacijų veiklai </t>
  </si>
  <si>
    <t>75.4</t>
  </si>
  <si>
    <t>75.4.1</t>
  </si>
  <si>
    <t xml:space="preserve">Finansuoti Kėdainių rajono vietos veiklos grupės teritorijos vietos plėtros 2015-2023 m. strategijos įgyvendinimą  </t>
  </si>
  <si>
    <t>01-10</t>
  </si>
  <si>
    <t>75.4.2</t>
  </si>
  <si>
    <t>Finansuoti Kėdainių miesto vietos veiklos grupės 2016–2022 m. vietos plėtros strategijos įgyvendinimą</t>
  </si>
  <si>
    <t>75.4.3</t>
  </si>
  <si>
    <t>Aktualizuoti Kėdainių krašto muziejų, padidinant kultūros paveldo aktualumą, lankomumą ir žinomumą (įskaitant ekspozicijų atnaujinimą)</t>
  </si>
  <si>
    <t>75.4.4</t>
  </si>
  <si>
    <t>Atnaujinti Krakių miestelio kultūros centrą, pritaikant jį kaimo bendruomenės poreikiams</t>
  </si>
  <si>
    <t>75.4.5</t>
  </si>
  <si>
    <t>Diegti energetinį efektyvumą didinančias priemones  Krakių kultūros centre</t>
  </si>
  <si>
    <t>75.4.6</t>
  </si>
  <si>
    <t>Atnaujinti Truskavos kultūros centrą, pritaikant jį kaimo bendruomenės poreikiams bei kultūrinei veiklai</t>
  </si>
  <si>
    <t>75.4.7</t>
  </si>
  <si>
    <t>Atnaujinti Kėdainių rajono Krakių  seniūnijos Ažytėnų kaimo visuomenės paskirties pastatą, pritaikant jį kaimo bendruomenės poreikiams bei kultūrinei veiklai</t>
  </si>
  <si>
    <t>75.4.8</t>
  </si>
  <si>
    <t>Įsigyti Kėdainių kultūros centro Labūnavos skyriaus pastatą</t>
  </si>
  <si>
    <t>75.5</t>
  </si>
  <si>
    <t>06</t>
  </si>
  <si>
    <t>KULTŪROS PAVELDO IŠSAUGOJIMAS, TURIZMO SKATINIMAS IR VYSTYMAS</t>
  </si>
  <si>
    <t>Kėdainių krašto muziejus iš viso:</t>
  </si>
  <si>
    <t>iš jų: dalyvauti projekte "Kunigaikščių Radvilų paveldo Kėdainiuose ir Nesvyžiuje išsaugojimas bei pritaikymas turizmo reikmėms"</t>
  </si>
  <si>
    <t>04.07.03.01</t>
  </si>
  <si>
    <t>78.1</t>
  </si>
  <si>
    <t>Finansuoti VšĮ Kėdainių turizmo ir verslo informacijos centro turizmo veiklos programą</t>
  </si>
  <si>
    <t>78.2</t>
  </si>
  <si>
    <t>Įgyvendinti Kėdainių rajono savivaldybės bažnyčių rėmimo programą</t>
  </si>
  <si>
    <t>08.04.01.02</t>
  </si>
  <si>
    <t>78.3</t>
  </si>
  <si>
    <t>Dalyvauti nekilnojamojo kultūros paveldo pažinimo sklaidos ir atgaivinimo programoje</t>
  </si>
  <si>
    <t>04.07.03.01 08.03.01.07</t>
  </si>
  <si>
    <t>78.4</t>
  </si>
  <si>
    <t>78.4.1</t>
  </si>
  <si>
    <t xml:space="preserve">Įgyvendinti priemones, skirtas kovų už Lietuvos Nepriklausomybę vietoms ir paminklams įamžinti </t>
  </si>
  <si>
    <t xml:space="preserve">08.02.01.07
</t>
  </si>
  <si>
    <t>78.4.2</t>
  </si>
  <si>
    <t>Kompleksiškai sutvarkyti Kėdainių Sinagogą (Smilgos g. 5A, Kėdainiai), pritaikant kultūrinėms bei kitoms reikmėms</t>
  </si>
  <si>
    <t>08.06.01.01</t>
  </si>
  <si>
    <t>78.4.3</t>
  </si>
  <si>
    <t>Modernizuoti Kėdainių krašto muziejaus Daugiakultūrio centrą</t>
  </si>
  <si>
    <t>78.4.4</t>
  </si>
  <si>
    <t xml:space="preserve">Parengti projektus ir remontuoti koplytėles ir koplystulpius (Labūnavos, Pagirių, Pilionių, Šėtos, Aukupėnų: koplyststulpiai: Šlapaberžės, Pašėtės, Gumbių) </t>
  </si>
  <si>
    <t>08.02.01.07</t>
  </si>
  <si>
    <t>78.4.5</t>
  </si>
  <si>
    <t>Įrengti  valstybinės reikšmės kelių nuorodas į savivaldybės kultūros paveldo objektus, informacinį stendą Lietuvos partizanų vadavietėje (Truskavos sen.) bei tipines informacines lenteles prie Antrojo pasaulinio karo Sovietų Sąjungos karių palaidojimo vietų</t>
  </si>
  <si>
    <t>78.4.6</t>
  </si>
  <si>
    <t xml:space="preserve">Atlikti archeologinius tyrinėjimus kultūros paveldo teritorijose </t>
  </si>
  <si>
    <t>78.4.7</t>
  </si>
  <si>
    <t>Atlikti paveldo objektams parengtų tvarkybos projektų ekspertizę, parengti sąmatas</t>
  </si>
  <si>
    <t>78.4.8</t>
  </si>
  <si>
    <t>Kompleksiškai sutvarkyti ir pritaikyti bendruomenei ir verslui Kėdainių miesto viešąsias erdves (Kėdainių miesto, Vytauto parko, universalaus daugiafunkcio aikštyno, lauko teniso kortų prieigas)</t>
  </si>
  <si>
    <t>78.4.9</t>
  </si>
  <si>
    <t>Kompleksiškai sutvarkyti Kėdainių miesto maudymvietes ir poilsio zonas</t>
  </si>
  <si>
    <t>04.07.05.01</t>
  </si>
  <si>
    <t>78.4.10</t>
  </si>
  <si>
    <t>Įrengti dviračių takus dešiniuoju Nevėžio upės krantu ties Tilto, Č. Milošo gatvėmis Kėdainių mieste</t>
  </si>
  <si>
    <t>78.4.11</t>
  </si>
  <si>
    <t xml:space="preserve">Įrengti pėsčiųjų ir dviračių takus Pramonės g. Kėdainių mieste  </t>
  </si>
  <si>
    <t>04.05.01.02</t>
  </si>
  <si>
    <t>78.4.12</t>
  </si>
  <si>
    <t>Įgyvendinti projektą „Jonavos, Kėdainių ir Raseinių rajonų savivaldybes jungiančių trasų ir turizmo maršrutų informacinės infrastruktūros plėtra“</t>
  </si>
  <si>
    <t>78.4.13</t>
  </si>
  <si>
    <t>Parengti Akademijos parko tvarkybos projektus ir atlikti darbus</t>
  </si>
  <si>
    <t>78.4.14</t>
  </si>
  <si>
    <t>Atlikti Paberžės klebonijos, svirno ir bažnyčios tvoros restauravimo ir remonto darbus</t>
  </si>
  <si>
    <t>07</t>
  </si>
  <si>
    <t>INFRASTRUKTŪROS OBJEKTŲ  PRIEŽIŪRA IR PLĖTRA</t>
  </si>
  <si>
    <t>Kėdainių rajono savivaldybės administracija iš viso :</t>
  </si>
  <si>
    <t>80.1</t>
  </si>
  <si>
    <t>80.1.1</t>
  </si>
  <si>
    <t>Rengti specialiuosius, detaliuosius, geodezinius planus bei  topografines nuotraukas</t>
  </si>
  <si>
    <t>04.09.01.01</t>
  </si>
  <si>
    <t>80.1.2</t>
  </si>
  <si>
    <t>Atnaujinti Kėdainių rajono teritorijos bendrąjį planą</t>
  </si>
  <si>
    <t>80.1.3</t>
  </si>
  <si>
    <t>Atnaujinti Kėdainių miesto teritorijos bendrąjį planą</t>
  </si>
  <si>
    <t>80.1.4</t>
  </si>
  <si>
    <t xml:space="preserve">Atlikti turto inventorizavimą, teisinę registraciją, parengti  dokumentus turto privatizavimui </t>
  </si>
  <si>
    <t>01.06.01.02</t>
  </si>
  <si>
    <t>80.1.5</t>
  </si>
  <si>
    <t xml:space="preserve">Rengti infrastruktūros objektų tvarkymo investicinius projektus, paraiškas, kitą techninę dokumentaciją  Europos Sąjungos fondų paramai gauti </t>
  </si>
  <si>
    <t>80.1.6</t>
  </si>
  <si>
    <t>Parengti Kėdainių senamiesčio eismo schemą</t>
  </si>
  <si>
    <t>80.1.7</t>
  </si>
  <si>
    <t>Išplėsti buitinių nuotekų tinklus Pavermenio kaime</t>
  </si>
  <si>
    <t>05.02.01.01</t>
  </si>
  <si>
    <t>80.1.8</t>
  </si>
  <si>
    <t>Įrengti, rekonstruoti, išplėsti vandentiekio ir/ar nuotekų tinklus Kėdainių mieste (Algirdo g., Parakinės g., Rūtų g.)</t>
  </si>
  <si>
    <t>05.02.01.01 
06.03.01.01</t>
  </si>
  <si>
    <t>80.1.9</t>
  </si>
  <si>
    <t>Rekonstruoti ir plėsti vandentiekio ir buitinių nuotekų infrastruktūrą Šėtos miestelyje, Kunionių kaime bei Kėdainių mieste</t>
  </si>
  <si>
    <t>06.03.01.01</t>
  </si>
  <si>
    <t>80.1.10</t>
  </si>
  <si>
    <t>Rekonstruoti ir plėsti Kėdainių miesto paviršinių nuotekų tinklus</t>
  </si>
  <si>
    <t>80.1.11</t>
  </si>
  <si>
    <t>Rekonstruoti Kėdainių miesto nuotekų valyklą</t>
  </si>
  <si>
    <t>80.1.12</t>
  </si>
  <si>
    <t>Remontuoti objektus pagal administracijos direktoriaus įsakymus</t>
  </si>
  <si>
    <t>80.1.13</t>
  </si>
  <si>
    <t>Likviduoti avarinius židinius</t>
  </si>
  <si>
    <t>80.1.14</t>
  </si>
  <si>
    <t>Parengti vandentiekio ir nuotekų tinklų įrengimo  Krakių miestelio Klaipėdos, Lauko, P. Lukšio ir Neries gatvėse techninę dokumentaciją ir atlikti darbus</t>
  </si>
  <si>
    <t>80.1.15</t>
  </si>
  <si>
    <t>Parengti vandentiekio ir nuotekų tinklų išplėtimo Angirių k. techninę dokumentaciją ir atlikti darbus</t>
  </si>
  <si>
    <t>80.1.16</t>
  </si>
  <si>
    <t>Rekonstruoti vandentiekio ir  nuotekų tinklus Biliūno g. Kėdainiuose</t>
  </si>
  <si>
    <t>80.1.17</t>
  </si>
  <si>
    <t xml:space="preserve">Rekonstruoti/įrengti/modernizuoti Kėdainių miesto gatvių apšvietimą </t>
  </si>
  <si>
    <t>06.04.01.01</t>
  </si>
  <si>
    <t>80.1.18</t>
  </si>
  <si>
    <t>Rekonstruoti/įrengti/modernizuoti Kėdainių rajono gatvių apšvietimą</t>
  </si>
  <si>
    <t>80.1.19</t>
  </si>
  <si>
    <t xml:space="preserve">Rekonstruoti šaligatvius, įgyvendinant projektą „Kėdainių miesto J.Basanavičiaus, Birutės, Dotnuvos, Kauno,  ir Šėtos gatvių rekonstrukcija“ </t>
  </si>
  <si>
    <t>80.1.20</t>
  </si>
  <si>
    <t>Įgyvendinti projektą „Kėdainių miesto A. Kanapinsko, P. Lukšio, Mindaugo, Pavasario ir Žemaitės gatvių rekonstrukcija“</t>
  </si>
  <si>
    <t>04.05.01.02 06.04.01.01</t>
  </si>
  <si>
    <t>80.1.21</t>
  </si>
  <si>
    <t>Atlikti Kėdainių r. Šėtos mstl. Sodų g. kapitalinį remontą</t>
  </si>
  <si>
    <t>80.1.22</t>
  </si>
  <si>
    <t>Atlikti Kėdainių r. Pelėdnagių k. Ateities g. kapitalinį remontą</t>
  </si>
  <si>
    <t>80.1.23</t>
  </si>
  <si>
    <t>Atlikti Kėdainių r. Šlapaberžės k. Linksmosios g.  ir Kalnaberžės k. Vyšnių g. kapitalinį remontą</t>
  </si>
  <si>
    <t>80.1.24</t>
  </si>
  <si>
    <t>Remontuoti biudžetinių įstaigų kiemus</t>
  </si>
  <si>
    <t>80.1.25</t>
  </si>
  <si>
    <t>Finansuoti inžinierines paslaugas, darbus ir įrengimus</t>
  </si>
  <si>
    <t>80.1.26</t>
  </si>
  <si>
    <t>Naujai nutiesti gatvės dalį Kėdainių mieste (T. Bružaitės g.)</t>
  </si>
  <si>
    <t>80.1.27</t>
  </si>
  <si>
    <t>Remontuoti viešųjų ir biudžetinių įstaigų stogus</t>
  </si>
  <si>
    <t>80.1.28</t>
  </si>
  <si>
    <t>Asfaltuoti daugiabučių gyvenamųjų namų kiemus</t>
  </si>
  <si>
    <t>80.1.29</t>
  </si>
  <si>
    <t>Kompleksiškai atnaujinti daugiabučių namų kvartalus (I etapas)</t>
  </si>
  <si>
    <t>04-08</t>
  </si>
  <si>
    <t>80.1.30</t>
  </si>
  <si>
    <t>Kompleksiškai atnaujinti daugiabučių namų kvartalus (II etapas)</t>
  </si>
  <si>
    <t>80.1.31</t>
  </si>
  <si>
    <t xml:space="preserve">Dalyvauti energinio efektyvumo didinimo daugiabučiuose namuose programoje, kompensuojant Savivaldybei priklausančių būstų renovacijos išlaidas </t>
  </si>
  <si>
    <t>80.1.32</t>
  </si>
  <si>
    <t>Apmokėti Europos Sąjungos projektų, kuriems taikomas apmokėjimas  kompensavimo būdu,  išlaidas</t>
  </si>
  <si>
    <t>80.1.33</t>
  </si>
  <si>
    <t>Kompleksiškai sutvarkyti Pelėdnagių kaimo viešąsias erdves</t>
  </si>
  <si>
    <t>08</t>
  </si>
  <si>
    <t>APLINKOS APSAUGA</t>
  </si>
  <si>
    <t>93.1</t>
  </si>
  <si>
    <t>05.06.01.01</t>
  </si>
  <si>
    <t>93.2</t>
  </si>
  <si>
    <t>93.2.1</t>
  </si>
  <si>
    <t xml:space="preserve">Finansuoti žvyro įsigijimą seniūnijų keliams prižiūrėti </t>
  </si>
  <si>
    <t>93.2.2</t>
  </si>
  <si>
    <t>Atnaujinti ir plėsti komunalinių atliekų tvarkymo infrastruktūrą Kėdainių rajono savivaldybėje</t>
  </si>
  <si>
    <t>05.01.01.01</t>
  </si>
  <si>
    <t>93.2.3</t>
  </si>
  <si>
    <t>Likviduoti apleistus (bešeimininkius ar savivaldybei nuosavybės teise priklausančius) pastatus ir kitus aplinką žalojančius objektus</t>
  </si>
  <si>
    <t>93.2.4</t>
  </si>
  <si>
    <t>Sutvarkyti atvirais kasiniais pažeistas žemes Kėdainių rajone</t>
  </si>
  <si>
    <t>93.3</t>
  </si>
  <si>
    <t>05.03.01.01</t>
  </si>
  <si>
    <t>93.4</t>
  </si>
  <si>
    <t>Vykdyti atliekų tvarkymo sistemos organizavimo funkciją</t>
  </si>
  <si>
    <t>93.5</t>
  </si>
  <si>
    <t>Vykdyti savivaldybės viešųjų teritorijų tvarkymą</t>
  </si>
  <si>
    <t xml:space="preserve">05.01.01.01  05.02.01.01
06.03.01.01                       </t>
  </si>
  <si>
    <t xml:space="preserve">05.01.01.01
06.02.01.01                       </t>
  </si>
  <si>
    <t xml:space="preserve">05.01.01.01               </t>
  </si>
  <si>
    <t>09</t>
  </si>
  <si>
    <t xml:space="preserve"> ŽEMĖS ŪKIO PLĖTRA IR MELIORACIJA</t>
  </si>
  <si>
    <t xml:space="preserve">Kėdainių rajono savivaldybės administracija iš viso </t>
  </si>
  <si>
    <t>106.1</t>
  </si>
  <si>
    <t>106.1.1</t>
  </si>
  <si>
    <t>Rengti projektus ir remontuoti gyvenviečių lietaus nuotekų-drenažų sistemas</t>
  </si>
  <si>
    <t>05.02.01.01.</t>
  </si>
  <si>
    <t>10</t>
  </si>
  <si>
    <t>PARAMA VERSLUI IR VERSLO PLĖTRA</t>
  </si>
  <si>
    <t>108.1</t>
  </si>
  <si>
    <t>Finansuoti VšĮ Kėdainių turizmo ir verslo informacijos centro viešųjų paslaugų verslui  programą</t>
  </si>
  <si>
    <t>04.01.01.01</t>
  </si>
  <si>
    <t>108.2</t>
  </si>
  <si>
    <t xml:space="preserve">Kėdainių rajono savivaldybės administracija  </t>
  </si>
  <si>
    <t>04.01.02.09</t>
  </si>
  <si>
    <t>11</t>
  </si>
  <si>
    <t>SAVIVALDYBĖS VALDYMO TOBULINIMAS</t>
  </si>
  <si>
    <t>Kėdainių rajono savivaldybės priešgaisrinė tarnyba</t>
  </si>
  <si>
    <t>03.02.01.01</t>
  </si>
  <si>
    <t>Kėdainių rajono savivaldybės kontrolės ir audito tarnyba</t>
  </si>
  <si>
    <t>01.01.01.09</t>
  </si>
  <si>
    <t>112.1</t>
  </si>
  <si>
    <t>01.01.01.02
01.01.01.09
01.03.02.09
01.06.01.02
04.05.06.09 06.06.01.01
06.06.01.09</t>
  </si>
  <si>
    <t>112.2</t>
  </si>
  <si>
    <t>Įgyvendinti priemones, finansuojamas iš Savivaldybės administracijos direktoriaus rezervo</t>
  </si>
  <si>
    <t>01.06.01.04</t>
  </si>
  <si>
    <t>112.3</t>
  </si>
  <si>
    <t>Įgyvendinti priemones, finansuojamas iš Savivaldybės mero fondo</t>
  </si>
  <si>
    <t>112.4</t>
  </si>
  <si>
    <t xml:space="preserve">Kompensuoti UAB "Kėdbusas“ nuostolingus maršrutus </t>
  </si>
  <si>
    <t>04.05.01.01</t>
  </si>
  <si>
    <t>112.5</t>
  </si>
  <si>
    <t>Dalyvauti Kauno regiono plėtros agentūros veikloje</t>
  </si>
  <si>
    <t>112.6</t>
  </si>
  <si>
    <t xml:space="preserve">Gerinti Kėdainių rajono savivaldybėje teikiamų paslaugų ir asmenų aptarnavimo kokybę  </t>
  </si>
  <si>
    <t>112.7</t>
  </si>
  <si>
    <t xml:space="preserve">Finansuoti prevencinę programą „Saugios aplinkos kūrimas ir bendruomenės teisėtvarkos kūrimas" </t>
  </si>
  <si>
    <t>03.01.01.01</t>
  </si>
  <si>
    <t>113.1</t>
  </si>
  <si>
    <t>Mokėti palūkanas</t>
  </si>
  <si>
    <t>01.07.01.01</t>
  </si>
  <si>
    <t>113.2</t>
  </si>
  <si>
    <t>Grąžinti paskolas</t>
  </si>
  <si>
    <t>01.03.02.01</t>
  </si>
  <si>
    <t>01.03.02.09
04.01.02.01</t>
  </si>
  <si>
    <t>iš jų: užimtumo didinimo programai įgyvendinti</t>
  </si>
  <si>
    <t>04.01.02.01</t>
  </si>
  <si>
    <t>Iš viso asignavimų</t>
  </si>
  <si>
    <t xml:space="preserve">                                                               ___________________________________________</t>
  </si>
  <si>
    <t xml:space="preserve"> 2020 METŲ ASIGNAVIMAI ĮSTAIGOMS IŠ PAJAMŲ, GAUTŲ UŽ PREKES IR PASLAUGAS </t>
  </si>
  <si>
    <t>Eil. Nr.</t>
  </si>
  <si>
    <t>Programos Nr.</t>
  </si>
  <si>
    <t>Asignavimai už atsitiktines paslaugas</t>
  </si>
  <si>
    <t xml:space="preserve">09.02.01.01   </t>
  </si>
  <si>
    <t>Kėdainių r. Miegenų pagrindinė mokykla</t>
  </si>
  <si>
    <t>Kėdainių švietimo pagalbos tarnyba</t>
  </si>
  <si>
    <t>09.05.01.03</t>
  </si>
  <si>
    <t>Kėdainių rajono savivaldybės visuomenės sveikatos biuras</t>
  </si>
  <si>
    <t>07.04.01.02</t>
  </si>
  <si>
    <t>10.01.02.02 10.07.01.01</t>
  </si>
  <si>
    <t>10.09.01.09</t>
  </si>
  <si>
    <t xml:space="preserve">05.01.01.01 </t>
  </si>
  <si>
    <t>06.02.01.01</t>
  </si>
  <si>
    <t xml:space="preserve">01.03.02.09  </t>
  </si>
  <si>
    <t>01.03.02.09</t>
  </si>
  <si>
    <t xml:space="preserve">                                                             ____________________________________</t>
  </si>
  <si>
    <t xml:space="preserve"> 2020 METŲ ASIGNAVIMAI ĮSTAIGOMS IŠ PAJAMŲ, GAUTŲ UŽ ILGALAIKIO IR TRUMPALAIKIO MATERIALIOJO TURTO NUOMĄ</t>
  </si>
  <si>
    <t>Kėdainių "Ryto" progimnazija</t>
  </si>
  <si>
    <t xml:space="preserve">                                                                 ___________________________________________</t>
  </si>
  <si>
    <t>6 priedas</t>
  </si>
  <si>
    <t>2020 METŲ ASIGNAVIMAI ĮSTAIGOMS IŠ PAJAMŲ, GAUTŲ UŽ IŠLAIKYMĄ ŠVIETIMO, SOCIALINĖS APSAUGOS IR KITOSE ĮSTAIGOSE</t>
  </si>
  <si>
    <t>Įykdyta</t>
  </si>
  <si>
    <t xml:space="preserve">Šėtos socialinis ir ugdymo centras </t>
  </si>
  <si>
    <t xml:space="preserve">                                                                    ___________________________________________</t>
  </si>
  <si>
    <t xml:space="preserve">KĖDAINIŲ RAJONO SAVIVALDYBĖS 2020 METŲ BIUDŽETO ASIGNAVIMAI PROJEKTAMS FINANSUOTI EUROPOS SĄJUNGOS LĖŠOMIS </t>
  </si>
  <si>
    <t xml:space="preserve">Planas </t>
  </si>
  <si>
    <t xml:space="preserve">Kėdainių r. Krakių Mikalojaus Katkaus gimnazija </t>
  </si>
  <si>
    <t>2.1</t>
  </si>
  <si>
    <t>iš jų: lėšos skirtos kokybės krepšelis</t>
  </si>
  <si>
    <t>3.1</t>
  </si>
  <si>
    <t>4.1</t>
  </si>
  <si>
    <t>Kėdainių suaugusiųjų ir jaunimo mokymo centras iš viso:</t>
  </si>
  <si>
    <t>5.1</t>
  </si>
  <si>
    <t>iš jų dalyvauti projektuose: "Draugiška senjorams bendruomenė"</t>
  </si>
  <si>
    <t>5.2</t>
  </si>
  <si>
    <t>"Jaunimo erdvė be standartų"</t>
  </si>
  <si>
    <t>5.3</t>
  </si>
  <si>
    <t>"Praktinis profesinių įgūdžių gidas - galimybė tau"</t>
  </si>
  <si>
    <t>09.05.01.02</t>
  </si>
  <si>
    <t>Kėdainių rajono savivaldybės administracija iš viso:</t>
  </si>
  <si>
    <t>7.1</t>
  </si>
  <si>
    <t>7.2</t>
  </si>
  <si>
    <t>7.3</t>
  </si>
  <si>
    <t>7.4</t>
  </si>
  <si>
    <t>8</t>
  </si>
  <si>
    <t>9</t>
  </si>
  <si>
    <t>9.1</t>
  </si>
  <si>
    <t>10.1</t>
  </si>
  <si>
    <t>Įgyvendinti priemones, skirtas žemo slenksčio paslaugų kokybės gerinimui Kėdainių rajono savivaldybėje</t>
  </si>
  <si>
    <t>07.06.01.05</t>
  </si>
  <si>
    <t>10.2</t>
  </si>
  <si>
    <t>12.1</t>
  </si>
  <si>
    <t>13.1</t>
  </si>
  <si>
    <t>13.2</t>
  </si>
  <si>
    <t>Teikti kompleksines paslaugas šeimai Kėdainių rajone</t>
  </si>
  <si>
    <t>10.04.01.40</t>
  </si>
  <si>
    <t>13.3</t>
  </si>
  <si>
    <t>14</t>
  </si>
  <si>
    <t>15</t>
  </si>
  <si>
    <t>15.1</t>
  </si>
  <si>
    <t>15.2</t>
  </si>
  <si>
    <t>Sutvarkyti/sukurti atviras viešąsias erdves Kėdainių rajono savivaldybės administracijos seniūnijose, pritaikant jas kaimo bendruomenės poreikiams bei laisvalaikiui</t>
  </si>
  <si>
    <t>08.01.01.02</t>
  </si>
  <si>
    <t>Kėdainių kultūros centras iš viso:</t>
  </si>
  <si>
    <t>17.1</t>
  </si>
  <si>
    <t>iš jų: dalyvauti projekte "Gyvenimo spalvos"</t>
  </si>
  <si>
    <t>18.1</t>
  </si>
  <si>
    <t>18.2</t>
  </si>
  <si>
    <t>18.3</t>
  </si>
  <si>
    <t>18.4</t>
  </si>
  <si>
    <t>20.1</t>
  </si>
  <si>
    <t>21.1</t>
  </si>
  <si>
    <t xml:space="preserve">04.07.03.01. </t>
  </si>
  <si>
    <t>21.2</t>
  </si>
  <si>
    <t>Kompleksiškai sutvaryti Kėdainių Sinagogą (Smilgos g. 5A, Kėdainiai), pritaikant kultūrinėms bei kitoms reikmėms</t>
  </si>
  <si>
    <t>21.3</t>
  </si>
  <si>
    <t>Kompleksiškai sutvarkyti Kėdainių miesto upių prieigas, sukuriant patrauklias viešąsias erdves bendruomenei ir verslui</t>
  </si>
  <si>
    <t>21.4</t>
  </si>
  <si>
    <t>04.07.03.01.</t>
  </si>
  <si>
    <t>21.5</t>
  </si>
  <si>
    <t>21.6</t>
  </si>
  <si>
    <t xml:space="preserve">Įrengti nemokamą belaidį internetą miesto viešosiose erdvėse </t>
  </si>
  <si>
    <t>04.06.01.01</t>
  </si>
  <si>
    <t>21.7</t>
  </si>
  <si>
    <t>23.1</t>
  </si>
  <si>
    <t>Atnaujinti/išplėsti apšvietimo inžinerinius tinklus Kėdainių rajono savivaldybės administracijos seniūnijose</t>
  </si>
  <si>
    <t>23.2</t>
  </si>
  <si>
    <t>04.05.01.02
06.04.01.01</t>
  </si>
  <si>
    <t>23.3</t>
  </si>
  <si>
    <t>23.4</t>
  </si>
  <si>
    <t>23.5</t>
  </si>
  <si>
    <t>23.6</t>
  </si>
  <si>
    <t>Kompleksiškai sutvarkyti Vilainių kaimo viešąsias erdves</t>
  </si>
  <si>
    <t>23.7</t>
  </si>
  <si>
    <t>25.1</t>
  </si>
  <si>
    <t>25.2</t>
  </si>
  <si>
    <t>25.3</t>
  </si>
  <si>
    <t>Įgyvendinti potvynių rizikos mažinimo priemones Kėdainių rajone</t>
  </si>
  <si>
    <t>27.1</t>
  </si>
  <si>
    <t>2020 METŲ VALSTYBĖS BIUDŽETO SPECIALIOS TIKSLINĖS DOTACIJOS SAVIVALDYBĖS BIUDŽETUI VALSTYBINĖMS (VALSTYBĖS PERDUOTOMS SAVIVALDYBEI) FUNKCIJOMS ATLIKTI ASIGNAVIMAI</t>
  </si>
  <si>
    <t>Funkcinis kodas</t>
  </si>
  <si>
    <t>Valstybinėms (perduotoms savivaldybėms) funkcijoms</t>
  </si>
  <si>
    <t>4</t>
  </si>
  <si>
    <t>02.1</t>
  </si>
  <si>
    <t>Mokinių visuomenės sveikatos priežiūrai</t>
  </si>
  <si>
    <t>02.2</t>
  </si>
  <si>
    <t>Visuomenės sveikatos stiprinimui ir stebėsenai</t>
  </si>
  <si>
    <t>02.3</t>
  </si>
  <si>
    <t>Visuomenės psichikos sveikatos gerinimui</t>
  </si>
  <si>
    <t>02.4</t>
  </si>
  <si>
    <t>Neveiksnių asmenų būklės peržiūrėjimui</t>
  </si>
  <si>
    <t>03.1</t>
  </si>
  <si>
    <t>Socialinėms paslaugoms:
Socialinei globai asmenims su sunkia negalia</t>
  </si>
  <si>
    <t xml:space="preserve"> iš jų: finansuoti dienos socialinės globos paslaugas Kėdainių socialinės globos namuose</t>
  </si>
  <si>
    <t>03.2</t>
  </si>
  <si>
    <t>Socialinėms paslaugoms:
 Socialinei priežiūrai socialinės rizikos šeimoms</t>
  </si>
  <si>
    <t>03.3</t>
  </si>
  <si>
    <t>Socialinių išmokų ir kompensacijų skaičiavimas ir mokėjimas</t>
  </si>
  <si>
    <t xml:space="preserve">10.03.01.01
10.07.01.01
10.09.01.09 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</si>
  <si>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</si>
  <si>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</si>
  <si>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</si>
  <si>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</si>
  <si>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</si>
  <si>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</si>
  <si>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04.02.01.04</t>
  </si>
  <si>
    <t>09.2</t>
  </si>
  <si>
    <t>Kėdainių rajono savivaldybės 2020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</si>
  <si>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iš jų: polderiams eksploatuoti</t>
  </si>
  <si>
    <t>04.02.01.01</t>
  </si>
  <si>
    <t>51</t>
  </si>
  <si>
    <t>Tvarkyti erdvinių duomenų rinkinį</t>
  </si>
  <si>
    <t>04.02.01.02</t>
  </si>
  <si>
    <t>53</t>
  </si>
  <si>
    <t>54</t>
  </si>
  <si>
    <t>11.1</t>
  </si>
  <si>
    <t>Priešgaisrinių tarnybų organizavimas</t>
  </si>
  <si>
    <t>55</t>
  </si>
  <si>
    <t>56</t>
  </si>
  <si>
    <t>11.2</t>
  </si>
  <si>
    <t>Gyventojų registro tvarkymas ir duomenų valstybės registrui teikimas</t>
  </si>
  <si>
    <t>01.03.03.02</t>
  </si>
  <si>
    <t>57</t>
  </si>
  <si>
    <t>58</t>
  </si>
  <si>
    <t>11.3</t>
  </si>
  <si>
    <t>Archyvinių dokumentų tvarkymas</t>
  </si>
  <si>
    <t>59</t>
  </si>
  <si>
    <t>60</t>
  </si>
  <si>
    <t>11.4</t>
  </si>
  <si>
    <t>Civilinės būklės aktų registravimas</t>
  </si>
  <si>
    <t>61</t>
  </si>
  <si>
    <t>62</t>
  </si>
  <si>
    <t>11.5</t>
  </si>
  <si>
    <t>Civilinės saugos organizavimas</t>
  </si>
  <si>
    <t>02.02.01.01</t>
  </si>
  <si>
    <t>63</t>
  </si>
  <si>
    <t>64</t>
  </si>
  <si>
    <t>11.6</t>
  </si>
  <si>
    <t>Valstybinės kalbos vartojimo ir taisyklingumo kontrolė</t>
  </si>
  <si>
    <t>65</t>
  </si>
  <si>
    <t>66</t>
  </si>
  <si>
    <t>11.7</t>
  </si>
  <si>
    <t>Mobilizacijos administravimas</t>
  </si>
  <si>
    <t>02.01.01.04</t>
  </si>
  <si>
    <t>67</t>
  </si>
  <si>
    <t>68</t>
  </si>
  <si>
    <t>11.9</t>
  </si>
  <si>
    <t>Jaunimo teisių apsauga</t>
  </si>
  <si>
    <t>69</t>
  </si>
  <si>
    <t>70</t>
  </si>
  <si>
    <t>11.10</t>
  </si>
  <si>
    <t>Pirminė teisinė pagalba</t>
  </si>
  <si>
    <t>71</t>
  </si>
  <si>
    <t>72</t>
  </si>
  <si>
    <t>11.11</t>
  </si>
  <si>
    <t>Duomenų teikimas Valstybės suteiktos pagalbos registrui</t>
  </si>
  <si>
    <t>73</t>
  </si>
  <si>
    <t>74</t>
  </si>
  <si>
    <t>11.12</t>
  </si>
  <si>
    <t>Gyvenamosios vietos deklaravimas</t>
  </si>
  <si>
    <t>75</t>
  </si>
  <si>
    <t>76</t>
  </si>
  <si>
    <t>77</t>
  </si>
  <si>
    <t>11.13</t>
  </si>
  <si>
    <t>Užimtumo didinimo programos įgyvendinimas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</si>
  <si>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</si>
  <si>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</si>
  <si>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</si>
  <si>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</si>
  <si>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</si>
  <si>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</si>
  <si>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</si>
  <si>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</si>
  <si>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</si>
  <si>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</si>
  <si>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</si>
  <si>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</si>
  <si>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 xml:space="preserve">                                                                                               ________________________________</t>
  </si>
  <si>
    <t>2020 METŲ VALSTYBĖS BIUDŽETO SPECIALIOS TIKSLINĖS DOTACIJOS SAVIVALDYBĖS BIUDŽETUI UGDYMO REIKMĖMS FINANSUOTI ASIGNAVIMAI</t>
  </si>
  <si>
    <t>Iš jų</t>
  </si>
  <si>
    <t>3</t>
  </si>
  <si>
    <t>Specialioji tikslinė dotacija ugdymo reikmėms finansuoti</t>
  </si>
  <si>
    <t>iš jų: skaitmeninio ugdymo plėtrai</t>
  </si>
  <si>
    <t>09.02.01.01
09.02.02.01</t>
  </si>
  <si>
    <t>Kėdainių švietimo pagalbos tarnyba iš viso:</t>
  </si>
  <si>
    <t>30.1</t>
  </si>
  <si>
    <t xml:space="preserve">     Kėdainių švietimo pagalbos tarnyba (pedagoginė - psichologinė tarnyba)</t>
  </si>
  <si>
    <t>30.2</t>
  </si>
  <si>
    <t xml:space="preserve">     Organizuoti ir vykdyti mokymosi pasiekimų patikrinimus</t>
  </si>
  <si>
    <t>30.3</t>
  </si>
  <si>
    <t xml:space="preserve">     VšĮ Alternatyviojo ugdymo centras</t>
  </si>
  <si>
    <t>30.4</t>
  </si>
  <si>
    <t xml:space="preserve">     VšĮ „Pažinimo taku“</t>
  </si>
  <si>
    <t>Šėtos socialinis ir ugdymo centras</t>
  </si>
  <si>
    <t xml:space="preserve">                                                                                         ___________________________</t>
  </si>
  <si>
    <t xml:space="preserve">2020 METŲ VALSTYBĖS BIUDŽETO SPECIALIOS TIKSLINĖS DOTACIJOS SAVIVALDYBĖS BIUDŽETUI KITI ASIGNAVIMAI </t>
  </si>
  <si>
    <t>Išlaidoms</t>
  </si>
  <si>
    <t>Kita tikslinė dotacija mokyklos specialiųjų ugdymosi poreikių turintiems mokiniams</t>
  </si>
  <si>
    <t>Kita dotacija valstybės investicijų 2020 m. programoje numatytoms kapitalo investicijoms</t>
  </si>
  <si>
    <t>Rekonstruoti Kėdainių šviesiosios gimnazijos pastatą Kėdainiuose, Didžioji g. 60</t>
  </si>
  <si>
    <t>Įrengti vėdinimo ir kondicionavimo sistemas savivaldybės egzaminų centruose-grupėse</t>
  </si>
  <si>
    <t>Kita dotacija vaikų vasaros stovykloms ir kitoms neformaliojo vaikų švietimo veikloms finansuoti</t>
  </si>
  <si>
    <t>Kėdainių rajono savivaldybės administracija</t>
  </si>
  <si>
    <t xml:space="preserve"> Kita dotacija ilgalaikių neigiamų COVID-19 pandemijos pasekmių visuomenės psichikos sveikatai mažinimo veiksmų plane numatytoms veikloms finansuoti</t>
  </si>
  <si>
    <t>Kita dotacija išlaidoms, susijusioms su pedagoginių darbuotojų skaičiaus optimizavimu</t>
  </si>
  <si>
    <t>34.1</t>
  </si>
  <si>
    <t>Remontuoti Viešosios įstaigos Kėdainių ligoninės Nervų ligų ir priėmimo skyrių Kėdainiuose, Budrio g. 5</t>
  </si>
  <si>
    <t>34.2</t>
  </si>
  <si>
    <t>Gerinti rentgeno diagnostikos paslaugų kokybę, rentgeno diagnostikos medicinos priemonei (RDMP) įsigyti</t>
  </si>
  <si>
    <t>Kita dotacija psichikos sveikatai stiprinti</t>
  </si>
  <si>
    <t xml:space="preserve">Rekonstruoti Šėtos socialinio ir ugdymo centro Kėdainių r., Šėtos mstl., Ramygalos g. 34A </t>
  </si>
  <si>
    <t xml:space="preserve">Kita dotacija  vienkartinėms premijoms už ypač svarbių užduočių vykdymą valstybės lygio ekstremaliosios situacijos ir karantino laikotarpiu socialinių paslaugų įstaigose dirbantiems darbuotojams išmokėti  </t>
  </si>
  <si>
    <t>Kita dotacija piniginei socialinei paramai nepasiturintiems gyventojams, laikinai nevertinti turimo turto ir padidinti valstybės remiamų pajamų dydį nuo 1 iki 1,1 teisei į socialinę pašalpą</t>
  </si>
  <si>
    <t>10.06.01.01 10.07.01.01</t>
  </si>
  <si>
    <t xml:space="preserve">10.06.01.01 10.07.01.01 </t>
  </si>
  <si>
    <t xml:space="preserve">Rekonstruoti Kėdainių miesto stadioną Kėdainiuose, J. Basanavičiaus g. 1 </t>
  </si>
  <si>
    <t>63.1</t>
  </si>
  <si>
    <t>Rekonstruoti Kėdainių rajono savivaldybės kultūros centro pastatą Kėdainiuose, J. Basanavičiaus g. 24</t>
  </si>
  <si>
    <t xml:space="preserve">Kita dotacija vietinės reikšmės keliams (gatvėms) tiesti, taisyti (rekonstruoti), prižiūrėti ir saugaus eismo sąlygoms užtikrinti </t>
  </si>
  <si>
    <t>Kita dotacija  kelių priežiūros ir plėtros 2020 m. programos finansavimo lėšų rezervas valstybės reikmėms, susijusioms su keliais</t>
  </si>
  <si>
    <t>Kėdainių miesto Pramonės gatvei (Nr. KDG088) rekonstruoti</t>
  </si>
  <si>
    <t>Kėdainių miesto seniūnijos Daumantų kaimo Daukšių gatvei (Nr. KDG-164), esančiai sodininkų bendrijų „Dotnuvėlė“ ir „Guboja“ teritorijose, rekonstruoti</t>
  </si>
  <si>
    <t>Kita dotacja vietinės reikšmės keliams su žvyro danga asfaltuoti</t>
  </si>
  <si>
    <t xml:space="preserve">Kėdainių miesto seniūnijos Lipliūnų kaimo Dobilų gatvei (Nr. KDG185) kapitališkai remontuoti
</t>
  </si>
  <si>
    <t xml:space="preserve">Šėtos miestelio Čeponiškių gatvei (Nr. STG023) kapitališkai remontuoti
</t>
  </si>
  <si>
    <t xml:space="preserve">Gudžiūnų seniūnijos Devynduonių kaimo Naujajai gatvei (Nr. GDG004) kapitališkai remontuoti 
</t>
  </si>
  <si>
    <t xml:space="preserve">Gudžiūnų miestelio Naujajai gatvei (Nr. GDG016) kapitališkai remontuoti 
</t>
  </si>
  <si>
    <t xml:space="preserve">Kėdainių miesto seniūnijos Daumantų kaimo Daukšių gatvei (Nr. KDG164) kapitališkai remontuoti
</t>
  </si>
  <si>
    <t xml:space="preserve">Pelėdnagių seniūnijos Paobelio kaimo Obelies gatvei (Nr. PLG049) kapitališkai remontuoti
</t>
  </si>
  <si>
    <t xml:space="preserve">Vilainių seniūnijos Vilainių kaimo Rožių gatvei (Nr. VLG080) kapitališkai remontuoti
</t>
  </si>
  <si>
    <t xml:space="preserve">Vilainių seniūnijos Vilainių kaimo Ledų gatvei (Nr. VLG075) kapitališkai remontuoti
</t>
  </si>
  <si>
    <t>Vilainių seniūnijos Vilainių kaimo Beržų gatvei (Nr. VLG070) kapitališkai remontuoti</t>
  </si>
  <si>
    <t xml:space="preserve">Vilainių seniūnijos Daukainių  kaimo Daukainių gatvei (Nr. VLG022) kapitališkai remontuoti
</t>
  </si>
  <si>
    <t>Josvainių seniūnijos Josvainių miestelio Alyvų gatvei (Nr. JSG023) kaptališkai remontuoti</t>
  </si>
  <si>
    <t>Josvainių seniūnijos Josvainių miestelio Vienybės gatvei (Nr. JSG042) kaptališkai remontuoti</t>
  </si>
  <si>
    <t>Kita dotacja ekonomikos skatinimo ir koronaviruso (COVID-19) plitimo sukeltų pasekmių mažinimo priemonių plano lėšų panaudojimo keliams taisyti (remontuoti)</t>
  </si>
  <si>
    <t>Kėdainių miesto Birutės gatvei (Nr. KDG012) taisyti (remontuoti)</t>
  </si>
  <si>
    <t>Kėdainių miesto Liepų alėjai (Nr. KDG061) taisyti (remontuoti)</t>
  </si>
  <si>
    <t>Kėdainių miesto Sporto takui (Nr. KDG110) taisyti (remontuoti)</t>
  </si>
  <si>
    <t>Kėdainių miesto Palangos gatvei (Nr. KDG077) taisyti (remontuoti)</t>
  </si>
  <si>
    <t>Kėdainių miesto Šilelio gatvei (Nr. KDG118) taisyti (remontuoti)</t>
  </si>
  <si>
    <t>Šėtos seniūnijos Šėtos miestelio Turgaus gatvei (Nr. STG036) taisyti (remontuoti)</t>
  </si>
  <si>
    <t>Šėtos seniūnijos Šėtos miestelio Dariaus ir Girėno gatvės (Nr. STG024) ruožui taisyti (remontuoti)</t>
  </si>
  <si>
    <t>Josvainių seniūnijos Kunionių kaimo Šermukšnių gatvei (Nr. JSTG062) taisyti (remontuoti)</t>
  </si>
  <si>
    <t xml:space="preserve">Dotnuvos seniūnijos Vainotiškių kaimo Vainotiškių gatvei (Nr. DTG090) taisyti (remontuoti)
</t>
  </si>
  <si>
    <t>Vilainių seniūnijos Aristavos Kaimo Liepų alėjai (Nr. VLG009) taisyti (remontuoti)</t>
  </si>
  <si>
    <t>Pernaravos seniūnijos vietinės reikšmės keliui Nr. PER-22 Pelutava-Griniai ir kelio tęsiniui Pelutavos kaimo Gėlių gatvei (Nr. PRG019) taisyti (remontuoti)</t>
  </si>
  <si>
    <t>Kėdainių miesto A. Mickevičiaus gatvei (KDG067) taisyti (remontuoti)</t>
  </si>
  <si>
    <t>Kėdainių miesto Akacijų gatvei (Nr. KDG001) taisyti (remontuoti)</t>
  </si>
  <si>
    <t xml:space="preserve">Josvainių seniūnijos Šingalių kaimo Lauko gatvei (Nr. JSG083) rekonstruoti </t>
  </si>
  <si>
    <t xml:space="preserve">Kita dotacija aprūpinti pakuočių atliekų surinkimo konteineriais individualias namų valdas </t>
  </si>
  <si>
    <t>Kita dotacija tarpinstitucinio bendradarbiavimo koordinatoriaus pareigybei išlaikyti</t>
  </si>
  <si>
    <t>09.08.01.09</t>
  </si>
  <si>
    <t xml:space="preserve"> Kita dotacija kompensuoti savivaldybės patirtas išlaidas, esant valstybės lygio ekstremaliajai situacijai, siekiant šalinti COVID-19 ligos (koronaviruso infekcijos) padarinius</t>
  </si>
  <si>
    <t>2020 METŲ VALSTYBĖS BIUDŽETO DOTACIJOS IŠ KITŲ VALDYMO LYGIŲ SAVIVALDYBĖS BIUDŽETUI PROJEKTAMS FINANSUOTI  ASIGNAVIMAI</t>
  </si>
  <si>
    <t>Plannas</t>
  </si>
  <si>
    <t>2.2</t>
  </si>
  <si>
    <t>2.3</t>
  </si>
  <si>
    <t>3.2</t>
  </si>
  <si>
    <t>3.3</t>
  </si>
  <si>
    <t>6.1</t>
  </si>
  <si>
    <t>6.2</t>
  </si>
  <si>
    <t>8.1</t>
  </si>
  <si>
    <t>iš jų: infrastruktūros projektų nuosavam indėliui užtikrinti</t>
  </si>
  <si>
    <t xml:space="preserve"> Kompleksiškai sutvarkyti ir pritaikyti bendruomenei ir verslui Kėdainių miesto viešąsias erdves (Kėdainių miesto, Vytauto parko, universalaus daugiafunkcio aikštyno, lauko teniso kortų prieigas)</t>
  </si>
  <si>
    <t>15.3</t>
  </si>
  <si>
    <t>15.4</t>
  </si>
  <si>
    <t>15.5</t>
  </si>
  <si>
    <t>KĖDAINIŲ RAJONO SAVIVALDYBĖS  2020 METŲ BIUDŽETO ASIGNAVIMAI  INVESTICIJŲ PROJEKTAMS FINANSUOTI PASKOLŲ LĖŠOMIS PAGAL OBJEKTUS</t>
  </si>
  <si>
    <t>Turtui įsigyti</t>
  </si>
  <si>
    <t>2.1.</t>
  </si>
  <si>
    <t>Didinti Kėdainių lopšelio-darželio „Vaikystė“ viešojo pastato, esančio Mindaugo g. 21, Kėdainių m., Kėdainių r. sav., energinį efektyvumą</t>
  </si>
  <si>
    <t>6.3</t>
  </si>
  <si>
    <t xml:space="preserve"> </t>
  </si>
  <si>
    <t>Kita dotacija valstybės biudžeto projektų užskaitai</t>
  </si>
  <si>
    <t>41.1</t>
  </si>
  <si>
    <t>66.1</t>
  </si>
  <si>
    <t>71.1</t>
  </si>
  <si>
    <t>71.2</t>
  </si>
  <si>
    <t>73.1</t>
  </si>
  <si>
    <t>73.2</t>
  </si>
  <si>
    <t>73.4</t>
  </si>
  <si>
    <t>73.3</t>
  </si>
  <si>
    <t>73.5</t>
  </si>
  <si>
    <t>73.6</t>
  </si>
  <si>
    <t>73.7</t>
  </si>
  <si>
    <t>73.8</t>
  </si>
  <si>
    <t>73.9</t>
  </si>
  <si>
    <t>73.10</t>
  </si>
  <si>
    <t>73.11</t>
  </si>
  <si>
    <t>73.12</t>
  </si>
  <si>
    <t>75.6</t>
  </si>
  <si>
    <t>75.7</t>
  </si>
  <si>
    <t>75.8</t>
  </si>
  <si>
    <t>75.9</t>
  </si>
  <si>
    <t>75.10</t>
  </si>
  <si>
    <t>75.11</t>
  </si>
  <si>
    <t>75.12</t>
  </si>
  <si>
    <t>75.13</t>
  </si>
  <si>
    <t>75.14</t>
  </si>
  <si>
    <t xml:space="preserve">                                                                                                                                                                2021 m. liepos 16 d. sprendimo Nr. TS-</t>
  </si>
  <si>
    <t>1 priedas</t>
  </si>
  <si>
    <t xml:space="preserve">                                                                                                                                                                Kėdainių rajono savivaldybės tarybos</t>
  </si>
  <si>
    <t>2 priedas</t>
  </si>
  <si>
    <t xml:space="preserve">                                                                                                                                                        Kėdainių rajono savivaldybės tarybos</t>
  </si>
  <si>
    <t xml:space="preserve">                                                                                                                                                        2021 m. liepos 16 d. sprendimo Nr. TS-</t>
  </si>
  <si>
    <t>3 priedas</t>
  </si>
  <si>
    <t>4 priedas</t>
  </si>
  <si>
    <t xml:space="preserve">                                                                                                                                                   Kėdainių rajono savivaldybės tarybos</t>
  </si>
  <si>
    <t xml:space="preserve">                                                                                                                                                   2021 m. liepos 16 d. sprendimo Nr. TS-</t>
  </si>
  <si>
    <t>5 priedas</t>
  </si>
  <si>
    <t xml:space="preserve">                                                                                                                                                   Kėdainių rajono savivaldybės tarybos                                                                                    </t>
  </si>
  <si>
    <t xml:space="preserve">                                                                                                                                                   2021 m. liepos 16 d. sprendimo Nr. TS-                                                                                                                                 </t>
  </si>
  <si>
    <t>7  priedas</t>
  </si>
  <si>
    <t>8  priedas</t>
  </si>
  <si>
    <t>10 priedas</t>
  </si>
  <si>
    <t>9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</si>
</sst>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_ ;\-0.0\ "/>
    <numFmt numFmtId="165" formatCode="#,##0.0"/>
    <numFmt numFmtId="166" formatCode="0.0"/>
    <numFmt numFmtId="167" formatCode="#,##0.0_ ;\-#,##0.0\ "/>
    <numFmt numFmtId="168" formatCode="0.0;\-0.0;;"/>
    <numFmt numFmtId="169" formatCode="0.0;\-0.0;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36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164" fontId="1" fillId="0" borderId="0" xfId="0" applyNumberFormat="1" applyFont="1" applyFill="1"/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left" vertical="center" wrapText="1"/>
    </xf>
    <xf numFmtId="165" fontId="3" fillId="0" borderId="12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/>
    <xf numFmtId="167" fontId="1" fillId="0" borderId="0" xfId="0" applyNumberFormat="1" applyFont="1" applyFill="1"/>
    <xf numFmtId="166" fontId="1" fillId="0" borderId="12" xfId="0" applyNumberFormat="1" applyFont="1" applyFill="1" applyBorder="1" applyAlignment="1">
      <alignment vertical="center"/>
    </xf>
    <xf numFmtId="165" fontId="1" fillId="0" borderId="12" xfId="1" applyNumberFormat="1" applyFill="1" applyBorder="1" applyAlignment="1">
      <alignment horizontal="right" vertical="center"/>
    </xf>
    <xf numFmtId="165" fontId="1" fillId="0" borderId="12" xfId="0" applyNumberFormat="1" applyFont="1" applyFill="1" applyBorder="1" applyAlignment="1">
      <alignment horizontal="right" vertical="center"/>
    </xf>
    <xf numFmtId="166" fontId="1" fillId="0" borderId="12" xfId="0" applyNumberFormat="1" applyFont="1" applyFill="1" applyBorder="1"/>
    <xf numFmtId="166" fontId="1" fillId="0" borderId="12" xfId="0" applyNumberFormat="1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right" vertical="center"/>
    </xf>
    <xf numFmtId="49" fontId="1" fillId="2" borderId="12" xfId="0" applyNumberFormat="1" applyFont="1" applyFill="1" applyBorder="1" applyAlignment="1">
      <alignment horizontal="center" vertical="center"/>
    </xf>
    <xf numFmtId="166" fontId="1" fillId="2" borderId="12" xfId="0" applyNumberFormat="1" applyFont="1" applyFill="1" applyBorder="1" applyAlignment="1">
      <alignment vertical="center" wrapText="1"/>
    </xf>
    <xf numFmtId="165" fontId="1" fillId="2" borderId="12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wrapText="1"/>
    </xf>
    <xf numFmtId="49" fontId="1" fillId="0" borderId="2" xfId="0" applyNumberFormat="1" applyFont="1" applyFill="1" applyBorder="1" applyAlignment="1">
      <alignment horizontal="center" vertical="center"/>
    </xf>
    <xf numFmtId="168" fontId="1" fillId="0" borderId="12" xfId="0" applyNumberFormat="1" applyFont="1" applyFill="1" applyBorder="1" applyAlignment="1">
      <alignment horizontal="right" vertical="center"/>
    </xf>
    <xf numFmtId="166" fontId="1" fillId="0" borderId="12" xfId="1" applyNumberFormat="1" applyFill="1" applyBorder="1" applyAlignment="1">
      <alignment vertical="center" wrapText="1"/>
    </xf>
    <xf numFmtId="166" fontId="1" fillId="0" borderId="12" xfId="0" applyNumberFormat="1" applyFont="1" applyFill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right" vertical="center"/>
    </xf>
    <xf numFmtId="166" fontId="1" fillId="0" borderId="12" xfId="1" applyNumberForma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>
      <alignment vertical="center" wrapText="1"/>
    </xf>
    <xf numFmtId="165" fontId="3" fillId="0" borderId="12" xfId="1" applyNumberFormat="1" applyFont="1" applyFill="1" applyBorder="1" applyAlignment="1">
      <alignment horizontal="right" vertical="center"/>
    </xf>
    <xf numFmtId="165" fontId="3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 wrapText="1"/>
    </xf>
    <xf numFmtId="165" fontId="1" fillId="0" borderId="12" xfId="1" applyNumberFormat="1" applyFont="1" applyFill="1" applyBorder="1" applyAlignment="1">
      <alignment horizontal="right" vertical="center"/>
    </xf>
    <xf numFmtId="0" fontId="7" fillId="0" borderId="0" xfId="0" applyFont="1" applyFill="1"/>
    <xf numFmtId="49" fontId="1" fillId="0" borderId="12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/>
    </xf>
    <xf numFmtId="165" fontId="1" fillId="0" borderId="12" xfId="0" applyNumberFormat="1" applyFont="1" applyFill="1" applyBorder="1" applyAlignment="1">
      <alignment vertical="center"/>
    </xf>
    <xf numFmtId="49" fontId="3" fillId="0" borderId="12" xfId="0" applyNumberFormat="1" applyFont="1" applyFill="1" applyBorder="1" applyAlignment="1">
      <alignment horizontal="left" vertical="center" wrapText="1"/>
    </xf>
    <xf numFmtId="165" fontId="3" fillId="0" borderId="12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vertical="center" wrapText="1"/>
    </xf>
    <xf numFmtId="0" fontId="1" fillId="0" borderId="12" xfId="2" applyFill="1" applyBorder="1" applyAlignment="1">
      <alignment vertical="center" wrapText="1"/>
    </xf>
    <xf numFmtId="165" fontId="3" fillId="0" borderId="12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166" fontId="8" fillId="0" borderId="12" xfId="0" applyNumberFormat="1" applyFont="1" applyFill="1" applyBorder="1" applyAlignment="1">
      <alignment vertical="center" wrapText="1"/>
    </xf>
    <xf numFmtId="166" fontId="1" fillId="0" borderId="12" xfId="1" applyNumberFormat="1" applyFill="1" applyBorder="1" applyAlignment="1">
      <alignment vertical="center"/>
    </xf>
    <xf numFmtId="49" fontId="1" fillId="0" borderId="12" xfId="1" applyNumberForma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2" xfId="1" applyNumberForma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right" vertical="center"/>
    </xf>
    <xf numFmtId="0" fontId="1" fillId="2" borderId="12" xfId="2" applyFill="1" applyBorder="1" applyAlignment="1">
      <alignment vertical="center" wrapText="1"/>
    </xf>
    <xf numFmtId="49" fontId="1" fillId="2" borderId="12" xfId="1" applyNumberForma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165" fontId="1" fillId="2" borderId="12" xfId="0" applyNumberFormat="1" applyFont="1" applyFill="1" applyBorder="1" applyAlignment="1">
      <alignment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right" vertical="center"/>
    </xf>
    <xf numFmtId="166" fontId="1" fillId="0" borderId="12" xfId="0" applyNumberFormat="1" applyFont="1" applyBorder="1"/>
    <xf numFmtId="166" fontId="1" fillId="0" borderId="0" xfId="0" applyNumberFormat="1" applyFont="1"/>
    <xf numFmtId="166" fontId="1" fillId="2" borderId="1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right" vertical="center"/>
    </xf>
    <xf numFmtId="0" fontId="8" fillId="0" borderId="12" xfId="2" applyFont="1" applyFill="1" applyBorder="1" applyAlignment="1">
      <alignment vertical="center" wrapText="1"/>
    </xf>
    <xf numFmtId="165" fontId="3" fillId="0" borderId="0" xfId="0" applyNumberFormat="1" applyFont="1" applyFill="1" applyAlignment="1">
      <alignment horizontal="right" vertical="center"/>
    </xf>
    <xf numFmtId="49" fontId="7" fillId="0" borderId="2" xfId="0" applyNumberFormat="1" applyFont="1" applyFill="1" applyBorder="1" applyAlignment="1">
      <alignment horizontal="center" vertical="center"/>
    </xf>
    <xf numFmtId="165" fontId="7" fillId="0" borderId="12" xfId="0" applyNumberFormat="1" applyFont="1" applyFill="1" applyBorder="1" applyAlignment="1">
      <alignment horizontal="right" vertical="center"/>
    </xf>
    <xf numFmtId="166" fontId="7" fillId="0" borderId="0" xfId="0" applyNumberFormat="1" applyFont="1" applyFill="1"/>
    <xf numFmtId="166" fontId="3" fillId="0" borderId="12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left" vertical="center" wrapText="1"/>
    </xf>
    <xf numFmtId="167" fontId="1" fillId="0" borderId="0" xfId="0" applyNumberFormat="1" applyFont="1" applyFill="1" applyAlignment="1">
      <alignment horizontal="center" vertical="center" wrapText="1"/>
    </xf>
    <xf numFmtId="167" fontId="1" fillId="0" borderId="12" xfId="0" applyNumberFormat="1" applyFont="1" applyFill="1" applyBorder="1" applyAlignment="1">
      <alignment horizontal="center" vertical="center"/>
    </xf>
    <xf numFmtId="167" fontId="1" fillId="0" borderId="0" xfId="0" applyNumberFormat="1" applyFont="1" applyFill="1" applyAlignment="1">
      <alignment vertical="center"/>
    </xf>
    <xf numFmtId="167" fontId="1" fillId="0" borderId="0" xfId="0" applyNumberFormat="1" applyFont="1" applyFill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49" fontId="1" fillId="0" borderId="2" xfId="2" applyNumberFormat="1" applyFill="1" applyBorder="1" applyAlignment="1">
      <alignment horizontal="center" vertical="center" wrapText="1"/>
    </xf>
    <xf numFmtId="49" fontId="1" fillId="0" borderId="12" xfId="2" applyNumberForma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right" vertical="center"/>
    </xf>
    <xf numFmtId="49" fontId="1" fillId="2" borderId="12" xfId="2" applyNumberFormat="1" applyFill="1" applyBorder="1" applyAlignment="1">
      <alignment horizontal="center" vertical="center" wrapText="1"/>
    </xf>
    <xf numFmtId="49" fontId="3" fillId="0" borderId="12" xfId="1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49" fontId="9" fillId="0" borderId="12" xfId="0" applyNumberFormat="1" applyFont="1" applyFill="1" applyBorder="1" applyAlignment="1">
      <alignment horizontal="right" vertical="center" wrapText="1"/>
    </xf>
    <xf numFmtId="166" fontId="1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center" vertical="center"/>
    </xf>
    <xf numFmtId="167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165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 wrapText="1"/>
    </xf>
    <xf numFmtId="0" fontId="3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right" vertical="center"/>
    </xf>
    <xf numFmtId="167" fontId="3" fillId="0" borderId="12" xfId="0" applyNumberFormat="1" applyFont="1" applyFill="1" applyBorder="1" applyAlignment="1">
      <alignment horizontal="center" vertical="center"/>
    </xf>
    <xf numFmtId="166" fontId="1" fillId="0" borderId="6" xfId="0" applyNumberFormat="1" applyFont="1" applyFill="1" applyBorder="1" applyAlignment="1">
      <alignment vertical="center"/>
    </xf>
    <xf numFmtId="167" fontId="1" fillId="0" borderId="12" xfId="0" applyNumberFormat="1" applyFont="1" applyFill="1" applyBorder="1" applyAlignment="1">
      <alignment horizontal="right" vertical="center"/>
    </xf>
    <xf numFmtId="166" fontId="1" fillId="0" borderId="6" xfId="0" applyNumberFormat="1" applyFont="1" applyFill="1" applyBorder="1" applyAlignment="1">
      <alignment vertical="center" wrapText="1"/>
    </xf>
    <xf numFmtId="166" fontId="1" fillId="0" borderId="5" xfId="0" applyNumberFormat="1" applyFont="1" applyFill="1" applyBorder="1" applyAlignment="1">
      <alignment vertical="center" wrapText="1"/>
    </xf>
    <xf numFmtId="166" fontId="1" fillId="0" borderId="5" xfId="0" applyNumberFormat="1" applyFont="1" applyFill="1" applyBorder="1" applyAlignment="1">
      <alignment horizontal="left" vertical="center" wrapText="1"/>
    </xf>
    <xf numFmtId="166" fontId="3" fillId="0" borderId="12" xfId="0" applyNumberFormat="1" applyFont="1" applyFill="1" applyBorder="1" applyAlignment="1">
      <alignment horizontal="center" vertical="center"/>
    </xf>
    <xf numFmtId="49" fontId="1" fillId="0" borderId="2" xfId="1" applyNumberFormat="1" applyFill="1" applyBorder="1" applyAlignment="1">
      <alignment horizontal="center" vertical="center" wrapText="1"/>
    </xf>
    <xf numFmtId="167" fontId="3" fillId="0" borderId="12" xfId="0" applyNumberFormat="1" applyFont="1" applyFill="1" applyBorder="1" applyAlignment="1">
      <alignment horizontal="right" vertical="center"/>
    </xf>
    <xf numFmtId="49" fontId="3" fillId="0" borderId="12" xfId="0" applyNumberFormat="1" applyFont="1" applyFill="1" applyBorder="1" applyAlignment="1">
      <alignment horizontal="right" vertical="center"/>
    </xf>
    <xf numFmtId="166" fontId="1" fillId="0" borderId="0" xfId="0" applyNumberFormat="1" applyFont="1" applyFill="1" applyAlignment="1">
      <alignment horizontal="right" vertical="center"/>
    </xf>
    <xf numFmtId="166" fontId="5" fillId="0" borderId="0" xfId="0" applyNumberFormat="1" applyFont="1" applyFill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67" fontId="1" fillId="2" borderId="12" xfId="0" applyNumberFormat="1" applyFont="1" applyFill="1" applyBorder="1" applyAlignment="1">
      <alignment horizontal="right" vertical="center"/>
    </xf>
    <xf numFmtId="166" fontId="1" fillId="0" borderId="5" xfId="0" applyNumberFormat="1" applyFont="1" applyFill="1" applyBorder="1" applyAlignment="1">
      <alignment vertical="center"/>
    </xf>
    <xf numFmtId="166" fontId="1" fillId="0" borderId="12" xfId="0" applyNumberFormat="1" applyFont="1" applyFill="1" applyBorder="1" applyAlignment="1">
      <alignment horizontal="left" vertical="center"/>
    </xf>
    <xf numFmtId="167" fontId="1" fillId="0" borderId="12" xfId="0" applyNumberFormat="1" applyFont="1" applyFill="1" applyBorder="1" applyAlignment="1">
      <alignment horizontal="right" vertical="center" wrapText="1"/>
    </xf>
    <xf numFmtId="1" fontId="1" fillId="0" borderId="0" xfId="0" applyNumberFormat="1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166" fontId="1" fillId="0" borderId="7" xfId="0" applyNumberFormat="1" applyFont="1" applyFill="1" applyBorder="1" applyAlignment="1">
      <alignment vertical="center" wrapText="1"/>
    </xf>
    <xf numFmtId="166" fontId="1" fillId="0" borderId="7" xfId="0" applyNumberFormat="1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166" fontId="1" fillId="0" borderId="12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/>
    <xf numFmtId="166" fontId="1" fillId="0" borderId="6" xfId="0" applyNumberFormat="1" applyFont="1" applyFill="1" applyBorder="1" applyAlignment="1">
      <alignment horizontal="left" vertical="center" wrapText="1"/>
    </xf>
    <xf numFmtId="49" fontId="7" fillId="0" borderId="12" xfId="0" applyNumberFormat="1" applyFont="1" applyFill="1" applyBorder="1" applyAlignment="1">
      <alignment horizontal="center" vertical="center"/>
    </xf>
    <xf numFmtId="165" fontId="1" fillId="0" borderId="12" xfId="1" applyNumberFormat="1" applyFill="1" applyBorder="1" applyAlignment="1">
      <alignment vertical="center"/>
    </xf>
    <xf numFmtId="165" fontId="7" fillId="0" borderId="12" xfId="1" applyNumberFormat="1" applyFont="1" applyFill="1" applyBorder="1" applyAlignment="1">
      <alignment vertical="center"/>
    </xf>
    <xf numFmtId="165" fontId="1" fillId="2" borderId="12" xfId="1" applyNumberFormat="1" applyFill="1" applyBorder="1" applyAlignment="1">
      <alignment horizontal="right" vertical="center"/>
    </xf>
    <xf numFmtId="165" fontId="3" fillId="0" borderId="12" xfId="1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165" fontId="1" fillId="0" borderId="12" xfId="1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vertical="center" wrapText="1"/>
    </xf>
    <xf numFmtId="49" fontId="1" fillId="0" borderId="12" xfId="3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vertical="center" wrapText="1"/>
    </xf>
    <xf numFmtId="166" fontId="1" fillId="0" borderId="0" xfId="0" applyNumberFormat="1" applyFont="1" applyFill="1" applyAlignment="1">
      <alignment wrapText="1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166" fontId="12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horizontal="left"/>
    </xf>
    <xf numFmtId="0" fontId="1" fillId="0" borderId="0" xfId="3" applyFont="1" applyFill="1" applyAlignment="1">
      <alignment horizontal="left" vertical="center"/>
    </xf>
    <xf numFmtId="0" fontId="8" fillId="0" borderId="0" xfId="3" applyFont="1" applyFill="1" applyAlignment="1">
      <alignment horizontal="left" vertical="center"/>
    </xf>
    <xf numFmtId="166" fontId="3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horizontal="center"/>
    </xf>
    <xf numFmtId="165" fontId="8" fillId="0" borderId="12" xfId="0" applyNumberFormat="1" applyFont="1" applyFill="1" applyBorder="1" applyAlignment="1">
      <alignment horizontal="right" vertical="center" wrapText="1"/>
    </xf>
    <xf numFmtId="166" fontId="1" fillId="0" borderId="0" xfId="0" applyNumberFormat="1" applyFont="1" applyFill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5" fontId="1" fillId="0" borderId="12" xfId="0" applyNumberFormat="1" applyFont="1" applyFill="1" applyBorder="1" applyAlignment="1">
      <alignment horizontal="right" vertical="center" wrapText="1"/>
    </xf>
    <xf numFmtId="165" fontId="8" fillId="0" borderId="12" xfId="0" applyNumberFormat="1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center" vertical="center"/>
    </xf>
    <xf numFmtId="166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/>
    <xf numFmtId="166" fontId="1" fillId="2" borderId="12" xfId="0" applyNumberFormat="1" applyFont="1" applyFill="1" applyBorder="1" applyAlignment="1">
      <alignment horizontal="right"/>
    </xf>
    <xf numFmtId="0" fontId="1" fillId="2" borderId="0" xfId="0" applyFont="1" applyFill="1"/>
    <xf numFmtId="166" fontId="1" fillId="2" borderId="12" xfId="0" applyNumberFormat="1" applyFont="1" applyFill="1" applyBorder="1" applyAlignment="1">
      <alignment horizontal="left" vertical="center"/>
    </xf>
    <xf numFmtId="165" fontId="7" fillId="2" borderId="12" xfId="0" applyNumberFormat="1" applyFont="1" applyFill="1" applyBorder="1" applyAlignment="1">
      <alignment horizontal="right" vertical="center"/>
    </xf>
    <xf numFmtId="49" fontId="3" fillId="0" borderId="12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49" fontId="8" fillId="0" borderId="12" xfId="0" applyNumberFormat="1" applyFont="1" applyFill="1" applyBorder="1" applyAlignment="1">
      <alignment horizontal="left" vertical="center" wrapText="1"/>
    </xf>
    <xf numFmtId="165" fontId="8" fillId="0" borderId="12" xfId="0" applyNumberFormat="1" applyFont="1" applyFill="1" applyBorder="1" applyAlignment="1">
      <alignment horizontal="center" vertical="center" wrapText="1"/>
    </xf>
    <xf numFmtId="166" fontId="1" fillId="0" borderId="12" xfId="0" applyNumberFormat="1" applyFont="1" applyFill="1" applyBorder="1" applyAlignment="1">
      <alignment horizontal="right" vertical="center"/>
    </xf>
    <xf numFmtId="166" fontId="1" fillId="2" borderId="6" xfId="0" applyNumberFormat="1" applyFont="1" applyFill="1" applyBorder="1" applyAlignment="1">
      <alignment vertical="center"/>
    </xf>
    <xf numFmtId="166" fontId="1" fillId="2" borderId="12" xfId="0" applyNumberFormat="1" applyFont="1" applyFill="1" applyBorder="1" applyAlignment="1">
      <alignment horizontal="center" vertical="center"/>
    </xf>
    <xf numFmtId="165" fontId="1" fillId="0" borderId="1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166" fontId="1" fillId="2" borderId="6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7" fontId="5" fillId="2" borderId="12" xfId="0" applyNumberFormat="1" applyFont="1" applyFill="1" applyBorder="1" applyAlignment="1">
      <alignment horizontal="right" vertical="center"/>
    </xf>
    <xf numFmtId="49" fontId="8" fillId="2" borderId="12" xfId="0" applyNumberFormat="1" applyFont="1" applyFill="1" applyBorder="1" applyAlignment="1">
      <alignment horizontal="center" vertical="center"/>
    </xf>
    <xf numFmtId="166" fontId="8" fillId="2" borderId="6" xfId="0" applyNumberFormat="1" applyFont="1" applyFill="1" applyBorder="1" applyAlignment="1">
      <alignment horizontal="left" vertical="center" wrapText="1"/>
    </xf>
    <xf numFmtId="17" fontId="5" fillId="0" borderId="12" xfId="0" applyNumberFormat="1" applyFont="1" applyFill="1" applyBorder="1" applyAlignment="1">
      <alignment horizontal="right" vertical="center"/>
    </xf>
    <xf numFmtId="49" fontId="8" fillId="0" borderId="12" xfId="0" applyNumberFormat="1" applyFont="1" applyFill="1" applyBorder="1" applyAlignment="1">
      <alignment horizontal="center" vertical="center"/>
    </xf>
    <xf numFmtId="166" fontId="8" fillId="0" borderId="6" xfId="0" applyNumberFormat="1" applyFont="1" applyFill="1" applyBorder="1" applyAlignment="1">
      <alignment horizontal="left" vertical="center" wrapText="1"/>
    </xf>
    <xf numFmtId="166" fontId="1" fillId="0" borderId="12" xfId="4" applyNumberFormat="1" applyFill="1" applyBorder="1" applyAlignment="1">
      <alignment vertical="center" wrapText="1"/>
    </xf>
    <xf numFmtId="168" fontId="8" fillId="0" borderId="1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165" fontId="8" fillId="2" borderId="12" xfId="0" applyNumberFormat="1" applyFont="1" applyFill="1" applyBorder="1" applyAlignment="1">
      <alignment horizontal="right" vertical="center"/>
    </xf>
    <xf numFmtId="166" fontId="1" fillId="2" borderId="12" xfId="0" applyNumberFormat="1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horizontal="left" vertical="center" wrapText="1"/>
    </xf>
    <xf numFmtId="166" fontId="1" fillId="0" borderId="12" xfId="1" applyNumberFormat="1" applyFont="1" applyFill="1" applyBorder="1" applyAlignment="1">
      <alignment vertical="center"/>
    </xf>
    <xf numFmtId="49" fontId="1" fillId="0" borderId="12" xfId="1" applyNumberFormat="1" applyFont="1" applyFill="1" applyBorder="1" applyAlignment="1">
      <alignment horizontal="center" vertical="center"/>
    </xf>
    <xf numFmtId="166" fontId="1" fillId="0" borderId="12" xfId="1" applyNumberFormat="1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/>
    </xf>
    <xf numFmtId="166" fontId="1" fillId="0" borderId="0" xfId="0" applyNumberFormat="1" applyFont="1" applyAlignment="1">
      <alignment horizontal="right"/>
    </xf>
    <xf numFmtId="0" fontId="1" fillId="0" borderId="0" xfId="0" applyFont="1"/>
    <xf numFmtId="168" fontId="3" fillId="0" borderId="12" xfId="0" applyNumberFormat="1" applyFont="1" applyFill="1" applyBorder="1" applyAlignment="1">
      <alignment horizontal="center" vertical="center"/>
    </xf>
    <xf numFmtId="166" fontId="8" fillId="0" borderId="6" xfId="0" applyNumberFormat="1" applyFont="1" applyFill="1" applyBorder="1" applyAlignment="1">
      <alignment vertical="center" wrapText="1"/>
    </xf>
    <xf numFmtId="165" fontId="1" fillId="0" borderId="0" xfId="0" applyNumberFormat="1" applyFont="1" applyFill="1"/>
    <xf numFmtId="166" fontId="1" fillId="0" borderId="6" xfId="0" applyNumberFormat="1" applyFont="1" applyFill="1" applyBorder="1" applyAlignment="1">
      <alignment vertical="top" wrapText="1"/>
    </xf>
    <xf numFmtId="49" fontId="3" fillId="2" borderId="12" xfId="0" applyNumberFormat="1" applyFont="1" applyFill="1" applyBorder="1" applyAlignment="1">
      <alignment horizontal="center" vertical="center"/>
    </xf>
    <xf numFmtId="166" fontId="1" fillId="2" borderId="6" xfId="0" applyNumberFormat="1" applyFont="1" applyFill="1" applyBorder="1" applyAlignment="1">
      <alignment vertical="top" wrapText="1"/>
    </xf>
    <xf numFmtId="166" fontId="3" fillId="0" borderId="6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/>
    <xf numFmtId="49" fontId="8" fillId="0" borderId="7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vertical="center" wrapText="1"/>
    </xf>
    <xf numFmtId="0" fontId="1" fillId="0" borderId="0" xfId="3" applyFont="1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69" fontId="1" fillId="0" borderId="0" xfId="1" applyNumberFormat="1" applyFill="1" applyBorder="1" applyAlignment="1">
      <alignment horizontal="right" vertical="center"/>
    </xf>
    <xf numFmtId="49" fontId="1" fillId="0" borderId="12" xfId="0" applyNumberFormat="1" applyFont="1" applyFill="1" applyBorder="1" applyAlignment="1">
      <alignment horizontal="right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/>
    </xf>
    <xf numFmtId="0" fontId="3" fillId="0" borderId="12" xfId="0" applyFont="1" applyBorder="1" applyAlignment="1">
      <alignment horizontal="left" vertical="center" wrapText="1"/>
    </xf>
    <xf numFmtId="167" fontId="3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vertical="center" wrapText="1"/>
    </xf>
    <xf numFmtId="167" fontId="1" fillId="0" borderId="12" xfId="1" applyNumberFormat="1" applyBorder="1" applyAlignment="1">
      <alignment horizontal="right" vertical="center"/>
    </xf>
    <xf numFmtId="169" fontId="1" fillId="0" borderId="12" xfId="1" applyNumberFormat="1" applyBorder="1" applyAlignment="1">
      <alignment horizontal="right" vertical="center"/>
    </xf>
    <xf numFmtId="0" fontId="5" fillId="0" borderId="0" xfId="0" applyFont="1"/>
    <xf numFmtId="0" fontId="5" fillId="0" borderId="12" xfId="0" applyFont="1" applyBorder="1" applyAlignment="1">
      <alignment horizontal="right"/>
    </xf>
    <xf numFmtId="166" fontId="1" fillId="0" borderId="12" xfId="0" applyNumberFormat="1" applyFont="1" applyBorder="1" applyAlignment="1">
      <alignment vertical="center" wrapText="1"/>
    </xf>
    <xf numFmtId="167" fontId="1" fillId="0" borderId="12" xfId="0" applyNumberFormat="1" applyFont="1" applyBorder="1" applyAlignment="1">
      <alignment horizontal="right" vertical="center"/>
    </xf>
    <xf numFmtId="166" fontId="1" fillId="0" borderId="7" xfId="0" applyNumberFormat="1" applyFont="1" applyBorder="1" applyAlignment="1">
      <alignment vertical="center" wrapText="1"/>
    </xf>
    <xf numFmtId="166" fontId="3" fillId="0" borderId="12" xfId="0" applyNumberFormat="1" applyFont="1" applyBorder="1" applyAlignment="1">
      <alignment vertical="center" wrapText="1"/>
    </xf>
    <xf numFmtId="167" fontId="3" fillId="0" borderId="12" xfId="1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right"/>
    </xf>
    <xf numFmtId="167" fontId="3" fillId="0" borderId="12" xfId="0" applyNumberFormat="1" applyFont="1" applyBorder="1" applyAlignment="1">
      <alignment horizontal="right" vertical="center"/>
    </xf>
    <xf numFmtId="166" fontId="5" fillId="0" borderId="0" xfId="0" applyNumberFormat="1" applyFont="1"/>
    <xf numFmtId="166" fontId="1" fillId="0" borderId="0" xfId="0" applyNumberFormat="1" applyFont="1" applyAlignment="1">
      <alignment horizontal="left"/>
    </xf>
    <xf numFmtId="165" fontId="3" fillId="2" borderId="12" xfId="1" applyNumberFormat="1" applyFont="1" applyFill="1" applyBorder="1" applyAlignment="1">
      <alignment horizontal="right" vertical="center"/>
    </xf>
    <xf numFmtId="166" fontId="1" fillId="2" borderId="0" xfId="0" applyNumberFormat="1" applyFont="1" applyFill="1" applyAlignment="1">
      <alignment vertical="center"/>
    </xf>
    <xf numFmtId="165" fontId="3" fillId="2" borderId="12" xfId="0" applyNumberFormat="1" applyFont="1" applyFill="1" applyBorder="1" applyAlignment="1">
      <alignment horizontal="center" vertical="center" wrapText="1"/>
    </xf>
    <xf numFmtId="166" fontId="1" fillId="2" borderId="12" xfId="0" applyNumberFormat="1" applyFont="1" applyFill="1" applyBorder="1"/>
    <xf numFmtId="166" fontId="1" fillId="2" borderId="1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66" fontId="1" fillId="0" borderId="12" xfId="0" applyNumberFormat="1" applyFont="1" applyBorder="1" applyAlignment="1">
      <alignment vertical="center"/>
    </xf>
    <xf numFmtId="167" fontId="1" fillId="0" borderId="0" xfId="0" applyNumberFormat="1" applyFont="1"/>
    <xf numFmtId="49" fontId="1" fillId="0" borderId="12" xfId="0" applyNumberFormat="1" applyFont="1" applyFill="1" applyBorder="1" applyAlignment="1">
      <alignment horizontal="center" vertical="center"/>
    </xf>
    <xf numFmtId="166" fontId="1" fillId="0" borderId="12" xfId="0" applyNumberFormat="1" applyFont="1" applyFill="1" applyBorder="1" applyAlignment="1"/>
    <xf numFmtId="165" fontId="1" fillId="2" borderId="12" xfId="1" applyNumberFormat="1" applyFont="1" applyFill="1" applyBorder="1" applyAlignment="1">
      <alignment vertical="center"/>
    </xf>
    <xf numFmtId="168" fontId="1" fillId="0" borderId="12" xfId="0" applyNumberFormat="1" applyFont="1" applyFill="1" applyBorder="1" applyAlignment="1">
      <alignment vertical="center"/>
    </xf>
    <xf numFmtId="165" fontId="1" fillId="0" borderId="12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/>
    <xf numFmtId="165" fontId="1" fillId="2" borderId="12" xfId="0" applyNumberFormat="1" applyFont="1" applyFill="1" applyBorder="1" applyAlignment="1">
      <alignment horizontal="right" vertical="center" wrapText="1"/>
    </xf>
    <xf numFmtId="166" fontId="8" fillId="0" borderId="0" xfId="0" applyNumberFormat="1" applyFont="1" applyFill="1"/>
    <xf numFmtId="0" fontId="8" fillId="0" borderId="0" xfId="0" applyFont="1" applyFill="1"/>
    <xf numFmtId="166" fontId="8" fillId="0" borderId="1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right" vertical="center"/>
    </xf>
    <xf numFmtId="49" fontId="5" fillId="0" borderId="8" xfId="0" applyNumberFormat="1" applyFont="1" applyFill="1" applyBorder="1" applyAlignment="1">
      <alignment horizontal="right" vertical="center"/>
    </xf>
    <xf numFmtId="49" fontId="5" fillId="0" borderId="11" xfId="0" applyNumberFormat="1" applyFont="1" applyFill="1" applyBorder="1" applyAlignment="1">
      <alignment horizontal="right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" fontId="5" fillId="0" borderId="2" xfId="0" applyNumberFormat="1" applyFont="1" applyFill="1" applyBorder="1" applyAlignment="1">
      <alignment horizontal="right" vertical="center"/>
    </xf>
    <xf numFmtId="17" fontId="5" fillId="0" borderId="11" xfId="0" applyNumberFormat="1" applyFont="1" applyFill="1" applyBorder="1" applyAlignment="1">
      <alignment horizontal="right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right" vertical="center"/>
    </xf>
    <xf numFmtId="49" fontId="1" fillId="0" borderId="1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right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49" fontId="3" fillId="0" borderId="0" xfId="0" applyNumberFormat="1" applyFont="1" applyAlignment="1">
      <alignment horizontal="center" vertical="center" wrapText="1"/>
    </xf>
  </cellXfs>
  <cellStyles count="5">
    <cellStyle name="Įprastas" xfId="0" builtinId="0"/>
    <cellStyle name="Įprastas 2" xfId="3"/>
    <cellStyle name="Normal_biudžetas 6_2009 m 02 men biudzetas." xfId="2"/>
    <cellStyle name="Normal_Sheet1" xfId="4"/>
    <cellStyle name="Normal_Sheet1_2009 m 02 men biudzetas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4"/>
  <sheetViews>
    <sheetView tabSelected="1" workbookViewId="0">
      <selection activeCell="E3" sqref="E3:L3"/>
    </sheetView>
  </sheetViews>
  <sheetFormatPr defaultColWidth="9.109375" defaultRowHeight="13.2" x14ac:dyDescent="0.25"/>
  <cols>
    <col min="1" max="1" width="4.88671875" style="132" customWidth="1"/>
    <col min="2" max="2" width="5" style="1" customWidth="1"/>
    <col min="3" max="3" width="46.88671875" style="4" customWidth="1"/>
    <col min="4" max="4" width="10.44140625" style="3" customWidth="1"/>
    <col min="5" max="6" width="8.5546875" style="4" customWidth="1"/>
    <col min="7" max="8" width="9" style="4" customWidth="1"/>
    <col min="9" max="10" width="10.88671875" style="4" customWidth="1"/>
    <col min="11" max="11" width="8.33203125" style="4" customWidth="1"/>
    <col min="12" max="13" width="9.109375" style="2" customWidth="1"/>
    <col min="14" max="14" width="11.6640625" style="2" customWidth="1"/>
    <col min="15" max="15" width="9.109375" style="2" customWidth="1"/>
    <col min="16" max="16" width="10.88671875" style="2" customWidth="1"/>
    <col min="17" max="17" width="9.88671875" style="2" customWidth="1"/>
    <col min="18" max="23" width="9.109375" style="2" customWidth="1"/>
    <col min="24" max="259" width="9.109375" style="2"/>
    <col min="260" max="260" width="5.88671875" style="2" customWidth="1"/>
    <col min="261" max="261" width="5" style="2" customWidth="1"/>
    <col min="262" max="262" width="44.33203125" style="2" customWidth="1"/>
    <col min="263" max="263" width="10.44140625" style="2" customWidth="1"/>
    <col min="264" max="264" width="9.44140625" style="2" customWidth="1"/>
    <col min="265" max="265" width="9" style="2" customWidth="1"/>
    <col min="266" max="266" width="10.88671875" style="2" customWidth="1"/>
    <col min="267" max="267" width="8.33203125" style="2" customWidth="1"/>
    <col min="268" max="272" width="9.109375" style="2" customWidth="1"/>
    <col min="273" max="273" width="9.88671875" style="2" customWidth="1"/>
    <col min="274" max="279" width="9.109375" style="2" customWidth="1"/>
    <col min="280" max="515" width="9.109375" style="2"/>
    <col min="516" max="516" width="5.88671875" style="2" customWidth="1"/>
    <col min="517" max="517" width="5" style="2" customWidth="1"/>
    <col min="518" max="518" width="44.33203125" style="2" customWidth="1"/>
    <col min="519" max="519" width="10.44140625" style="2" customWidth="1"/>
    <col min="520" max="520" width="9.44140625" style="2" customWidth="1"/>
    <col min="521" max="521" width="9" style="2" customWidth="1"/>
    <col min="522" max="522" width="10.88671875" style="2" customWidth="1"/>
    <col min="523" max="523" width="8.33203125" style="2" customWidth="1"/>
    <col min="524" max="528" width="9.109375" style="2" customWidth="1"/>
    <col min="529" max="529" width="9.88671875" style="2" customWidth="1"/>
    <col min="530" max="535" width="9.109375" style="2" customWidth="1"/>
    <col min="536" max="771" width="9.109375" style="2"/>
    <col min="772" max="772" width="5.88671875" style="2" customWidth="1"/>
    <col min="773" max="773" width="5" style="2" customWidth="1"/>
    <col min="774" max="774" width="44.33203125" style="2" customWidth="1"/>
    <col min="775" max="775" width="10.44140625" style="2" customWidth="1"/>
    <col min="776" max="776" width="9.44140625" style="2" customWidth="1"/>
    <col min="777" max="777" width="9" style="2" customWidth="1"/>
    <col min="778" max="778" width="10.88671875" style="2" customWidth="1"/>
    <col min="779" max="779" width="8.33203125" style="2" customWidth="1"/>
    <col min="780" max="784" width="9.109375" style="2" customWidth="1"/>
    <col min="785" max="785" width="9.88671875" style="2" customWidth="1"/>
    <col min="786" max="791" width="9.109375" style="2" customWidth="1"/>
    <col min="792" max="1027" width="9.109375" style="2"/>
    <col min="1028" max="1028" width="5.88671875" style="2" customWidth="1"/>
    <col min="1029" max="1029" width="5" style="2" customWidth="1"/>
    <col min="1030" max="1030" width="44.33203125" style="2" customWidth="1"/>
    <col min="1031" max="1031" width="10.44140625" style="2" customWidth="1"/>
    <col min="1032" max="1032" width="9.44140625" style="2" customWidth="1"/>
    <col min="1033" max="1033" width="9" style="2" customWidth="1"/>
    <col min="1034" max="1034" width="10.88671875" style="2" customWidth="1"/>
    <col min="1035" max="1035" width="8.33203125" style="2" customWidth="1"/>
    <col min="1036" max="1040" width="9.109375" style="2" customWidth="1"/>
    <col min="1041" max="1041" width="9.88671875" style="2" customWidth="1"/>
    <col min="1042" max="1047" width="9.109375" style="2" customWidth="1"/>
    <col min="1048" max="1283" width="9.109375" style="2"/>
    <col min="1284" max="1284" width="5.88671875" style="2" customWidth="1"/>
    <col min="1285" max="1285" width="5" style="2" customWidth="1"/>
    <col min="1286" max="1286" width="44.33203125" style="2" customWidth="1"/>
    <col min="1287" max="1287" width="10.44140625" style="2" customWidth="1"/>
    <col min="1288" max="1288" width="9.44140625" style="2" customWidth="1"/>
    <col min="1289" max="1289" width="9" style="2" customWidth="1"/>
    <col min="1290" max="1290" width="10.88671875" style="2" customWidth="1"/>
    <col min="1291" max="1291" width="8.33203125" style="2" customWidth="1"/>
    <col min="1292" max="1296" width="9.109375" style="2" customWidth="1"/>
    <col min="1297" max="1297" width="9.88671875" style="2" customWidth="1"/>
    <col min="1298" max="1303" width="9.109375" style="2" customWidth="1"/>
    <col min="1304" max="1539" width="9.109375" style="2"/>
    <col min="1540" max="1540" width="5.88671875" style="2" customWidth="1"/>
    <col min="1541" max="1541" width="5" style="2" customWidth="1"/>
    <col min="1542" max="1542" width="44.33203125" style="2" customWidth="1"/>
    <col min="1543" max="1543" width="10.44140625" style="2" customWidth="1"/>
    <col min="1544" max="1544" width="9.44140625" style="2" customWidth="1"/>
    <col min="1545" max="1545" width="9" style="2" customWidth="1"/>
    <col min="1546" max="1546" width="10.88671875" style="2" customWidth="1"/>
    <col min="1547" max="1547" width="8.33203125" style="2" customWidth="1"/>
    <col min="1548" max="1552" width="9.109375" style="2" customWidth="1"/>
    <col min="1553" max="1553" width="9.88671875" style="2" customWidth="1"/>
    <col min="1554" max="1559" width="9.109375" style="2" customWidth="1"/>
    <col min="1560" max="1795" width="9.109375" style="2"/>
    <col min="1796" max="1796" width="5.88671875" style="2" customWidth="1"/>
    <col min="1797" max="1797" width="5" style="2" customWidth="1"/>
    <col min="1798" max="1798" width="44.33203125" style="2" customWidth="1"/>
    <col min="1799" max="1799" width="10.44140625" style="2" customWidth="1"/>
    <col min="1800" max="1800" width="9.44140625" style="2" customWidth="1"/>
    <col min="1801" max="1801" width="9" style="2" customWidth="1"/>
    <col min="1802" max="1802" width="10.88671875" style="2" customWidth="1"/>
    <col min="1803" max="1803" width="8.33203125" style="2" customWidth="1"/>
    <col min="1804" max="1808" width="9.109375" style="2" customWidth="1"/>
    <col min="1809" max="1809" width="9.88671875" style="2" customWidth="1"/>
    <col min="1810" max="1815" width="9.109375" style="2" customWidth="1"/>
    <col min="1816" max="2051" width="9.109375" style="2"/>
    <col min="2052" max="2052" width="5.88671875" style="2" customWidth="1"/>
    <col min="2053" max="2053" width="5" style="2" customWidth="1"/>
    <col min="2054" max="2054" width="44.33203125" style="2" customWidth="1"/>
    <col min="2055" max="2055" width="10.44140625" style="2" customWidth="1"/>
    <col min="2056" max="2056" width="9.44140625" style="2" customWidth="1"/>
    <col min="2057" max="2057" width="9" style="2" customWidth="1"/>
    <col min="2058" max="2058" width="10.88671875" style="2" customWidth="1"/>
    <col min="2059" max="2059" width="8.33203125" style="2" customWidth="1"/>
    <col min="2060" max="2064" width="9.109375" style="2" customWidth="1"/>
    <col min="2065" max="2065" width="9.88671875" style="2" customWidth="1"/>
    <col min="2066" max="2071" width="9.109375" style="2" customWidth="1"/>
    <col min="2072" max="2307" width="9.109375" style="2"/>
    <col min="2308" max="2308" width="5.88671875" style="2" customWidth="1"/>
    <col min="2309" max="2309" width="5" style="2" customWidth="1"/>
    <col min="2310" max="2310" width="44.33203125" style="2" customWidth="1"/>
    <col min="2311" max="2311" width="10.44140625" style="2" customWidth="1"/>
    <col min="2312" max="2312" width="9.44140625" style="2" customWidth="1"/>
    <col min="2313" max="2313" width="9" style="2" customWidth="1"/>
    <col min="2314" max="2314" width="10.88671875" style="2" customWidth="1"/>
    <col min="2315" max="2315" width="8.33203125" style="2" customWidth="1"/>
    <col min="2316" max="2320" width="9.109375" style="2" customWidth="1"/>
    <col min="2321" max="2321" width="9.88671875" style="2" customWidth="1"/>
    <col min="2322" max="2327" width="9.109375" style="2" customWidth="1"/>
    <col min="2328" max="2563" width="9.109375" style="2"/>
    <col min="2564" max="2564" width="5.88671875" style="2" customWidth="1"/>
    <col min="2565" max="2565" width="5" style="2" customWidth="1"/>
    <col min="2566" max="2566" width="44.33203125" style="2" customWidth="1"/>
    <col min="2567" max="2567" width="10.44140625" style="2" customWidth="1"/>
    <col min="2568" max="2568" width="9.44140625" style="2" customWidth="1"/>
    <col min="2569" max="2569" width="9" style="2" customWidth="1"/>
    <col min="2570" max="2570" width="10.88671875" style="2" customWidth="1"/>
    <col min="2571" max="2571" width="8.33203125" style="2" customWidth="1"/>
    <col min="2572" max="2576" width="9.109375" style="2" customWidth="1"/>
    <col min="2577" max="2577" width="9.88671875" style="2" customWidth="1"/>
    <col min="2578" max="2583" width="9.109375" style="2" customWidth="1"/>
    <col min="2584" max="2819" width="9.109375" style="2"/>
    <col min="2820" max="2820" width="5.88671875" style="2" customWidth="1"/>
    <col min="2821" max="2821" width="5" style="2" customWidth="1"/>
    <col min="2822" max="2822" width="44.33203125" style="2" customWidth="1"/>
    <col min="2823" max="2823" width="10.44140625" style="2" customWidth="1"/>
    <col min="2824" max="2824" width="9.44140625" style="2" customWidth="1"/>
    <col min="2825" max="2825" width="9" style="2" customWidth="1"/>
    <col min="2826" max="2826" width="10.88671875" style="2" customWidth="1"/>
    <col min="2827" max="2827" width="8.33203125" style="2" customWidth="1"/>
    <col min="2828" max="2832" width="9.109375" style="2" customWidth="1"/>
    <col min="2833" max="2833" width="9.88671875" style="2" customWidth="1"/>
    <col min="2834" max="2839" width="9.109375" style="2" customWidth="1"/>
    <col min="2840" max="3075" width="9.109375" style="2"/>
    <col min="3076" max="3076" width="5.88671875" style="2" customWidth="1"/>
    <col min="3077" max="3077" width="5" style="2" customWidth="1"/>
    <col min="3078" max="3078" width="44.33203125" style="2" customWidth="1"/>
    <col min="3079" max="3079" width="10.44140625" style="2" customWidth="1"/>
    <col min="3080" max="3080" width="9.44140625" style="2" customWidth="1"/>
    <col min="3081" max="3081" width="9" style="2" customWidth="1"/>
    <col min="3082" max="3082" width="10.88671875" style="2" customWidth="1"/>
    <col min="3083" max="3083" width="8.33203125" style="2" customWidth="1"/>
    <col min="3084" max="3088" width="9.109375" style="2" customWidth="1"/>
    <col min="3089" max="3089" width="9.88671875" style="2" customWidth="1"/>
    <col min="3090" max="3095" width="9.109375" style="2" customWidth="1"/>
    <col min="3096" max="3331" width="9.109375" style="2"/>
    <col min="3332" max="3332" width="5.88671875" style="2" customWidth="1"/>
    <col min="3333" max="3333" width="5" style="2" customWidth="1"/>
    <col min="3334" max="3334" width="44.33203125" style="2" customWidth="1"/>
    <col min="3335" max="3335" width="10.44140625" style="2" customWidth="1"/>
    <col min="3336" max="3336" width="9.44140625" style="2" customWidth="1"/>
    <col min="3337" max="3337" width="9" style="2" customWidth="1"/>
    <col min="3338" max="3338" width="10.88671875" style="2" customWidth="1"/>
    <col min="3339" max="3339" width="8.33203125" style="2" customWidth="1"/>
    <col min="3340" max="3344" width="9.109375" style="2" customWidth="1"/>
    <col min="3345" max="3345" width="9.88671875" style="2" customWidth="1"/>
    <col min="3346" max="3351" width="9.109375" style="2" customWidth="1"/>
    <col min="3352" max="3587" width="9.109375" style="2"/>
    <col min="3588" max="3588" width="5.88671875" style="2" customWidth="1"/>
    <col min="3589" max="3589" width="5" style="2" customWidth="1"/>
    <col min="3590" max="3590" width="44.33203125" style="2" customWidth="1"/>
    <col min="3591" max="3591" width="10.44140625" style="2" customWidth="1"/>
    <col min="3592" max="3592" width="9.44140625" style="2" customWidth="1"/>
    <col min="3593" max="3593" width="9" style="2" customWidth="1"/>
    <col min="3594" max="3594" width="10.88671875" style="2" customWidth="1"/>
    <col min="3595" max="3595" width="8.33203125" style="2" customWidth="1"/>
    <col min="3596" max="3600" width="9.109375" style="2" customWidth="1"/>
    <col min="3601" max="3601" width="9.88671875" style="2" customWidth="1"/>
    <col min="3602" max="3607" width="9.109375" style="2" customWidth="1"/>
    <col min="3608" max="3843" width="9.109375" style="2"/>
    <col min="3844" max="3844" width="5.88671875" style="2" customWidth="1"/>
    <col min="3845" max="3845" width="5" style="2" customWidth="1"/>
    <col min="3846" max="3846" width="44.33203125" style="2" customWidth="1"/>
    <col min="3847" max="3847" width="10.44140625" style="2" customWidth="1"/>
    <col min="3848" max="3848" width="9.44140625" style="2" customWidth="1"/>
    <col min="3849" max="3849" width="9" style="2" customWidth="1"/>
    <col min="3850" max="3850" width="10.88671875" style="2" customWidth="1"/>
    <col min="3851" max="3851" width="8.33203125" style="2" customWidth="1"/>
    <col min="3852" max="3856" width="9.109375" style="2" customWidth="1"/>
    <col min="3857" max="3857" width="9.88671875" style="2" customWidth="1"/>
    <col min="3858" max="3863" width="9.109375" style="2" customWidth="1"/>
    <col min="3864" max="4099" width="9.109375" style="2"/>
    <col min="4100" max="4100" width="5.88671875" style="2" customWidth="1"/>
    <col min="4101" max="4101" width="5" style="2" customWidth="1"/>
    <col min="4102" max="4102" width="44.33203125" style="2" customWidth="1"/>
    <col min="4103" max="4103" width="10.44140625" style="2" customWidth="1"/>
    <col min="4104" max="4104" width="9.44140625" style="2" customWidth="1"/>
    <col min="4105" max="4105" width="9" style="2" customWidth="1"/>
    <col min="4106" max="4106" width="10.88671875" style="2" customWidth="1"/>
    <col min="4107" max="4107" width="8.33203125" style="2" customWidth="1"/>
    <col min="4108" max="4112" width="9.109375" style="2" customWidth="1"/>
    <col min="4113" max="4113" width="9.88671875" style="2" customWidth="1"/>
    <col min="4114" max="4119" width="9.109375" style="2" customWidth="1"/>
    <col min="4120" max="4355" width="9.109375" style="2"/>
    <col min="4356" max="4356" width="5.88671875" style="2" customWidth="1"/>
    <col min="4357" max="4357" width="5" style="2" customWidth="1"/>
    <col min="4358" max="4358" width="44.33203125" style="2" customWidth="1"/>
    <col min="4359" max="4359" width="10.44140625" style="2" customWidth="1"/>
    <col min="4360" max="4360" width="9.44140625" style="2" customWidth="1"/>
    <col min="4361" max="4361" width="9" style="2" customWidth="1"/>
    <col min="4362" max="4362" width="10.88671875" style="2" customWidth="1"/>
    <col min="4363" max="4363" width="8.33203125" style="2" customWidth="1"/>
    <col min="4364" max="4368" width="9.109375" style="2" customWidth="1"/>
    <col min="4369" max="4369" width="9.88671875" style="2" customWidth="1"/>
    <col min="4370" max="4375" width="9.109375" style="2" customWidth="1"/>
    <col min="4376" max="4611" width="9.109375" style="2"/>
    <col min="4612" max="4612" width="5.88671875" style="2" customWidth="1"/>
    <col min="4613" max="4613" width="5" style="2" customWidth="1"/>
    <col min="4614" max="4614" width="44.33203125" style="2" customWidth="1"/>
    <col min="4615" max="4615" width="10.44140625" style="2" customWidth="1"/>
    <col min="4616" max="4616" width="9.44140625" style="2" customWidth="1"/>
    <col min="4617" max="4617" width="9" style="2" customWidth="1"/>
    <col min="4618" max="4618" width="10.88671875" style="2" customWidth="1"/>
    <col min="4619" max="4619" width="8.33203125" style="2" customWidth="1"/>
    <col min="4620" max="4624" width="9.109375" style="2" customWidth="1"/>
    <col min="4625" max="4625" width="9.88671875" style="2" customWidth="1"/>
    <col min="4626" max="4631" width="9.109375" style="2" customWidth="1"/>
    <col min="4632" max="4867" width="9.109375" style="2"/>
    <col min="4868" max="4868" width="5.88671875" style="2" customWidth="1"/>
    <col min="4869" max="4869" width="5" style="2" customWidth="1"/>
    <col min="4870" max="4870" width="44.33203125" style="2" customWidth="1"/>
    <col min="4871" max="4871" width="10.44140625" style="2" customWidth="1"/>
    <col min="4872" max="4872" width="9.44140625" style="2" customWidth="1"/>
    <col min="4873" max="4873" width="9" style="2" customWidth="1"/>
    <col min="4874" max="4874" width="10.88671875" style="2" customWidth="1"/>
    <col min="4875" max="4875" width="8.33203125" style="2" customWidth="1"/>
    <col min="4876" max="4880" width="9.109375" style="2" customWidth="1"/>
    <col min="4881" max="4881" width="9.88671875" style="2" customWidth="1"/>
    <col min="4882" max="4887" width="9.109375" style="2" customWidth="1"/>
    <col min="4888" max="5123" width="9.109375" style="2"/>
    <col min="5124" max="5124" width="5.88671875" style="2" customWidth="1"/>
    <col min="5125" max="5125" width="5" style="2" customWidth="1"/>
    <col min="5126" max="5126" width="44.33203125" style="2" customWidth="1"/>
    <col min="5127" max="5127" width="10.44140625" style="2" customWidth="1"/>
    <col min="5128" max="5128" width="9.44140625" style="2" customWidth="1"/>
    <col min="5129" max="5129" width="9" style="2" customWidth="1"/>
    <col min="5130" max="5130" width="10.88671875" style="2" customWidth="1"/>
    <col min="5131" max="5131" width="8.33203125" style="2" customWidth="1"/>
    <col min="5132" max="5136" width="9.109375" style="2" customWidth="1"/>
    <col min="5137" max="5137" width="9.88671875" style="2" customWidth="1"/>
    <col min="5138" max="5143" width="9.109375" style="2" customWidth="1"/>
    <col min="5144" max="5379" width="9.109375" style="2"/>
    <col min="5380" max="5380" width="5.88671875" style="2" customWidth="1"/>
    <col min="5381" max="5381" width="5" style="2" customWidth="1"/>
    <col min="5382" max="5382" width="44.33203125" style="2" customWidth="1"/>
    <col min="5383" max="5383" width="10.44140625" style="2" customWidth="1"/>
    <col min="5384" max="5384" width="9.44140625" style="2" customWidth="1"/>
    <col min="5385" max="5385" width="9" style="2" customWidth="1"/>
    <col min="5386" max="5386" width="10.88671875" style="2" customWidth="1"/>
    <col min="5387" max="5387" width="8.33203125" style="2" customWidth="1"/>
    <col min="5388" max="5392" width="9.109375" style="2" customWidth="1"/>
    <col min="5393" max="5393" width="9.88671875" style="2" customWidth="1"/>
    <col min="5394" max="5399" width="9.109375" style="2" customWidth="1"/>
    <col min="5400" max="5635" width="9.109375" style="2"/>
    <col min="5636" max="5636" width="5.88671875" style="2" customWidth="1"/>
    <col min="5637" max="5637" width="5" style="2" customWidth="1"/>
    <col min="5638" max="5638" width="44.33203125" style="2" customWidth="1"/>
    <col min="5639" max="5639" width="10.44140625" style="2" customWidth="1"/>
    <col min="5640" max="5640" width="9.44140625" style="2" customWidth="1"/>
    <col min="5641" max="5641" width="9" style="2" customWidth="1"/>
    <col min="5642" max="5642" width="10.88671875" style="2" customWidth="1"/>
    <col min="5643" max="5643" width="8.33203125" style="2" customWidth="1"/>
    <col min="5644" max="5648" width="9.109375" style="2" customWidth="1"/>
    <col min="5649" max="5649" width="9.88671875" style="2" customWidth="1"/>
    <col min="5650" max="5655" width="9.109375" style="2" customWidth="1"/>
    <col min="5656" max="5891" width="9.109375" style="2"/>
    <col min="5892" max="5892" width="5.88671875" style="2" customWidth="1"/>
    <col min="5893" max="5893" width="5" style="2" customWidth="1"/>
    <col min="5894" max="5894" width="44.33203125" style="2" customWidth="1"/>
    <col min="5895" max="5895" width="10.44140625" style="2" customWidth="1"/>
    <col min="5896" max="5896" width="9.44140625" style="2" customWidth="1"/>
    <col min="5897" max="5897" width="9" style="2" customWidth="1"/>
    <col min="5898" max="5898" width="10.88671875" style="2" customWidth="1"/>
    <col min="5899" max="5899" width="8.33203125" style="2" customWidth="1"/>
    <col min="5900" max="5904" width="9.109375" style="2" customWidth="1"/>
    <col min="5905" max="5905" width="9.88671875" style="2" customWidth="1"/>
    <col min="5906" max="5911" width="9.109375" style="2" customWidth="1"/>
    <col min="5912" max="6147" width="9.109375" style="2"/>
    <col min="6148" max="6148" width="5.88671875" style="2" customWidth="1"/>
    <col min="6149" max="6149" width="5" style="2" customWidth="1"/>
    <col min="6150" max="6150" width="44.33203125" style="2" customWidth="1"/>
    <col min="6151" max="6151" width="10.44140625" style="2" customWidth="1"/>
    <col min="6152" max="6152" width="9.44140625" style="2" customWidth="1"/>
    <col min="6153" max="6153" width="9" style="2" customWidth="1"/>
    <col min="6154" max="6154" width="10.88671875" style="2" customWidth="1"/>
    <col min="6155" max="6155" width="8.33203125" style="2" customWidth="1"/>
    <col min="6156" max="6160" width="9.109375" style="2" customWidth="1"/>
    <col min="6161" max="6161" width="9.88671875" style="2" customWidth="1"/>
    <col min="6162" max="6167" width="9.109375" style="2" customWidth="1"/>
    <col min="6168" max="6403" width="9.109375" style="2"/>
    <col min="6404" max="6404" width="5.88671875" style="2" customWidth="1"/>
    <col min="6405" max="6405" width="5" style="2" customWidth="1"/>
    <col min="6406" max="6406" width="44.33203125" style="2" customWidth="1"/>
    <col min="6407" max="6407" width="10.44140625" style="2" customWidth="1"/>
    <col min="6408" max="6408" width="9.44140625" style="2" customWidth="1"/>
    <col min="6409" max="6409" width="9" style="2" customWidth="1"/>
    <col min="6410" max="6410" width="10.88671875" style="2" customWidth="1"/>
    <col min="6411" max="6411" width="8.33203125" style="2" customWidth="1"/>
    <col min="6412" max="6416" width="9.109375" style="2" customWidth="1"/>
    <col min="6417" max="6417" width="9.88671875" style="2" customWidth="1"/>
    <col min="6418" max="6423" width="9.109375" style="2" customWidth="1"/>
    <col min="6424" max="6659" width="9.109375" style="2"/>
    <col min="6660" max="6660" width="5.88671875" style="2" customWidth="1"/>
    <col min="6661" max="6661" width="5" style="2" customWidth="1"/>
    <col min="6662" max="6662" width="44.33203125" style="2" customWidth="1"/>
    <col min="6663" max="6663" width="10.44140625" style="2" customWidth="1"/>
    <col min="6664" max="6664" width="9.44140625" style="2" customWidth="1"/>
    <col min="6665" max="6665" width="9" style="2" customWidth="1"/>
    <col min="6666" max="6666" width="10.88671875" style="2" customWidth="1"/>
    <col min="6667" max="6667" width="8.33203125" style="2" customWidth="1"/>
    <col min="6668" max="6672" width="9.109375" style="2" customWidth="1"/>
    <col min="6673" max="6673" width="9.88671875" style="2" customWidth="1"/>
    <col min="6674" max="6679" width="9.109375" style="2" customWidth="1"/>
    <col min="6680" max="6915" width="9.109375" style="2"/>
    <col min="6916" max="6916" width="5.88671875" style="2" customWidth="1"/>
    <col min="6917" max="6917" width="5" style="2" customWidth="1"/>
    <col min="6918" max="6918" width="44.33203125" style="2" customWidth="1"/>
    <col min="6919" max="6919" width="10.44140625" style="2" customWidth="1"/>
    <col min="6920" max="6920" width="9.44140625" style="2" customWidth="1"/>
    <col min="6921" max="6921" width="9" style="2" customWidth="1"/>
    <col min="6922" max="6922" width="10.88671875" style="2" customWidth="1"/>
    <col min="6923" max="6923" width="8.33203125" style="2" customWidth="1"/>
    <col min="6924" max="6928" width="9.109375" style="2" customWidth="1"/>
    <col min="6929" max="6929" width="9.88671875" style="2" customWidth="1"/>
    <col min="6930" max="6935" width="9.109375" style="2" customWidth="1"/>
    <col min="6936" max="7171" width="9.109375" style="2"/>
    <col min="7172" max="7172" width="5.88671875" style="2" customWidth="1"/>
    <col min="7173" max="7173" width="5" style="2" customWidth="1"/>
    <col min="7174" max="7174" width="44.33203125" style="2" customWidth="1"/>
    <col min="7175" max="7175" width="10.44140625" style="2" customWidth="1"/>
    <col min="7176" max="7176" width="9.44140625" style="2" customWidth="1"/>
    <col min="7177" max="7177" width="9" style="2" customWidth="1"/>
    <col min="7178" max="7178" width="10.88671875" style="2" customWidth="1"/>
    <col min="7179" max="7179" width="8.33203125" style="2" customWidth="1"/>
    <col min="7180" max="7184" width="9.109375" style="2" customWidth="1"/>
    <col min="7185" max="7185" width="9.88671875" style="2" customWidth="1"/>
    <col min="7186" max="7191" width="9.109375" style="2" customWidth="1"/>
    <col min="7192" max="7427" width="9.109375" style="2"/>
    <col min="7428" max="7428" width="5.88671875" style="2" customWidth="1"/>
    <col min="7429" max="7429" width="5" style="2" customWidth="1"/>
    <col min="7430" max="7430" width="44.33203125" style="2" customWidth="1"/>
    <col min="7431" max="7431" width="10.44140625" style="2" customWidth="1"/>
    <col min="7432" max="7432" width="9.44140625" style="2" customWidth="1"/>
    <col min="7433" max="7433" width="9" style="2" customWidth="1"/>
    <col min="7434" max="7434" width="10.88671875" style="2" customWidth="1"/>
    <col min="7435" max="7435" width="8.33203125" style="2" customWidth="1"/>
    <col min="7436" max="7440" width="9.109375" style="2" customWidth="1"/>
    <col min="7441" max="7441" width="9.88671875" style="2" customWidth="1"/>
    <col min="7442" max="7447" width="9.109375" style="2" customWidth="1"/>
    <col min="7448" max="7683" width="9.109375" style="2"/>
    <col min="7684" max="7684" width="5.88671875" style="2" customWidth="1"/>
    <col min="7685" max="7685" width="5" style="2" customWidth="1"/>
    <col min="7686" max="7686" width="44.33203125" style="2" customWidth="1"/>
    <col min="7687" max="7687" width="10.44140625" style="2" customWidth="1"/>
    <col min="7688" max="7688" width="9.44140625" style="2" customWidth="1"/>
    <col min="7689" max="7689" width="9" style="2" customWidth="1"/>
    <col min="7690" max="7690" width="10.88671875" style="2" customWidth="1"/>
    <col min="7691" max="7691" width="8.33203125" style="2" customWidth="1"/>
    <col min="7692" max="7696" width="9.109375" style="2" customWidth="1"/>
    <col min="7697" max="7697" width="9.88671875" style="2" customWidth="1"/>
    <col min="7698" max="7703" width="9.109375" style="2" customWidth="1"/>
    <col min="7704" max="7939" width="9.109375" style="2"/>
    <col min="7940" max="7940" width="5.88671875" style="2" customWidth="1"/>
    <col min="7941" max="7941" width="5" style="2" customWidth="1"/>
    <col min="7942" max="7942" width="44.33203125" style="2" customWidth="1"/>
    <col min="7943" max="7943" width="10.44140625" style="2" customWidth="1"/>
    <col min="7944" max="7944" width="9.44140625" style="2" customWidth="1"/>
    <col min="7945" max="7945" width="9" style="2" customWidth="1"/>
    <col min="7946" max="7946" width="10.88671875" style="2" customWidth="1"/>
    <col min="7947" max="7947" width="8.33203125" style="2" customWidth="1"/>
    <col min="7948" max="7952" width="9.109375" style="2" customWidth="1"/>
    <col min="7953" max="7953" width="9.88671875" style="2" customWidth="1"/>
    <col min="7954" max="7959" width="9.109375" style="2" customWidth="1"/>
    <col min="7960" max="8195" width="9.109375" style="2"/>
    <col min="8196" max="8196" width="5.88671875" style="2" customWidth="1"/>
    <col min="8197" max="8197" width="5" style="2" customWidth="1"/>
    <col min="8198" max="8198" width="44.33203125" style="2" customWidth="1"/>
    <col min="8199" max="8199" width="10.44140625" style="2" customWidth="1"/>
    <col min="8200" max="8200" width="9.44140625" style="2" customWidth="1"/>
    <col min="8201" max="8201" width="9" style="2" customWidth="1"/>
    <col min="8202" max="8202" width="10.88671875" style="2" customWidth="1"/>
    <col min="8203" max="8203" width="8.33203125" style="2" customWidth="1"/>
    <col min="8204" max="8208" width="9.109375" style="2" customWidth="1"/>
    <col min="8209" max="8209" width="9.88671875" style="2" customWidth="1"/>
    <col min="8210" max="8215" width="9.109375" style="2" customWidth="1"/>
    <col min="8216" max="8451" width="9.109375" style="2"/>
    <col min="8452" max="8452" width="5.88671875" style="2" customWidth="1"/>
    <col min="8453" max="8453" width="5" style="2" customWidth="1"/>
    <col min="8454" max="8454" width="44.33203125" style="2" customWidth="1"/>
    <col min="8455" max="8455" width="10.44140625" style="2" customWidth="1"/>
    <col min="8456" max="8456" width="9.44140625" style="2" customWidth="1"/>
    <col min="8457" max="8457" width="9" style="2" customWidth="1"/>
    <col min="8458" max="8458" width="10.88671875" style="2" customWidth="1"/>
    <col min="8459" max="8459" width="8.33203125" style="2" customWidth="1"/>
    <col min="8460" max="8464" width="9.109375" style="2" customWidth="1"/>
    <col min="8465" max="8465" width="9.88671875" style="2" customWidth="1"/>
    <col min="8466" max="8471" width="9.109375" style="2" customWidth="1"/>
    <col min="8472" max="8707" width="9.109375" style="2"/>
    <col min="8708" max="8708" width="5.88671875" style="2" customWidth="1"/>
    <col min="8709" max="8709" width="5" style="2" customWidth="1"/>
    <col min="8710" max="8710" width="44.33203125" style="2" customWidth="1"/>
    <col min="8711" max="8711" width="10.44140625" style="2" customWidth="1"/>
    <col min="8712" max="8712" width="9.44140625" style="2" customWidth="1"/>
    <col min="8713" max="8713" width="9" style="2" customWidth="1"/>
    <col min="8714" max="8714" width="10.88671875" style="2" customWidth="1"/>
    <col min="8715" max="8715" width="8.33203125" style="2" customWidth="1"/>
    <col min="8716" max="8720" width="9.109375" style="2" customWidth="1"/>
    <col min="8721" max="8721" width="9.88671875" style="2" customWidth="1"/>
    <col min="8722" max="8727" width="9.109375" style="2" customWidth="1"/>
    <col min="8728" max="8963" width="9.109375" style="2"/>
    <col min="8964" max="8964" width="5.88671875" style="2" customWidth="1"/>
    <col min="8965" max="8965" width="5" style="2" customWidth="1"/>
    <col min="8966" max="8966" width="44.33203125" style="2" customWidth="1"/>
    <col min="8967" max="8967" width="10.44140625" style="2" customWidth="1"/>
    <col min="8968" max="8968" width="9.44140625" style="2" customWidth="1"/>
    <col min="8969" max="8969" width="9" style="2" customWidth="1"/>
    <col min="8970" max="8970" width="10.88671875" style="2" customWidth="1"/>
    <col min="8971" max="8971" width="8.33203125" style="2" customWidth="1"/>
    <col min="8972" max="8976" width="9.109375" style="2" customWidth="1"/>
    <col min="8977" max="8977" width="9.88671875" style="2" customWidth="1"/>
    <col min="8978" max="8983" width="9.109375" style="2" customWidth="1"/>
    <col min="8984" max="9219" width="9.109375" style="2"/>
    <col min="9220" max="9220" width="5.88671875" style="2" customWidth="1"/>
    <col min="9221" max="9221" width="5" style="2" customWidth="1"/>
    <col min="9222" max="9222" width="44.33203125" style="2" customWidth="1"/>
    <col min="9223" max="9223" width="10.44140625" style="2" customWidth="1"/>
    <col min="9224" max="9224" width="9.44140625" style="2" customWidth="1"/>
    <col min="9225" max="9225" width="9" style="2" customWidth="1"/>
    <col min="9226" max="9226" width="10.88671875" style="2" customWidth="1"/>
    <col min="9227" max="9227" width="8.33203125" style="2" customWidth="1"/>
    <col min="9228" max="9232" width="9.109375" style="2" customWidth="1"/>
    <col min="9233" max="9233" width="9.88671875" style="2" customWidth="1"/>
    <col min="9234" max="9239" width="9.109375" style="2" customWidth="1"/>
    <col min="9240" max="9475" width="9.109375" style="2"/>
    <col min="9476" max="9476" width="5.88671875" style="2" customWidth="1"/>
    <col min="9477" max="9477" width="5" style="2" customWidth="1"/>
    <col min="9478" max="9478" width="44.33203125" style="2" customWidth="1"/>
    <col min="9479" max="9479" width="10.44140625" style="2" customWidth="1"/>
    <col min="9480" max="9480" width="9.44140625" style="2" customWidth="1"/>
    <col min="9481" max="9481" width="9" style="2" customWidth="1"/>
    <col min="9482" max="9482" width="10.88671875" style="2" customWidth="1"/>
    <col min="9483" max="9483" width="8.33203125" style="2" customWidth="1"/>
    <col min="9484" max="9488" width="9.109375" style="2" customWidth="1"/>
    <col min="9489" max="9489" width="9.88671875" style="2" customWidth="1"/>
    <col min="9490" max="9495" width="9.109375" style="2" customWidth="1"/>
    <col min="9496" max="9731" width="9.109375" style="2"/>
    <col min="9732" max="9732" width="5.88671875" style="2" customWidth="1"/>
    <col min="9733" max="9733" width="5" style="2" customWidth="1"/>
    <col min="9734" max="9734" width="44.33203125" style="2" customWidth="1"/>
    <col min="9735" max="9735" width="10.44140625" style="2" customWidth="1"/>
    <col min="9736" max="9736" width="9.44140625" style="2" customWidth="1"/>
    <col min="9737" max="9737" width="9" style="2" customWidth="1"/>
    <col min="9738" max="9738" width="10.88671875" style="2" customWidth="1"/>
    <col min="9739" max="9739" width="8.33203125" style="2" customWidth="1"/>
    <col min="9740" max="9744" width="9.109375" style="2" customWidth="1"/>
    <col min="9745" max="9745" width="9.88671875" style="2" customWidth="1"/>
    <col min="9746" max="9751" width="9.109375" style="2" customWidth="1"/>
    <col min="9752" max="9987" width="9.109375" style="2"/>
    <col min="9988" max="9988" width="5.88671875" style="2" customWidth="1"/>
    <col min="9989" max="9989" width="5" style="2" customWidth="1"/>
    <col min="9990" max="9990" width="44.33203125" style="2" customWidth="1"/>
    <col min="9991" max="9991" width="10.44140625" style="2" customWidth="1"/>
    <col min="9992" max="9992" width="9.44140625" style="2" customWidth="1"/>
    <col min="9993" max="9993" width="9" style="2" customWidth="1"/>
    <col min="9994" max="9994" width="10.88671875" style="2" customWidth="1"/>
    <col min="9995" max="9995" width="8.33203125" style="2" customWidth="1"/>
    <col min="9996" max="10000" width="9.109375" style="2" customWidth="1"/>
    <col min="10001" max="10001" width="9.88671875" style="2" customWidth="1"/>
    <col min="10002" max="10007" width="9.109375" style="2" customWidth="1"/>
    <col min="10008" max="10243" width="9.109375" style="2"/>
    <col min="10244" max="10244" width="5.88671875" style="2" customWidth="1"/>
    <col min="10245" max="10245" width="5" style="2" customWidth="1"/>
    <col min="10246" max="10246" width="44.33203125" style="2" customWidth="1"/>
    <col min="10247" max="10247" width="10.44140625" style="2" customWidth="1"/>
    <col min="10248" max="10248" width="9.44140625" style="2" customWidth="1"/>
    <col min="10249" max="10249" width="9" style="2" customWidth="1"/>
    <col min="10250" max="10250" width="10.88671875" style="2" customWidth="1"/>
    <col min="10251" max="10251" width="8.33203125" style="2" customWidth="1"/>
    <col min="10252" max="10256" width="9.109375" style="2" customWidth="1"/>
    <col min="10257" max="10257" width="9.88671875" style="2" customWidth="1"/>
    <col min="10258" max="10263" width="9.109375" style="2" customWidth="1"/>
    <col min="10264" max="10499" width="9.109375" style="2"/>
    <col min="10500" max="10500" width="5.88671875" style="2" customWidth="1"/>
    <col min="10501" max="10501" width="5" style="2" customWidth="1"/>
    <col min="10502" max="10502" width="44.33203125" style="2" customWidth="1"/>
    <col min="10503" max="10503" width="10.44140625" style="2" customWidth="1"/>
    <col min="10504" max="10504" width="9.44140625" style="2" customWidth="1"/>
    <col min="10505" max="10505" width="9" style="2" customWidth="1"/>
    <col min="10506" max="10506" width="10.88671875" style="2" customWidth="1"/>
    <col min="10507" max="10507" width="8.33203125" style="2" customWidth="1"/>
    <col min="10508" max="10512" width="9.109375" style="2" customWidth="1"/>
    <col min="10513" max="10513" width="9.88671875" style="2" customWidth="1"/>
    <col min="10514" max="10519" width="9.109375" style="2" customWidth="1"/>
    <col min="10520" max="10755" width="9.109375" style="2"/>
    <col min="10756" max="10756" width="5.88671875" style="2" customWidth="1"/>
    <col min="10757" max="10757" width="5" style="2" customWidth="1"/>
    <col min="10758" max="10758" width="44.33203125" style="2" customWidth="1"/>
    <col min="10759" max="10759" width="10.44140625" style="2" customWidth="1"/>
    <col min="10760" max="10760" width="9.44140625" style="2" customWidth="1"/>
    <col min="10761" max="10761" width="9" style="2" customWidth="1"/>
    <col min="10762" max="10762" width="10.88671875" style="2" customWidth="1"/>
    <col min="10763" max="10763" width="8.33203125" style="2" customWidth="1"/>
    <col min="10764" max="10768" width="9.109375" style="2" customWidth="1"/>
    <col min="10769" max="10769" width="9.88671875" style="2" customWidth="1"/>
    <col min="10770" max="10775" width="9.109375" style="2" customWidth="1"/>
    <col min="10776" max="11011" width="9.109375" style="2"/>
    <col min="11012" max="11012" width="5.88671875" style="2" customWidth="1"/>
    <col min="11013" max="11013" width="5" style="2" customWidth="1"/>
    <col min="11014" max="11014" width="44.33203125" style="2" customWidth="1"/>
    <col min="11015" max="11015" width="10.44140625" style="2" customWidth="1"/>
    <col min="11016" max="11016" width="9.44140625" style="2" customWidth="1"/>
    <col min="11017" max="11017" width="9" style="2" customWidth="1"/>
    <col min="11018" max="11018" width="10.88671875" style="2" customWidth="1"/>
    <col min="11019" max="11019" width="8.33203125" style="2" customWidth="1"/>
    <col min="11020" max="11024" width="9.109375" style="2" customWidth="1"/>
    <col min="11025" max="11025" width="9.88671875" style="2" customWidth="1"/>
    <col min="11026" max="11031" width="9.109375" style="2" customWidth="1"/>
    <col min="11032" max="11267" width="9.109375" style="2"/>
    <col min="11268" max="11268" width="5.88671875" style="2" customWidth="1"/>
    <col min="11269" max="11269" width="5" style="2" customWidth="1"/>
    <col min="11270" max="11270" width="44.33203125" style="2" customWidth="1"/>
    <col min="11271" max="11271" width="10.44140625" style="2" customWidth="1"/>
    <col min="11272" max="11272" width="9.44140625" style="2" customWidth="1"/>
    <col min="11273" max="11273" width="9" style="2" customWidth="1"/>
    <col min="11274" max="11274" width="10.88671875" style="2" customWidth="1"/>
    <col min="11275" max="11275" width="8.33203125" style="2" customWidth="1"/>
    <col min="11276" max="11280" width="9.109375" style="2" customWidth="1"/>
    <col min="11281" max="11281" width="9.88671875" style="2" customWidth="1"/>
    <col min="11282" max="11287" width="9.109375" style="2" customWidth="1"/>
    <col min="11288" max="11523" width="9.109375" style="2"/>
    <col min="11524" max="11524" width="5.88671875" style="2" customWidth="1"/>
    <col min="11525" max="11525" width="5" style="2" customWidth="1"/>
    <col min="11526" max="11526" width="44.33203125" style="2" customWidth="1"/>
    <col min="11527" max="11527" width="10.44140625" style="2" customWidth="1"/>
    <col min="11528" max="11528" width="9.44140625" style="2" customWidth="1"/>
    <col min="11529" max="11529" width="9" style="2" customWidth="1"/>
    <col min="11530" max="11530" width="10.88671875" style="2" customWidth="1"/>
    <col min="11531" max="11531" width="8.33203125" style="2" customWidth="1"/>
    <col min="11532" max="11536" width="9.109375" style="2" customWidth="1"/>
    <col min="11537" max="11537" width="9.88671875" style="2" customWidth="1"/>
    <col min="11538" max="11543" width="9.109375" style="2" customWidth="1"/>
    <col min="11544" max="11779" width="9.109375" style="2"/>
    <col min="11780" max="11780" width="5.88671875" style="2" customWidth="1"/>
    <col min="11781" max="11781" width="5" style="2" customWidth="1"/>
    <col min="11782" max="11782" width="44.33203125" style="2" customWidth="1"/>
    <col min="11783" max="11783" width="10.44140625" style="2" customWidth="1"/>
    <col min="11784" max="11784" width="9.44140625" style="2" customWidth="1"/>
    <col min="11785" max="11785" width="9" style="2" customWidth="1"/>
    <col min="11786" max="11786" width="10.88671875" style="2" customWidth="1"/>
    <col min="11787" max="11787" width="8.33203125" style="2" customWidth="1"/>
    <col min="11788" max="11792" width="9.109375" style="2" customWidth="1"/>
    <col min="11793" max="11793" width="9.88671875" style="2" customWidth="1"/>
    <col min="11794" max="11799" width="9.109375" style="2" customWidth="1"/>
    <col min="11800" max="12035" width="9.109375" style="2"/>
    <col min="12036" max="12036" width="5.88671875" style="2" customWidth="1"/>
    <col min="12037" max="12037" width="5" style="2" customWidth="1"/>
    <col min="12038" max="12038" width="44.33203125" style="2" customWidth="1"/>
    <col min="12039" max="12039" width="10.44140625" style="2" customWidth="1"/>
    <col min="12040" max="12040" width="9.44140625" style="2" customWidth="1"/>
    <col min="12041" max="12041" width="9" style="2" customWidth="1"/>
    <col min="12042" max="12042" width="10.88671875" style="2" customWidth="1"/>
    <col min="12043" max="12043" width="8.33203125" style="2" customWidth="1"/>
    <col min="12044" max="12048" width="9.109375" style="2" customWidth="1"/>
    <col min="12049" max="12049" width="9.88671875" style="2" customWidth="1"/>
    <col min="12050" max="12055" width="9.109375" style="2" customWidth="1"/>
    <col min="12056" max="12291" width="9.109375" style="2"/>
    <col min="12292" max="12292" width="5.88671875" style="2" customWidth="1"/>
    <col min="12293" max="12293" width="5" style="2" customWidth="1"/>
    <col min="12294" max="12294" width="44.33203125" style="2" customWidth="1"/>
    <col min="12295" max="12295" width="10.44140625" style="2" customWidth="1"/>
    <col min="12296" max="12296" width="9.44140625" style="2" customWidth="1"/>
    <col min="12297" max="12297" width="9" style="2" customWidth="1"/>
    <col min="12298" max="12298" width="10.88671875" style="2" customWidth="1"/>
    <col min="12299" max="12299" width="8.33203125" style="2" customWidth="1"/>
    <col min="12300" max="12304" width="9.109375" style="2" customWidth="1"/>
    <col min="12305" max="12305" width="9.88671875" style="2" customWidth="1"/>
    <col min="12306" max="12311" width="9.109375" style="2" customWidth="1"/>
    <col min="12312" max="12547" width="9.109375" style="2"/>
    <col min="12548" max="12548" width="5.88671875" style="2" customWidth="1"/>
    <col min="12549" max="12549" width="5" style="2" customWidth="1"/>
    <col min="12550" max="12550" width="44.33203125" style="2" customWidth="1"/>
    <col min="12551" max="12551" width="10.44140625" style="2" customWidth="1"/>
    <col min="12552" max="12552" width="9.44140625" style="2" customWidth="1"/>
    <col min="12553" max="12553" width="9" style="2" customWidth="1"/>
    <col min="12554" max="12554" width="10.88671875" style="2" customWidth="1"/>
    <col min="12555" max="12555" width="8.33203125" style="2" customWidth="1"/>
    <col min="12556" max="12560" width="9.109375" style="2" customWidth="1"/>
    <col min="12561" max="12561" width="9.88671875" style="2" customWidth="1"/>
    <col min="12562" max="12567" width="9.109375" style="2" customWidth="1"/>
    <col min="12568" max="12803" width="9.109375" style="2"/>
    <col min="12804" max="12804" width="5.88671875" style="2" customWidth="1"/>
    <col min="12805" max="12805" width="5" style="2" customWidth="1"/>
    <col min="12806" max="12806" width="44.33203125" style="2" customWidth="1"/>
    <col min="12807" max="12807" width="10.44140625" style="2" customWidth="1"/>
    <col min="12808" max="12808" width="9.44140625" style="2" customWidth="1"/>
    <col min="12809" max="12809" width="9" style="2" customWidth="1"/>
    <col min="12810" max="12810" width="10.88671875" style="2" customWidth="1"/>
    <col min="12811" max="12811" width="8.33203125" style="2" customWidth="1"/>
    <col min="12812" max="12816" width="9.109375" style="2" customWidth="1"/>
    <col min="12817" max="12817" width="9.88671875" style="2" customWidth="1"/>
    <col min="12818" max="12823" width="9.109375" style="2" customWidth="1"/>
    <col min="12824" max="13059" width="9.109375" style="2"/>
    <col min="13060" max="13060" width="5.88671875" style="2" customWidth="1"/>
    <col min="13061" max="13061" width="5" style="2" customWidth="1"/>
    <col min="13062" max="13062" width="44.33203125" style="2" customWidth="1"/>
    <col min="13063" max="13063" width="10.44140625" style="2" customWidth="1"/>
    <col min="13064" max="13064" width="9.44140625" style="2" customWidth="1"/>
    <col min="13065" max="13065" width="9" style="2" customWidth="1"/>
    <col min="13066" max="13066" width="10.88671875" style="2" customWidth="1"/>
    <col min="13067" max="13067" width="8.33203125" style="2" customWidth="1"/>
    <col min="13068" max="13072" width="9.109375" style="2" customWidth="1"/>
    <col min="13073" max="13073" width="9.88671875" style="2" customWidth="1"/>
    <col min="13074" max="13079" width="9.109375" style="2" customWidth="1"/>
    <col min="13080" max="13315" width="9.109375" style="2"/>
    <col min="13316" max="13316" width="5.88671875" style="2" customWidth="1"/>
    <col min="13317" max="13317" width="5" style="2" customWidth="1"/>
    <col min="13318" max="13318" width="44.33203125" style="2" customWidth="1"/>
    <col min="13319" max="13319" width="10.44140625" style="2" customWidth="1"/>
    <col min="13320" max="13320" width="9.44140625" style="2" customWidth="1"/>
    <col min="13321" max="13321" width="9" style="2" customWidth="1"/>
    <col min="13322" max="13322" width="10.88671875" style="2" customWidth="1"/>
    <col min="13323" max="13323" width="8.33203125" style="2" customWidth="1"/>
    <col min="13324" max="13328" width="9.109375" style="2" customWidth="1"/>
    <col min="13329" max="13329" width="9.88671875" style="2" customWidth="1"/>
    <col min="13330" max="13335" width="9.109375" style="2" customWidth="1"/>
    <col min="13336" max="13571" width="9.109375" style="2"/>
    <col min="13572" max="13572" width="5.88671875" style="2" customWidth="1"/>
    <col min="13573" max="13573" width="5" style="2" customWidth="1"/>
    <col min="13574" max="13574" width="44.33203125" style="2" customWidth="1"/>
    <col min="13575" max="13575" width="10.44140625" style="2" customWidth="1"/>
    <col min="13576" max="13576" width="9.44140625" style="2" customWidth="1"/>
    <col min="13577" max="13577" width="9" style="2" customWidth="1"/>
    <col min="13578" max="13578" width="10.88671875" style="2" customWidth="1"/>
    <col min="13579" max="13579" width="8.33203125" style="2" customWidth="1"/>
    <col min="13580" max="13584" width="9.109375" style="2" customWidth="1"/>
    <col min="13585" max="13585" width="9.88671875" style="2" customWidth="1"/>
    <col min="13586" max="13591" width="9.109375" style="2" customWidth="1"/>
    <col min="13592" max="13827" width="9.109375" style="2"/>
    <col min="13828" max="13828" width="5.88671875" style="2" customWidth="1"/>
    <col min="13829" max="13829" width="5" style="2" customWidth="1"/>
    <col min="13830" max="13830" width="44.33203125" style="2" customWidth="1"/>
    <col min="13831" max="13831" width="10.44140625" style="2" customWidth="1"/>
    <col min="13832" max="13832" width="9.44140625" style="2" customWidth="1"/>
    <col min="13833" max="13833" width="9" style="2" customWidth="1"/>
    <col min="13834" max="13834" width="10.88671875" style="2" customWidth="1"/>
    <col min="13835" max="13835" width="8.33203125" style="2" customWidth="1"/>
    <col min="13836" max="13840" width="9.109375" style="2" customWidth="1"/>
    <col min="13841" max="13841" width="9.88671875" style="2" customWidth="1"/>
    <col min="13842" max="13847" width="9.109375" style="2" customWidth="1"/>
    <col min="13848" max="14083" width="9.109375" style="2"/>
    <col min="14084" max="14084" width="5.88671875" style="2" customWidth="1"/>
    <col min="14085" max="14085" width="5" style="2" customWidth="1"/>
    <col min="14086" max="14086" width="44.33203125" style="2" customWidth="1"/>
    <col min="14087" max="14087" width="10.44140625" style="2" customWidth="1"/>
    <col min="14088" max="14088" width="9.44140625" style="2" customWidth="1"/>
    <col min="14089" max="14089" width="9" style="2" customWidth="1"/>
    <col min="14090" max="14090" width="10.88671875" style="2" customWidth="1"/>
    <col min="14091" max="14091" width="8.33203125" style="2" customWidth="1"/>
    <col min="14092" max="14096" width="9.109375" style="2" customWidth="1"/>
    <col min="14097" max="14097" width="9.88671875" style="2" customWidth="1"/>
    <col min="14098" max="14103" width="9.109375" style="2" customWidth="1"/>
    <col min="14104" max="14339" width="9.109375" style="2"/>
    <col min="14340" max="14340" width="5.88671875" style="2" customWidth="1"/>
    <col min="14341" max="14341" width="5" style="2" customWidth="1"/>
    <col min="14342" max="14342" width="44.33203125" style="2" customWidth="1"/>
    <col min="14343" max="14343" width="10.44140625" style="2" customWidth="1"/>
    <col min="14344" max="14344" width="9.44140625" style="2" customWidth="1"/>
    <col min="14345" max="14345" width="9" style="2" customWidth="1"/>
    <col min="14346" max="14346" width="10.88671875" style="2" customWidth="1"/>
    <col min="14347" max="14347" width="8.33203125" style="2" customWidth="1"/>
    <col min="14348" max="14352" width="9.109375" style="2" customWidth="1"/>
    <col min="14353" max="14353" width="9.88671875" style="2" customWidth="1"/>
    <col min="14354" max="14359" width="9.109375" style="2" customWidth="1"/>
    <col min="14360" max="14595" width="9.109375" style="2"/>
    <col min="14596" max="14596" width="5.88671875" style="2" customWidth="1"/>
    <col min="14597" max="14597" width="5" style="2" customWidth="1"/>
    <col min="14598" max="14598" width="44.33203125" style="2" customWidth="1"/>
    <col min="14599" max="14599" width="10.44140625" style="2" customWidth="1"/>
    <col min="14600" max="14600" width="9.44140625" style="2" customWidth="1"/>
    <col min="14601" max="14601" width="9" style="2" customWidth="1"/>
    <col min="14602" max="14602" width="10.88671875" style="2" customWidth="1"/>
    <col min="14603" max="14603" width="8.33203125" style="2" customWidth="1"/>
    <col min="14604" max="14608" width="9.109375" style="2" customWidth="1"/>
    <col min="14609" max="14609" width="9.88671875" style="2" customWidth="1"/>
    <col min="14610" max="14615" width="9.109375" style="2" customWidth="1"/>
    <col min="14616" max="14851" width="9.109375" style="2"/>
    <col min="14852" max="14852" width="5.88671875" style="2" customWidth="1"/>
    <col min="14853" max="14853" width="5" style="2" customWidth="1"/>
    <col min="14854" max="14854" width="44.33203125" style="2" customWidth="1"/>
    <col min="14855" max="14855" width="10.44140625" style="2" customWidth="1"/>
    <col min="14856" max="14856" width="9.44140625" style="2" customWidth="1"/>
    <col min="14857" max="14857" width="9" style="2" customWidth="1"/>
    <col min="14858" max="14858" width="10.88671875" style="2" customWidth="1"/>
    <col min="14859" max="14859" width="8.33203125" style="2" customWidth="1"/>
    <col min="14860" max="14864" width="9.109375" style="2" customWidth="1"/>
    <col min="14865" max="14865" width="9.88671875" style="2" customWidth="1"/>
    <col min="14866" max="14871" width="9.109375" style="2" customWidth="1"/>
    <col min="14872" max="15107" width="9.109375" style="2"/>
    <col min="15108" max="15108" width="5.88671875" style="2" customWidth="1"/>
    <col min="15109" max="15109" width="5" style="2" customWidth="1"/>
    <col min="15110" max="15110" width="44.33203125" style="2" customWidth="1"/>
    <col min="15111" max="15111" width="10.44140625" style="2" customWidth="1"/>
    <col min="15112" max="15112" width="9.44140625" style="2" customWidth="1"/>
    <col min="15113" max="15113" width="9" style="2" customWidth="1"/>
    <col min="15114" max="15114" width="10.88671875" style="2" customWidth="1"/>
    <col min="15115" max="15115" width="8.33203125" style="2" customWidth="1"/>
    <col min="15116" max="15120" width="9.109375" style="2" customWidth="1"/>
    <col min="15121" max="15121" width="9.88671875" style="2" customWidth="1"/>
    <col min="15122" max="15127" width="9.109375" style="2" customWidth="1"/>
    <col min="15128" max="15363" width="9.109375" style="2"/>
    <col min="15364" max="15364" width="5.88671875" style="2" customWidth="1"/>
    <col min="15365" max="15365" width="5" style="2" customWidth="1"/>
    <col min="15366" max="15366" width="44.33203125" style="2" customWidth="1"/>
    <col min="15367" max="15367" width="10.44140625" style="2" customWidth="1"/>
    <col min="15368" max="15368" width="9.44140625" style="2" customWidth="1"/>
    <col min="15369" max="15369" width="9" style="2" customWidth="1"/>
    <col min="15370" max="15370" width="10.88671875" style="2" customWidth="1"/>
    <col min="15371" max="15371" width="8.33203125" style="2" customWidth="1"/>
    <col min="15372" max="15376" width="9.109375" style="2" customWidth="1"/>
    <col min="15377" max="15377" width="9.88671875" style="2" customWidth="1"/>
    <col min="15378" max="15383" width="9.109375" style="2" customWidth="1"/>
    <col min="15384" max="15619" width="9.109375" style="2"/>
    <col min="15620" max="15620" width="5.88671875" style="2" customWidth="1"/>
    <col min="15621" max="15621" width="5" style="2" customWidth="1"/>
    <col min="15622" max="15622" width="44.33203125" style="2" customWidth="1"/>
    <col min="15623" max="15623" width="10.44140625" style="2" customWidth="1"/>
    <col min="15624" max="15624" width="9.44140625" style="2" customWidth="1"/>
    <col min="15625" max="15625" width="9" style="2" customWidth="1"/>
    <col min="15626" max="15626" width="10.88671875" style="2" customWidth="1"/>
    <col min="15627" max="15627" width="8.33203125" style="2" customWidth="1"/>
    <col min="15628" max="15632" width="9.109375" style="2" customWidth="1"/>
    <col min="15633" max="15633" width="9.88671875" style="2" customWidth="1"/>
    <col min="15634" max="15639" width="9.109375" style="2" customWidth="1"/>
    <col min="15640" max="15875" width="9.109375" style="2"/>
    <col min="15876" max="15876" width="5.88671875" style="2" customWidth="1"/>
    <col min="15877" max="15877" width="5" style="2" customWidth="1"/>
    <col min="15878" max="15878" width="44.33203125" style="2" customWidth="1"/>
    <col min="15879" max="15879" width="10.44140625" style="2" customWidth="1"/>
    <col min="15880" max="15880" width="9.44140625" style="2" customWidth="1"/>
    <col min="15881" max="15881" width="9" style="2" customWidth="1"/>
    <col min="15882" max="15882" width="10.88671875" style="2" customWidth="1"/>
    <col min="15883" max="15883" width="8.33203125" style="2" customWidth="1"/>
    <col min="15884" max="15888" width="9.109375" style="2" customWidth="1"/>
    <col min="15889" max="15889" width="9.88671875" style="2" customWidth="1"/>
    <col min="15890" max="15895" width="9.109375" style="2" customWidth="1"/>
    <col min="15896" max="16131" width="9.109375" style="2"/>
    <col min="16132" max="16132" width="5.88671875" style="2" customWidth="1"/>
    <col min="16133" max="16133" width="5" style="2" customWidth="1"/>
    <col min="16134" max="16134" width="44.33203125" style="2" customWidth="1"/>
    <col min="16135" max="16135" width="10.44140625" style="2" customWidth="1"/>
    <col min="16136" max="16136" width="9.44140625" style="2" customWidth="1"/>
    <col min="16137" max="16137" width="9" style="2" customWidth="1"/>
    <col min="16138" max="16138" width="10.88671875" style="2" customWidth="1"/>
    <col min="16139" max="16139" width="8.33203125" style="2" customWidth="1"/>
    <col min="16140" max="16144" width="9.109375" style="2" customWidth="1"/>
    <col min="16145" max="16145" width="9.88671875" style="2" customWidth="1"/>
    <col min="16146" max="16151" width="9.109375" style="2" customWidth="1"/>
    <col min="16152" max="16384" width="9.109375" style="2"/>
  </cols>
  <sheetData>
    <row r="1" spans="1:17" ht="15.75" customHeight="1" x14ac:dyDescent="0.3">
      <c r="C1" s="306" t="s">
        <v>788</v>
      </c>
      <c r="D1" s="306"/>
      <c r="E1" s="306"/>
      <c r="F1" s="306"/>
      <c r="G1" s="306"/>
      <c r="H1" s="306"/>
      <c r="I1" s="306"/>
      <c r="J1" s="306"/>
      <c r="K1" s="306"/>
      <c r="L1" s="306"/>
    </row>
    <row r="2" spans="1:17" ht="15.6" x14ac:dyDescent="0.3">
      <c r="C2" s="306" t="s">
        <v>786</v>
      </c>
      <c r="D2" s="306"/>
      <c r="E2" s="306"/>
      <c r="F2" s="306"/>
      <c r="G2" s="306"/>
      <c r="H2" s="306"/>
      <c r="I2" s="306"/>
      <c r="J2" s="306"/>
      <c r="K2" s="306"/>
      <c r="L2" s="306"/>
    </row>
    <row r="3" spans="1:17" ht="14.25" customHeight="1" x14ac:dyDescent="0.25">
      <c r="B3" s="3"/>
      <c r="E3" s="307" t="s">
        <v>787</v>
      </c>
      <c r="F3" s="307"/>
      <c r="G3" s="307"/>
      <c r="H3" s="307"/>
      <c r="I3" s="307"/>
      <c r="J3" s="307"/>
      <c r="K3" s="307"/>
      <c r="L3" s="307"/>
    </row>
    <row r="4" spans="1:17" ht="15.6" x14ac:dyDescent="0.25">
      <c r="B4" s="3"/>
      <c r="E4" s="5"/>
      <c r="F4" s="5"/>
      <c r="G4" s="5"/>
      <c r="H4" s="5"/>
      <c r="I4" s="5"/>
      <c r="J4" s="5"/>
      <c r="K4" s="5"/>
    </row>
    <row r="5" spans="1:17" ht="18.600000000000001" customHeight="1" x14ac:dyDescent="0.25">
      <c r="A5" s="308" t="s">
        <v>0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</row>
    <row r="6" spans="1:17" x14ac:dyDescent="0.25">
      <c r="B6" s="3"/>
      <c r="E6" s="132"/>
      <c r="F6" s="132"/>
      <c r="G6" s="132"/>
      <c r="H6" s="132"/>
      <c r="I6" s="309" t="s">
        <v>1</v>
      </c>
      <c r="J6" s="309"/>
      <c r="K6" s="309"/>
      <c r="L6" s="309"/>
    </row>
    <row r="7" spans="1:17" ht="12.75" customHeight="1" x14ac:dyDescent="0.25">
      <c r="A7" s="297" t="s">
        <v>2</v>
      </c>
      <c r="B7" s="300" t="s">
        <v>3</v>
      </c>
      <c r="C7" s="297" t="s">
        <v>4</v>
      </c>
      <c r="D7" s="303" t="s">
        <v>5</v>
      </c>
      <c r="E7" s="314" t="s">
        <v>6</v>
      </c>
      <c r="F7" s="316"/>
      <c r="G7" s="318" t="s">
        <v>7</v>
      </c>
      <c r="H7" s="319"/>
      <c r="I7" s="319"/>
      <c r="J7" s="319"/>
      <c r="K7" s="319"/>
      <c r="L7" s="320"/>
    </row>
    <row r="8" spans="1:17" ht="12.75" customHeight="1" x14ac:dyDescent="0.25">
      <c r="A8" s="298"/>
      <c r="B8" s="301"/>
      <c r="C8" s="298"/>
      <c r="D8" s="304"/>
      <c r="E8" s="315"/>
      <c r="F8" s="317"/>
      <c r="G8" s="318" t="s">
        <v>8</v>
      </c>
      <c r="H8" s="319"/>
      <c r="I8" s="319"/>
      <c r="J8" s="320"/>
      <c r="K8" s="314" t="s">
        <v>9</v>
      </c>
      <c r="L8" s="316"/>
    </row>
    <row r="9" spans="1:17" ht="16.2" customHeight="1" x14ac:dyDescent="0.25">
      <c r="A9" s="298"/>
      <c r="B9" s="301"/>
      <c r="C9" s="298"/>
      <c r="D9" s="304"/>
      <c r="E9" s="297" t="s">
        <v>10</v>
      </c>
      <c r="F9" s="297" t="s">
        <v>11</v>
      </c>
      <c r="G9" s="310" t="s">
        <v>12</v>
      </c>
      <c r="H9" s="311"/>
      <c r="I9" s="312" t="s">
        <v>13</v>
      </c>
      <c r="J9" s="313"/>
      <c r="K9" s="314" t="s">
        <v>10</v>
      </c>
      <c r="L9" s="297" t="s">
        <v>11</v>
      </c>
      <c r="P9" s="6"/>
    </row>
    <row r="10" spans="1:17" ht="15" customHeight="1" x14ac:dyDescent="0.25">
      <c r="A10" s="299"/>
      <c r="B10" s="302"/>
      <c r="C10" s="299"/>
      <c r="D10" s="305"/>
      <c r="E10" s="299"/>
      <c r="F10" s="299"/>
      <c r="G10" s="7" t="s">
        <v>10</v>
      </c>
      <c r="H10" s="7" t="s">
        <v>11</v>
      </c>
      <c r="I10" s="7" t="s">
        <v>10</v>
      </c>
      <c r="J10" s="8" t="s">
        <v>11</v>
      </c>
      <c r="K10" s="315"/>
      <c r="L10" s="299"/>
      <c r="P10" s="6"/>
    </row>
    <row r="11" spans="1:17" x14ac:dyDescent="0.25">
      <c r="A11" s="98">
        <v>1</v>
      </c>
      <c r="B11" s="231" t="s">
        <v>14</v>
      </c>
      <c r="C11" s="7">
        <v>3</v>
      </c>
      <c r="D11" s="9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7">
        <v>11</v>
      </c>
      <c r="L11" s="10">
        <v>12</v>
      </c>
      <c r="P11" s="6"/>
    </row>
    <row r="12" spans="1:17" ht="15" customHeight="1" x14ac:dyDescent="0.25">
      <c r="A12" s="11">
        <v>1</v>
      </c>
      <c r="B12" s="231" t="s">
        <v>15</v>
      </c>
      <c r="C12" s="12" t="s">
        <v>16</v>
      </c>
      <c r="D12" s="9"/>
      <c r="E12" s="13">
        <f>+G12+K12</f>
        <v>10291.099999999997</v>
      </c>
      <c r="F12" s="13">
        <f>+H12+L12</f>
        <v>10217.099999999999</v>
      </c>
      <c r="G12" s="13">
        <f t="shared" ref="G12:L12" si="0">+G13+G14+G15+G16+G17+G18+G19+G20+G21+G22+G23+G24+G25+G26+G27+G28+G29+G30+G31+G32+G33+G34+G35+G36+G37+G39+G41+G43+G45+G46+G47+G48</f>
        <v>10198.599999999997</v>
      </c>
      <c r="H12" s="13">
        <f t="shared" si="0"/>
        <v>10133.699999999999</v>
      </c>
      <c r="I12" s="13">
        <f t="shared" si="0"/>
        <v>8268.5999999999985</v>
      </c>
      <c r="J12" s="13">
        <f t="shared" si="0"/>
        <v>8264.0999999999985</v>
      </c>
      <c r="K12" s="13">
        <f t="shared" si="0"/>
        <v>92.499999999999986</v>
      </c>
      <c r="L12" s="13">
        <f t="shared" si="0"/>
        <v>83.4</v>
      </c>
      <c r="M12" s="14"/>
      <c r="N12" s="14"/>
      <c r="O12" s="15"/>
      <c r="P12" s="15"/>
      <c r="Q12" s="15"/>
    </row>
    <row r="13" spans="1:17" ht="24.6" customHeight="1" x14ac:dyDescent="0.25">
      <c r="A13" s="11">
        <v>2</v>
      </c>
      <c r="B13" s="232"/>
      <c r="C13" s="16" t="s">
        <v>17</v>
      </c>
      <c r="D13" s="233" t="s">
        <v>18</v>
      </c>
      <c r="E13" s="139">
        <f>+G13+K13</f>
        <v>327.39999999999998</v>
      </c>
      <c r="F13" s="276">
        <f t="shared" ref="F13:F76" si="1">+H13+L13</f>
        <v>327.40000000000003</v>
      </c>
      <c r="G13" s="41">
        <f>327.4-2.6</f>
        <v>324.79999999999995</v>
      </c>
      <c r="H13" s="41">
        <v>324.8</v>
      </c>
      <c r="I13" s="41">
        <v>285.7</v>
      </c>
      <c r="J13" s="41">
        <v>285.7</v>
      </c>
      <c r="K13" s="41">
        <v>2.6</v>
      </c>
      <c r="L13" s="16">
        <v>2.6</v>
      </c>
      <c r="M13" s="14"/>
      <c r="N13" s="14"/>
      <c r="O13" s="15"/>
      <c r="P13" s="15"/>
      <c r="Q13" s="15"/>
    </row>
    <row r="14" spans="1:17" ht="15" customHeight="1" x14ac:dyDescent="0.25">
      <c r="A14" s="11">
        <v>3</v>
      </c>
      <c r="B14" s="232"/>
      <c r="C14" s="16" t="s">
        <v>19</v>
      </c>
      <c r="D14" s="232" t="s">
        <v>20</v>
      </c>
      <c r="E14" s="139">
        <f t="shared" ref="E14:E43" si="2">+G14+K14</f>
        <v>350.3</v>
      </c>
      <c r="F14" s="276">
        <f t="shared" si="1"/>
        <v>350.2</v>
      </c>
      <c r="G14" s="41">
        <v>350.3</v>
      </c>
      <c r="H14" s="41">
        <v>350.2</v>
      </c>
      <c r="I14" s="41">
        <f>307-1.5</f>
        <v>305.5</v>
      </c>
      <c r="J14" s="41">
        <v>305.5</v>
      </c>
      <c r="K14" s="41"/>
      <c r="L14" s="273"/>
      <c r="M14" s="14"/>
      <c r="N14" s="14"/>
      <c r="P14" s="15"/>
      <c r="Q14" s="15"/>
    </row>
    <row r="15" spans="1:17" ht="15" customHeight="1" x14ac:dyDescent="0.25">
      <c r="A15" s="11">
        <v>4</v>
      </c>
      <c r="B15" s="232"/>
      <c r="C15" s="16" t="s">
        <v>21</v>
      </c>
      <c r="D15" s="232" t="s">
        <v>20</v>
      </c>
      <c r="E15" s="139">
        <f t="shared" si="2"/>
        <v>328.7</v>
      </c>
      <c r="F15" s="276">
        <f t="shared" si="1"/>
        <v>328.7</v>
      </c>
      <c r="G15" s="41">
        <f>328.7-2.9</f>
        <v>325.8</v>
      </c>
      <c r="H15" s="41">
        <v>325.8</v>
      </c>
      <c r="I15" s="41">
        <f>285.2-12</f>
        <v>273.2</v>
      </c>
      <c r="J15" s="41">
        <v>273.2</v>
      </c>
      <c r="K15" s="41">
        <v>2.9</v>
      </c>
      <c r="L15" s="273">
        <v>2.9</v>
      </c>
      <c r="M15" s="14"/>
      <c r="N15" s="14"/>
      <c r="P15" s="15"/>
      <c r="Q15" s="15"/>
    </row>
    <row r="16" spans="1:17" ht="15" customHeight="1" x14ac:dyDescent="0.25">
      <c r="A16" s="11">
        <v>5</v>
      </c>
      <c r="B16" s="232"/>
      <c r="C16" s="16" t="s">
        <v>22</v>
      </c>
      <c r="D16" s="232" t="s">
        <v>20</v>
      </c>
      <c r="E16" s="139">
        <f t="shared" si="2"/>
        <v>343.2</v>
      </c>
      <c r="F16" s="276">
        <f t="shared" si="1"/>
        <v>343.2</v>
      </c>
      <c r="G16" s="41">
        <v>343.2</v>
      </c>
      <c r="H16" s="41">
        <v>343.2</v>
      </c>
      <c r="I16" s="41">
        <f>298-7</f>
        <v>291</v>
      </c>
      <c r="J16" s="41">
        <v>291</v>
      </c>
      <c r="K16" s="41"/>
      <c r="L16" s="273"/>
      <c r="M16" s="14"/>
      <c r="N16" s="14"/>
      <c r="P16" s="15"/>
      <c r="Q16" s="15"/>
    </row>
    <row r="17" spans="1:19" ht="15" customHeight="1" x14ac:dyDescent="0.25">
      <c r="A17" s="11">
        <v>6</v>
      </c>
      <c r="B17" s="232"/>
      <c r="C17" s="16" t="s">
        <v>23</v>
      </c>
      <c r="D17" s="232" t="s">
        <v>20</v>
      </c>
      <c r="E17" s="139">
        <f t="shared" si="2"/>
        <v>351</v>
      </c>
      <c r="F17" s="276">
        <f t="shared" si="1"/>
        <v>351</v>
      </c>
      <c r="G17" s="41">
        <f>348.5+2.5</f>
        <v>351</v>
      </c>
      <c r="H17" s="41">
        <v>351</v>
      </c>
      <c r="I17" s="41">
        <f>302.5-6.2</f>
        <v>296.3</v>
      </c>
      <c r="J17" s="41">
        <v>296.3</v>
      </c>
      <c r="K17" s="41"/>
      <c r="L17" s="273"/>
      <c r="M17" s="14"/>
      <c r="N17" s="14"/>
      <c r="P17" s="15"/>
      <c r="Q17" s="15"/>
    </row>
    <row r="18" spans="1:19" ht="15" customHeight="1" x14ac:dyDescent="0.25">
      <c r="A18" s="11">
        <v>7</v>
      </c>
      <c r="B18" s="232"/>
      <c r="C18" s="16" t="s">
        <v>24</v>
      </c>
      <c r="D18" s="232" t="s">
        <v>20</v>
      </c>
      <c r="E18" s="139">
        <f t="shared" si="2"/>
        <v>361.6</v>
      </c>
      <c r="F18" s="276">
        <f t="shared" si="1"/>
        <v>361.6</v>
      </c>
      <c r="G18" s="41">
        <f>360.3+1.3</f>
        <v>361.6</v>
      </c>
      <c r="H18" s="41">
        <v>361.6</v>
      </c>
      <c r="I18" s="41">
        <f>314.6+1.3</f>
        <v>315.90000000000003</v>
      </c>
      <c r="J18" s="41">
        <v>315.89999999999998</v>
      </c>
      <c r="K18" s="41"/>
      <c r="L18" s="273"/>
      <c r="M18" s="14"/>
      <c r="N18" s="14"/>
      <c r="P18" s="15"/>
      <c r="Q18" s="15"/>
    </row>
    <row r="19" spans="1:19" ht="15" customHeight="1" x14ac:dyDescent="0.25">
      <c r="A19" s="11">
        <v>8</v>
      </c>
      <c r="B19" s="232"/>
      <c r="C19" s="16" t="s">
        <v>25</v>
      </c>
      <c r="D19" s="232" t="s">
        <v>20</v>
      </c>
      <c r="E19" s="139">
        <f t="shared" si="2"/>
        <v>362.2</v>
      </c>
      <c r="F19" s="276">
        <f t="shared" si="1"/>
        <v>362.2</v>
      </c>
      <c r="G19" s="41">
        <v>362.2</v>
      </c>
      <c r="H19" s="41">
        <v>362.2</v>
      </c>
      <c r="I19" s="41">
        <v>308.5</v>
      </c>
      <c r="J19" s="41">
        <v>308.5</v>
      </c>
      <c r="K19" s="41"/>
      <c r="L19" s="273"/>
      <c r="M19" s="14"/>
      <c r="N19" s="14"/>
      <c r="P19" s="15"/>
      <c r="Q19" s="15"/>
    </row>
    <row r="20" spans="1:19" ht="15" customHeight="1" x14ac:dyDescent="0.25">
      <c r="A20" s="11">
        <v>9</v>
      </c>
      <c r="B20" s="26"/>
      <c r="C20" s="20" t="s">
        <v>26</v>
      </c>
      <c r="D20" s="26" t="s">
        <v>27</v>
      </c>
      <c r="E20" s="139">
        <f t="shared" si="2"/>
        <v>286.89999999999998</v>
      </c>
      <c r="F20" s="276">
        <f t="shared" si="1"/>
        <v>286.3</v>
      </c>
      <c r="G20" s="41">
        <f>284.7-1.6+2.2</f>
        <v>285.29999999999995</v>
      </c>
      <c r="H20" s="41">
        <f>284.7+0.1</f>
        <v>284.8</v>
      </c>
      <c r="I20" s="41">
        <v>241.3</v>
      </c>
      <c r="J20" s="41">
        <v>241.3</v>
      </c>
      <c r="K20" s="41">
        <v>1.6</v>
      </c>
      <c r="L20" s="273">
        <v>1.5</v>
      </c>
      <c r="M20" s="14"/>
      <c r="N20" s="14"/>
      <c r="P20" s="15"/>
      <c r="Q20" s="15"/>
    </row>
    <row r="21" spans="1:19" ht="15" customHeight="1" x14ac:dyDescent="0.25">
      <c r="A21" s="11">
        <v>10</v>
      </c>
      <c r="B21" s="26"/>
      <c r="C21" s="16" t="s">
        <v>28</v>
      </c>
      <c r="D21" s="26" t="s">
        <v>29</v>
      </c>
      <c r="E21" s="139">
        <f>+G21+K21</f>
        <v>308.2</v>
      </c>
      <c r="F21" s="276">
        <f t="shared" si="1"/>
        <v>308.2</v>
      </c>
      <c r="G21" s="41">
        <f>303.7-0.5+0.1+4.9</f>
        <v>308.2</v>
      </c>
      <c r="H21" s="41">
        <v>308.2</v>
      </c>
      <c r="I21" s="41">
        <f>237.4-0.5-4.3+3.6</f>
        <v>236.2</v>
      </c>
      <c r="J21" s="41">
        <v>236.2</v>
      </c>
      <c r="K21" s="41"/>
      <c r="L21" s="273"/>
      <c r="M21" s="14"/>
      <c r="N21" s="14"/>
      <c r="P21" s="15"/>
      <c r="Q21" s="15"/>
    </row>
    <row r="22" spans="1:19" ht="25.95" customHeight="1" x14ac:dyDescent="0.25">
      <c r="A22" s="11">
        <v>11</v>
      </c>
      <c r="B22" s="232"/>
      <c r="C22" s="16" t="s">
        <v>30</v>
      </c>
      <c r="D22" s="233" t="s">
        <v>31</v>
      </c>
      <c r="E22" s="139">
        <f t="shared" si="2"/>
        <v>289.09999999999997</v>
      </c>
      <c r="F22" s="276">
        <f t="shared" si="1"/>
        <v>289.10000000000002</v>
      </c>
      <c r="G22" s="41">
        <f>287.9+1.2</f>
        <v>289.09999999999997</v>
      </c>
      <c r="H22" s="41">
        <v>289.10000000000002</v>
      </c>
      <c r="I22" s="41">
        <f>177.6+10+1.2</f>
        <v>188.79999999999998</v>
      </c>
      <c r="J22" s="41">
        <v>188.8</v>
      </c>
      <c r="K22" s="41"/>
      <c r="L22" s="273"/>
      <c r="M22" s="14"/>
      <c r="N22" s="14"/>
      <c r="P22" s="15"/>
      <c r="Q22" s="15"/>
    </row>
    <row r="23" spans="1:19" ht="15" customHeight="1" x14ac:dyDescent="0.25">
      <c r="A23" s="11">
        <v>12</v>
      </c>
      <c r="B23" s="26"/>
      <c r="C23" s="20" t="s">
        <v>32</v>
      </c>
      <c r="D23" s="26" t="s">
        <v>29</v>
      </c>
      <c r="E23" s="139">
        <f t="shared" si="2"/>
        <v>635.69999999999993</v>
      </c>
      <c r="F23" s="276">
        <f t="shared" si="1"/>
        <v>635.6</v>
      </c>
      <c r="G23" s="41">
        <f>636.3-0.6</f>
        <v>635.69999999999993</v>
      </c>
      <c r="H23" s="41">
        <v>635.6</v>
      </c>
      <c r="I23" s="41">
        <f>523.4-0.6+15.4</f>
        <v>538.19999999999993</v>
      </c>
      <c r="J23" s="41">
        <v>538.20000000000005</v>
      </c>
      <c r="K23" s="41"/>
      <c r="L23" s="273"/>
      <c r="M23" s="14"/>
      <c r="N23" s="14"/>
      <c r="P23" s="15"/>
      <c r="Q23" s="15"/>
    </row>
    <row r="24" spans="1:19" ht="15" customHeight="1" x14ac:dyDescent="0.25">
      <c r="A24" s="21">
        <v>13</v>
      </c>
      <c r="B24" s="22"/>
      <c r="C24" s="23" t="s">
        <v>33</v>
      </c>
      <c r="D24" s="22" t="s">
        <v>29</v>
      </c>
      <c r="E24" s="274">
        <f t="shared" si="2"/>
        <v>371.7</v>
      </c>
      <c r="F24" s="276">
        <f t="shared" si="1"/>
        <v>371.6</v>
      </c>
      <c r="G24" s="59">
        <f>393.7-25.4+8.7-5.3-1.1</f>
        <v>370.59999999999997</v>
      </c>
      <c r="H24" s="41">
        <f>370.6-0.1</f>
        <v>370.5</v>
      </c>
      <c r="I24" s="59">
        <f>299.6-25+8.6+7.5-2</f>
        <v>288.70000000000005</v>
      </c>
      <c r="J24" s="59">
        <v>288.7</v>
      </c>
      <c r="K24" s="59">
        <v>1.1000000000000001</v>
      </c>
      <c r="L24" s="273">
        <v>1.1000000000000001</v>
      </c>
      <c r="M24" s="14"/>
      <c r="N24" s="14"/>
      <c r="P24" s="15"/>
      <c r="Q24" s="15"/>
    </row>
    <row r="25" spans="1:19" ht="15" customHeight="1" x14ac:dyDescent="0.25">
      <c r="A25" s="11">
        <v>14</v>
      </c>
      <c r="B25" s="26"/>
      <c r="C25" s="20" t="s">
        <v>34</v>
      </c>
      <c r="D25" s="26" t="s">
        <v>29</v>
      </c>
      <c r="E25" s="139">
        <f t="shared" si="2"/>
        <v>601.40000000000009</v>
      </c>
      <c r="F25" s="276">
        <f t="shared" si="1"/>
        <v>601.1</v>
      </c>
      <c r="G25" s="41">
        <f>587+4.7+9.7</f>
        <v>601.40000000000009</v>
      </c>
      <c r="H25" s="41">
        <v>601.1</v>
      </c>
      <c r="I25" s="41">
        <f>467+27+5.7</f>
        <v>499.7</v>
      </c>
      <c r="J25" s="41">
        <v>499.7</v>
      </c>
      <c r="K25" s="41"/>
      <c r="L25" s="273"/>
      <c r="M25" s="14"/>
      <c r="N25" s="14"/>
      <c r="P25" s="15"/>
      <c r="Q25" s="15"/>
    </row>
    <row r="26" spans="1:19" ht="15" customHeight="1" x14ac:dyDescent="0.25">
      <c r="A26" s="11">
        <v>15</v>
      </c>
      <c r="B26" s="26"/>
      <c r="C26" s="16" t="s">
        <v>35</v>
      </c>
      <c r="D26" s="26" t="s">
        <v>29</v>
      </c>
      <c r="E26" s="139">
        <f>+G26+K26</f>
        <v>331.5</v>
      </c>
      <c r="F26" s="276">
        <f t="shared" si="1"/>
        <v>327.10000000000002</v>
      </c>
      <c r="G26" s="41">
        <f>326.1+4.7+0.7</f>
        <v>331.5</v>
      </c>
      <c r="H26" s="41">
        <v>327.10000000000002</v>
      </c>
      <c r="I26" s="41">
        <f>233.7+23.2</f>
        <v>256.89999999999998</v>
      </c>
      <c r="J26" s="41">
        <v>256.89999999999998</v>
      </c>
      <c r="K26" s="41"/>
      <c r="L26" s="273"/>
      <c r="M26" s="14"/>
      <c r="N26" s="14"/>
      <c r="P26" s="15"/>
      <c r="Q26" s="15"/>
    </row>
    <row r="27" spans="1:19" ht="27" customHeight="1" x14ac:dyDescent="0.25">
      <c r="A27" s="11">
        <v>16</v>
      </c>
      <c r="B27" s="232"/>
      <c r="C27" s="20" t="s">
        <v>36</v>
      </c>
      <c r="D27" s="232" t="s">
        <v>37</v>
      </c>
      <c r="E27" s="139">
        <f t="shared" si="2"/>
        <v>437</v>
      </c>
      <c r="F27" s="276">
        <f t="shared" si="1"/>
        <v>437</v>
      </c>
      <c r="G27" s="41">
        <f>426.1+1.2+9.7</f>
        <v>437</v>
      </c>
      <c r="H27" s="41">
        <v>437</v>
      </c>
      <c r="I27" s="41">
        <f>291.7+1.2+19+2.5</f>
        <v>314.39999999999998</v>
      </c>
      <c r="J27" s="41">
        <v>314.39999999999998</v>
      </c>
      <c r="K27" s="41"/>
      <c r="L27" s="273"/>
      <c r="M27" s="14"/>
      <c r="N27" s="14"/>
      <c r="P27" s="15"/>
      <c r="Q27" s="15"/>
    </row>
    <row r="28" spans="1:19" ht="15" customHeight="1" x14ac:dyDescent="0.25">
      <c r="A28" s="11">
        <v>17</v>
      </c>
      <c r="B28" s="26"/>
      <c r="C28" s="16" t="s">
        <v>38</v>
      </c>
      <c r="D28" s="26" t="s">
        <v>37</v>
      </c>
      <c r="E28" s="139">
        <f t="shared" si="2"/>
        <v>305.89999999999998</v>
      </c>
      <c r="F28" s="276">
        <f t="shared" si="1"/>
        <v>305.89999999999998</v>
      </c>
      <c r="G28" s="41">
        <f>299.9+6</f>
        <v>305.89999999999998</v>
      </c>
      <c r="H28" s="41">
        <v>305.89999999999998</v>
      </c>
      <c r="I28" s="41">
        <f>219.7+16</f>
        <v>235.7</v>
      </c>
      <c r="J28" s="41">
        <v>235.7</v>
      </c>
      <c r="K28" s="41"/>
      <c r="L28" s="273"/>
      <c r="M28" s="14"/>
      <c r="N28" s="14"/>
      <c r="P28" s="15"/>
      <c r="Q28" s="15"/>
    </row>
    <row r="29" spans="1:19" ht="15" customHeight="1" x14ac:dyDescent="0.25">
      <c r="A29" s="11">
        <v>18</v>
      </c>
      <c r="B29" s="232"/>
      <c r="C29" s="20" t="s">
        <v>39</v>
      </c>
      <c r="D29" s="232" t="s">
        <v>37</v>
      </c>
      <c r="E29" s="139">
        <f t="shared" si="2"/>
        <v>309</v>
      </c>
      <c r="F29" s="276">
        <f t="shared" si="1"/>
        <v>309</v>
      </c>
      <c r="G29" s="41">
        <v>309</v>
      </c>
      <c r="H29" s="41">
        <v>309</v>
      </c>
      <c r="I29" s="41">
        <v>230.7</v>
      </c>
      <c r="J29" s="41">
        <v>230.7</v>
      </c>
      <c r="K29" s="41"/>
      <c r="L29" s="273"/>
      <c r="M29" s="14"/>
      <c r="N29" s="14"/>
      <c r="P29" s="15"/>
      <c r="Q29" s="15"/>
      <c r="S29" s="25"/>
    </row>
    <row r="30" spans="1:19" ht="15" customHeight="1" x14ac:dyDescent="0.25">
      <c r="A30" s="11">
        <v>19</v>
      </c>
      <c r="B30" s="232"/>
      <c r="C30" s="20" t="s">
        <v>40</v>
      </c>
      <c r="D30" s="232" t="s">
        <v>37</v>
      </c>
      <c r="E30" s="139">
        <f t="shared" si="2"/>
        <v>186.5</v>
      </c>
      <c r="F30" s="276">
        <f t="shared" si="1"/>
        <v>186.5</v>
      </c>
      <c r="G30" s="41">
        <v>186.5</v>
      </c>
      <c r="H30" s="41">
        <v>186.5</v>
      </c>
      <c r="I30" s="41">
        <f>144.1+10</f>
        <v>154.1</v>
      </c>
      <c r="J30" s="41">
        <v>154.1</v>
      </c>
      <c r="K30" s="41"/>
      <c r="L30" s="273"/>
      <c r="M30" s="14"/>
      <c r="N30" s="14"/>
      <c r="P30" s="15"/>
      <c r="Q30" s="15"/>
    </row>
    <row r="31" spans="1:19" ht="15" customHeight="1" x14ac:dyDescent="0.25">
      <c r="A31" s="11">
        <v>20</v>
      </c>
      <c r="B31" s="26"/>
      <c r="C31" s="20" t="s">
        <v>41</v>
      </c>
      <c r="D31" s="26" t="s">
        <v>37</v>
      </c>
      <c r="E31" s="139">
        <f t="shared" si="2"/>
        <v>561.40000000000009</v>
      </c>
      <c r="F31" s="276">
        <f t="shared" si="1"/>
        <v>561.4</v>
      </c>
      <c r="G31" s="41">
        <f>554.7+3.1-12+3.6</f>
        <v>549.40000000000009</v>
      </c>
      <c r="H31" s="41">
        <v>549.4</v>
      </c>
      <c r="I31" s="41">
        <v>429.9</v>
      </c>
      <c r="J31" s="41">
        <v>429.9</v>
      </c>
      <c r="K31" s="41">
        <v>12</v>
      </c>
      <c r="L31" s="273">
        <v>12</v>
      </c>
      <c r="M31" s="14"/>
      <c r="N31" s="14"/>
      <c r="O31" s="14"/>
      <c r="P31" s="15"/>
      <c r="Q31" s="15"/>
    </row>
    <row r="32" spans="1:19" ht="15" customHeight="1" x14ac:dyDescent="0.25">
      <c r="A32" s="11">
        <v>21</v>
      </c>
      <c r="B32" s="232"/>
      <c r="C32" s="20" t="s">
        <v>42</v>
      </c>
      <c r="D32" s="232" t="s">
        <v>37</v>
      </c>
      <c r="E32" s="139">
        <f t="shared" si="2"/>
        <v>125.7</v>
      </c>
      <c r="F32" s="276">
        <f t="shared" si="1"/>
        <v>125.5</v>
      </c>
      <c r="G32" s="41">
        <f>126.2-0.5</f>
        <v>125.7</v>
      </c>
      <c r="H32" s="41">
        <v>125.5</v>
      </c>
      <c r="I32" s="41">
        <f>92.1-0.5+3.6</f>
        <v>95.199999999999989</v>
      </c>
      <c r="J32" s="41">
        <v>95.2</v>
      </c>
      <c r="K32" s="41"/>
      <c r="L32" s="273"/>
      <c r="M32" s="14"/>
      <c r="N32" s="14"/>
      <c r="P32" s="15"/>
      <c r="Q32" s="15"/>
    </row>
    <row r="33" spans="1:17" ht="25.95" customHeight="1" x14ac:dyDescent="0.25">
      <c r="A33" s="11">
        <v>22</v>
      </c>
      <c r="B33" s="232"/>
      <c r="C33" s="20" t="s">
        <v>43</v>
      </c>
      <c r="D33" s="232" t="s">
        <v>37</v>
      </c>
      <c r="E33" s="139">
        <f t="shared" si="2"/>
        <v>167.7</v>
      </c>
      <c r="F33" s="276">
        <f t="shared" si="1"/>
        <v>167.4</v>
      </c>
      <c r="G33" s="41">
        <v>167.7</v>
      </c>
      <c r="H33" s="41">
        <v>167.4</v>
      </c>
      <c r="I33" s="41">
        <f>137.1+0.8</f>
        <v>137.9</v>
      </c>
      <c r="J33" s="41">
        <v>137.9</v>
      </c>
      <c r="K33" s="41"/>
      <c r="L33" s="273"/>
      <c r="M33" s="14"/>
      <c r="N33" s="14"/>
      <c r="P33" s="15"/>
      <c r="Q33" s="15"/>
    </row>
    <row r="34" spans="1:17" ht="15" customHeight="1" x14ac:dyDescent="0.25">
      <c r="A34" s="11">
        <v>23</v>
      </c>
      <c r="B34" s="232"/>
      <c r="C34" s="20" t="s">
        <v>44</v>
      </c>
      <c r="D34" s="232" t="s">
        <v>37</v>
      </c>
      <c r="E34" s="139">
        <f t="shared" si="2"/>
        <v>157</v>
      </c>
      <c r="F34" s="276">
        <f t="shared" si="1"/>
        <v>156.9</v>
      </c>
      <c r="G34" s="41">
        <v>157</v>
      </c>
      <c r="H34" s="41">
        <v>156.9</v>
      </c>
      <c r="I34" s="41">
        <f>120.6+3.2</f>
        <v>123.8</v>
      </c>
      <c r="J34" s="41">
        <v>123.8</v>
      </c>
      <c r="K34" s="41"/>
      <c r="L34" s="273"/>
      <c r="M34" s="14"/>
      <c r="N34" s="14"/>
      <c r="P34" s="15"/>
      <c r="Q34" s="15"/>
    </row>
    <row r="35" spans="1:17" ht="37.200000000000003" customHeight="1" x14ac:dyDescent="0.25">
      <c r="A35" s="11">
        <v>24</v>
      </c>
      <c r="B35" s="232"/>
      <c r="C35" s="20" t="s">
        <v>45</v>
      </c>
      <c r="D35" s="233" t="s">
        <v>46</v>
      </c>
      <c r="E35" s="139">
        <f t="shared" si="2"/>
        <v>323.7</v>
      </c>
      <c r="F35" s="276">
        <f t="shared" si="1"/>
        <v>323.7</v>
      </c>
      <c r="G35" s="41">
        <v>323.7</v>
      </c>
      <c r="H35" s="41">
        <v>323.7</v>
      </c>
      <c r="I35" s="41">
        <f>234.6+14.4+1.4+1.6</f>
        <v>252</v>
      </c>
      <c r="J35" s="41">
        <v>252</v>
      </c>
      <c r="K35" s="41"/>
      <c r="L35" s="273"/>
      <c r="M35" s="14"/>
      <c r="N35" s="14"/>
      <c r="P35" s="15"/>
      <c r="Q35" s="15"/>
    </row>
    <row r="36" spans="1:17" x14ac:dyDescent="0.25">
      <c r="A36" s="11">
        <v>25</v>
      </c>
      <c r="B36" s="26"/>
      <c r="C36" s="20" t="s">
        <v>47</v>
      </c>
      <c r="D36" s="47" t="s">
        <v>37</v>
      </c>
      <c r="E36" s="139">
        <f t="shared" si="2"/>
        <v>0.79999999999999993</v>
      </c>
      <c r="F36" s="276">
        <f t="shared" si="1"/>
        <v>0.5</v>
      </c>
      <c r="G36" s="41">
        <f>0.1+0.7</f>
        <v>0.79999999999999993</v>
      </c>
      <c r="H36" s="41">
        <v>0.5</v>
      </c>
      <c r="I36" s="41"/>
      <c r="J36" s="41"/>
      <c r="K36" s="41"/>
      <c r="L36" s="273"/>
      <c r="M36" s="14"/>
      <c r="N36" s="14"/>
      <c r="P36" s="15"/>
      <c r="Q36" s="15"/>
    </row>
    <row r="37" spans="1:17" ht="15" customHeight="1" x14ac:dyDescent="0.25">
      <c r="A37" s="283">
        <v>26</v>
      </c>
      <c r="B37" s="285"/>
      <c r="C37" s="16" t="s">
        <v>48</v>
      </c>
      <c r="D37" s="285" t="s">
        <v>49</v>
      </c>
      <c r="E37" s="139">
        <f t="shared" si="2"/>
        <v>218.79999999999998</v>
      </c>
      <c r="F37" s="276">
        <f t="shared" si="1"/>
        <v>218.3</v>
      </c>
      <c r="G37" s="41">
        <f>209.6+G38</f>
        <v>218.79999999999998</v>
      </c>
      <c r="H37" s="41">
        <v>218.3</v>
      </c>
      <c r="I37" s="41">
        <f>205.2+I38</f>
        <v>214.29999999999998</v>
      </c>
      <c r="J37" s="41">
        <v>213.8</v>
      </c>
      <c r="K37" s="41"/>
      <c r="L37" s="273"/>
      <c r="M37" s="14"/>
      <c r="N37" s="14"/>
      <c r="P37" s="15"/>
      <c r="Q37" s="15"/>
    </row>
    <row r="38" spans="1:17" ht="39.6" x14ac:dyDescent="0.25">
      <c r="A38" s="284"/>
      <c r="B38" s="286"/>
      <c r="C38" s="20" t="s">
        <v>50</v>
      </c>
      <c r="D38" s="286"/>
      <c r="E38" s="139">
        <f>+G38+K38</f>
        <v>9.1999999999999993</v>
      </c>
      <c r="F38" s="276">
        <f t="shared" si="1"/>
        <v>9.1999999999999993</v>
      </c>
      <c r="G38" s="41">
        <f>4+5.2</f>
        <v>9.1999999999999993</v>
      </c>
      <c r="H38" s="41">
        <v>9.1999999999999993</v>
      </c>
      <c r="I38" s="41">
        <f>3.9+5.2</f>
        <v>9.1</v>
      </c>
      <c r="J38" s="41">
        <v>9.1</v>
      </c>
      <c r="K38" s="41"/>
      <c r="L38" s="273"/>
      <c r="M38" s="14"/>
      <c r="N38" s="14"/>
      <c r="P38" s="15"/>
      <c r="Q38" s="15"/>
    </row>
    <row r="39" spans="1:17" ht="15" customHeight="1" x14ac:dyDescent="0.25">
      <c r="A39" s="283">
        <v>27</v>
      </c>
      <c r="B39" s="285"/>
      <c r="C39" s="16" t="s">
        <v>51</v>
      </c>
      <c r="D39" s="285" t="s">
        <v>49</v>
      </c>
      <c r="E39" s="139">
        <f t="shared" si="2"/>
        <v>260</v>
      </c>
      <c r="F39" s="276">
        <f t="shared" si="1"/>
        <v>254.1</v>
      </c>
      <c r="G39" s="41">
        <f>249.6+G40+1.9</f>
        <v>260</v>
      </c>
      <c r="H39" s="41">
        <v>254.1</v>
      </c>
      <c r="I39" s="41">
        <f>244.8+I40-1.7</f>
        <v>251.50000000000003</v>
      </c>
      <c r="J39" s="41">
        <v>247.6</v>
      </c>
      <c r="K39" s="275">
        <f>+K40</f>
        <v>0</v>
      </c>
      <c r="L39" s="273"/>
      <c r="M39" s="14"/>
      <c r="N39" s="14"/>
      <c r="P39" s="15"/>
      <c r="Q39" s="15"/>
    </row>
    <row r="40" spans="1:17" ht="39.6" x14ac:dyDescent="0.25">
      <c r="A40" s="284"/>
      <c r="B40" s="286"/>
      <c r="C40" s="20" t="s">
        <v>50</v>
      </c>
      <c r="D40" s="286"/>
      <c r="E40" s="139">
        <f>+G40+K40</f>
        <v>8.5</v>
      </c>
      <c r="F40" s="276">
        <f t="shared" si="1"/>
        <v>8.5</v>
      </c>
      <c r="G40" s="41">
        <f>4.2+4.3</f>
        <v>8.5</v>
      </c>
      <c r="H40" s="41">
        <v>8.5</v>
      </c>
      <c r="I40" s="41">
        <f>4.1+4.3</f>
        <v>8.3999999999999986</v>
      </c>
      <c r="J40" s="41">
        <v>8.4</v>
      </c>
      <c r="K40" s="41"/>
      <c r="L40" s="273"/>
      <c r="M40" s="14"/>
      <c r="N40" s="14"/>
      <c r="P40" s="15"/>
      <c r="Q40" s="15"/>
    </row>
    <row r="41" spans="1:17" ht="15" customHeight="1" x14ac:dyDescent="0.25">
      <c r="A41" s="283">
        <v>28</v>
      </c>
      <c r="B41" s="285"/>
      <c r="C41" s="16" t="s">
        <v>52</v>
      </c>
      <c r="D41" s="285" t="s">
        <v>49</v>
      </c>
      <c r="E41" s="139">
        <f t="shared" si="2"/>
        <v>715.80000000000007</v>
      </c>
      <c r="F41" s="276">
        <f t="shared" si="1"/>
        <v>715.8</v>
      </c>
      <c r="G41" s="41">
        <f>679.1+G42</f>
        <v>715.80000000000007</v>
      </c>
      <c r="H41" s="41">
        <v>715.8</v>
      </c>
      <c r="I41" s="41">
        <f>665.1+I42+2.2</f>
        <v>703.50000000000011</v>
      </c>
      <c r="J41" s="41">
        <v>703.5</v>
      </c>
      <c r="K41" s="41"/>
      <c r="L41" s="273"/>
      <c r="M41" s="14"/>
      <c r="N41" s="14"/>
      <c r="P41" s="15"/>
      <c r="Q41" s="15"/>
    </row>
    <row r="42" spans="1:17" ht="39.6" x14ac:dyDescent="0.25">
      <c r="A42" s="284"/>
      <c r="B42" s="286"/>
      <c r="C42" s="20" t="s">
        <v>50</v>
      </c>
      <c r="D42" s="286"/>
      <c r="E42" s="139">
        <f>+G42+K42</f>
        <v>36.700000000000003</v>
      </c>
      <c r="F42" s="276">
        <f t="shared" si="1"/>
        <v>36.700000000000003</v>
      </c>
      <c r="G42" s="41">
        <f>15.8+20.9</f>
        <v>36.700000000000003</v>
      </c>
      <c r="H42" s="41">
        <v>36.700000000000003</v>
      </c>
      <c r="I42" s="41">
        <f>15.6+20.6</f>
        <v>36.200000000000003</v>
      </c>
      <c r="J42" s="41">
        <v>36.200000000000003</v>
      </c>
      <c r="K42" s="41"/>
      <c r="L42" s="273"/>
      <c r="M42" s="14"/>
      <c r="N42" s="14"/>
      <c r="P42" s="15"/>
      <c r="Q42" s="15"/>
    </row>
    <row r="43" spans="1:17" ht="15" customHeight="1" x14ac:dyDescent="0.25">
      <c r="A43" s="283">
        <v>29</v>
      </c>
      <c r="B43" s="285"/>
      <c r="C43" s="16" t="s">
        <v>53</v>
      </c>
      <c r="D43" s="285" t="s">
        <v>49</v>
      </c>
      <c r="E43" s="139">
        <f t="shared" si="2"/>
        <v>550</v>
      </c>
      <c r="F43" s="276">
        <f t="shared" si="1"/>
        <v>518.1</v>
      </c>
      <c r="G43" s="41">
        <f>545.2+G44</f>
        <v>550</v>
      </c>
      <c r="H43" s="41">
        <v>518.1</v>
      </c>
      <c r="I43" s="41">
        <f>389.3+I44+10.6</f>
        <v>404.6</v>
      </c>
      <c r="J43" s="41">
        <v>404.6</v>
      </c>
      <c r="K43" s="275">
        <f>+K44</f>
        <v>0</v>
      </c>
      <c r="L43" s="273"/>
      <c r="M43" s="14"/>
      <c r="N43" s="14"/>
      <c r="P43" s="15"/>
      <c r="Q43" s="15"/>
    </row>
    <row r="44" spans="1:17" ht="39.6" x14ac:dyDescent="0.25">
      <c r="A44" s="284"/>
      <c r="B44" s="286"/>
      <c r="C44" s="20" t="s">
        <v>50</v>
      </c>
      <c r="D44" s="286"/>
      <c r="E44" s="139">
        <f>+G44+K44</f>
        <v>4.8</v>
      </c>
      <c r="F44" s="276">
        <f t="shared" si="1"/>
        <v>4.8</v>
      </c>
      <c r="G44" s="41">
        <v>4.8</v>
      </c>
      <c r="H44" s="41">
        <v>4.8</v>
      </c>
      <c r="I44" s="41">
        <v>4.7</v>
      </c>
      <c r="J44" s="41">
        <v>4.7</v>
      </c>
      <c r="K44" s="41"/>
      <c r="L44" s="273"/>
      <c r="M44" s="14"/>
      <c r="N44" s="14"/>
      <c r="P44" s="15"/>
      <c r="Q44" s="15"/>
    </row>
    <row r="45" spans="1:17" ht="39.6" x14ac:dyDescent="0.25">
      <c r="A45" s="11">
        <v>30</v>
      </c>
      <c r="B45" s="232"/>
      <c r="C45" s="16" t="s">
        <v>54</v>
      </c>
      <c r="D45" s="233" t="s">
        <v>55</v>
      </c>
      <c r="E45" s="139">
        <f>+G45+K45</f>
        <v>112.7</v>
      </c>
      <c r="F45" s="276">
        <f t="shared" si="1"/>
        <v>112.5</v>
      </c>
      <c r="G45" s="41">
        <f>115.7-3</f>
        <v>112.7</v>
      </c>
      <c r="H45" s="41">
        <v>112.5</v>
      </c>
      <c r="I45" s="41">
        <f>97.1-3+1.4</f>
        <v>95.5</v>
      </c>
      <c r="J45" s="41">
        <v>95.5</v>
      </c>
      <c r="K45" s="41"/>
      <c r="L45" s="273"/>
      <c r="M45" s="14"/>
      <c r="N45" s="14"/>
      <c r="P45" s="15"/>
      <c r="Q45" s="15"/>
    </row>
    <row r="46" spans="1:17" ht="15" customHeight="1" x14ac:dyDescent="0.25">
      <c r="A46" s="11">
        <v>31</v>
      </c>
      <c r="B46" s="232"/>
      <c r="C46" s="28" t="s">
        <v>56</v>
      </c>
      <c r="D46" s="232" t="s">
        <v>20</v>
      </c>
      <c r="E46" s="139">
        <f>+G46+K46</f>
        <v>113.4</v>
      </c>
      <c r="F46" s="276">
        <f t="shared" si="1"/>
        <v>113.4</v>
      </c>
      <c r="G46" s="41">
        <f>118.7+0.3-5.6</f>
        <v>113.4</v>
      </c>
      <c r="H46" s="41">
        <v>113.4</v>
      </c>
      <c r="I46" s="41">
        <f>92.1-4</f>
        <v>88.1</v>
      </c>
      <c r="J46" s="41">
        <v>88.1</v>
      </c>
      <c r="K46" s="41"/>
      <c r="L46" s="273"/>
      <c r="M46" s="14"/>
      <c r="N46" s="14"/>
      <c r="P46" s="15"/>
      <c r="Q46" s="15"/>
    </row>
    <row r="47" spans="1:17" ht="15" customHeight="1" x14ac:dyDescent="0.25">
      <c r="A47" s="11">
        <v>32</v>
      </c>
      <c r="B47" s="232"/>
      <c r="C47" s="28" t="s">
        <v>57</v>
      </c>
      <c r="D47" s="232" t="s">
        <v>20</v>
      </c>
      <c r="E47" s="139">
        <f>+G47+K47</f>
        <v>114</v>
      </c>
      <c r="F47" s="276">
        <f t="shared" si="1"/>
        <v>113.8</v>
      </c>
      <c r="G47" s="41">
        <f>112+0.4+1.6</f>
        <v>114</v>
      </c>
      <c r="H47" s="41">
        <v>113.8</v>
      </c>
      <c r="I47" s="41">
        <f>91+1</f>
        <v>92</v>
      </c>
      <c r="J47" s="41">
        <v>91.9</v>
      </c>
      <c r="K47" s="41"/>
      <c r="L47" s="273"/>
      <c r="M47" s="14"/>
      <c r="N47" s="14"/>
      <c r="P47" s="15"/>
      <c r="Q47" s="15"/>
    </row>
    <row r="48" spans="1:17" ht="15" customHeight="1" x14ac:dyDescent="0.25">
      <c r="A48" s="11">
        <v>33</v>
      </c>
      <c r="B48" s="232"/>
      <c r="C48" s="29" t="s">
        <v>58</v>
      </c>
      <c r="D48" s="232"/>
      <c r="E48" s="139">
        <f>+G48+K48</f>
        <v>382.79999999999995</v>
      </c>
      <c r="F48" s="276">
        <f t="shared" si="1"/>
        <v>354</v>
      </c>
      <c r="G48" s="139">
        <f>+G49+G50+G51+G52+G53</f>
        <v>310.5</v>
      </c>
      <c r="H48" s="139">
        <f>+H49+H50+H51+H52+H53</f>
        <v>290.7</v>
      </c>
      <c r="I48" s="139">
        <f>+I49+I51+I52+I53</f>
        <v>119.5</v>
      </c>
      <c r="J48" s="139">
        <f>+J49+J51+J52+J53</f>
        <v>119.5</v>
      </c>
      <c r="K48" s="139">
        <f>+K49+K51+K52+K53</f>
        <v>72.299999999999983</v>
      </c>
      <c r="L48" s="139">
        <f>+L49+L51+L52+L53</f>
        <v>63.300000000000004</v>
      </c>
      <c r="M48" s="14"/>
      <c r="N48" s="14"/>
      <c r="P48" s="15"/>
      <c r="Q48" s="15"/>
    </row>
    <row r="49" spans="1:21" ht="15" customHeight="1" x14ac:dyDescent="0.25">
      <c r="A49" s="30" t="s">
        <v>59</v>
      </c>
      <c r="B49" s="232"/>
      <c r="C49" s="16" t="s">
        <v>60</v>
      </c>
      <c r="D49" s="233" t="s">
        <v>61</v>
      </c>
      <c r="E49" s="139">
        <f t="shared" ref="E49:E63" si="3">+G49+K49</f>
        <v>127.80000000000001</v>
      </c>
      <c r="F49" s="276">
        <f t="shared" si="1"/>
        <v>125.7</v>
      </c>
      <c r="G49" s="139">
        <f>131.8-4</f>
        <v>127.80000000000001</v>
      </c>
      <c r="H49" s="139">
        <v>125.7</v>
      </c>
      <c r="I49" s="139">
        <f>123.6-4.1</f>
        <v>119.5</v>
      </c>
      <c r="J49" s="139">
        <v>119.5</v>
      </c>
      <c r="K49" s="139"/>
      <c r="L49" s="273"/>
      <c r="M49" s="14"/>
      <c r="N49" s="14"/>
      <c r="P49" s="15"/>
      <c r="Q49" s="15"/>
    </row>
    <row r="50" spans="1:21" ht="26.4" x14ac:dyDescent="0.25">
      <c r="A50" s="30" t="s">
        <v>62</v>
      </c>
      <c r="B50" s="232"/>
      <c r="C50" s="20" t="s">
        <v>63</v>
      </c>
      <c r="D50" s="233" t="s">
        <v>64</v>
      </c>
      <c r="E50" s="139">
        <f t="shared" si="3"/>
        <v>16</v>
      </c>
      <c r="F50" s="276">
        <f t="shared" si="1"/>
        <v>7.4</v>
      </c>
      <c r="G50" s="139">
        <f>16</f>
        <v>16</v>
      </c>
      <c r="H50" s="139">
        <v>7.4</v>
      </c>
      <c r="I50" s="41"/>
      <c r="J50" s="41"/>
      <c r="K50" s="41"/>
      <c r="L50" s="273"/>
      <c r="M50" s="14"/>
      <c r="N50" s="14"/>
      <c r="P50" s="15"/>
      <c r="Q50" s="15"/>
    </row>
    <row r="51" spans="1:21" ht="26.4" x14ac:dyDescent="0.25">
      <c r="A51" s="30" t="s">
        <v>65</v>
      </c>
      <c r="B51" s="232"/>
      <c r="C51" s="31" t="s">
        <v>66</v>
      </c>
      <c r="D51" s="232" t="s">
        <v>67</v>
      </c>
      <c r="E51" s="139">
        <f t="shared" si="3"/>
        <v>25</v>
      </c>
      <c r="F51" s="276">
        <f t="shared" si="1"/>
        <v>25</v>
      </c>
      <c r="G51" s="139">
        <v>25</v>
      </c>
      <c r="H51" s="139">
        <v>25</v>
      </c>
      <c r="I51" s="41"/>
      <c r="J51" s="41"/>
      <c r="K51" s="41"/>
      <c r="L51" s="273"/>
      <c r="M51" s="14"/>
      <c r="N51" s="14"/>
      <c r="P51" s="15"/>
      <c r="Q51" s="15"/>
    </row>
    <row r="52" spans="1:21" ht="15" customHeight="1" x14ac:dyDescent="0.25">
      <c r="A52" s="30" t="s">
        <v>68</v>
      </c>
      <c r="B52" s="232"/>
      <c r="C52" s="31" t="s">
        <v>69</v>
      </c>
      <c r="D52" s="232" t="s">
        <v>70</v>
      </c>
      <c r="E52" s="139">
        <f t="shared" si="3"/>
        <v>14</v>
      </c>
      <c r="F52" s="276">
        <f t="shared" si="1"/>
        <v>7.8</v>
      </c>
      <c r="G52" s="139">
        <v>14</v>
      </c>
      <c r="H52" s="139">
        <v>7.8</v>
      </c>
      <c r="I52" s="41"/>
      <c r="J52" s="41"/>
      <c r="K52" s="41"/>
      <c r="L52" s="273"/>
      <c r="M52" s="14"/>
      <c r="N52" s="14"/>
      <c r="P52" s="15"/>
      <c r="Q52" s="15"/>
    </row>
    <row r="53" spans="1:21" ht="39" customHeight="1" x14ac:dyDescent="0.25">
      <c r="A53" s="30" t="s">
        <v>71</v>
      </c>
      <c r="B53" s="232"/>
      <c r="C53" s="32" t="s">
        <v>72</v>
      </c>
      <c r="D53" s="232"/>
      <c r="E53" s="33">
        <f>+G53+K53</f>
        <v>200</v>
      </c>
      <c r="F53" s="13">
        <f t="shared" si="1"/>
        <v>188.1</v>
      </c>
      <c r="G53" s="34">
        <f t="shared" ref="G53:L53" si="4">+G54+G55+G56+G57+G58+G59+G60+G61+G62+G63</f>
        <v>127.7</v>
      </c>
      <c r="H53" s="34">
        <f t="shared" si="4"/>
        <v>124.8</v>
      </c>
      <c r="I53" s="34">
        <f t="shared" si="4"/>
        <v>0</v>
      </c>
      <c r="J53" s="34">
        <f t="shared" si="4"/>
        <v>0</v>
      </c>
      <c r="K53" s="34">
        <f t="shared" si="4"/>
        <v>72.299999999999983</v>
      </c>
      <c r="L53" s="34">
        <f t="shared" si="4"/>
        <v>63.300000000000004</v>
      </c>
      <c r="M53" s="14"/>
      <c r="N53" s="14"/>
      <c r="P53" s="15"/>
      <c r="Q53" s="15"/>
    </row>
    <row r="54" spans="1:21" ht="37.950000000000003" customHeight="1" x14ac:dyDescent="0.25">
      <c r="A54" s="65" t="s">
        <v>73</v>
      </c>
      <c r="B54" s="26"/>
      <c r="C54" s="35" t="s">
        <v>74</v>
      </c>
      <c r="D54" s="26" t="s">
        <v>37</v>
      </c>
      <c r="E54" s="36">
        <f t="shared" si="3"/>
        <v>39.999999999999993</v>
      </c>
      <c r="F54" s="166">
        <f t="shared" si="1"/>
        <v>34.200000000000003</v>
      </c>
      <c r="G54" s="36">
        <f>2+0.1</f>
        <v>2.1</v>
      </c>
      <c r="H54" s="36">
        <f>2+0.1</f>
        <v>2.1</v>
      </c>
      <c r="I54" s="18"/>
      <c r="J54" s="18"/>
      <c r="K54" s="18">
        <f>75.1-33.8-29.3+25.9</f>
        <v>37.899999999999991</v>
      </c>
      <c r="L54" s="16">
        <v>32.1</v>
      </c>
      <c r="M54" s="14"/>
      <c r="N54" s="14"/>
      <c r="P54" s="15"/>
      <c r="Q54" s="15"/>
      <c r="U54" s="37"/>
    </row>
    <row r="55" spans="1:21" ht="26.4" x14ac:dyDescent="0.25">
      <c r="A55" s="65" t="s">
        <v>75</v>
      </c>
      <c r="B55" s="26"/>
      <c r="C55" s="38" t="s">
        <v>76</v>
      </c>
      <c r="D55" s="26" t="s">
        <v>20</v>
      </c>
      <c r="E55" s="17">
        <f>+G55+K55</f>
        <v>16.799999999999997</v>
      </c>
      <c r="F55" s="166">
        <f t="shared" si="1"/>
        <v>13.100000000000001</v>
      </c>
      <c r="G55" s="17">
        <f>0.9+0.5</f>
        <v>1.4</v>
      </c>
      <c r="H55" s="17">
        <v>0.8</v>
      </c>
      <c r="I55" s="18"/>
      <c r="J55" s="18"/>
      <c r="K55" s="18">
        <f>13.7+1.5+0.2</f>
        <v>15.399999999999999</v>
      </c>
      <c r="L55" s="16">
        <v>12.3</v>
      </c>
      <c r="M55" s="14"/>
      <c r="N55" s="14"/>
      <c r="P55" s="15"/>
      <c r="Q55" s="15"/>
    </row>
    <row r="56" spans="1:21" ht="26.4" x14ac:dyDescent="0.25">
      <c r="A56" s="65" t="s">
        <v>77</v>
      </c>
      <c r="B56" s="26"/>
      <c r="C56" s="39" t="s">
        <v>78</v>
      </c>
      <c r="D56" s="26" t="s">
        <v>20</v>
      </c>
      <c r="E56" s="17">
        <f>+G56+K56</f>
        <v>20.2</v>
      </c>
      <c r="F56" s="166">
        <f t="shared" si="1"/>
        <v>19.799999999999997</v>
      </c>
      <c r="G56" s="17">
        <f>0.7+0.3+0.2</f>
        <v>1.2</v>
      </c>
      <c r="H56" s="17">
        <v>0.9</v>
      </c>
      <c r="I56" s="18"/>
      <c r="J56" s="18"/>
      <c r="K56" s="18">
        <f>33.9-0.3-0.2-14.4</f>
        <v>19</v>
      </c>
      <c r="L56" s="16">
        <v>18.899999999999999</v>
      </c>
      <c r="M56" s="14"/>
      <c r="N56" s="14"/>
      <c r="P56" s="15"/>
      <c r="Q56" s="15"/>
    </row>
    <row r="57" spans="1:21" ht="26.4" customHeight="1" x14ac:dyDescent="0.25">
      <c r="A57" s="65" t="s">
        <v>79</v>
      </c>
      <c r="B57" s="232"/>
      <c r="C57" s="39" t="s">
        <v>80</v>
      </c>
      <c r="D57" s="232" t="s">
        <v>37</v>
      </c>
      <c r="E57" s="17">
        <f>+G57+K57</f>
        <v>20</v>
      </c>
      <c r="F57" s="166">
        <f t="shared" si="1"/>
        <v>20</v>
      </c>
      <c r="G57" s="17">
        <v>20</v>
      </c>
      <c r="H57" s="17">
        <v>20</v>
      </c>
      <c r="I57" s="18"/>
      <c r="J57" s="18"/>
      <c r="K57" s="18"/>
      <c r="L57" s="19"/>
      <c r="M57" s="14"/>
      <c r="N57" s="14"/>
      <c r="P57" s="15"/>
      <c r="Q57" s="15"/>
    </row>
    <row r="58" spans="1:21" ht="15" customHeight="1" x14ac:dyDescent="0.25">
      <c r="A58" s="65" t="s">
        <v>81</v>
      </c>
      <c r="B58" s="232"/>
      <c r="C58" s="39" t="s">
        <v>82</v>
      </c>
      <c r="D58" s="232" t="s">
        <v>37</v>
      </c>
      <c r="E58" s="17">
        <f>+G58+K58</f>
        <v>10</v>
      </c>
      <c r="F58" s="166">
        <f t="shared" si="1"/>
        <v>10</v>
      </c>
      <c r="G58" s="17">
        <v>10</v>
      </c>
      <c r="H58" s="17">
        <v>10</v>
      </c>
      <c r="I58" s="18"/>
      <c r="J58" s="18"/>
      <c r="K58" s="18"/>
      <c r="L58" s="19"/>
      <c r="M58" s="14"/>
      <c r="N58" s="14"/>
      <c r="P58" s="15"/>
      <c r="Q58" s="15"/>
    </row>
    <row r="59" spans="1:21" ht="15" customHeight="1" x14ac:dyDescent="0.25">
      <c r="A59" s="65" t="s">
        <v>83</v>
      </c>
      <c r="B59" s="232"/>
      <c r="C59" s="39" t="s">
        <v>84</v>
      </c>
      <c r="D59" s="233" t="s">
        <v>64</v>
      </c>
      <c r="E59" s="17">
        <f t="shared" si="3"/>
        <v>10</v>
      </c>
      <c r="F59" s="166">
        <f t="shared" si="1"/>
        <v>10</v>
      </c>
      <c r="G59" s="17">
        <v>10</v>
      </c>
      <c r="H59" s="17">
        <v>10</v>
      </c>
      <c r="I59" s="18"/>
      <c r="J59" s="18"/>
      <c r="K59" s="18"/>
      <c r="L59" s="19"/>
      <c r="M59" s="14"/>
      <c r="N59" s="14"/>
      <c r="P59" s="15"/>
      <c r="Q59" s="15"/>
    </row>
    <row r="60" spans="1:21" ht="44.25" customHeight="1" x14ac:dyDescent="0.25">
      <c r="A60" s="65" t="s">
        <v>85</v>
      </c>
      <c r="B60" s="232"/>
      <c r="C60" s="39" t="s">
        <v>86</v>
      </c>
      <c r="D60" s="233" t="s">
        <v>64</v>
      </c>
      <c r="E60" s="17">
        <f t="shared" si="3"/>
        <v>25</v>
      </c>
      <c r="F60" s="166">
        <f t="shared" si="1"/>
        <v>25</v>
      </c>
      <c r="G60" s="17">
        <v>25</v>
      </c>
      <c r="H60" s="17">
        <v>25</v>
      </c>
      <c r="I60" s="18"/>
      <c r="J60" s="18"/>
      <c r="K60" s="18"/>
      <c r="L60" s="19"/>
      <c r="M60" s="14"/>
      <c r="N60" s="14"/>
      <c r="P60" s="15"/>
      <c r="Q60" s="15"/>
    </row>
    <row r="61" spans="1:21" ht="26.4" x14ac:dyDescent="0.25">
      <c r="A61" s="65" t="s">
        <v>87</v>
      </c>
      <c r="B61" s="232"/>
      <c r="C61" s="39" t="s">
        <v>88</v>
      </c>
      <c r="D61" s="233" t="s">
        <v>64</v>
      </c>
      <c r="E61" s="17">
        <f t="shared" si="3"/>
        <v>10</v>
      </c>
      <c r="F61" s="166">
        <f t="shared" si="1"/>
        <v>10</v>
      </c>
      <c r="G61" s="17">
        <v>10</v>
      </c>
      <c r="H61" s="17">
        <v>10</v>
      </c>
      <c r="I61" s="18"/>
      <c r="J61" s="18"/>
      <c r="K61" s="18"/>
      <c r="L61" s="19"/>
      <c r="M61" s="14"/>
      <c r="N61" s="14"/>
      <c r="P61" s="15"/>
      <c r="Q61" s="15"/>
    </row>
    <row r="62" spans="1:21" ht="26.4" x14ac:dyDescent="0.25">
      <c r="A62" s="65" t="s">
        <v>89</v>
      </c>
      <c r="B62" s="40"/>
      <c r="C62" s="35" t="s">
        <v>90</v>
      </c>
      <c r="D62" s="233" t="s">
        <v>64</v>
      </c>
      <c r="E62" s="17">
        <f t="shared" si="3"/>
        <v>45</v>
      </c>
      <c r="F62" s="166">
        <f t="shared" si="1"/>
        <v>45</v>
      </c>
      <c r="G62" s="41">
        <v>45</v>
      </c>
      <c r="H62" s="41">
        <v>45</v>
      </c>
      <c r="I62" s="41"/>
      <c r="J62" s="41"/>
      <c r="K62" s="41"/>
      <c r="L62" s="19"/>
      <c r="P62" s="15"/>
    </row>
    <row r="63" spans="1:21" ht="26.4" x14ac:dyDescent="0.25">
      <c r="A63" s="65" t="s">
        <v>91</v>
      </c>
      <c r="B63" s="232"/>
      <c r="C63" s="31" t="s">
        <v>92</v>
      </c>
      <c r="D63" s="233" t="s">
        <v>64</v>
      </c>
      <c r="E63" s="17">
        <f t="shared" si="3"/>
        <v>3</v>
      </c>
      <c r="F63" s="166">
        <f t="shared" si="1"/>
        <v>1</v>
      </c>
      <c r="G63" s="17">
        <f>20-10-7</f>
        <v>3</v>
      </c>
      <c r="H63" s="17">
        <v>1</v>
      </c>
      <c r="I63" s="18"/>
      <c r="J63" s="18"/>
      <c r="K63" s="18"/>
      <c r="L63" s="19"/>
      <c r="M63" s="14"/>
      <c r="N63" s="14"/>
      <c r="P63" s="15"/>
      <c r="Q63" s="15"/>
    </row>
    <row r="64" spans="1:21" ht="20.100000000000001" customHeight="1" x14ac:dyDescent="0.25">
      <c r="A64" s="11">
        <v>34</v>
      </c>
      <c r="B64" s="231" t="s">
        <v>93</v>
      </c>
      <c r="C64" s="42" t="s">
        <v>94</v>
      </c>
      <c r="D64" s="9"/>
      <c r="E64" s="43">
        <f>+G64+K64</f>
        <v>504.50000000000006</v>
      </c>
      <c r="F64" s="13">
        <f t="shared" si="1"/>
        <v>460.1</v>
      </c>
      <c r="G64" s="43">
        <f t="shared" ref="G64:L64" si="5">+G65+G67</f>
        <v>452.20000000000005</v>
      </c>
      <c r="H64" s="43">
        <f t="shared" si="5"/>
        <v>410.1</v>
      </c>
      <c r="I64" s="43">
        <f t="shared" si="5"/>
        <v>43.2</v>
      </c>
      <c r="J64" s="43">
        <f t="shared" si="5"/>
        <v>43.2</v>
      </c>
      <c r="K64" s="43">
        <f t="shared" si="5"/>
        <v>52.3</v>
      </c>
      <c r="L64" s="43">
        <f t="shared" si="5"/>
        <v>50</v>
      </c>
      <c r="M64" s="14"/>
      <c r="N64" s="14"/>
      <c r="P64" s="15"/>
      <c r="Q64" s="15"/>
    </row>
    <row r="65" spans="1:17" ht="25.5" customHeight="1" x14ac:dyDescent="0.25">
      <c r="A65" s="283">
        <v>35</v>
      </c>
      <c r="B65" s="287"/>
      <c r="C65" s="20" t="s">
        <v>95</v>
      </c>
      <c r="D65" s="233" t="s">
        <v>96</v>
      </c>
      <c r="E65" s="18">
        <f>+G65+K65</f>
        <v>46.4</v>
      </c>
      <c r="F65" s="166">
        <f t="shared" si="1"/>
        <v>46.4</v>
      </c>
      <c r="G65" s="18">
        <v>46.4</v>
      </c>
      <c r="H65" s="18">
        <v>46.4</v>
      </c>
      <c r="I65" s="18">
        <v>43.2</v>
      </c>
      <c r="J65" s="18">
        <v>43.2</v>
      </c>
      <c r="K65" s="18"/>
      <c r="L65" s="19"/>
      <c r="M65" s="14"/>
      <c r="N65" s="14"/>
      <c r="P65" s="15"/>
      <c r="Q65" s="15"/>
    </row>
    <row r="66" spans="1:17" ht="26.4" x14ac:dyDescent="0.25">
      <c r="A66" s="284"/>
      <c r="B66" s="288"/>
      <c r="C66" s="44" t="s">
        <v>97</v>
      </c>
      <c r="D66" s="47" t="s">
        <v>98</v>
      </c>
      <c r="E66" s="18">
        <f t="shared" ref="E66:F110" si="6">+G66+K66</f>
        <v>2.4</v>
      </c>
      <c r="F66" s="166">
        <f t="shared" si="1"/>
        <v>2.4</v>
      </c>
      <c r="G66" s="18">
        <v>2.4</v>
      </c>
      <c r="H66" s="18">
        <v>2.4</v>
      </c>
      <c r="I66" s="18"/>
      <c r="J66" s="18"/>
      <c r="K66" s="18"/>
      <c r="L66" s="19"/>
      <c r="M66" s="14"/>
      <c r="N66" s="14"/>
      <c r="P66" s="15"/>
      <c r="Q66" s="15"/>
    </row>
    <row r="67" spans="1:17" x14ac:dyDescent="0.25">
      <c r="A67" s="11">
        <v>36</v>
      </c>
      <c r="B67" s="232"/>
      <c r="C67" s="29" t="s">
        <v>58</v>
      </c>
      <c r="D67" s="233"/>
      <c r="E67" s="18">
        <f>+G67+K67</f>
        <v>458.10000000000008</v>
      </c>
      <c r="F67" s="166">
        <f>+H67+L67</f>
        <v>413.70000000000005</v>
      </c>
      <c r="G67" s="18">
        <f>+G68+G69+G70+G71+G72+G73+G74+G75+G76+G77+G78+G79+G83+G84+G80+G81+G82</f>
        <v>405.80000000000007</v>
      </c>
      <c r="H67" s="18">
        <f>+H68+H69+H70+H71+H72+H73+H74+H75+H76+H77+H78+H79+H83+H84+H80+H81+H82</f>
        <v>363.70000000000005</v>
      </c>
      <c r="I67" s="18">
        <f>+I68+I69+I70+I71+I72+I73+I74+I75+I76+I77+I78+I79+I83+I84+I80+I81</f>
        <v>0</v>
      </c>
      <c r="J67" s="18">
        <f>+J68+J69+J70+J71+J72+J73+J74+J75+J76+J77+J78+J79+J83+J84+J80+J81</f>
        <v>0</v>
      </c>
      <c r="K67" s="18">
        <f>+K68+K69+K70+K71+K72+K73+K74+K75+K76+K77+K78+K79+K83+K84+K80+K81</f>
        <v>52.3</v>
      </c>
      <c r="L67" s="18">
        <f>+L68+L69+L70+L71+L72+L73+L74+L75+L76+L77+L78+L79+L83+L84+L80+L81</f>
        <v>50</v>
      </c>
      <c r="M67" s="14"/>
      <c r="N67" s="14"/>
      <c r="P67" s="15"/>
      <c r="Q67" s="15"/>
    </row>
    <row r="68" spans="1:17" ht="16.5" customHeight="1" x14ac:dyDescent="0.25">
      <c r="A68" s="30" t="s">
        <v>99</v>
      </c>
      <c r="B68" s="232"/>
      <c r="C68" s="16" t="s">
        <v>60</v>
      </c>
      <c r="D68" s="232" t="s">
        <v>100</v>
      </c>
      <c r="E68" s="18">
        <f t="shared" si="6"/>
        <v>1</v>
      </c>
      <c r="F68" s="166">
        <f t="shared" si="1"/>
        <v>0</v>
      </c>
      <c r="G68" s="18">
        <v>1</v>
      </c>
      <c r="H68" s="18">
        <v>0</v>
      </c>
      <c r="I68" s="18"/>
      <c r="J68" s="18"/>
      <c r="K68" s="18"/>
      <c r="L68" s="19"/>
      <c r="M68" s="14"/>
      <c r="N68" s="14"/>
      <c r="P68" s="15"/>
      <c r="Q68" s="15"/>
    </row>
    <row r="69" spans="1:17" ht="26.4" x14ac:dyDescent="0.25">
      <c r="A69" s="65" t="s">
        <v>101</v>
      </c>
      <c r="B69" s="26"/>
      <c r="C69" s="45" t="s">
        <v>102</v>
      </c>
      <c r="D69" s="47" t="s">
        <v>98</v>
      </c>
      <c r="E69" s="18">
        <f t="shared" si="6"/>
        <v>0.4</v>
      </c>
      <c r="F69" s="166">
        <f t="shared" si="1"/>
        <v>0.4</v>
      </c>
      <c r="G69" s="18">
        <f>0.3+0.1</f>
        <v>0.4</v>
      </c>
      <c r="H69" s="18">
        <v>0.4</v>
      </c>
      <c r="I69" s="18"/>
      <c r="J69" s="18"/>
      <c r="K69" s="18"/>
      <c r="L69" s="19"/>
      <c r="M69" s="14"/>
      <c r="N69" s="14"/>
      <c r="P69" s="15"/>
      <c r="Q69" s="15"/>
    </row>
    <row r="70" spans="1:17" ht="42" customHeight="1" x14ac:dyDescent="0.25">
      <c r="A70" s="30" t="s">
        <v>103</v>
      </c>
      <c r="B70" s="232"/>
      <c r="C70" s="45" t="s">
        <v>104</v>
      </c>
      <c r="D70" s="233" t="s">
        <v>105</v>
      </c>
      <c r="E70" s="18">
        <f t="shared" si="6"/>
        <v>30</v>
      </c>
      <c r="F70" s="166">
        <f t="shared" si="1"/>
        <v>30</v>
      </c>
      <c r="G70" s="18">
        <v>30</v>
      </c>
      <c r="H70" s="18">
        <v>30</v>
      </c>
      <c r="I70" s="18"/>
      <c r="J70" s="18"/>
      <c r="K70" s="18"/>
      <c r="L70" s="19"/>
      <c r="M70" s="14"/>
      <c r="N70" s="14"/>
      <c r="P70" s="15"/>
      <c r="Q70" s="15"/>
    </row>
    <row r="71" spans="1:17" ht="25.95" customHeight="1" x14ac:dyDescent="0.25">
      <c r="A71" s="30" t="s">
        <v>106</v>
      </c>
      <c r="B71" s="232"/>
      <c r="C71" s="45" t="s">
        <v>107</v>
      </c>
      <c r="D71" s="233" t="s">
        <v>108</v>
      </c>
      <c r="E71" s="18">
        <f t="shared" si="6"/>
        <v>40</v>
      </c>
      <c r="F71" s="166">
        <f t="shared" si="1"/>
        <v>40</v>
      </c>
      <c r="G71" s="18">
        <v>40</v>
      </c>
      <c r="H71" s="18">
        <v>40</v>
      </c>
      <c r="I71" s="18"/>
      <c r="J71" s="18"/>
      <c r="K71" s="18"/>
      <c r="L71" s="19"/>
      <c r="M71" s="14"/>
      <c r="N71" s="14"/>
      <c r="P71" s="15"/>
      <c r="Q71" s="15"/>
    </row>
    <row r="72" spans="1:17" ht="16.95" customHeight="1" x14ac:dyDescent="0.25">
      <c r="A72" s="30" t="s">
        <v>109</v>
      </c>
      <c r="B72" s="232"/>
      <c r="C72" s="45" t="s">
        <v>110</v>
      </c>
      <c r="D72" s="233" t="s">
        <v>111</v>
      </c>
      <c r="E72" s="18">
        <f t="shared" si="6"/>
        <v>6.5</v>
      </c>
      <c r="F72" s="166">
        <f t="shared" si="1"/>
        <v>6.5</v>
      </c>
      <c r="G72" s="18">
        <f>15.3-8.8</f>
        <v>6.5</v>
      </c>
      <c r="H72" s="18">
        <v>6.5</v>
      </c>
      <c r="I72" s="18"/>
      <c r="J72" s="18"/>
      <c r="K72" s="18"/>
      <c r="L72" s="19"/>
      <c r="M72" s="14"/>
      <c r="N72" s="14"/>
      <c r="P72" s="15"/>
      <c r="Q72" s="15"/>
    </row>
    <row r="73" spans="1:17" ht="42.75" customHeight="1" x14ac:dyDescent="0.25">
      <c r="A73" s="30" t="s">
        <v>112</v>
      </c>
      <c r="B73" s="232"/>
      <c r="C73" s="45" t="s">
        <v>113</v>
      </c>
      <c r="D73" s="233" t="s">
        <v>108</v>
      </c>
      <c r="E73" s="18">
        <f t="shared" si="6"/>
        <v>18</v>
      </c>
      <c r="F73" s="166">
        <f t="shared" si="1"/>
        <v>17.600000000000001</v>
      </c>
      <c r="G73" s="18">
        <v>18</v>
      </c>
      <c r="H73" s="18">
        <v>17.600000000000001</v>
      </c>
      <c r="I73" s="18"/>
      <c r="J73" s="18"/>
      <c r="K73" s="18"/>
      <c r="L73" s="19"/>
      <c r="M73" s="14"/>
      <c r="N73" s="14"/>
      <c r="P73" s="15"/>
      <c r="Q73" s="15"/>
    </row>
    <row r="74" spans="1:17" ht="40.5" customHeight="1" x14ac:dyDescent="0.25">
      <c r="A74" s="30" t="s">
        <v>114</v>
      </c>
      <c r="B74" s="232"/>
      <c r="C74" s="45" t="s">
        <v>115</v>
      </c>
      <c r="D74" s="233" t="s">
        <v>105</v>
      </c>
      <c r="E74" s="18">
        <f t="shared" si="6"/>
        <v>18.600000000000001</v>
      </c>
      <c r="F74" s="166">
        <f t="shared" si="1"/>
        <v>18.600000000000001</v>
      </c>
      <c r="G74" s="18">
        <v>18.600000000000001</v>
      </c>
      <c r="H74" s="18">
        <v>18.600000000000001</v>
      </c>
      <c r="I74" s="18"/>
      <c r="J74" s="18"/>
      <c r="K74" s="18"/>
      <c r="L74" s="19"/>
      <c r="M74" s="14"/>
      <c r="N74" s="14"/>
      <c r="P74" s="15"/>
      <c r="Q74" s="15"/>
    </row>
    <row r="75" spans="1:17" ht="42" customHeight="1" x14ac:dyDescent="0.25">
      <c r="A75" s="30" t="s">
        <v>116</v>
      </c>
      <c r="B75" s="232"/>
      <c r="C75" s="45" t="s">
        <v>117</v>
      </c>
      <c r="D75" s="233" t="s">
        <v>105</v>
      </c>
      <c r="E75" s="18">
        <f t="shared" si="6"/>
        <v>42.3</v>
      </c>
      <c r="F75" s="166">
        <f t="shared" si="1"/>
        <v>42.2</v>
      </c>
      <c r="G75" s="18">
        <v>42.3</v>
      </c>
      <c r="H75" s="18">
        <v>42.2</v>
      </c>
      <c r="I75" s="18"/>
      <c r="J75" s="18"/>
      <c r="K75" s="18"/>
      <c r="L75" s="19"/>
      <c r="M75" s="14"/>
      <c r="N75" s="14"/>
      <c r="P75" s="15"/>
      <c r="Q75" s="15"/>
    </row>
    <row r="76" spans="1:17" ht="42" customHeight="1" x14ac:dyDescent="0.25">
      <c r="A76" s="30" t="s">
        <v>118</v>
      </c>
      <c r="B76" s="232"/>
      <c r="C76" s="45" t="s">
        <v>119</v>
      </c>
      <c r="D76" s="233" t="s">
        <v>105</v>
      </c>
      <c r="E76" s="18">
        <f t="shared" si="6"/>
        <v>10.3</v>
      </c>
      <c r="F76" s="166">
        <f t="shared" si="1"/>
        <v>10.3</v>
      </c>
      <c r="G76" s="18">
        <v>10.3</v>
      </c>
      <c r="H76" s="18">
        <v>10.3</v>
      </c>
      <c r="I76" s="18"/>
      <c r="J76" s="18"/>
      <c r="K76" s="18"/>
      <c r="L76" s="19"/>
      <c r="M76" s="14"/>
      <c r="N76" s="14"/>
      <c r="P76" s="15"/>
      <c r="Q76" s="15"/>
    </row>
    <row r="77" spans="1:17" ht="42.6" customHeight="1" x14ac:dyDescent="0.25">
      <c r="A77" s="30" t="s">
        <v>120</v>
      </c>
      <c r="B77" s="232"/>
      <c r="C77" s="45" t="s">
        <v>121</v>
      </c>
      <c r="D77" s="233" t="s">
        <v>98</v>
      </c>
      <c r="E77" s="18">
        <f t="shared" si="6"/>
        <v>30</v>
      </c>
      <c r="F77" s="166">
        <f t="shared" si="6"/>
        <v>30</v>
      </c>
      <c r="G77" s="18">
        <v>30</v>
      </c>
      <c r="H77" s="18">
        <v>30</v>
      </c>
      <c r="I77" s="18"/>
      <c r="J77" s="18"/>
      <c r="K77" s="18"/>
      <c r="L77" s="19"/>
      <c r="M77" s="14"/>
      <c r="N77" s="14"/>
      <c r="P77" s="15"/>
      <c r="Q77" s="15"/>
    </row>
    <row r="78" spans="1:17" ht="40.950000000000003" customHeight="1" x14ac:dyDescent="0.25">
      <c r="A78" s="30" t="s">
        <v>122</v>
      </c>
      <c r="B78" s="232"/>
      <c r="C78" s="45" t="s">
        <v>123</v>
      </c>
      <c r="D78" s="233" t="s">
        <v>111</v>
      </c>
      <c r="E78" s="18">
        <f t="shared" si="6"/>
        <v>25.7</v>
      </c>
      <c r="F78" s="166">
        <f t="shared" si="6"/>
        <v>25.7</v>
      </c>
      <c r="G78" s="18">
        <f>25.8-0.1</f>
        <v>25.7</v>
      </c>
      <c r="H78" s="18">
        <v>25.7</v>
      </c>
      <c r="I78" s="18"/>
      <c r="J78" s="18"/>
      <c r="K78" s="18"/>
      <c r="L78" s="19"/>
      <c r="M78" s="14"/>
      <c r="N78" s="14"/>
      <c r="P78" s="15"/>
      <c r="Q78" s="15"/>
    </row>
    <row r="79" spans="1:17" ht="41.4" customHeight="1" x14ac:dyDescent="0.25">
      <c r="A79" s="30" t="s">
        <v>124</v>
      </c>
      <c r="B79" s="232"/>
      <c r="C79" s="45" t="s">
        <v>125</v>
      </c>
      <c r="D79" s="233" t="s">
        <v>126</v>
      </c>
      <c r="E79" s="18">
        <f t="shared" si="6"/>
        <v>8</v>
      </c>
      <c r="F79" s="166">
        <f t="shared" si="6"/>
        <v>8</v>
      </c>
      <c r="G79" s="18">
        <v>8</v>
      </c>
      <c r="H79" s="18">
        <v>8</v>
      </c>
      <c r="I79" s="18"/>
      <c r="J79" s="18"/>
      <c r="K79" s="18"/>
      <c r="L79" s="19"/>
      <c r="M79" s="14"/>
      <c r="N79" s="14"/>
      <c r="P79" s="15"/>
      <c r="Q79" s="15"/>
    </row>
    <row r="80" spans="1:17" ht="30.6" customHeight="1" x14ac:dyDescent="0.25">
      <c r="A80" s="30" t="s">
        <v>127</v>
      </c>
      <c r="B80" s="232"/>
      <c r="C80" s="45" t="s">
        <v>128</v>
      </c>
      <c r="D80" s="233" t="s">
        <v>111</v>
      </c>
      <c r="E80" s="18">
        <f t="shared" si="6"/>
        <v>36.1</v>
      </c>
      <c r="F80" s="166">
        <f t="shared" si="6"/>
        <v>36.1</v>
      </c>
      <c r="G80" s="18">
        <f>42.9-6.8</f>
        <v>36.1</v>
      </c>
      <c r="H80" s="18">
        <v>36.1</v>
      </c>
      <c r="I80" s="18"/>
      <c r="J80" s="18"/>
      <c r="K80" s="18"/>
      <c r="L80" s="19"/>
      <c r="M80" s="14"/>
      <c r="N80" s="14"/>
      <c r="P80" s="15"/>
      <c r="Q80" s="15"/>
    </row>
    <row r="81" spans="1:17" ht="39.6" x14ac:dyDescent="0.25">
      <c r="A81" s="30" t="s">
        <v>129</v>
      </c>
      <c r="B81" s="232"/>
      <c r="C81" s="45" t="s">
        <v>130</v>
      </c>
      <c r="D81" s="233" t="s">
        <v>111</v>
      </c>
      <c r="E81" s="18">
        <f t="shared" si="6"/>
        <v>35.1</v>
      </c>
      <c r="F81" s="166">
        <f t="shared" si="6"/>
        <v>35.1</v>
      </c>
      <c r="G81" s="18">
        <f>37.2-2.1</f>
        <v>35.1</v>
      </c>
      <c r="H81" s="18">
        <v>35.1</v>
      </c>
      <c r="I81" s="18"/>
      <c r="J81" s="18"/>
      <c r="K81" s="18"/>
      <c r="L81" s="19"/>
      <c r="M81" s="14"/>
      <c r="N81" s="14"/>
      <c r="P81" s="15"/>
      <c r="Q81" s="15"/>
    </row>
    <row r="82" spans="1:17" ht="39.6" x14ac:dyDescent="0.25">
      <c r="A82" s="30" t="s">
        <v>131</v>
      </c>
      <c r="B82" s="232"/>
      <c r="C82" s="45" t="s">
        <v>132</v>
      </c>
      <c r="D82" s="233" t="s">
        <v>111</v>
      </c>
      <c r="E82" s="18">
        <f t="shared" si="6"/>
        <v>17.8</v>
      </c>
      <c r="F82" s="166">
        <f t="shared" si="6"/>
        <v>17.8</v>
      </c>
      <c r="G82" s="18">
        <v>17.8</v>
      </c>
      <c r="H82" s="18">
        <v>17.8</v>
      </c>
      <c r="I82" s="18"/>
      <c r="J82" s="18"/>
      <c r="K82" s="18"/>
      <c r="L82" s="19"/>
      <c r="M82" s="14"/>
      <c r="N82" s="14"/>
      <c r="P82" s="15"/>
      <c r="Q82" s="15"/>
    </row>
    <row r="83" spans="1:17" ht="29.25" customHeight="1" x14ac:dyDescent="0.25">
      <c r="A83" s="30" t="s">
        <v>133</v>
      </c>
      <c r="B83" s="232"/>
      <c r="C83" s="45" t="s">
        <v>134</v>
      </c>
      <c r="D83" s="233" t="s">
        <v>135</v>
      </c>
      <c r="E83" s="18">
        <f t="shared" si="6"/>
        <v>60.7</v>
      </c>
      <c r="F83" s="166">
        <f t="shared" si="6"/>
        <v>24</v>
      </c>
      <c r="G83" s="18">
        <f>56.2-1+4.5</f>
        <v>59.7</v>
      </c>
      <c r="H83" s="18">
        <v>24</v>
      </c>
      <c r="I83" s="18"/>
      <c r="J83" s="18"/>
      <c r="K83" s="18">
        <v>1</v>
      </c>
      <c r="L83" s="16">
        <v>0</v>
      </c>
      <c r="M83" s="14"/>
      <c r="N83" s="14"/>
      <c r="P83" s="15"/>
      <c r="Q83" s="15"/>
    </row>
    <row r="84" spans="1:17" ht="38.4" customHeight="1" x14ac:dyDescent="0.25">
      <c r="A84" s="30" t="s">
        <v>136</v>
      </c>
      <c r="B84" s="232"/>
      <c r="C84" s="32" t="s">
        <v>72</v>
      </c>
      <c r="D84" s="233"/>
      <c r="E84" s="46">
        <f t="shared" si="6"/>
        <v>77.599999999999994</v>
      </c>
      <c r="F84" s="13">
        <f t="shared" si="6"/>
        <v>71.400000000000006</v>
      </c>
      <c r="G84" s="46">
        <f t="shared" ref="G84:L84" si="7">+G85+G86</f>
        <v>26.299999999999997</v>
      </c>
      <c r="H84" s="46">
        <f t="shared" si="7"/>
        <v>21.4</v>
      </c>
      <c r="I84" s="46">
        <f t="shared" si="7"/>
        <v>0</v>
      </c>
      <c r="J84" s="46">
        <f t="shared" si="7"/>
        <v>0</v>
      </c>
      <c r="K84" s="46">
        <f t="shared" si="7"/>
        <v>51.3</v>
      </c>
      <c r="L84" s="46">
        <f t="shared" si="7"/>
        <v>50</v>
      </c>
      <c r="M84" s="14"/>
      <c r="N84" s="14"/>
      <c r="P84" s="15"/>
      <c r="Q84" s="15"/>
    </row>
    <row r="85" spans="1:17" ht="39.6" x14ac:dyDescent="0.25">
      <c r="A85" s="30" t="s">
        <v>137</v>
      </c>
      <c r="B85" s="26"/>
      <c r="C85" s="38" t="s">
        <v>138</v>
      </c>
      <c r="D85" s="47" t="s">
        <v>111</v>
      </c>
      <c r="E85" s="18">
        <f t="shared" si="6"/>
        <v>22.299999999999997</v>
      </c>
      <c r="F85" s="166">
        <f t="shared" si="6"/>
        <v>21.4</v>
      </c>
      <c r="G85" s="18">
        <f>36.3-14</f>
        <v>22.299999999999997</v>
      </c>
      <c r="H85" s="18">
        <v>21.4</v>
      </c>
      <c r="I85" s="18"/>
      <c r="J85" s="18"/>
      <c r="K85" s="18"/>
      <c r="L85" s="19"/>
      <c r="M85" s="14"/>
      <c r="N85" s="14"/>
      <c r="P85" s="15"/>
      <c r="Q85" s="15"/>
    </row>
    <row r="86" spans="1:17" ht="39.6" x14ac:dyDescent="0.25">
      <c r="A86" s="65" t="s">
        <v>139</v>
      </c>
      <c r="B86" s="26"/>
      <c r="C86" s="38" t="s">
        <v>140</v>
      </c>
      <c r="D86" s="47" t="s">
        <v>126</v>
      </c>
      <c r="E86" s="18">
        <f t="shared" si="6"/>
        <v>55.3</v>
      </c>
      <c r="F86" s="166">
        <f t="shared" si="6"/>
        <v>50</v>
      </c>
      <c r="G86" s="18">
        <f>7-3</f>
        <v>4</v>
      </c>
      <c r="H86" s="18">
        <v>0</v>
      </c>
      <c r="I86" s="18"/>
      <c r="J86" s="18"/>
      <c r="K86" s="18">
        <f>48.3+3</f>
        <v>51.3</v>
      </c>
      <c r="L86" s="16">
        <v>50</v>
      </c>
      <c r="M86" s="14"/>
      <c r="N86" s="14"/>
      <c r="O86" s="14"/>
      <c r="P86" s="15"/>
      <c r="Q86" s="15"/>
    </row>
    <row r="87" spans="1:17" ht="17.399999999999999" customHeight="1" x14ac:dyDescent="0.25">
      <c r="A87" s="11">
        <v>37</v>
      </c>
      <c r="B87" s="231" t="s">
        <v>141</v>
      </c>
      <c r="C87" s="42" t="s">
        <v>142</v>
      </c>
      <c r="D87" s="9"/>
      <c r="E87" s="43">
        <f t="shared" si="6"/>
        <v>5979.7000000000007</v>
      </c>
      <c r="F87" s="13">
        <f>+H87+L87</f>
        <v>4956.7999999999993</v>
      </c>
      <c r="G87" s="43">
        <f t="shared" ref="G87:K87" si="8">+G88+G91+G92+G93+G94+G95+G112+G113+G114+G115+G116+G117+G118+G119+G120+G121+G122</f>
        <v>5559.7000000000007</v>
      </c>
      <c r="H87" s="43">
        <f>+H88+H91+H92+H93+H94+H95+H112+H113+H114+H115+H116+H117+H118+H119+H120+H121+H122</f>
        <v>4691.0999999999995</v>
      </c>
      <c r="I87" s="43">
        <f t="shared" si="8"/>
        <v>2057.3999999999996</v>
      </c>
      <c r="J87" s="43">
        <f t="shared" si="8"/>
        <v>2040.9000000000003</v>
      </c>
      <c r="K87" s="43">
        <f t="shared" si="8"/>
        <v>420</v>
      </c>
      <c r="L87" s="43">
        <f>+L88+L91+L92+L93+L94+L95+L112+L113+L114+L115+L116+L117+L118+L119+L120+L121+L122</f>
        <v>265.7</v>
      </c>
      <c r="M87" s="14"/>
      <c r="N87" s="14"/>
      <c r="P87" s="15"/>
      <c r="Q87" s="15"/>
    </row>
    <row r="88" spans="1:17" ht="15" customHeight="1" x14ac:dyDescent="0.25">
      <c r="A88" s="283">
        <v>38</v>
      </c>
      <c r="B88" s="285"/>
      <c r="C88" s="16" t="s">
        <v>143</v>
      </c>
      <c r="D88" s="294" t="s">
        <v>144</v>
      </c>
      <c r="E88" s="18">
        <f t="shared" si="6"/>
        <v>731.4</v>
      </c>
      <c r="F88" s="166">
        <f t="shared" si="6"/>
        <v>709.6</v>
      </c>
      <c r="G88" s="18">
        <f>684.5+30+4.6+3.3</f>
        <v>722.4</v>
      </c>
      <c r="H88" s="18">
        <f>700.7-0.1</f>
        <v>700.6</v>
      </c>
      <c r="I88" s="18">
        <f>480.7+4.5+8.2</f>
        <v>493.4</v>
      </c>
      <c r="J88" s="18">
        <f>480.7+4.5+8.2</f>
        <v>493.4</v>
      </c>
      <c r="K88" s="18">
        <v>9</v>
      </c>
      <c r="L88" s="19">
        <v>9</v>
      </c>
      <c r="M88" s="14"/>
      <c r="N88" s="14"/>
      <c r="O88" s="14"/>
      <c r="P88" s="15"/>
      <c r="Q88" s="15"/>
    </row>
    <row r="89" spans="1:17" ht="15" customHeight="1" x14ac:dyDescent="0.25">
      <c r="A89" s="293"/>
      <c r="B89" s="292"/>
      <c r="C89" s="48" t="s">
        <v>145</v>
      </c>
      <c r="D89" s="295"/>
      <c r="E89" s="18">
        <f t="shared" si="6"/>
        <v>193.4</v>
      </c>
      <c r="F89" s="166">
        <f t="shared" si="6"/>
        <v>171.9</v>
      </c>
      <c r="G89" s="18">
        <f>163.4+30</f>
        <v>193.4</v>
      </c>
      <c r="H89" s="18">
        <v>171.9</v>
      </c>
      <c r="I89" s="18"/>
      <c r="J89" s="18"/>
      <c r="K89" s="18"/>
      <c r="L89" s="19"/>
      <c r="M89" s="14"/>
      <c r="N89" s="14"/>
      <c r="P89" s="15"/>
      <c r="Q89" s="15"/>
    </row>
    <row r="90" spans="1:17" x14ac:dyDescent="0.25">
      <c r="A90" s="284"/>
      <c r="B90" s="286"/>
      <c r="C90" s="49" t="s">
        <v>146</v>
      </c>
      <c r="D90" s="296"/>
      <c r="E90" s="18">
        <f t="shared" si="6"/>
        <v>1</v>
      </c>
      <c r="F90" s="166">
        <f t="shared" si="6"/>
        <v>1</v>
      </c>
      <c r="G90" s="18">
        <v>1</v>
      </c>
      <c r="H90" s="18">
        <v>1</v>
      </c>
      <c r="I90" s="18"/>
      <c r="J90" s="18"/>
      <c r="K90" s="18"/>
      <c r="L90" s="19"/>
      <c r="M90" s="14"/>
      <c r="N90" s="14"/>
      <c r="P90" s="15"/>
      <c r="Q90" s="15"/>
    </row>
    <row r="91" spans="1:17" ht="15" customHeight="1" x14ac:dyDescent="0.25">
      <c r="A91" s="11">
        <v>39</v>
      </c>
      <c r="B91" s="232"/>
      <c r="C91" s="50" t="s">
        <v>147</v>
      </c>
      <c r="D91" s="51" t="s">
        <v>148</v>
      </c>
      <c r="E91" s="18">
        <f t="shared" si="6"/>
        <v>226.7</v>
      </c>
      <c r="F91" s="166">
        <f t="shared" si="6"/>
        <v>226.7</v>
      </c>
      <c r="G91" s="18">
        <f>194.7+10</f>
        <v>204.7</v>
      </c>
      <c r="H91" s="18">
        <v>204.7</v>
      </c>
      <c r="I91" s="18">
        <v>150.30000000000001</v>
      </c>
      <c r="J91" s="18">
        <v>150.30000000000001</v>
      </c>
      <c r="K91" s="18">
        <v>22</v>
      </c>
      <c r="L91" s="19">
        <v>22</v>
      </c>
      <c r="M91" s="14"/>
      <c r="N91" s="14"/>
      <c r="O91" s="14"/>
      <c r="P91" s="15"/>
      <c r="Q91" s="15"/>
    </row>
    <row r="92" spans="1:17" ht="15" customHeight="1" x14ac:dyDescent="0.25">
      <c r="A92" s="11">
        <v>40</v>
      </c>
      <c r="B92" s="232"/>
      <c r="C92" s="28" t="s">
        <v>56</v>
      </c>
      <c r="D92" s="233" t="s">
        <v>149</v>
      </c>
      <c r="E92" s="18">
        <f t="shared" si="6"/>
        <v>209.09999999999997</v>
      </c>
      <c r="F92" s="166">
        <f t="shared" si="6"/>
        <v>209.1</v>
      </c>
      <c r="G92" s="18">
        <f>132.1+15.2+2.2+5.6+11.6</f>
        <v>166.69999999999996</v>
      </c>
      <c r="H92" s="18">
        <v>166.7</v>
      </c>
      <c r="I92" s="41">
        <f>114.8+15+2.4+5.6</f>
        <v>137.80000000000001</v>
      </c>
      <c r="J92" s="41">
        <v>137.80000000000001</v>
      </c>
      <c r="K92" s="18">
        <f>18.4+12+12</f>
        <v>42.4</v>
      </c>
      <c r="L92" s="19">
        <f>42.4</f>
        <v>42.4</v>
      </c>
      <c r="M92" s="14"/>
      <c r="N92" s="170"/>
      <c r="O92" s="14"/>
      <c r="P92" s="15"/>
      <c r="Q92" s="15"/>
    </row>
    <row r="93" spans="1:17" ht="15" customHeight="1" x14ac:dyDescent="0.25">
      <c r="A93" s="11">
        <v>41</v>
      </c>
      <c r="B93" s="232"/>
      <c r="C93" s="28" t="s">
        <v>57</v>
      </c>
      <c r="D93" s="52" t="s">
        <v>148</v>
      </c>
      <c r="E93" s="18">
        <f t="shared" si="6"/>
        <v>312.2</v>
      </c>
      <c r="F93" s="166">
        <f t="shared" si="6"/>
        <v>312</v>
      </c>
      <c r="G93" s="18">
        <f>243.8+1.2</f>
        <v>245</v>
      </c>
      <c r="H93" s="18">
        <f>244.9+0.1</f>
        <v>245</v>
      </c>
      <c r="I93" s="18">
        <f>204+0.5</f>
        <v>204.5</v>
      </c>
      <c r="J93" s="18">
        <v>204.5</v>
      </c>
      <c r="K93" s="18">
        <f>43.5+23.7</f>
        <v>67.2</v>
      </c>
      <c r="L93" s="19">
        <v>67</v>
      </c>
      <c r="M93" s="14"/>
      <c r="N93" s="14"/>
      <c r="P93" s="15"/>
      <c r="Q93" s="15"/>
    </row>
    <row r="94" spans="1:17" ht="15" customHeight="1" x14ac:dyDescent="0.25">
      <c r="A94" s="11">
        <v>42</v>
      </c>
      <c r="B94" s="232"/>
      <c r="C94" s="16" t="s">
        <v>150</v>
      </c>
      <c r="D94" s="51" t="s">
        <v>151</v>
      </c>
      <c r="E94" s="18">
        <f t="shared" si="6"/>
        <v>955.19999999999993</v>
      </c>
      <c r="F94" s="166">
        <f t="shared" si="6"/>
        <v>909.6</v>
      </c>
      <c r="G94" s="18">
        <f>927.3-1.1</f>
        <v>926.19999999999993</v>
      </c>
      <c r="H94" s="18">
        <v>880.6</v>
      </c>
      <c r="I94" s="18">
        <v>666.2</v>
      </c>
      <c r="J94" s="18">
        <v>666.2</v>
      </c>
      <c r="K94" s="18">
        <f>17.9+1.1+10</f>
        <v>29</v>
      </c>
      <c r="L94" s="19">
        <v>29</v>
      </c>
      <c r="M94" s="14"/>
      <c r="N94" s="14"/>
      <c r="O94" s="14"/>
      <c r="P94" s="15"/>
      <c r="Q94" s="15"/>
    </row>
    <row r="95" spans="1:17" ht="15" customHeight="1" x14ac:dyDescent="0.25">
      <c r="A95" s="11">
        <v>43</v>
      </c>
      <c r="B95" s="232"/>
      <c r="C95" s="29" t="s">
        <v>58</v>
      </c>
      <c r="D95" s="232"/>
      <c r="E95" s="17">
        <f t="shared" si="6"/>
        <v>2181.9</v>
      </c>
      <c r="F95" s="166">
        <f t="shared" si="6"/>
        <v>1692.1999999999998</v>
      </c>
      <c r="G95" s="17">
        <f>+G96+G97+G98+G100+G101+G102+G103+G99+G104+G105+G106</f>
        <v>1931.5</v>
      </c>
      <c r="H95" s="17">
        <f>+H96+H97+H98+H100+H101+H102+H103+H99+H104+H105+H106</f>
        <v>1595.8999999999999</v>
      </c>
      <c r="I95" s="17">
        <f>+I96+I97+I98+I100+I101+I102+I103+I99+I104+I106</f>
        <v>62.300000000000004</v>
      </c>
      <c r="J95" s="17">
        <f>+J96+J97+J98+J100+J101+J102+J103+J99+J104+J106</f>
        <v>62.3</v>
      </c>
      <c r="K95" s="17">
        <f>+K96+K97+K98+K100+K101+K102+K103+K99+K104+K106</f>
        <v>250.4</v>
      </c>
      <c r="L95" s="17">
        <f>+L96+L97+L98+L100+L101+L102+L103+L99+L104+L106</f>
        <v>96.3</v>
      </c>
      <c r="M95" s="14"/>
      <c r="N95" s="14"/>
      <c r="P95" s="15"/>
      <c r="Q95" s="15"/>
    </row>
    <row r="96" spans="1:17" ht="52.8" x14ac:dyDescent="0.25">
      <c r="A96" s="30" t="s">
        <v>152</v>
      </c>
      <c r="B96" s="232"/>
      <c r="C96" s="29" t="s">
        <v>60</v>
      </c>
      <c r="D96" s="53" t="s">
        <v>153</v>
      </c>
      <c r="E96" s="18">
        <f t="shared" si="6"/>
        <v>944.9</v>
      </c>
      <c r="F96" s="166">
        <f t="shared" si="6"/>
        <v>705.5</v>
      </c>
      <c r="G96" s="18">
        <f>941.5+3.4</f>
        <v>944.9</v>
      </c>
      <c r="H96" s="18">
        <f>700.5+5</f>
        <v>705.5</v>
      </c>
      <c r="I96" s="18">
        <f>59.1+3.2</f>
        <v>62.300000000000004</v>
      </c>
      <c r="J96" s="18">
        <v>62.3</v>
      </c>
      <c r="K96" s="18"/>
      <c r="L96" s="19"/>
      <c r="M96" s="14"/>
      <c r="N96" s="170"/>
      <c r="P96" s="15"/>
      <c r="Q96" s="15"/>
    </row>
    <row r="97" spans="1:17" ht="27.6" customHeight="1" x14ac:dyDescent="0.25">
      <c r="A97" s="30" t="s">
        <v>154</v>
      </c>
      <c r="B97" s="232"/>
      <c r="C97" s="39" t="s">
        <v>155</v>
      </c>
      <c r="D97" s="54" t="s">
        <v>156</v>
      </c>
      <c r="E97" s="18">
        <f t="shared" si="6"/>
        <v>50</v>
      </c>
      <c r="F97" s="166">
        <f t="shared" si="6"/>
        <v>34.700000000000003</v>
      </c>
      <c r="G97" s="18">
        <v>50</v>
      </c>
      <c r="H97" s="24">
        <v>34.700000000000003</v>
      </c>
      <c r="I97" s="18"/>
      <c r="J97" s="18"/>
      <c r="K97" s="18"/>
      <c r="L97" s="19"/>
      <c r="M97" s="14"/>
      <c r="N97" s="14"/>
      <c r="P97" s="15"/>
      <c r="Q97" s="15"/>
    </row>
    <row r="98" spans="1:17" ht="26.25" customHeight="1" x14ac:dyDescent="0.25">
      <c r="A98" s="55" t="s">
        <v>157</v>
      </c>
      <c r="B98" s="22"/>
      <c r="C98" s="56" t="s">
        <v>158</v>
      </c>
      <c r="D98" s="57" t="s">
        <v>156</v>
      </c>
      <c r="E98" s="24">
        <f t="shared" si="6"/>
        <v>88.5</v>
      </c>
      <c r="F98" s="166">
        <f t="shared" si="6"/>
        <v>88.5</v>
      </c>
      <c r="G98" s="24">
        <f>71+17.5</f>
        <v>88.5</v>
      </c>
      <c r="H98" s="24">
        <v>88.5</v>
      </c>
      <c r="I98" s="24"/>
      <c r="J98" s="24"/>
      <c r="K98" s="24"/>
      <c r="L98" s="19"/>
      <c r="M98" s="14"/>
      <c r="N98" s="14"/>
      <c r="P98" s="15"/>
      <c r="Q98" s="15"/>
    </row>
    <row r="99" spans="1:17" ht="28.5" customHeight="1" x14ac:dyDescent="0.25">
      <c r="A99" s="30" t="s">
        <v>159</v>
      </c>
      <c r="B99" s="232"/>
      <c r="C99" s="35" t="s">
        <v>160</v>
      </c>
      <c r="D99" s="232" t="s">
        <v>161</v>
      </c>
      <c r="E99" s="41">
        <f>+G99+K99</f>
        <v>15.1</v>
      </c>
      <c r="F99" s="166">
        <f t="shared" si="6"/>
        <v>15.1</v>
      </c>
      <c r="G99" s="41">
        <v>15.1</v>
      </c>
      <c r="H99" s="59">
        <v>15.1</v>
      </c>
      <c r="I99" s="41"/>
      <c r="J99" s="41"/>
      <c r="K99" s="41"/>
      <c r="L99" s="19"/>
      <c r="M99" s="14"/>
      <c r="N99" s="14"/>
      <c r="P99" s="15"/>
      <c r="Q99" s="15"/>
    </row>
    <row r="100" spans="1:17" ht="15" customHeight="1" x14ac:dyDescent="0.25">
      <c r="A100" s="30" t="s">
        <v>162</v>
      </c>
      <c r="B100" s="232"/>
      <c r="C100" s="35" t="s">
        <v>163</v>
      </c>
      <c r="D100" s="51" t="s">
        <v>164</v>
      </c>
      <c r="E100" s="18">
        <f t="shared" si="6"/>
        <v>52</v>
      </c>
      <c r="F100" s="166">
        <f t="shared" si="6"/>
        <v>49.6</v>
      </c>
      <c r="G100" s="18">
        <v>52</v>
      </c>
      <c r="H100" s="24">
        <v>49.6</v>
      </c>
      <c r="I100" s="18"/>
      <c r="J100" s="18"/>
      <c r="K100" s="18"/>
      <c r="L100" s="19"/>
      <c r="M100" s="14"/>
      <c r="N100" s="14"/>
      <c r="P100" s="15"/>
      <c r="Q100" s="15"/>
    </row>
    <row r="101" spans="1:17" ht="26.25" customHeight="1" x14ac:dyDescent="0.25">
      <c r="A101" s="30" t="s">
        <v>165</v>
      </c>
      <c r="B101" s="232"/>
      <c r="C101" s="35" t="s">
        <v>166</v>
      </c>
      <c r="D101" s="54" t="s">
        <v>164</v>
      </c>
      <c r="E101" s="18">
        <f t="shared" si="6"/>
        <v>125</v>
      </c>
      <c r="F101" s="166">
        <f t="shared" si="6"/>
        <v>125</v>
      </c>
      <c r="G101" s="18">
        <v>125</v>
      </c>
      <c r="H101" s="24">
        <v>125</v>
      </c>
      <c r="I101" s="18"/>
      <c r="J101" s="18"/>
      <c r="K101" s="18"/>
      <c r="L101" s="19"/>
      <c r="M101" s="14"/>
      <c r="N101" s="14"/>
      <c r="P101" s="15"/>
      <c r="Q101" s="15"/>
    </row>
    <row r="102" spans="1:17" ht="39" customHeight="1" x14ac:dyDescent="0.25">
      <c r="A102" s="55" t="s">
        <v>167</v>
      </c>
      <c r="B102" s="22"/>
      <c r="C102" s="58" t="s">
        <v>168</v>
      </c>
      <c r="D102" s="57" t="s">
        <v>169</v>
      </c>
      <c r="E102" s="59">
        <f t="shared" si="6"/>
        <v>384</v>
      </c>
      <c r="F102" s="166">
        <f t="shared" si="6"/>
        <v>324.2</v>
      </c>
      <c r="G102" s="59">
        <f>700-50-146-50-70</f>
        <v>384</v>
      </c>
      <c r="H102" s="59">
        <v>324.2</v>
      </c>
      <c r="I102" s="59"/>
      <c r="J102" s="59"/>
      <c r="K102" s="59"/>
      <c r="L102" s="19"/>
      <c r="M102" s="14"/>
      <c r="N102" s="14"/>
      <c r="P102" s="15"/>
      <c r="Q102" s="15"/>
    </row>
    <row r="103" spans="1:17" ht="28.5" customHeight="1" x14ac:dyDescent="0.25">
      <c r="A103" s="30" t="s">
        <v>170</v>
      </c>
      <c r="B103" s="232"/>
      <c r="C103" s="35" t="s">
        <v>171</v>
      </c>
      <c r="D103" s="232" t="s">
        <v>172</v>
      </c>
      <c r="E103" s="41">
        <f t="shared" si="6"/>
        <v>44</v>
      </c>
      <c r="F103" s="166">
        <f t="shared" si="6"/>
        <v>44</v>
      </c>
      <c r="G103" s="41">
        <v>44</v>
      </c>
      <c r="H103" s="41">
        <v>44</v>
      </c>
      <c r="I103" s="41"/>
      <c r="J103" s="41"/>
      <c r="K103" s="41"/>
      <c r="L103" s="19"/>
      <c r="M103" s="14"/>
      <c r="N103" s="14"/>
      <c r="P103" s="15"/>
      <c r="Q103" s="15"/>
    </row>
    <row r="104" spans="1:17" ht="28.5" customHeight="1" x14ac:dyDescent="0.25">
      <c r="A104" s="30" t="s">
        <v>173</v>
      </c>
      <c r="B104" s="232"/>
      <c r="C104" s="35" t="s">
        <v>174</v>
      </c>
      <c r="D104" s="232" t="s">
        <v>175</v>
      </c>
      <c r="E104" s="41">
        <f t="shared" si="6"/>
        <v>5</v>
      </c>
      <c r="F104" s="166">
        <f t="shared" si="6"/>
        <v>0</v>
      </c>
      <c r="G104" s="41">
        <v>5</v>
      </c>
      <c r="H104" s="41">
        <v>0</v>
      </c>
      <c r="I104" s="41"/>
      <c r="J104" s="41"/>
      <c r="K104" s="41"/>
      <c r="L104" s="19"/>
      <c r="M104" s="14"/>
      <c r="N104" s="14"/>
      <c r="P104" s="15"/>
      <c r="Q104" s="15"/>
    </row>
    <row r="105" spans="1:17" x14ac:dyDescent="0.25">
      <c r="A105" s="30" t="s">
        <v>176</v>
      </c>
      <c r="B105" s="232"/>
      <c r="C105" s="35" t="s">
        <v>177</v>
      </c>
      <c r="D105" s="51" t="s">
        <v>151</v>
      </c>
      <c r="E105" s="41">
        <f t="shared" si="6"/>
        <v>33.4</v>
      </c>
      <c r="F105" s="166">
        <f t="shared" si="6"/>
        <v>26.5</v>
      </c>
      <c r="G105" s="41">
        <v>33.4</v>
      </c>
      <c r="H105" s="59">
        <v>26.5</v>
      </c>
      <c r="I105" s="41"/>
      <c r="J105" s="41"/>
      <c r="K105" s="41"/>
      <c r="L105" s="19"/>
      <c r="M105" s="14"/>
      <c r="N105" s="14"/>
      <c r="P105" s="15"/>
      <c r="Q105" s="15"/>
    </row>
    <row r="106" spans="1:17" ht="39" customHeight="1" x14ac:dyDescent="0.25">
      <c r="A106" s="30" t="s">
        <v>178</v>
      </c>
      <c r="B106" s="232"/>
      <c r="C106" s="32" t="s">
        <v>72</v>
      </c>
      <c r="D106" s="231"/>
      <c r="E106" s="33">
        <f t="shared" si="6"/>
        <v>440</v>
      </c>
      <c r="F106" s="13">
        <f t="shared" si="6"/>
        <v>279.09999999999997</v>
      </c>
      <c r="G106" s="33">
        <f t="shared" ref="G106:L106" si="9">+G109+G110+G107+G108+G111</f>
        <v>189.6</v>
      </c>
      <c r="H106" s="264">
        <f t="shared" si="9"/>
        <v>182.79999999999998</v>
      </c>
      <c r="I106" s="33">
        <f t="shared" si="9"/>
        <v>0</v>
      </c>
      <c r="J106" s="33">
        <f t="shared" si="9"/>
        <v>0</v>
      </c>
      <c r="K106" s="33">
        <f t="shared" si="9"/>
        <v>250.4</v>
      </c>
      <c r="L106" s="33">
        <f t="shared" si="9"/>
        <v>96.3</v>
      </c>
      <c r="M106" s="14"/>
      <c r="N106" s="14"/>
      <c r="P106" s="15"/>
      <c r="Q106" s="15"/>
    </row>
    <row r="107" spans="1:17" ht="15.6" customHeight="1" x14ac:dyDescent="0.25">
      <c r="A107" s="65" t="s">
        <v>179</v>
      </c>
      <c r="B107" s="26"/>
      <c r="C107" s="35" t="s">
        <v>180</v>
      </c>
      <c r="D107" s="26" t="s">
        <v>181</v>
      </c>
      <c r="E107" s="41">
        <f t="shared" si="6"/>
        <v>149</v>
      </c>
      <c r="F107" s="166">
        <f t="shared" si="6"/>
        <v>0</v>
      </c>
      <c r="G107" s="41">
        <f>1-1</f>
        <v>0</v>
      </c>
      <c r="H107" s="41">
        <v>0</v>
      </c>
      <c r="I107" s="41"/>
      <c r="J107" s="41"/>
      <c r="K107" s="41">
        <f>149</f>
        <v>149</v>
      </c>
      <c r="L107" s="19">
        <v>0</v>
      </c>
      <c r="M107" s="14"/>
      <c r="N107" s="14"/>
      <c r="O107" s="14"/>
      <c r="P107" s="15"/>
      <c r="Q107" s="15"/>
    </row>
    <row r="108" spans="1:17" ht="29.4" customHeight="1" x14ac:dyDescent="0.25">
      <c r="A108" s="30" t="s">
        <v>182</v>
      </c>
      <c r="B108" s="26"/>
      <c r="C108" s="35" t="s">
        <v>183</v>
      </c>
      <c r="D108" s="26" t="s">
        <v>148</v>
      </c>
      <c r="E108" s="41">
        <f t="shared" si="6"/>
        <v>93</v>
      </c>
      <c r="F108" s="166">
        <f t="shared" si="6"/>
        <v>92.899999999999991</v>
      </c>
      <c r="G108" s="41">
        <f>8.5-3.9</f>
        <v>4.5999999999999996</v>
      </c>
      <c r="H108" s="41">
        <v>4.5999999999999996</v>
      </c>
      <c r="I108" s="41"/>
      <c r="J108" s="41"/>
      <c r="K108" s="41">
        <f>208.5-120.1</f>
        <v>88.4</v>
      </c>
      <c r="L108" s="16">
        <v>88.3</v>
      </c>
      <c r="M108" s="14"/>
      <c r="N108" s="14"/>
      <c r="P108" s="15"/>
      <c r="Q108" s="15"/>
    </row>
    <row r="109" spans="1:17" ht="26.4" x14ac:dyDescent="0.25">
      <c r="A109" s="65" t="s">
        <v>184</v>
      </c>
      <c r="B109" s="232"/>
      <c r="C109" s="35" t="s">
        <v>185</v>
      </c>
      <c r="D109" s="233" t="s">
        <v>186</v>
      </c>
      <c r="E109" s="41">
        <f t="shared" si="6"/>
        <v>150</v>
      </c>
      <c r="F109" s="166">
        <f t="shared" si="6"/>
        <v>147.6</v>
      </c>
      <c r="G109" s="41">
        <f>70+80</f>
        <v>150</v>
      </c>
      <c r="H109" s="41">
        <v>147.6</v>
      </c>
      <c r="I109" s="41"/>
      <c r="J109" s="41"/>
      <c r="K109" s="41"/>
      <c r="L109" s="16"/>
      <c r="M109" s="14"/>
      <c r="N109" s="14"/>
      <c r="P109" s="15"/>
      <c r="Q109" s="15"/>
    </row>
    <row r="110" spans="1:17" ht="26.4" x14ac:dyDescent="0.25">
      <c r="A110" s="30" t="s">
        <v>187</v>
      </c>
      <c r="B110" s="232"/>
      <c r="C110" s="35" t="s">
        <v>188</v>
      </c>
      <c r="D110" s="232" t="s">
        <v>172</v>
      </c>
      <c r="E110" s="41">
        <f t="shared" si="6"/>
        <v>30</v>
      </c>
      <c r="F110" s="166">
        <f t="shared" si="6"/>
        <v>30</v>
      </c>
      <c r="G110" s="41">
        <v>30</v>
      </c>
      <c r="H110" s="41">
        <v>30</v>
      </c>
      <c r="I110" s="41"/>
      <c r="J110" s="41"/>
      <c r="K110" s="41"/>
      <c r="L110" s="16"/>
      <c r="M110" s="14"/>
      <c r="N110" s="14"/>
      <c r="P110" s="15"/>
      <c r="Q110" s="15"/>
    </row>
    <row r="111" spans="1:17" ht="29.4" customHeight="1" x14ac:dyDescent="0.25">
      <c r="A111" s="65" t="s">
        <v>189</v>
      </c>
      <c r="B111" s="26"/>
      <c r="C111" s="38" t="s">
        <v>190</v>
      </c>
      <c r="D111" s="232" t="s">
        <v>151</v>
      </c>
      <c r="E111" s="41">
        <f>+G111+K111</f>
        <v>18</v>
      </c>
      <c r="F111" s="166">
        <f t="shared" ref="F111:F174" si="10">+H111+L111</f>
        <v>8.6</v>
      </c>
      <c r="G111" s="41">
        <f>4+1</f>
        <v>5</v>
      </c>
      <c r="H111" s="41">
        <v>0.6</v>
      </c>
      <c r="I111" s="41"/>
      <c r="J111" s="41"/>
      <c r="K111" s="41">
        <f>14-1</f>
        <v>13</v>
      </c>
      <c r="L111" s="16">
        <v>8</v>
      </c>
      <c r="M111" s="14"/>
      <c r="N111" s="14"/>
      <c r="O111" s="14"/>
      <c r="P111" s="15"/>
      <c r="Q111" s="15"/>
    </row>
    <row r="112" spans="1:17" ht="38.4" customHeight="1" x14ac:dyDescent="0.25">
      <c r="A112" s="21">
        <v>44</v>
      </c>
      <c r="B112" s="22"/>
      <c r="C112" s="23" t="s">
        <v>191</v>
      </c>
      <c r="D112" s="60" t="s">
        <v>192</v>
      </c>
      <c r="E112" s="24">
        <f t="shared" ref="E112:E122" si="11">+G112+K112</f>
        <v>492.29999999999995</v>
      </c>
      <c r="F112" s="166">
        <f t="shared" si="10"/>
        <v>345.3</v>
      </c>
      <c r="G112" s="24">
        <f>666.8-7.9-149.1-17.5</f>
        <v>492.29999999999995</v>
      </c>
      <c r="H112" s="24">
        <v>345.3</v>
      </c>
      <c r="I112" s="24">
        <f>80.5+0.2-8.9+13.4</f>
        <v>85.2</v>
      </c>
      <c r="J112" s="24">
        <v>82.3</v>
      </c>
      <c r="K112" s="61"/>
      <c r="L112" s="62"/>
      <c r="M112" s="63"/>
      <c r="N112" s="63"/>
      <c r="P112" s="15"/>
      <c r="Q112" s="15"/>
    </row>
    <row r="113" spans="1:17" ht="38.25" customHeight="1" x14ac:dyDescent="0.25">
      <c r="A113" s="21">
        <v>45</v>
      </c>
      <c r="B113" s="22"/>
      <c r="C113" s="23" t="s">
        <v>193</v>
      </c>
      <c r="D113" s="60" t="s">
        <v>194</v>
      </c>
      <c r="E113" s="24">
        <f t="shared" si="11"/>
        <v>121.80000000000001</v>
      </c>
      <c r="F113" s="166">
        <f t="shared" si="10"/>
        <v>114.5</v>
      </c>
      <c r="G113" s="24">
        <f>222.7+17.3+1.8-120</f>
        <v>121.80000000000001</v>
      </c>
      <c r="H113" s="24">
        <v>114.5</v>
      </c>
      <c r="I113" s="24">
        <f>22.1+0.8+17.5+2+2.2</f>
        <v>44.600000000000009</v>
      </c>
      <c r="J113" s="24">
        <v>44.5</v>
      </c>
      <c r="K113" s="61"/>
      <c r="L113" s="62"/>
      <c r="M113" s="63"/>
      <c r="N113" s="63"/>
      <c r="P113" s="15"/>
      <c r="Q113" s="15"/>
    </row>
    <row r="114" spans="1:17" ht="39.75" customHeight="1" x14ac:dyDescent="0.25">
      <c r="A114" s="21">
        <v>46</v>
      </c>
      <c r="B114" s="22"/>
      <c r="C114" s="23" t="s">
        <v>195</v>
      </c>
      <c r="D114" s="60" t="s">
        <v>192</v>
      </c>
      <c r="E114" s="24">
        <f t="shared" si="11"/>
        <v>111.6</v>
      </c>
      <c r="F114" s="166">
        <f t="shared" si="10"/>
        <v>67.5</v>
      </c>
      <c r="G114" s="24">
        <f>133.2-1.6-20</f>
        <v>111.6</v>
      </c>
      <c r="H114" s="24">
        <v>67.5</v>
      </c>
      <c r="I114" s="24">
        <f>26+2-1.6+1.8</f>
        <v>28.2</v>
      </c>
      <c r="J114" s="24">
        <v>28.2</v>
      </c>
      <c r="K114" s="61"/>
      <c r="L114" s="62"/>
      <c r="M114" s="63"/>
      <c r="N114" s="63"/>
      <c r="P114" s="15"/>
      <c r="Q114" s="15"/>
    </row>
    <row r="115" spans="1:17" ht="39.75" customHeight="1" x14ac:dyDescent="0.25">
      <c r="A115" s="21">
        <v>47</v>
      </c>
      <c r="B115" s="22"/>
      <c r="C115" s="23" t="s">
        <v>196</v>
      </c>
      <c r="D115" s="60" t="s">
        <v>192</v>
      </c>
      <c r="E115" s="24">
        <f t="shared" si="11"/>
        <v>59.5</v>
      </c>
      <c r="F115" s="166">
        <f t="shared" si="10"/>
        <v>31.8</v>
      </c>
      <c r="G115" s="24">
        <f>67.2-7.7</f>
        <v>59.5</v>
      </c>
      <c r="H115" s="24">
        <v>31.8</v>
      </c>
      <c r="I115" s="24">
        <f>20.7+0.3-7.6+3.2</f>
        <v>16.600000000000001</v>
      </c>
      <c r="J115" s="24">
        <v>15.9</v>
      </c>
      <c r="K115" s="61"/>
      <c r="L115" s="62"/>
      <c r="M115" s="63"/>
      <c r="N115" s="63"/>
      <c r="P115" s="15"/>
      <c r="Q115" s="15"/>
    </row>
    <row r="116" spans="1:17" ht="39.75" customHeight="1" x14ac:dyDescent="0.25">
      <c r="A116" s="21">
        <v>48</v>
      </c>
      <c r="B116" s="22"/>
      <c r="C116" s="23" t="s">
        <v>197</v>
      </c>
      <c r="D116" s="60" t="s">
        <v>192</v>
      </c>
      <c r="E116" s="24">
        <f t="shared" si="11"/>
        <v>113.6</v>
      </c>
      <c r="F116" s="166">
        <f t="shared" si="10"/>
        <v>69.2</v>
      </c>
      <c r="G116" s="24">
        <f>167.3-6.1+0.7+0.6+1.1-50</f>
        <v>113.6</v>
      </c>
      <c r="H116" s="24">
        <v>69.2</v>
      </c>
      <c r="I116" s="24">
        <f>36+1.7-6.1+0.7+0.6+1.1+4.1</f>
        <v>38.100000000000009</v>
      </c>
      <c r="J116" s="24">
        <v>37.4</v>
      </c>
      <c r="K116" s="61"/>
      <c r="L116" s="62"/>
      <c r="M116" s="63"/>
      <c r="N116" s="63"/>
      <c r="P116" s="15"/>
      <c r="Q116" s="15"/>
    </row>
    <row r="117" spans="1:17" ht="39.75" customHeight="1" x14ac:dyDescent="0.25">
      <c r="A117" s="21">
        <v>49</v>
      </c>
      <c r="B117" s="22"/>
      <c r="C117" s="23" t="s">
        <v>198</v>
      </c>
      <c r="D117" s="60" t="s">
        <v>192</v>
      </c>
      <c r="E117" s="24">
        <f t="shared" si="11"/>
        <v>75.7</v>
      </c>
      <c r="F117" s="166">
        <f t="shared" si="10"/>
        <v>44.5</v>
      </c>
      <c r="G117" s="24">
        <f>101.8-6.1-20</f>
        <v>75.7</v>
      </c>
      <c r="H117" s="24">
        <v>44.5</v>
      </c>
      <c r="I117" s="24">
        <f>23.5+1.8-6.1+2.6</f>
        <v>21.800000000000004</v>
      </c>
      <c r="J117" s="24">
        <v>21.7</v>
      </c>
      <c r="K117" s="61"/>
      <c r="L117" s="62"/>
      <c r="M117" s="63"/>
      <c r="N117" s="63"/>
      <c r="P117" s="15"/>
      <c r="Q117" s="15"/>
    </row>
    <row r="118" spans="1:17" ht="39.75" customHeight="1" x14ac:dyDescent="0.25">
      <c r="A118" s="21">
        <v>50</v>
      </c>
      <c r="B118" s="22"/>
      <c r="C118" s="64" t="s">
        <v>199</v>
      </c>
      <c r="D118" s="60" t="s">
        <v>192</v>
      </c>
      <c r="E118" s="24">
        <f t="shared" si="11"/>
        <v>71.400000000000006</v>
      </c>
      <c r="F118" s="166">
        <f t="shared" si="10"/>
        <v>40.4</v>
      </c>
      <c r="G118" s="24">
        <f>91.2+0.2-20</f>
        <v>71.400000000000006</v>
      </c>
      <c r="H118" s="24">
        <v>40.4</v>
      </c>
      <c r="I118" s="24">
        <f>13.8+0.2+0.2+1</f>
        <v>15.2</v>
      </c>
      <c r="J118" s="24">
        <v>15.2</v>
      </c>
      <c r="K118" s="61"/>
      <c r="L118" s="62"/>
      <c r="M118" s="63"/>
      <c r="N118" s="63"/>
      <c r="P118" s="15"/>
      <c r="Q118" s="15"/>
    </row>
    <row r="119" spans="1:17" ht="39.6" customHeight="1" x14ac:dyDescent="0.25">
      <c r="A119" s="21">
        <v>51</v>
      </c>
      <c r="B119" s="22"/>
      <c r="C119" s="23" t="s">
        <v>200</v>
      </c>
      <c r="D119" s="60" t="s">
        <v>192</v>
      </c>
      <c r="E119" s="24">
        <f t="shared" si="11"/>
        <v>91.8</v>
      </c>
      <c r="F119" s="166">
        <f t="shared" si="10"/>
        <v>49.5</v>
      </c>
      <c r="G119" s="24">
        <v>91.8</v>
      </c>
      <c r="H119" s="24">
        <v>49.5</v>
      </c>
      <c r="I119" s="24">
        <f>26.9+0.5+4.1</f>
        <v>31.5</v>
      </c>
      <c r="J119" s="18">
        <f>20.8+0.1</f>
        <v>20.900000000000002</v>
      </c>
      <c r="K119" s="61"/>
      <c r="L119" s="62"/>
      <c r="M119" s="63"/>
      <c r="N119" s="63"/>
      <c r="P119" s="15"/>
      <c r="Q119" s="15"/>
    </row>
    <row r="120" spans="1:17" ht="39.6" x14ac:dyDescent="0.25">
      <c r="A120" s="21">
        <v>52</v>
      </c>
      <c r="B120" s="22"/>
      <c r="C120" s="23" t="s">
        <v>201</v>
      </c>
      <c r="D120" s="60" t="s">
        <v>192</v>
      </c>
      <c r="E120" s="24">
        <f t="shared" si="11"/>
        <v>95.699999999999989</v>
      </c>
      <c r="F120" s="166">
        <f t="shared" si="10"/>
        <v>48.9</v>
      </c>
      <c r="G120" s="24">
        <f>98.6-2.9</f>
        <v>95.699999999999989</v>
      </c>
      <c r="H120" s="24">
        <v>48.9</v>
      </c>
      <c r="I120" s="24">
        <f>17.8+0.8-2.9+2.9</f>
        <v>18.600000000000001</v>
      </c>
      <c r="J120" s="24">
        <v>18.100000000000001</v>
      </c>
      <c r="K120" s="61"/>
      <c r="L120" s="62"/>
      <c r="M120" s="63"/>
      <c r="N120" s="63"/>
      <c r="P120" s="15"/>
      <c r="Q120" s="15"/>
    </row>
    <row r="121" spans="1:17" ht="39.75" customHeight="1" x14ac:dyDescent="0.25">
      <c r="A121" s="21">
        <v>53</v>
      </c>
      <c r="B121" s="22"/>
      <c r="C121" s="23" t="s">
        <v>202</v>
      </c>
      <c r="D121" s="60" t="s">
        <v>192</v>
      </c>
      <c r="E121" s="24">
        <f t="shared" si="11"/>
        <v>55.7</v>
      </c>
      <c r="F121" s="166">
        <f t="shared" si="10"/>
        <v>32.299999999999997</v>
      </c>
      <c r="G121" s="24">
        <v>55.7</v>
      </c>
      <c r="H121" s="24">
        <v>32.299999999999997</v>
      </c>
      <c r="I121" s="24">
        <f>11.5+0.6+0.6</f>
        <v>12.7</v>
      </c>
      <c r="J121" s="24">
        <v>12.7</v>
      </c>
      <c r="K121" s="61"/>
      <c r="L121" s="62"/>
      <c r="M121" s="63"/>
      <c r="N121" s="63"/>
      <c r="P121" s="15"/>
      <c r="Q121" s="15"/>
    </row>
    <row r="122" spans="1:17" ht="39.75" customHeight="1" x14ac:dyDescent="0.25">
      <c r="A122" s="21">
        <v>54</v>
      </c>
      <c r="B122" s="22"/>
      <c r="C122" s="23" t="s">
        <v>203</v>
      </c>
      <c r="D122" s="60" t="s">
        <v>192</v>
      </c>
      <c r="E122" s="24">
        <f t="shared" si="11"/>
        <v>74.099999999999994</v>
      </c>
      <c r="F122" s="166">
        <f t="shared" si="10"/>
        <v>53.7</v>
      </c>
      <c r="G122" s="24">
        <f>97.3-3.2-20</f>
        <v>74.099999999999994</v>
      </c>
      <c r="H122" s="24">
        <v>53.7</v>
      </c>
      <c r="I122" s="24">
        <f>27.7+1.7-3.2+4.2</f>
        <v>30.4</v>
      </c>
      <c r="J122" s="24">
        <v>29.5</v>
      </c>
      <c r="K122" s="61"/>
      <c r="L122" s="62"/>
      <c r="M122" s="63"/>
      <c r="N122" s="63"/>
      <c r="P122" s="15"/>
      <c r="Q122" s="15"/>
    </row>
    <row r="123" spans="1:17" ht="20.100000000000001" customHeight="1" x14ac:dyDescent="0.25">
      <c r="A123" s="11">
        <v>55</v>
      </c>
      <c r="B123" s="231" t="s">
        <v>204</v>
      </c>
      <c r="C123" s="42" t="s">
        <v>205</v>
      </c>
      <c r="D123" s="232"/>
      <c r="E123" s="43">
        <f>+G123+K123</f>
        <v>757.89999999999986</v>
      </c>
      <c r="F123" s="13">
        <f t="shared" si="10"/>
        <v>649.9</v>
      </c>
      <c r="G123" s="43">
        <f t="shared" ref="G123:L123" si="12">+G124+G138+G139+G140+G141+G142+G143+G144+G145+G146</f>
        <v>683.89999999999986</v>
      </c>
      <c r="H123" s="43">
        <f t="shared" si="12"/>
        <v>610.6</v>
      </c>
      <c r="I123" s="43">
        <f t="shared" si="12"/>
        <v>65.099999999999994</v>
      </c>
      <c r="J123" s="43">
        <f t="shared" si="12"/>
        <v>64.7</v>
      </c>
      <c r="K123" s="43">
        <f t="shared" si="12"/>
        <v>74</v>
      </c>
      <c r="L123" s="43">
        <f t="shared" si="12"/>
        <v>39.299999999999997</v>
      </c>
      <c r="M123" s="14"/>
      <c r="N123" s="14"/>
      <c r="P123" s="15"/>
      <c r="Q123" s="15"/>
    </row>
    <row r="124" spans="1:17" ht="12.6" customHeight="1" x14ac:dyDescent="0.25">
      <c r="A124" s="11">
        <v>56</v>
      </c>
      <c r="B124" s="231"/>
      <c r="C124" s="29" t="s">
        <v>58</v>
      </c>
      <c r="D124" s="232"/>
      <c r="E124" s="18">
        <f>+G124+K124</f>
        <v>736.3</v>
      </c>
      <c r="F124" s="166">
        <f t="shared" si="10"/>
        <v>629.39999999999986</v>
      </c>
      <c r="G124" s="18">
        <f t="shared" ref="G124:L124" si="13">+G125+G126+G132+G133+G134</f>
        <v>662.3</v>
      </c>
      <c r="H124" s="18">
        <f t="shared" si="13"/>
        <v>590.09999999999991</v>
      </c>
      <c r="I124" s="18">
        <f t="shared" si="13"/>
        <v>44.5</v>
      </c>
      <c r="J124" s="18">
        <f t="shared" si="13"/>
        <v>44.5</v>
      </c>
      <c r="K124" s="18">
        <f t="shared" si="13"/>
        <v>74</v>
      </c>
      <c r="L124" s="18">
        <f t="shared" si="13"/>
        <v>39.299999999999997</v>
      </c>
      <c r="M124" s="14"/>
      <c r="N124" s="14"/>
      <c r="P124" s="15"/>
      <c r="Q124" s="15"/>
    </row>
    <row r="125" spans="1:17" ht="14.25" customHeight="1" x14ac:dyDescent="0.25">
      <c r="A125" s="30" t="s">
        <v>206</v>
      </c>
      <c r="B125" s="232"/>
      <c r="C125" s="29" t="s">
        <v>60</v>
      </c>
      <c r="D125" s="232" t="s">
        <v>207</v>
      </c>
      <c r="E125" s="18">
        <f t="shared" ref="E125:F177" si="14">+G125+K125</f>
        <v>99.1</v>
      </c>
      <c r="F125" s="166">
        <f t="shared" si="10"/>
        <v>84.8</v>
      </c>
      <c r="G125" s="18">
        <f>124.4-0.8-5.7-15+2.1-5.9</f>
        <v>99.1</v>
      </c>
      <c r="H125" s="18">
        <v>84.8</v>
      </c>
      <c r="I125" s="18">
        <f>50.4-5.9</f>
        <v>44.5</v>
      </c>
      <c r="J125" s="18">
        <v>44.5</v>
      </c>
      <c r="K125" s="18"/>
      <c r="L125" s="19"/>
      <c r="M125" s="14"/>
      <c r="N125" s="14"/>
      <c r="P125" s="15"/>
      <c r="Q125" s="15"/>
    </row>
    <row r="126" spans="1:17" ht="14.25" customHeight="1" x14ac:dyDescent="0.25">
      <c r="A126" s="289" t="s">
        <v>208</v>
      </c>
      <c r="B126" s="285"/>
      <c r="C126" s="45" t="s">
        <v>209</v>
      </c>
      <c r="D126" s="285" t="s">
        <v>210</v>
      </c>
      <c r="E126" s="18">
        <f t="shared" si="14"/>
        <v>441.9</v>
      </c>
      <c r="F126" s="166">
        <f t="shared" si="10"/>
        <v>441.9</v>
      </c>
      <c r="G126" s="18">
        <f>+G127+G128+G129+G130+G131</f>
        <v>441.9</v>
      </c>
      <c r="H126" s="18">
        <v>441.9</v>
      </c>
      <c r="I126" s="18"/>
      <c r="J126" s="18"/>
      <c r="K126" s="18"/>
      <c r="L126" s="19"/>
      <c r="M126" s="14"/>
      <c r="N126" s="14"/>
      <c r="P126" s="15"/>
      <c r="Q126" s="15"/>
    </row>
    <row r="127" spans="1:17" ht="15.6" customHeight="1" x14ac:dyDescent="0.25">
      <c r="A127" s="290"/>
      <c r="B127" s="292"/>
      <c r="C127" s="66" t="s">
        <v>211</v>
      </c>
      <c r="D127" s="292"/>
      <c r="E127" s="18">
        <f t="shared" si="14"/>
        <v>225</v>
      </c>
      <c r="F127" s="166">
        <f t="shared" si="10"/>
        <v>225</v>
      </c>
      <c r="G127" s="18">
        <f>250-25</f>
        <v>225</v>
      </c>
      <c r="H127" s="18">
        <v>225</v>
      </c>
      <c r="I127" s="18"/>
      <c r="J127" s="18"/>
      <c r="K127" s="18"/>
      <c r="L127" s="19"/>
      <c r="M127" s="170"/>
      <c r="N127" s="14"/>
      <c r="P127" s="15"/>
      <c r="Q127" s="15"/>
    </row>
    <row r="128" spans="1:17" ht="13.5" customHeight="1" x14ac:dyDescent="0.25">
      <c r="A128" s="290"/>
      <c r="B128" s="292"/>
      <c r="C128" s="66" t="s">
        <v>212</v>
      </c>
      <c r="D128" s="292"/>
      <c r="E128" s="18">
        <f t="shared" si="14"/>
        <v>90</v>
      </c>
      <c r="F128" s="166">
        <f t="shared" si="10"/>
        <v>90</v>
      </c>
      <c r="G128" s="18">
        <f>100-10</f>
        <v>90</v>
      </c>
      <c r="H128" s="18">
        <v>90</v>
      </c>
      <c r="I128" s="18"/>
      <c r="J128" s="18"/>
      <c r="K128" s="18"/>
      <c r="L128" s="19"/>
      <c r="M128" s="14"/>
      <c r="N128" s="14"/>
      <c r="P128" s="15"/>
      <c r="Q128" s="15"/>
    </row>
    <row r="129" spans="1:23" ht="13.5" customHeight="1" x14ac:dyDescent="0.25">
      <c r="A129" s="290"/>
      <c r="B129" s="292"/>
      <c r="C129" s="66" t="s">
        <v>213</v>
      </c>
      <c r="D129" s="292"/>
      <c r="E129" s="18">
        <f t="shared" si="14"/>
        <v>13.5</v>
      </c>
      <c r="F129" s="166">
        <f t="shared" si="10"/>
        <v>13.5</v>
      </c>
      <c r="G129" s="18">
        <f>15-1.5</f>
        <v>13.5</v>
      </c>
      <c r="H129" s="18">
        <v>13.5</v>
      </c>
      <c r="I129" s="18"/>
      <c r="J129" s="18"/>
      <c r="K129" s="18"/>
      <c r="L129" s="19"/>
      <c r="M129" s="14"/>
      <c r="N129" s="14"/>
      <c r="P129" s="15"/>
      <c r="Q129" s="15"/>
    </row>
    <row r="130" spans="1:23" ht="26.25" customHeight="1" x14ac:dyDescent="0.25">
      <c r="A130" s="290"/>
      <c r="B130" s="292"/>
      <c r="C130" s="66" t="s">
        <v>214</v>
      </c>
      <c r="D130" s="292"/>
      <c r="E130" s="18">
        <f t="shared" si="14"/>
        <v>85.5</v>
      </c>
      <c r="F130" s="166">
        <f t="shared" si="10"/>
        <v>85</v>
      </c>
      <c r="G130" s="18">
        <f>95-9.5</f>
        <v>85.5</v>
      </c>
      <c r="H130" s="18">
        <v>85</v>
      </c>
      <c r="I130" s="18"/>
      <c r="J130" s="18"/>
      <c r="K130" s="18"/>
      <c r="L130" s="19"/>
      <c r="M130" s="14"/>
      <c r="N130" s="14"/>
      <c r="P130" s="15"/>
      <c r="Q130" s="15"/>
    </row>
    <row r="131" spans="1:23" ht="15" customHeight="1" x14ac:dyDescent="0.25">
      <c r="A131" s="291"/>
      <c r="B131" s="286"/>
      <c r="C131" s="66" t="s">
        <v>215</v>
      </c>
      <c r="D131" s="286"/>
      <c r="E131" s="18">
        <f t="shared" si="14"/>
        <v>27.9</v>
      </c>
      <c r="F131" s="166">
        <f t="shared" si="10"/>
        <v>27.9</v>
      </c>
      <c r="G131" s="18">
        <f>31-3.1</f>
        <v>27.9</v>
      </c>
      <c r="H131" s="18">
        <v>27.9</v>
      </c>
      <c r="I131" s="18"/>
      <c r="J131" s="18"/>
      <c r="K131" s="18"/>
      <c r="L131" s="19"/>
      <c r="M131" s="14"/>
      <c r="N131" s="14"/>
      <c r="P131" s="15"/>
      <c r="Q131" s="15"/>
    </row>
    <row r="132" spans="1:23" ht="17.399999999999999" customHeight="1" x14ac:dyDescent="0.25">
      <c r="A132" s="30" t="s">
        <v>216</v>
      </c>
      <c r="B132" s="232"/>
      <c r="C132" s="45" t="s">
        <v>217</v>
      </c>
      <c r="D132" s="232" t="s">
        <v>210</v>
      </c>
      <c r="E132" s="18">
        <f t="shared" si="14"/>
        <v>33.9</v>
      </c>
      <c r="F132" s="166">
        <f t="shared" si="10"/>
        <v>33</v>
      </c>
      <c r="G132" s="18">
        <f>40-4-2.1</f>
        <v>33.9</v>
      </c>
      <c r="H132" s="18">
        <v>33</v>
      </c>
      <c r="I132" s="18"/>
      <c r="J132" s="18"/>
      <c r="K132" s="18"/>
      <c r="L132" s="19"/>
      <c r="M132" s="14"/>
      <c r="N132" s="14"/>
      <c r="P132" s="15"/>
      <c r="Q132" s="15"/>
    </row>
    <row r="133" spans="1:23" ht="27" customHeight="1" x14ac:dyDescent="0.25">
      <c r="A133" s="30" t="s">
        <v>218</v>
      </c>
      <c r="B133" s="232"/>
      <c r="C133" s="45" t="s">
        <v>219</v>
      </c>
      <c r="D133" s="232" t="s">
        <v>210</v>
      </c>
      <c r="E133" s="18">
        <f t="shared" si="14"/>
        <v>1.4</v>
      </c>
      <c r="F133" s="166">
        <f t="shared" si="10"/>
        <v>1.4</v>
      </c>
      <c r="G133" s="18">
        <v>1.4</v>
      </c>
      <c r="H133" s="18">
        <v>1.4</v>
      </c>
      <c r="I133" s="18"/>
      <c r="J133" s="18"/>
      <c r="K133" s="18"/>
      <c r="L133" s="19"/>
      <c r="M133" s="14"/>
      <c r="N133" s="14"/>
      <c r="P133" s="15"/>
      <c r="Q133" s="15"/>
    </row>
    <row r="134" spans="1:23" ht="42" customHeight="1" x14ac:dyDescent="0.25">
      <c r="A134" s="30" t="s">
        <v>220</v>
      </c>
      <c r="B134" s="232"/>
      <c r="C134" s="32" t="s">
        <v>72</v>
      </c>
      <c r="D134" s="231"/>
      <c r="E134" s="46">
        <f>+G134+K134</f>
        <v>160</v>
      </c>
      <c r="F134" s="13">
        <f t="shared" si="10"/>
        <v>68.3</v>
      </c>
      <c r="G134" s="46">
        <f t="shared" ref="G134:L134" si="15">+G135+G136+G137</f>
        <v>86</v>
      </c>
      <c r="H134" s="46">
        <f t="shared" si="15"/>
        <v>29</v>
      </c>
      <c r="I134" s="46">
        <f t="shared" si="15"/>
        <v>0</v>
      </c>
      <c r="J134" s="46">
        <f t="shared" si="15"/>
        <v>0</v>
      </c>
      <c r="K134" s="46">
        <f t="shared" si="15"/>
        <v>74</v>
      </c>
      <c r="L134" s="46">
        <f t="shared" si="15"/>
        <v>39.299999999999997</v>
      </c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</row>
    <row r="135" spans="1:23" ht="26.4" x14ac:dyDescent="0.25">
      <c r="A135" s="65" t="s">
        <v>221</v>
      </c>
      <c r="B135" s="26"/>
      <c r="C135" s="20" t="s">
        <v>222</v>
      </c>
      <c r="D135" s="26" t="s">
        <v>49</v>
      </c>
      <c r="E135" s="18">
        <f t="shared" si="14"/>
        <v>70</v>
      </c>
      <c r="F135" s="166">
        <f t="shared" si="10"/>
        <v>39.5</v>
      </c>
      <c r="G135" s="18">
        <v>6</v>
      </c>
      <c r="H135" s="18">
        <v>0.2</v>
      </c>
      <c r="I135" s="18"/>
      <c r="J135" s="18"/>
      <c r="K135" s="18">
        <f>202.5-58.5-80</f>
        <v>64</v>
      </c>
      <c r="L135" s="16">
        <v>39.299999999999997</v>
      </c>
      <c r="M135" s="14"/>
      <c r="N135" s="14"/>
      <c r="O135" s="14"/>
      <c r="P135" s="15"/>
      <c r="Q135" s="15"/>
    </row>
    <row r="136" spans="1:23" ht="26.4" x14ac:dyDescent="0.25">
      <c r="A136" s="65" t="s">
        <v>223</v>
      </c>
      <c r="B136" s="26"/>
      <c r="C136" s="20" t="s">
        <v>224</v>
      </c>
      <c r="D136" s="26" t="s">
        <v>37</v>
      </c>
      <c r="E136" s="18">
        <f t="shared" si="14"/>
        <v>10</v>
      </c>
      <c r="F136" s="166">
        <f t="shared" si="10"/>
        <v>0</v>
      </c>
      <c r="G136" s="18"/>
      <c r="H136" s="18"/>
      <c r="I136" s="18"/>
      <c r="J136" s="18"/>
      <c r="K136" s="18">
        <v>10</v>
      </c>
      <c r="L136" s="16">
        <v>0</v>
      </c>
      <c r="M136" s="14"/>
      <c r="N136" s="14"/>
      <c r="P136" s="15"/>
      <c r="Q136" s="15"/>
    </row>
    <row r="137" spans="1:23" ht="17.399999999999999" customHeight="1" x14ac:dyDescent="0.25">
      <c r="A137" s="65" t="s">
        <v>225</v>
      </c>
      <c r="B137" s="26"/>
      <c r="C137" s="20" t="s">
        <v>226</v>
      </c>
      <c r="D137" s="26" t="s">
        <v>210</v>
      </c>
      <c r="E137" s="18">
        <f>+G137+K137</f>
        <v>80</v>
      </c>
      <c r="F137" s="166">
        <f t="shared" si="10"/>
        <v>28.8</v>
      </c>
      <c r="G137" s="18">
        <v>80</v>
      </c>
      <c r="H137" s="18">
        <f>28.7+0.1</f>
        <v>28.8</v>
      </c>
      <c r="I137" s="18"/>
      <c r="J137" s="18"/>
      <c r="K137" s="18"/>
      <c r="L137" s="19"/>
      <c r="M137" s="14"/>
      <c r="N137" s="14"/>
      <c r="P137" s="15"/>
      <c r="Q137" s="15"/>
    </row>
    <row r="138" spans="1:23" ht="27" customHeight="1" x14ac:dyDescent="0.25">
      <c r="A138" s="11">
        <v>57</v>
      </c>
      <c r="B138" s="232"/>
      <c r="C138" s="20" t="s">
        <v>195</v>
      </c>
      <c r="D138" s="232" t="s">
        <v>210</v>
      </c>
      <c r="E138" s="18">
        <f t="shared" si="14"/>
        <v>2.1</v>
      </c>
      <c r="F138" s="166">
        <f t="shared" si="10"/>
        <v>2.1</v>
      </c>
      <c r="G138" s="18">
        <v>2.1</v>
      </c>
      <c r="H138" s="18">
        <v>2.1</v>
      </c>
      <c r="I138" s="18">
        <v>2.1</v>
      </c>
      <c r="J138" s="18">
        <v>2.1</v>
      </c>
      <c r="K138" s="18"/>
      <c r="L138" s="19"/>
      <c r="M138" s="14"/>
      <c r="N138" s="14"/>
      <c r="P138" s="15"/>
      <c r="Q138" s="15"/>
    </row>
    <row r="139" spans="1:23" ht="27" customHeight="1" x14ac:dyDescent="0.25">
      <c r="A139" s="11">
        <v>58</v>
      </c>
      <c r="B139" s="232"/>
      <c r="C139" s="29" t="s">
        <v>196</v>
      </c>
      <c r="D139" s="232" t="s">
        <v>210</v>
      </c>
      <c r="E139" s="18">
        <f t="shared" si="14"/>
        <v>2.6</v>
      </c>
      <c r="F139" s="166">
        <f t="shared" si="10"/>
        <v>2.5</v>
      </c>
      <c r="G139" s="18">
        <f>2.2+0.4</f>
        <v>2.6</v>
      </c>
      <c r="H139" s="18">
        <f>2.4+0.1</f>
        <v>2.5</v>
      </c>
      <c r="I139" s="18">
        <f>2.1+0.4</f>
        <v>2.5</v>
      </c>
      <c r="J139" s="18">
        <v>2.4</v>
      </c>
      <c r="K139" s="18"/>
      <c r="L139" s="19"/>
      <c r="M139" s="14"/>
      <c r="N139" s="14"/>
      <c r="P139" s="15"/>
      <c r="Q139" s="15"/>
    </row>
    <row r="140" spans="1:23" ht="26.25" customHeight="1" x14ac:dyDescent="0.25">
      <c r="A140" s="11">
        <v>59</v>
      </c>
      <c r="B140" s="232"/>
      <c r="C140" s="20" t="s">
        <v>197</v>
      </c>
      <c r="D140" s="232" t="s">
        <v>210</v>
      </c>
      <c r="E140" s="18">
        <f t="shared" si="14"/>
        <v>2.5</v>
      </c>
      <c r="F140" s="166">
        <f t="shared" si="10"/>
        <v>2.4</v>
      </c>
      <c r="G140" s="18">
        <v>2.5</v>
      </c>
      <c r="H140" s="18">
        <v>2.4</v>
      </c>
      <c r="I140" s="18">
        <v>2.4</v>
      </c>
      <c r="J140" s="18">
        <v>2.4</v>
      </c>
      <c r="K140" s="18"/>
      <c r="L140" s="19"/>
      <c r="M140" s="14"/>
      <c r="N140" s="14"/>
      <c r="P140" s="15"/>
      <c r="Q140" s="15"/>
    </row>
    <row r="141" spans="1:23" ht="27.75" customHeight="1" x14ac:dyDescent="0.25">
      <c r="A141" s="11">
        <v>60</v>
      </c>
      <c r="B141" s="232"/>
      <c r="C141" s="20" t="s">
        <v>198</v>
      </c>
      <c r="D141" s="232" t="s">
        <v>210</v>
      </c>
      <c r="E141" s="18">
        <f t="shared" si="14"/>
        <v>2.4</v>
      </c>
      <c r="F141" s="166">
        <f t="shared" si="10"/>
        <v>2.2000000000000002</v>
      </c>
      <c r="G141" s="18">
        <v>2.4</v>
      </c>
      <c r="H141" s="18">
        <f>2.1+0.1</f>
        <v>2.2000000000000002</v>
      </c>
      <c r="I141" s="18">
        <v>2.2999999999999998</v>
      </c>
      <c r="J141" s="18">
        <v>2.1</v>
      </c>
      <c r="K141" s="18"/>
      <c r="L141" s="19"/>
      <c r="M141" s="14"/>
      <c r="N141" s="14"/>
      <c r="P141" s="15"/>
      <c r="Q141" s="15"/>
    </row>
    <row r="142" spans="1:23" ht="26.25" customHeight="1" x14ac:dyDescent="0.25">
      <c r="A142" s="11">
        <v>61</v>
      </c>
      <c r="B142" s="232"/>
      <c r="C142" s="29" t="s">
        <v>199</v>
      </c>
      <c r="D142" s="232" t="s">
        <v>210</v>
      </c>
      <c r="E142" s="18">
        <f t="shared" si="14"/>
        <v>2.3000000000000003</v>
      </c>
      <c r="F142" s="166">
        <f t="shared" si="10"/>
        <v>2.2000000000000002</v>
      </c>
      <c r="G142" s="18">
        <f>2.2+0.1</f>
        <v>2.3000000000000003</v>
      </c>
      <c r="H142" s="18">
        <v>2.2000000000000002</v>
      </c>
      <c r="I142" s="18">
        <f>2.1+0.1</f>
        <v>2.2000000000000002</v>
      </c>
      <c r="J142" s="18">
        <v>2.2000000000000002</v>
      </c>
      <c r="K142" s="18"/>
      <c r="L142" s="19"/>
      <c r="M142" s="14"/>
      <c r="N142" s="14"/>
      <c r="P142" s="15"/>
      <c r="Q142" s="15"/>
    </row>
    <row r="143" spans="1:23" ht="27" customHeight="1" x14ac:dyDescent="0.25">
      <c r="A143" s="11">
        <v>62</v>
      </c>
      <c r="B143" s="232"/>
      <c r="C143" s="20" t="s">
        <v>200</v>
      </c>
      <c r="D143" s="232" t="s">
        <v>210</v>
      </c>
      <c r="E143" s="18">
        <f t="shared" si="14"/>
        <v>2.5</v>
      </c>
      <c r="F143" s="166">
        <f t="shared" si="10"/>
        <v>2.4</v>
      </c>
      <c r="G143" s="18">
        <f>2.4+0.1</f>
        <v>2.5</v>
      </c>
      <c r="H143" s="18">
        <v>2.4</v>
      </c>
      <c r="I143" s="18">
        <f>2.3+0.1</f>
        <v>2.4</v>
      </c>
      <c r="J143" s="18">
        <v>2.2999999999999998</v>
      </c>
      <c r="K143" s="18"/>
      <c r="L143" s="19"/>
      <c r="M143" s="14"/>
      <c r="N143" s="14"/>
      <c r="P143" s="15"/>
      <c r="Q143" s="15"/>
    </row>
    <row r="144" spans="1:23" ht="29.25" customHeight="1" x14ac:dyDescent="0.25">
      <c r="A144" s="11">
        <v>63</v>
      </c>
      <c r="B144" s="232"/>
      <c r="C144" s="20" t="s">
        <v>227</v>
      </c>
      <c r="D144" s="232" t="s">
        <v>210</v>
      </c>
      <c r="E144" s="18">
        <f t="shared" si="14"/>
        <v>2.2999999999999998</v>
      </c>
      <c r="F144" s="166">
        <f t="shared" si="10"/>
        <v>2.1</v>
      </c>
      <c r="G144" s="18">
        <f>1.9+0.4</f>
        <v>2.2999999999999998</v>
      </c>
      <c r="H144" s="18">
        <v>2.1</v>
      </c>
      <c r="I144" s="18">
        <f>1.7+0.4</f>
        <v>2.1</v>
      </c>
      <c r="J144" s="18">
        <v>2.1</v>
      </c>
      <c r="K144" s="18"/>
      <c r="L144" s="19"/>
      <c r="M144" s="14"/>
      <c r="N144" s="14"/>
      <c r="P144" s="15"/>
      <c r="Q144" s="15"/>
    </row>
    <row r="145" spans="1:17" ht="27" customHeight="1" x14ac:dyDescent="0.25">
      <c r="A145" s="11">
        <v>64</v>
      </c>
      <c r="B145" s="232"/>
      <c r="C145" s="20" t="s">
        <v>202</v>
      </c>
      <c r="D145" s="232" t="s">
        <v>210</v>
      </c>
      <c r="E145" s="18">
        <f t="shared" si="14"/>
        <v>2.5</v>
      </c>
      <c r="F145" s="166">
        <f t="shared" si="10"/>
        <v>2.4</v>
      </c>
      <c r="G145" s="18">
        <f>2.3+0.2</f>
        <v>2.5</v>
      </c>
      <c r="H145" s="18">
        <v>2.4</v>
      </c>
      <c r="I145" s="18">
        <f>2.2+0.2</f>
        <v>2.4000000000000004</v>
      </c>
      <c r="J145" s="18">
        <v>2.4</v>
      </c>
      <c r="K145" s="18"/>
      <c r="L145" s="19"/>
      <c r="M145" s="14"/>
      <c r="N145" s="14"/>
      <c r="P145" s="15"/>
      <c r="Q145" s="15"/>
    </row>
    <row r="146" spans="1:17" ht="26.4" customHeight="1" x14ac:dyDescent="0.25">
      <c r="A146" s="11">
        <v>65</v>
      </c>
      <c r="B146" s="232"/>
      <c r="C146" s="20" t="s">
        <v>203</v>
      </c>
      <c r="D146" s="232" t="s">
        <v>210</v>
      </c>
      <c r="E146" s="18">
        <f t="shared" si="14"/>
        <v>2.4</v>
      </c>
      <c r="F146" s="166">
        <f t="shared" si="10"/>
        <v>2.2000000000000002</v>
      </c>
      <c r="G146" s="18">
        <v>2.4</v>
      </c>
      <c r="H146" s="18">
        <v>2.2000000000000002</v>
      </c>
      <c r="I146" s="18">
        <v>2.2000000000000002</v>
      </c>
      <c r="J146" s="18">
        <v>2.2000000000000002</v>
      </c>
      <c r="K146" s="18"/>
      <c r="L146" s="19"/>
      <c r="M146" s="14"/>
      <c r="N146" s="14"/>
      <c r="P146" s="15"/>
      <c r="Q146" s="15"/>
    </row>
    <row r="147" spans="1:17" ht="18.600000000000001" customHeight="1" x14ac:dyDescent="0.25">
      <c r="A147" s="11">
        <v>66</v>
      </c>
      <c r="B147" s="231" t="s">
        <v>228</v>
      </c>
      <c r="C147" s="42" t="s">
        <v>229</v>
      </c>
      <c r="D147" s="9"/>
      <c r="E147" s="43">
        <f>+G147+K147</f>
        <v>3541.5000000000009</v>
      </c>
      <c r="F147" s="13">
        <f t="shared" si="10"/>
        <v>3331.2000000000003</v>
      </c>
      <c r="G147" s="43">
        <f t="shared" ref="G147:L147" si="16">+G148+G149+G150+G151+G152+G153+G154+G155+G157+G170</f>
        <v>2916.6000000000008</v>
      </c>
      <c r="H147" s="43">
        <f t="shared" si="16"/>
        <v>2858.3</v>
      </c>
      <c r="I147" s="43">
        <f t="shared" si="16"/>
        <v>2131.1</v>
      </c>
      <c r="J147" s="43">
        <f t="shared" si="16"/>
        <v>2127.3000000000002</v>
      </c>
      <c r="K147" s="43">
        <f t="shared" si="16"/>
        <v>624.9</v>
      </c>
      <c r="L147" s="43">
        <f t="shared" si="16"/>
        <v>472.9</v>
      </c>
      <c r="M147" s="14"/>
      <c r="N147" s="14"/>
      <c r="P147" s="15"/>
      <c r="Q147" s="15"/>
    </row>
    <row r="148" spans="1:17" ht="15" customHeight="1" x14ac:dyDescent="0.25">
      <c r="A148" s="11">
        <v>67</v>
      </c>
      <c r="B148" s="232"/>
      <c r="C148" s="16" t="s">
        <v>230</v>
      </c>
      <c r="D148" s="232" t="s">
        <v>231</v>
      </c>
      <c r="E148" s="18">
        <f>+G148+K148</f>
        <v>595.20000000000005</v>
      </c>
      <c r="F148" s="166">
        <f t="shared" si="10"/>
        <v>595.20000000000005</v>
      </c>
      <c r="G148" s="18">
        <v>595.20000000000005</v>
      </c>
      <c r="H148" s="18">
        <v>595.20000000000005</v>
      </c>
      <c r="I148" s="18">
        <f>458.5+16.5</f>
        <v>475</v>
      </c>
      <c r="J148" s="18">
        <v>475</v>
      </c>
      <c r="K148" s="18"/>
      <c r="L148" s="19"/>
      <c r="N148" s="14"/>
      <c r="P148" s="15"/>
      <c r="Q148" s="15"/>
    </row>
    <row r="149" spans="1:17" ht="15" customHeight="1" x14ac:dyDescent="0.25">
      <c r="A149" s="11">
        <v>68</v>
      </c>
      <c r="B149" s="232"/>
      <c r="C149" s="50" t="s">
        <v>232</v>
      </c>
      <c r="D149" s="232" t="s">
        <v>231</v>
      </c>
      <c r="E149" s="18">
        <f t="shared" si="14"/>
        <v>194.4</v>
      </c>
      <c r="F149" s="166">
        <f t="shared" si="10"/>
        <v>194.1</v>
      </c>
      <c r="G149" s="18">
        <f>192.6-2.9+1.8</f>
        <v>191.5</v>
      </c>
      <c r="H149" s="18">
        <v>191.2</v>
      </c>
      <c r="I149" s="18">
        <v>157.5</v>
      </c>
      <c r="J149" s="18">
        <v>157.5</v>
      </c>
      <c r="K149" s="18">
        <v>2.9</v>
      </c>
      <c r="L149" s="19">
        <v>2.9</v>
      </c>
      <c r="M149" s="14"/>
      <c r="N149" s="14"/>
      <c r="P149" s="15"/>
      <c r="Q149" s="15"/>
    </row>
    <row r="150" spans="1:17" ht="15" customHeight="1" x14ac:dyDescent="0.25">
      <c r="A150" s="11">
        <v>69</v>
      </c>
      <c r="B150" s="232"/>
      <c r="C150" s="50" t="s">
        <v>233</v>
      </c>
      <c r="D150" s="232" t="s">
        <v>231</v>
      </c>
      <c r="E150" s="18">
        <f t="shared" si="14"/>
        <v>139.1</v>
      </c>
      <c r="F150" s="166">
        <f t="shared" si="10"/>
        <v>139.1</v>
      </c>
      <c r="G150" s="18">
        <v>139.1</v>
      </c>
      <c r="H150" s="18">
        <v>139.1</v>
      </c>
      <c r="I150" s="18">
        <f>104.1+4.8</f>
        <v>108.89999999999999</v>
      </c>
      <c r="J150" s="18">
        <v>108.9</v>
      </c>
      <c r="K150" s="18"/>
      <c r="L150" s="19"/>
      <c r="M150" s="14"/>
      <c r="N150" s="14"/>
      <c r="P150" s="15"/>
      <c r="Q150" s="15"/>
    </row>
    <row r="151" spans="1:17" ht="15" customHeight="1" x14ac:dyDescent="0.25">
      <c r="A151" s="11">
        <v>70</v>
      </c>
      <c r="B151" s="232"/>
      <c r="C151" s="50" t="s">
        <v>234</v>
      </c>
      <c r="D151" s="232" t="s">
        <v>231</v>
      </c>
      <c r="E151" s="18">
        <f t="shared" si="14"/>
        <v>126.5</v>
      </c>
      <c r="F151" s="166">
        <f t="shared" si="10"/>
        <v>126.4</v>
      </c>
      <c r="G151" s="18">
        <v>126.5</v>
      </c>
      <c r="H151" s="18">
        <v>126.4</v>
      </c>
      <c r="I151" s="18">
        <v>97.6</v>
      </c>
      <c r="J151" s="18">
        <v>97.6</v>
      </c>
      <c r="K151" s="18"/>
      <c r="L151" s="19"/>
      <c r="M151" s="14"/>
      <c r="N151" s="14"/>
      <c r="P151" s="15"/>
      <c r="Q151" s="15"/>
    </row>
    <row r="152" spans="1:17" ht="15" customHeight="1" x14ac:dyDescent="0.25">
      <c r="A152" s="11">
        <v>71</v>
      </c>
      <c r="B152" s="232"/>
      <c r="C152" s="50" t="s">
        <v>235</v>
      </c>
      <c r="D152" s="232" t="s">
        <v>231</v>
      </c>
      <c r="E152" s="18">
        <f t="shared" si="14"/>
        <v>87.6</v>
      </c>
      <c r="F152" s="166">
        <f t="shared" si="10"/>
        <v>83.9</v>
      </c>
      <c r="G152" s="18">
        <v>87.6</v>
      </c>
      <c r="H152" s="18">
        <v>83.9</v>
      </c>
      <c r="I152" s="18">
        <v>74</v>
      </c>
      <c r="J152" s="18">
        <v>70.3</v>
      </c>
      <c r="K152" s="18"/>
      <c r="L152" s="19"/>
      <c r="M152" s="14"/>
      <c r="N152" s="14"/>
      <c r="P152" s="15"/>
      <c r="Q152" s="15"/>
    </row>
    <row r="153" spans="1:17" ht="15" customHeight="1" x14ac:dyDescent="0.25">
      <c r="A153" s="11">
        <v>72</v>
      </c>
      <c r="B153" s="232"/>
      <c r="C153" s="50" t="s">
        <v>236</v>
      </c>
      <c r="D153" s="232" t="s">
        <v>231</v>
      </c>
      <c r="E153" s="18">
        <f t="shared" si="14"/>
        <v>81.400000000000006</v>
      </c>
      <c r="F153" s="166">
        <f t="shared" si="10"/>
        <v>81.2</v>
      </c>
      <c r="G153" s="18">
        <v>81.400000000000006</v>
      </c>
      <c r="H153" s="18">
        <f>81.2</f>
        <v>81.2</v>
      </c>
      <c r="I153" s="18">
        <f>64.8+2.3</f>
        <v>67.099999999999994</v>
      </c>
      <c r="J153" s="18">
        <v>67.099999999999994</v>
      </c>
      <c r="K153" s="18"/>
      <c r="L153" s="19"/>
      <c r="M153" s="14"/>
      <c r="N153" s="14"/>
      <c r="P153" s="15"/>
      <c r="Q153" s="15"/>
    </row>
    <row r="154" spans="1:17" ht="26.25" customHeight="1" x14ac:dyDescent="0.25">
      <c r="A154" s="11">
        <v>73</v>
      </c>
      <c r="B154" s="232"/>
      <c r="C154" s="20" t="s">
        <v>237</v>
      </c>
      <c r="D154" s="232" t="s">
        <v>238</v>
      </c>
      <c r="E154" s="18">
        <f t="shared" si="14"/>
        <v>867.4</v>
      </c>
      <c r="F154" s="166">
        <f t="shared" si="10"/>
        <v>867.4</v>
      </c>
      <c r="G154" s="18">
        <v>867.4</v>
      </c>
      <c r="H154" s="18">
        <v>867.4</v>
      </c>
      <c r="I154" s="18">
        <f>747.6-4</f>
        <v>743.6</v>
      </c>
      <c r="J154" s="18">
        <v>743.6</v>
      </c>
      <c r="K154" s="18"/>
      <c r="L154" s="19"/>
      <c r="M154" s="14"/>
      <c r="N154" s="14"/>
      <c r="P154" s="15"/>
      <c r="Q154" s="15"/>
    </row>
    <row r="155" spans="1:17" ht="17.25" customHeight="1" x14ac:dyDescent="0.25">
      <c r="A155" s="283">
        <v>74</v>
      </c>
      <c r="B155" s="285"/>
      <c r="C155" s="50" t="s">
        <v>239</v>
      </c>
      <c r="D155" s="285" t="s">
        <v>240</v>
      </c>
      <c r="E155" s="18">
        <f t="shared" si="14"/>
        <v>601.5</v>
      </c>
      <c r="F155" s="166">
        <f t="shared" si="10"/>
        <v>590.5</v>
      </c>
      <c r="G155" s="18">
        <f>601.5-163.2</f>
        <v>438.3</v>
      </c>
      <c r="H155" s="18">
        <v>427.3</v>
      </c>
      <c r="I155" s="18">
        <f>341.1+12.3</f>
        <v>353.40000000000003</v>
      </c>
      <c r="J155" s="18">
        <v>353.4</v>
      </c>
      <c r="K155" s="18">
        <v>163.19999999999999</v>
      </c>
      <c r="L155" s="16">
        <v>163.19999999999999</v>
      </c>
      <c r="M155" s="14"/>
      <c r="N155" s="14"/>
      <c r="P155" s="15"/>
      <c r="Q155" s="15"/>
    </row>
    <row r="156" spans="1:17" ht="39.6" x14ac:dyDescent="0.25">
      <c r="A156" s="284"/>
      <c r="B156" s="286"/>
      <c r="C156" s="28" t="s">
        <v>241</v>
      </c>
      <c r="D156" s="286"/>
      <c r="E156" s="18">
        <f t="shared" si="14"/>
        <v>190.8</v>
      </c>
      <c r="F156" s="166">
        <f t="shared" si="10"/>
        <v>190.79999999999998</v>
      </c>
      <c r="G156" s="18">
        <f>23.8+167-163.2</f>
        <v>27.600000000000023</v>
      </c>
      <c r="H156" s="18">
        <v>27.6</v>
      </c>
      <c r="I156" s="18">
        <v>12.3</v>
      </c>
      <c r="J156" s="18">
        <v>12.3</v>
      </c>
      <c r="K156" s="18">
        <v>163.19999999999999</v>
      </c>
      <c r="L156" s="18">
        <v>163.19999999999999</v>
      </c>
      <c r="M156" s="265"/>
      <c r="N156" s="14"/>
      <c r="P156" s="15"/>
      <c r="Q156" s="15"/>
    </row>
    <row r="157" spans="1:17" ht="12.6" customHeight="1" x14ac:dyDescent="0.25">
      <c r="A157" s="11">
        <v>75</v>
      </c>
      <c r="B157" s="232"/>
      <c r="C157" s="29" t="s">
        <v>58</v>
      </c>
      <c r="D157" s="232"/>
      <c r="E157" s="18">
        <f>+G157+K157</f>
        <v>843.09999999999991</v>
      </c>
      <c r="F157" s="166">
        <f t="shared" si="10"/>
        <v>648.40000000000009</v>
      </c>
      <c r="G157" s="18">
        <f>+G158+G159+G160+G161</f>
        <v>384.3</v>
      </c>
      <c r="H157" s="18">
        <f>+H158+H159+H160+H161</f>
        <v>341.6</v>
      </c>
      <c r="I157" s="18">
        <f>+I158+I159+I160+I162+I163+I161</f>
        <v>49</v>
      </c>
      <c r="J157" s="18">
        <f>+J158+J159+J160+J162+J163+J161</f>
        <v>49</v>
      </c>
      <c r="K157" s="18">
        <f>+K158+K159+K160+K162+K163+K161</f>
        <v>458.79999999999995</v>
      </c>
      <c r="L157" s="18">
        <f>+L158+L159+L160+L162+L163+L161</f>
        <v>306.8</v>
      </c>
      <c r="M157" s="14"/>
      <c r="N157" s="14"/>
      <c r="P157" s="15"/>
      <c r="Q157" s="15"/>
    </row>
    <row r="158" spans="1:17" ht="26.4" x14ac:dyDescent="0.25">
      <c r="A158" s="30" t="s">
        <v>242</v>
      </c>
      <c r="B158" s="232"/>
      <c r="C158" s="29" t="s">
        <v>60</v>
      </c>
      <c r="D158" s="233" t="s">
        <v>243</v>
      </c>
      <c r="E158" s="18">
        <f t="shared" si="14"/>
        <v>217</v>
      </c>
      <c r="F158" s="166">
        <f t="shared" si="10"/>
        <v>188.8</v>
      </c>
      <c r="G158" s="18">
        <f>329.6-58.6-5-15-36.7+2.7</f>
        <v>217</v>
      </c>
      <c r="H158" s="24">
        <v>188.8</v>
      </c>
      <c r="I158" s="18">
        <f>46.4+2.6</f>
        <v>49</v>
      </c>
      <c r="J158" s="18">
        <v>49</v>
      </c>
      <c r="K158" s="18"/>
      <c r="L158" s="19"/>
      <c r="M158" s="14"/>
      <c r="N158" s="14"/>
      <c r="P158" s="15"/>
      <c r="Q158" s="15"/>
    </row>
    <row r="159" spans="1:17" ht="66" x14ac:dyDescent="0.25">
      <c r="A159" s="30" t="s">
        <v>244</v>
      </c>
      <c r="B159" s="232"/>
      <c r="C159" s="35" t="s">
        <v>245</v>
      </c>
      <c r="D159" s="233" t="s">
        <v>246</v>
      </c>
      <c r="E159" s="18">
        <f t="shared" si="14"/>
        <v>18</v>
      </c>
      <c r="F159" s="166">
        <f t="shared" si="10"/>
        <v>17.2</v>
      </c>
      <c r="G159" s="18">
        <v>18</v>
      </c>
      <c r="H159" s="24">
        <f>17.2</f>
        <v>17.2</v>
      </c>
      <c r="I159" s="18"/>
      <c r="J159" s="18"/>
      <c r="K159" s="18"/>
      <c r="L159" s="19"/>
      <c r="M159" s="14"/>
      <c r="N159" s="88"/>
      <c r="P159" s="15"/>
      <c r="Q159" s="15"/>
    </row>
    <row r="160" spans="1:17" ht="24.9" customHeight="1" x14ac:dyDescent="0.25">
      <c r="A160" s="30" t="s">
        <v>247</v>
      </c>
      <c r="B160" s="232"/>
      <c r="C160" s="35" t="s">
        <v>248</v>
      </c>
      <c r="D160" s="233" t="s">
        <v>246</v>
      </c>
      <c r="E160" s="18">
        <f t="shared" si="14"/>
        <v>10</v>
      </c>
      <c r="F160" s="166">
        <f t="shared" si="10"/>
        <v>9.8000000000000007</v>
      </c>
      <c r="G160" s="18">
        <v>10</v>
      </c>
      <c r="H160" s="18">
        <v>9.8000000000000007</v>
      </c>
      <c r="I160" s="18"/>
      <c r="J160" s="18"/>
      <c r="K160" s="18"/>
      <c r="L160" s="19"/>
      <c r="M160" s="14"/>
      <c r="N160" s="14"/>
      <c r="P160" s="15"/>
      <c r="Q160" s="15"/>
    </row>
    <row r="161" spans="1:20" ht="39" customHeight="1" x14ac:dyDescent="0.25">
      <c r="A161" s="30" t="s">
        <v>249</v>
      </c>
      <c r="B161" s="232"/>
      <c r="C161" s="32" t="s">
        <v>72</v>
      </c>
      <c r="D161" s="9"/>
      <c r="E161" s="46">
        <f>+G161+K161</f>
        <v>598.09999999999991</v>
      </c>
      <c r="F161" s="13">
        <f t="shared" si="10"/>
        <v>432.6</v>
      </c>
      <c r="G161" s="46">
        <f t="shared" ref="G161:L161" si="17">+G162+G163+G164+G165+G166+G167+G168+G169</f>
        <v>139.30000000000001</v>
      </c>
      <c r="H161" s="46">
        <f t="shared" si="17"/>
        <v>125.79999999999998</v>
      </c>
      <c r="I161" s="46">
        <f t="shared" si="17"/>
        <v>0</v>
      </c>
      <c r="J161" s="46">
        <f t="shared" si="17"/>
        <v>0</v>
      </c>
      <c r="K161" s="46">
        <f t="shared" si="17"/>
        <v>458.79999999999995</v>
      </c>
      <c r="L161" s="46">
        <f t="shared" si="17"/>
        <v>306.8</v>
      </c>
      <c r="M161" s="14"/>
      <c r="N161" s="14"/>
      <c r="P161" s="15"/>
      <c r="Q161" s="15"/>
    </row>
    <row r="162" spans="1:20" ht="39.6" x14ac:dyDescent="0.25">
      <c r="A162" s="30" t="s">
        <v>250</v>
      </c>
      <c r="B162" s="232"/>
      <c r="C162" s="35" t="s">
        <v>251</v>
      </c>
      <c r="D162" s="233" t="s">
        <v>252</v>
      </c>
      <c r="E162" s="18">
        <f t="shared" si="14"/>
        <v>86.9</v>
      </c>
      <c r="F162" s="166">
        <f t="shared" si="10"/>
        <v>86.899999999999991</v>
      </c>
      <c r="G162" s="18">
        <f>76+10.9</f>
        <v>86.9</v>
      </c>
      <c r="H162" s="18">
        <f>86.8+0.1</f>
        <v>86.899999999999991</v>
      </c>
      <c r="I162" s="18"/>
      <c r="J162" s="18"/>
      <c r="K162" s="18"/>
      <c r="L162" s="19"/>
      <c r="M162" s="14"/>
      <c r="N162" s="14"/>
      <c r="P162" s="15"/>
      <c r="Q162" s="15"/>
    </row>
    <row r="163" spans="1:20" ht="26.4" x14ac:dyDescent="0.25">
      <c r="A163" s="30" t="s">
        <v>253</v>
      </c>
      <c r="B163" s="232"/>
      <c r="C163" s="35" t="s">
        <v>254</v>
      </c>
      <c r="D163" s="233" t="s">
        <v>252</v>
      </c>
      <c r="E163" s="18">
        <f t="shared" si="14"/>
        <v>35.200000000000003</v>
      </c>
      <c r="F163" s="166">
        <f t="shared" si="10"/>
        <v>34.799999999999997</v>
      </c>
      <c r="G163" s="18">
        <f>27.5+7.7</f>
        <v>35.200000000000003</v>
      </c>
      <c r="H163" s="18">
        <v>34.799999999999997</v>
      </c>
      <c r="I163" s="18"/>
      <c r="J163" s="18"/>
      <c r="K163" s="18"/>
      <c r="L163" s="19"/>
      <c r="M163" s="14"/>
      <c r="N163" s="14"/>
      <c r="P163" s="15"/>
      <c r="Q163" s="15"/>
    </row>
    <row r="164" spans="1:20" ht="39.6" x14ac:dyDescent="0.25">
      <c r="A164" s="30" t="s">
        <v>255</v>
      </c>
      <c r="B164" s="26"/>
      <c r="C164" s="29" t="s">
        <v>256</v>
      </c>
      <c r="D164" s="26" t="s">
        <v>240</v>
      </c>
      <c r="E164" s="18">
        <f t="shared" si="14"/>
        <v>5.5000000000000053</v>
      </c>
      <c r="F164" s="166">
        <f t="shared" si="10"/>
        <v>3.5</v>
      </c>
      <c r="G164" s="18">
        <f>2+2</f>
        <v>4</v>
      </c>
      <c r="H164" s="18">
        <v>3.5</v>
      </c>
      <c r="I164" s="18"/>
      <c r="J164" s="18"/>
      <c r="K164" s="18">
        <f>67.9-57-2-7.4</f>
        <v>1.5000000000000053</v>
      </c>
      <c r="L164" s="16">
        <v>0</v>
      </c>
      <c r="M164" s="14"/>
      <c r="N164" s="14"/>
      <c r="P164" s="15"/>
      <c r="Q164" s="15"/>
    </row>
    <row r="165" spans="1:20" ht="26.4" x14ac:dyDescent="0.25">
      <c r="A165" s="30" t="s">
        <v>257</v>
      </c>
      <c r="B165" s="26"/>
      <c r="C165" s="38" t="s">
        <v>258</v>
      </c>
      <c r="D165" s="232" t="s">
        <v>231</v>
      </c>
      <c r="E165" s="18">
        <f t="shared" si="14"/>
        <v>342.8</v>
      </c>
      <c r="F165" s="166">
        <f t="shared" si="10"/>
        <v>202.5</v>
      </c>
      <c r="G165" s="18">
        <v>11.8</v>
      </c>
      <c r="H165" s="18">
        <v>0.6</v>
      </c>
      <c r="I165" s="18"/>
      <c r="J165" s="18"/>
      <c r="K165" s="18">
        <f>291+40</f>
        <v>331</v>
      </c>
      <c r="L165" s="16">
        <f>201.8+0.1</f>
        <v>201.9</v>
      </c>
      <c r="M165" s="14"/>
      <c r="N165" s="14"/>
      <c r="P165" s="15"/>
      <c r="Q165" s="15"/>
    </row>
    <row r="166" spans="1:20" ht="26.4" x14ac:dyDescent="0.25">
      <c r="A166" s="30" t="s">
        <v>259</v>
      </c>
      <c r="B166" s="26"/>
      <c r="C166" s="38" t="s">
        <v>260</v>
      </c>
      <c r="D166" s="232" t="s">
        <v>231</v>
      </c>
      <c r="E166" s="18">
        <f t="shared" si="14"/>
        <v>62.899999999999991</v>
      </c>
      <c r="F166" s="166">
        <f t="shared" si="10"/>
        <v>46.1</v>
      </c>
      <c r="G166" s="18"/>
      <c r="H166" s="18"/>
      <c r="I166" s="18"/>
      <c r="J166" s="18"/>
      <c r="K166" s="18">
        <f>7.3+70.3-14.7</f>
        <v>62.899999999999991</v>
      </c>
      <c r="L166" s="16">
        <v>46.1</v>
      </c>
      <c r="M166" s="14"/>
      <c r="N166" s="14"/>
      <c r="P166" s="15"/>
      <c r="Q166" s="15"/>
    </row>
    <row r="167" spans="1:20" ht="26.4" x14ac:dyDescent="0.25">
      <c r="A167" s="30" t="s">
        <v>261</v>
      </c>
      <c r="B167" s="68"/>
      <c r="C167" s="38" t="s">
        <v>262</v>
      </c>
      <c r="D167" s="232" t="s">
        <v>231</v>
      </c>
      <c r="E167" s="18">
        <f t="shared" si="14"/>
        <v>15</v>
      </c>
      <c r="F167" s="166">
        <f t="shared" si="10"/>
        <v>12.1</v>
      </c>
      <c r="G167" s="18"/>
      <c r="H167" s="18"/>
      <c r="I167" s="69"/>
      <c r="J167" s="69"/>
      <c r="K167" s="18">
        <f>68-53</f>
        <v>15</v>
      </c>
      <c r="L167" s="16">
        <v>12.1</v>
      </c>
      <c r="M167" s="14"/>
      <c r="N167" s="14"/>
      <c r="P167" s="15"/>
      <c r="Q167" s="15"/>
    </row>
    <row r="168" spans="1:20" ht="39.75" customHeight="1" x14ac:dyDescent="0.25">
      <c r="A168" s="30" t="s">
        <v>263</v>
      </c>
      <c r="B168" s="232"/>
      <c r="C168" s="29" t="s">
        <v>264</v>
      </c>
      <c r="D168" s="233" t="s">
        <v>231</v>
      </c>
      <c r="E168" s="18">
        <f t="shared" si="14"/>
        <v>14.8</v>
      </c>
      <c r="F168" s="166">
        <f t="shared" si="10"/>
        <v>11.7</v>
      </c>
      <c r="G168" s="18">
        <f>5.7-4.3</f>
        <v>1.4000000000000004</v>
      </c>
      <c r="H168" s="18">
        <v>0</v>
      </c>
      <c r="I168" s="18"/>
      <c r="J168" s="18"/>
      <c r="K168" s="18">
        <f>13.4</f>
        <v>13.4</v>
      </c>
      <c r="L168" s="201">
        <f>11.7</f>
        <v>11.7</v>
      </c>
      <c r="M168" s="14"/>
      <c r="N168" s="14"/>
      <c r="P168" s="15"/>
      <c r="Q168" s="15"/>
    </row>
    <row r="169" spans="1:20" x14ac:dyDescent="0.25">
      <c r="A169" s="30" t="s">
        <v>265</v>
      </c>
      <c r="B169" s="232"/>
      <c r="C169" s="29" t="s">
        <v>266</v>
      </c>
      <c r="D169" s="233" t="s">
        <v>231</v>
      </c>
      <c r="E169" s="18">
        <f t="shared" si="14"/>
        <v>35</v>
      </c>
      <c r="F169" s="166">
        <f t="shared" si="10"/>
        <v>35</v>
      </c>
      <c r="G169" s="18"/>
      <c r="H169" s="18"/>
      <c r="I169" s="18"/>
      <c r="J169" s="18"/>
      <c r="K169" s="18">
        <v>35</v>
      </c>
      <c r="L169" s="16">
        <v>35</v>
      </c>
      <c r="M169" s="14"/>
      <c r="N169" s="14"/>
      <c r="P169" s="15"/>
      <c r="Q169" s="15"/>
    </row>
    <row r="170" spans="1:20" ht="27.6" customHeight="1" x14ac:dyDescent="0.25">
      <c r="A170" s="30" t="s">
        <v>267</v>
      </c>
      <c r="B170" s="232"/>
      <c r="C170" s="20" t="s">
        <v>197</v>
      </c>
      <c r="D170" s="232" t="s">
        <v>240</v>
      </c>
      <c r="E170" s="18">
        <f t="shared" si="14"/>
        <v>5.3</v>
      </c>
      <c r="F170" s="166">
        <f t="shared" si="10"/>
        <v>5</v>
      </c>
      <c r="G170" s="18">
        <v>5.3</v>
      </c>
      <c r="H170" s="18">
        <v>5</v>
      </c>
      <c r="I170" s="18">
        <v>5</v>
      </c>
      <c r="J170" s="18">
        <v>4.9000000000000004</v>
      </c>
      <c r="K170" s="18"/>
      <c r="L170" s="19"/>
      <c r="M170" s="14"/>
      <c r="N170" s="14"/>
      <c r="P170" s="15"/>
      <c r="Q170" s="15"/>
      <c r="S170" s="70"/>
      <c r="T170" s="37"/>
    </row>
    <row r="171" spans="1:20" ht="28.2" customHeight="1" x14ac:dyDescent="0.25">
      <c r="A171" s="11">
        <v>76</v>
      </c>
      <c r="B171" s="231" t="s">
        <v>268</v>
      </c>
      <c r="C171" s="71" t="s">
        <v>269</v>
      </c>
      <c r="D171" s="232"/>
      <c r="E171" s="43">
        <f t="shared" si="14"/>
        <v>1279.4000000000001</v>
      </c>
      <c r="F171" s="13">
        <f t="shared" si="10"/>
        <v>1190.4000000000001</v>
      </c>
      <c r="G171" s="43">
        <f t="shared" ref="G171:L171" si="18">+G172+G174</f>
        <v>150.5</v>
      </c>
      <c r="H171" s="43">
        <f t="shared" si="18"/>
        <v>146.5</v>
      </c>
      <c r="I171" s="43">
        <f t="shared" si="18"/>
        <v>0</v>
      </c>
      <c r="J171" s="43">
        <f t="shared" si="18"/>
        <v>0</v>
      </c>
      <c r="K171" s="43">
        <f t="shared" si="18"/>
        <v>1128.9000000000001</v>
      </c>
      <c r="L171" s="43">
        <f t="shared" si="18"/>
        <v>1043.9000000000001</v>
      </c>
      <c r="M171" s="14"/>
      <c r="N171" s="14"/>
      <c r="P171" s="15"/>
      <c r="Q171" s="15"/>
    </row>
    <row r="172" spans="1:20" ht="14.4" customHeight="1" x14ac:dyDescent="0.25">
      <c r="A172" s="283">
        <v>77</v>
      </c>
      <c r="B172" s="287"/>
      <c r="C172" s="50" t="s">
        <v>270</v>
      </c>
      <c r="D172" s="1"/>
      <c r="E172" s="18">
        <f t="shared" si="14"/>
        <v>45.7</v>
      </c>
      <c r="F172" s="13">
        <f t="shared" si="10"/>
        <v>45.7</v>
      </c>
      <c r="G172" s="18">
        <v>45.7</v>
      </c>
      <c r="H172" s="18">
        <v>45.7</v>
      </c>
      <c r="I172" s="43"/>
      <c r="J172" s="43"/>
      <c r="K172" s="43"/>
      <c r="L172" s="19"/>
      <c r="M172" s="14"/>
      <c r="N172" s="14"/>
      <c r="P172" s="15"/>
      <c r="Q172" s="15"/>
    </row>
    <row r="173" spans="1:20" ht="39.6" x14ac:dyDescent="0.25">
      <c r="A173" s="284"/>
      <c r="B173" s="288"/>
      <c r="C173" s="49" t="s">
        <v>271</v>
      </c>
      <c r="D173" s="232" t="s">
        <v>272</v>
      </c>
      <c r="E173" s="18">
        <f t="shared" si="14"/>
        <v>45.7</v>
      </c>
      <c r="F173" s="13">
        <f t="shared" si="10"/>
        <v>45.7</v>
      </c>
      <c r="G173" s="18">
        <v>45.7</v>
      </c>
      <c r="H173" s="18">
        <v>45.7</v>
      </c>
      <c r="I173" s="18"/>
      <c r="J173" s="18"/>
      <c r="K173" s="18"/>
      <c r="L173" s="19"/>
      <c r="M173" s="88"/>
      <c r="N173" s="14"/>
      <c r="P173" s="15"/>
      <c r="Q173" s="15"/>
    </row>
    <row r="174" spans="1:20" ht="16.2" customHeight="1" x14ac:dyDescent="0.25">
      <c r="A174" s="11">
        <v>78</v>
      </c>
      <c r="B174" s="232"/>
      <c r="C174" s="29" t="s">
        <v>58</v>
      </c>
      <c r="D174" s="232"/>
      <c r="E174" s="18">
        <f t="shared" si="14"/>
        <v>1233.7</v>
      </c>
      <c r="F174" s="13">
        <f t="shared" si="10"/>
        <v>1144.7</v>
      </c>
      <c r="G174" s="18">
        <f t="shared" ref="G174:L174" si="19">+G175+G176+G177+G178</f>
        <v>104.8</v>
      </c>
      <c r="H174" s="18">
        <f t="shared" si="19"/>
        <v>100.8</v>
      </c>
      <c r="I174" s="18">
        <f t="shared" si="19"/>
        <v>0</v>
      </c>
      <c r="J174" s="18">
        <f t="shared" si="19"/>
        <v>0</v>
      </c>
      <c r="K174" s="18">
        <f t="shared" si="19"/>
        <v>1128.9000000000001</v>
      </c>
      <c r="L174" s="18">
        <f t="shared" si="19"/>
        <v>1043.9000000000001</v>
      </c>
      <c r="M174" s="14"/>
      <c r="N174" s="14"/>
      <c r="P174" s="15"/>
      <c r="Q174" s="15"/>
    </row>
    <row r="175" spans="1:20" ht="26.4" customHeight="1" x14ac:dyDescent="0.25">
      <c r="A175" s="72" t="s">
        <v>273</v>
      </c>
      <c r="B175" s="232"/>
      <c r="C175" s="35" t="s">
        <v>274</v>
      </c>
      <c r="D175" s="232" t="s">
        <v>272</v>
      </c>
      <c r="E175" s="18">
        <f t="shared" si="14"/>
        <v>45</v>
      </c>
      <c r="F175" s="13">
        <f t="shared" si="14"/>
        <v>45</v>
      </c>
      <c r="G175" s="18">
        <v>45</v>
      </c>
      <c r="H175" s="18">
        <v>45</v>
      </c>
      <c r="I175" s="18"/>
      <c r="J175" s="18"/>
      <c r="K175" s="18"/>
      <c r="L175" s="19"/>
      <c r="M175" s="14"/>
      <c r="N175" s="14"/>
      <c r="P175" s="15"/>
      <c r="Q175" s="15"/>
    </row>
    <row r="176" spans="1:20" ht="25.2" customHeight="1" x14ac:dyDescent="0.25">
      <c r="A176" s="72" t="s">
        <v>275</v>
      </c>
      <c r="B176" s="232"/>
      <c r="C176" s="35" t="s">
        <v>276</v>
      </c>
      <c r="D176" s="232" t="s">
        <v>277</v>
      </c>
      <c r="E176" s="18">
        <f t="shared" si="14"/>
        <v>30</v>
      </c>
      <c r="F176" s="13">
        <f t="shared" si="14"/>
        <v>30</v>
      </c>
      <c r="G176" s="18">
        <v>30</v>
      </c>
      <c r="H176" s="18">
        <v>30</v>
      </c>
      <c r="I176" s="18"/>
      <c r="J176" s="18"/>
      <c r="K176" s="18"/>
      <c r="L176" s="19"/>
      <c r="M176" s="14"/>
      <c r="N176" s="14"/>
      <c r="P176" s="15"/>
      <c r="Q176" s="15"/>
    </row>
    <row r="177" spans="1:17" ht="26.4" x14ac:dyDescent="0.25">
      <c r="A177" s="72" t="s">
        <v>278</v>
      </c>
      <c r="B177" s="232"/>
      <c r="C177" s="39" t="s">
        <v>279</v>
      </c>
      <c r="D177" s="233" t="s">
        <v>280</v>
      </c>
      <c r="E177" s="18">
        <f t="shared" si="14"/>
        <v>1</v>
      </c>
      <c r="F177" s="13">
        <f t="shared" si="14"/>
        <v>0</v>
      </c>
      <c r="G177" s="18">
        <v>1</v>
      </c>
      <c r="H177" s="18">
        <v>0</v>
      </c>
      <c r="I177" s="18"/>
      <c r="J177" s="18"/>
      <c r="K177" s="18"/>
      <c r="L177" s="19"/>
      <c r="M177" s="14"/>
      <c r="N177" s="14"/>
      <c r="P177" s="15"/>
      <c r="Q177" s="15"/>
    </row>
    <row r="178" spans="1:17" ht="41.4" customHeight="1" x14ac:dyDescent="0.25">
      <c r="A178" s="72" t="s">
        <v>281</v>
      </c>
      <c r="B178" s="232"/>
      <c r="C178" s="32" t="s">
        <v>72</v>
      </c>
      <c r="D178" s="231"/>
      <c r="E178" s="46">
        <f>+G178+K178</f>
        <v>1157.7</v>
      </c>
      <c r="F178" s="13">
        <f t="shared" ref="F178:F241" si="20">+H178+L178</f>
        <v>1069.7</v>
      </c>
      <c r="G178" s="46">
        <f t="shared" ref="G178:L178" si="21">+G179+G180+G181+G182+G183+G184+G185+G186+G187+G188+G189+G190+G191+G192</f>
        <v>28.8</v>
      </c>
      <c r="H178" s="46">
        <f t="shared" si="21"/>
        <v>25.799999999999997</v>
      </c>
      <c r="I178" s="46">
        <f t="shared" si="21"/>
        <v>0</v>
      </c>
      <c r="J178" s="46">
        <f t="shared" si="21"/>
        <v>0</v>
      </c>
      <c r="K178" s="46">
        <f t="shared" si="21"/>
        <v>1128.9000000000001</v>
      </c>
      <c r="L178" s="46">
        <f t="shared" si="21"/>
        <v>1043.9000000000001</v>
      </c>
      <c r="M178" s="14"/>
      <c r="N178" s="14"/>
      <c r="P178" s="15"/>
      <c r="Q178" s="15"/>
    </row>
    <row r="179" spans="1:17" ht="26.4" customHeight="1" x14ac:dyDescent="0.25">
      <c r="A179" s="72" t="s">
        <v>282</v>
      </c>
      <c r="B179" s="232"/>
      <c r="C179" s="39" t="s">
        <v>283</v>
      </c>
      <c r="D179" s="233" t="s">
        <v>284</v>
      </c>
      <c r="E179" s="18">
        <f t="shared" ref="E179:E240" si="22">+G179+K179</f>
        <v>10</v>
      </c>
      <c r="F179" s="13">
        <f t="shared" si="20"/>
        <v>9.9</v>
      </c>
      <c r="G179" s="18">
        <v>10</v>
      </c>
      <c r="H179" s="18">
        <v>9.9</v>
      </c>
      <c r="I179" s="18"/>
      <c r="J179" s="18"/>
      <c r="K179" s="18"/>
      <c r="L179" s="19"/>
      <c r="M179" s="14"/>
      <c r="N179" s="14"/>
      <c r="P179" s="15"/>
      <c r="Q179" s="15"/>
    </row>
    <row r="180" spans="1:17" ht="26.4" x14ac:dyDescent="0.25">
      <c r="A180" s="72" t="s">
        <v>285</v>
      </c>
      <c r="B180" s="26"/>
      <c r="C180" s="39" t="s">
        <v>286</v>
      </c>
      <c r="D180" s="26" t="s">
        <v>287</v>
      </c>
      <c r="E180" s="18">
        <f t="shared" si="22"/>
        <v>330</v>
      </c>
      <c r="F180" s="13">
        <f t="shared" si="20"/>
        <v>260.70000000000005</v>
      </c>
      <c r="G180" s="18">
        <v>0.2</v>
      </c>
      <c r="H180" s="18">
        <v>0.1</v>
      </c>
      <c r="I180" s="18"/>
      <c r="J180" s="18"/>
      <c r="K180" s="18">
        <f>341-11.2</f>
        <v>329.8</v>
      </c>
      <c r="L180" s="16">
        <v>260.60000000000002</v>
      </c>
      <c r="M180" s="14"/>
      <c r="N180" s="14"/>
      <c r="O180" s="14"/>
      <c r="P180" s="15"/>
      <c r="Q180" s="15"/>
    </row>
    <row r="181" spans="1:17" ht="26.4" x14ac:dyDescent="0.25">
      <c r="A181" s="72" t="s">
        <v>288</v>
      </c>
      <c r="B181" s="26"/>
      <c r="C181" s="35" t="s">
        <v>289</v>
      </c>
      <c r="D181" s="26" t="s">
        <v>231</v>
      </c>
      <c r="E181" s="18">
        <f>+G181+K181</f>
        <v>9</v>
      </c>
      <c r="F181" s="13">
        <f t="shared" si="20"/>
        <v>0</v>
      </c>
      <c r="G181" s="18"/>
      <c r="H181" s="18"/>
      <c r="I181" s="18"/>
      <c r="J181" s="18"/>
      <c r="K181" s="18">
        <f>43-34</f>
        <v>9</v>
      </c>
      <c r="L181" s="16">
        <v>0</v>
      </c>
      <c r="M181" s="14"/>
      <c r="N181" s="14"/>
      <c r="P181" s="15"/>
      <c r="Q181" s="15"/>
    </row>
    <row r="182" spans="1:17" ht="39.6" x14ac:dyDescent="0.25">
      <c r="A182" s="72" t="s">
        <v>290</v>
      </c>
      <c r="B182" s="40"/>
      <c r="C182" s="35" t="s">
        <v>291</v>
      </c>
      <c r="D182" s="232" t="s">
        <v>292</v>
      </c>
      <c r="E182" s="18">
        <f>+G182+K182</f>
        <v>2</v>
      </c>
      <c r="F182" s="13">
        <f t="shared" si="20"/>
        <v>2</v>
      </c>
      <c r="G182" s="41">
        <f>2</f>
        <v>2</v>
      </c>
      <c r="H182" s="41">
        <v>2</v>
      </c>
      <c r="I182" s="41"/>
      <c r="J182" s="41"/>
      <c r="K182" s="41"/>
      <c r="L182" s="19"/>
      <c r="P182" s="15"/>
    </row>
    <row r="183" spans="1:17" ht="65.400000000000006" customHeight="1" x14ac:dyDescent="0.25">
      <c r="A183" s="72" t="s">
        <v>293</v>
      </c>
      <c r="B183" s="232"/>
      <c r="C183" s="39" t="s">
        <v>294</v>
      </c>
      <c r="D183" s="232" t="s">
        <v>287</v>
      </c>
      <c r="E183" s="18">
        <f t="shared" si="22"/>
        <v>3</v>
      </c>
      <c r="F183" s="13">
        <f t="shared" si="20"/>
        <v>0.5</v>
      </c>
      <c r="G183" s="18">
        <v>3</v>
      </c>
      <c r="H183" s="18">
        <v>0.5</v>
      </c>
      <c r="I183" s="18"/>
      <c r="J183" s="18"/>
      <c r="K183" s="18"/>
      <c r="L183" s="19"/>
      <c r="M183" s="14"/>
      <c r="N183" s="14"/>
      <c r="P183" s="15"/>
      <c r="Q183" s="15"/>
    </row>
    <row r="184" spans="1:17" ht="26.4" x14ac:dyDescent="0.25">
      <c r="A184" s="72" t="s">
        <v>295</v>
      </c>
      <c r="B184" s="232"/>
      <c r="C184" s="39" t="s">
        <v>296</v>
      </c>
      <c r="D184" s="233" t="s">
        <v>292</v>
      </c>
      <c r="E184" s="18">
        <f t="shared" si="22"/>
        <v>5</v>
      </c>
      <c r="F184" s="13">
        <f t="shared" si="20"/>
        <v>4.9000000000000004</v>
      </c>
      <c r="G184" s="18">
        <v>5</v>
      </c>
      <c r="H184" s="18">
        <v>4.9000000000000004</v>
      </c>
      <c r="I184" s="18"/>
      <c r="J184" s="18"/>
      <c r="K184" s="18"/>
      <c r="L184" s="19"/>
      <c r="M184" s="14"/>
      <c r="N184" s="14"/>
      <c r="P184" s="15"/>
      <c r="Q184" s="15"/>
    </row>
    <row r="185" spans="1:17" ht="26.4" customHeight="1" x14ac:dyDescent="0.25">
      <c r="A185" s="72" t="s">
        <v>297</v>
      </c>
      <c r="B185" s="232"/>
      <c r="C185" s="39" t="s">
        <v>298</v>
      </c>
      <c r="D185" s="232" t="s">
        <v>292</v>
      </c>
      <c r="E185" s="18">
        <f t="shared" si="22"/>
        <v>1.5</v>
      </c>
      <c r="F185" s="13">
        <f t="shared" si="20"/>
        <v>1.5</v>
      </c>
      <c r="G185" s="18">
        <v>1.5</v>
      </c>
      <c r="H185" s="18">
        <v>1.5</v>
      </c>
      <c r="I185" s="18"/>
      <c r="J185" s="18"/>
      <c r="K185" s="18"/>
      <c r="L185" s="19"/>
      <c r="M185" s="14"/>
      <c r="N185" s="14"/>
      <c r="P185" s="15"/>
      <c r="Q185" s="15"/>
    </row>
    <row r="186" spans="1:17" ht="52.8" x14ac:dyDescent="0.25">
      <c r="A186" s="73" t="s">
        <v>299</v>
      </c>
      <c r="B186" s="188"/>
      <c r="C186" s="74" t="s">
        <v>300</v>
      </c>
      <c r="D186" s="188" t="s">
        <v>272</v>
      </c>
      <c r="E186" s="24">
        <f t="shared" si="22"/>
        <v>768.69999999999993</v>
      </c>
      <c r="F186" s="13">
        <f t="shared" si="20"/>
        <v>768.69999999999993</v>
      </c>
      <c r="G186" s="24">
        <f>1.2+0.6</f>
        <v>1.7999999999999998</v>
      </c>
      <c r="H186" s="24">
        <v>1.8</v>
      </c>
      <c r="I186" s="24"/>
      <c r="J186" s="24"/>
      <c r="K186" s="24">
        <f>421.2+72.4+257.7+15.6</f>
        <v>766.9</v>
      </c>
      <c r="L186" s="16">
        <v>766.9</v>
      </c>
      <c r="M186" s="88"/>
      <c r="N186" s="14"/>
      <c r="P186" s="15"/>
      <c r="Q186" s="14"/>
    </row>
    <row r="187" spans="1:17" ht="26.4" x14ac:dyDescent="0.25">
      <c r="A187" s="72" t="s">
        <v>301</v>
      </c>
      <c r="B187" s="26"/>
      <c r="C187" s="39" t="s">
        <v>302</v>
      </c>
      <c r="D187" s="26" t="s">
        <v>303</v>
      </c>
      <c r="E187" s="18">
        <f t="shared" si="22"/>
        <v>0.30000000000000004</v>
      </c>
      <c r="F187" s="13">
        <f t="shared" si="20"/>
        <v>0.2</v>
      </c>
      <c r="G187" s="18">
        <f>0.4-0.1</f>
        <v>0.30000000000000004</v>
      </c>
      <c r="H187" s="18">
        <v>0.2</v>
      </c>
      <c r="I187" s="18"/>
      <c r="J187" s="18"/>
      <c r="K187" s="18">
        <f>10.7-9.1-1.6</f>
        <v>0</v>
      </c>
      <c r="L187" s="16">
        <v>0</v>
      </c>
      <c r="M187" s="14"/>
      <c r="N187" s="14"/>
      <c r="P187" s="15"/>
      <c r="Q187" s="15"/>
    </row>
    <row r="188" spans="1:17" ht="26.4" x14ac:dyDescent="0.25">
      <c r="A188" s="72" t="s">
        <v>304</v>
      </c>
      <c r="B188" s="26"/>
      <c r="C188" s="39" t="s">
        <v>305</v>
      </c>
      <c r="D188" s="26" t="s">
        <v>272</v>
      </c>
      <c r="E188" s="18">
        <f t="shared" si="22"/>
        <v>8</v>
      </c>
      <c r="F188" s="13">
        <f t="shared" si="20"/>
        <v>3</v>
      </c>
      <c r="G188" s="18"/>
      <c r="H188" s="18"/>
      <c r="I188" s="18"/>
      <c r="J188" s="18"/>
      <c r="K188" s="18">
        <f>16-8</f>
        <v>8</v>
      </c>
      <c r="L188" s="16">
        <v>3</v>
      </c>
      <c r="M188" s="14"/>
      <c r="N188" s="14"/>
      <c r="P188" s="15"/>
      <c r="Q188" s="15"/>
    </row>
    <row r="189" spans="1:17" ht="25.2" customHeight="1" x14ac:dyDescent="0.25">
      <c r="A189" s="72" t="s">
        <v>306</v>
      </c>
      <c r="B189" s="26"/>
      <c r="C189" s="39" t="s">
        <v>307</v>
      </c>
      <c r="D189" s="26" t="s">
        <v>308</v>
      </c>
      <c r="E189" s="18">
        <f t="shared" si="22"/>
        <v>1.2000000000000028</v>
      </c>
      <c r="F189" s="13">
        <f t="shared" si="20"/>
        <v>0.5</v>
      </c>
      <c r="G189" s="18"/>
      <c r="H189" s="18"/>
      <c r="I189" s="18"/>
      <c r="J189" s="18"/>
      <c r="K189" s="18">
        <f>60.2-59</f>
        <v>1.2000000000000028</v>
      </c>
      <c r="L189" s="16">
        <v>0.5</v>
      </c>
      <c r="M189" s="14"/>
      <c r="N189" s="14"/>
      <c r="O189" s="14"/>
      <c r="P189" s="15"/>
      <c r="Q189" s="15"/>
    </row>
    <row r="190" spans="1:17" ht="39.6" x14ac:dyDescent="0.25">
      <c r="A190" s="72" t="s">
        <v>309</v>
      </c>
      <c r="B190" s="232"/>
      <c r="C190" s="39" t="s">
        <v>310</v>
      </c>
      <c r="D190" s="232" t="s">
        <v>272</v>
      </c>
      <c r="E190" s="18">
        <f t="shared" si="22"/>
        <v>7</v>
      </c>
      <c r="F190" s="13">
        <f t="shared" si="20"/>
        <v>5.8</v>
      </c>
      <c r="G190" s="18">
        <v>3</v>
      </c>
      <c r="H190" s="18">
        <v>2.9</v>
      </c>
      <c r="I190" s="18"/>
      <c r="J190" s="18"/>
      <c r="K190" s="18">
        <f>8.4-4.4</f>
        <v>4</v>
      </c>
      <c r="L190" s="16">
        <v>2.9</v>
      </c>
      <c r="M190" s="88"/>
      <c r="N190" s="14"/>
      <c r="O190" s="14"/>
      <c r="P190" s="15"/>
      <c r="Q190" s="15"/>
    </row>
    <row r="191" spans="1:17" ht="26.4" x14ac:dyDescent="0.25">
      <c r="A191" s="72" t="s">
        <v>311</v>
      </c>
      <c r="B191" s="26"/>
      <c r="C191" s="39" t="s">
        <v>312</v>
      </c>
      <c r="D191" s="232" t="s">
        <v>287</v>
      </c>
      <c r="E191" s="18">
        <f t="shared" si="22"/>
        <v>10</v>
      </c>
      <c r="F191" s="13">
        <f t="shared" si="20"/>
        <v>10</v>
      </c>
      <c r="G191" s="18"/>
      <c r="H191" s="18"/>
      <c r="I191" s="18"/>
      <c r="J191" s="18"/>
      <c r="K191" s="18">
        <f>20-10</f>
        <v>10</v>
      </c>
      <c r="L191" s="16">
        <v>10</v>
      </c>
      <c r="M191" s="14"/>
      <c r="N191" s="14"/>
      <c r="O191" s="14"/>
      <c r="P191" s="15"/>
      <c r="Q191" s="15"/>
    </row>
    <row r="192" spans="1:17" ht="26.4" x14ac:dyDescent="0.25">
      <c r="A192" s="72" t="s">
        <v>313</v>
      </c>
      <c r="B192" s="26"/>
      <c r="C192" s="39" t="s">
        <v>314</v>
      </c>
      <c r="D192" s="232" t="s">
        <v>292</v>
      </c>
      <c r="E192" s="18">
        <f t="shared" si="22"/>
        <v>2</v>
      </c>
      <c r="F192" s="13">
        <f t="shared" si="20"/>
        <v>2</v>
      </c>
      <c r="G192" s="18">
        <v>2</v>
      </c>
      <c r="H192" s="18">
        <v>2</v>
      </c>
      <c r="I192" s="18"/>
      <c r="J192" s="18"/>
      <c r="K192" s="18"/>
      <c r="L192" s="19"/>
      <c r="M192" s="14"/>
      <c r="N192" s="14"/>
      <c r="O192" s="14"/>
      <c r="P192" s="15"/>
      <c r="Q192" s="15"/>
    </row>
    <row r="193" spans="1:17" ht="23.4" customHeight="1" x14ac:dyDescent="0.25">
      <c r="A193" s="11">
        <v>79</v>
      </c>
      <c r="B193" s="231" t="s">
        <v>315</v>
      </c>
      <c r="C193" s="75" t="s">
        <v>316</v>
      </c>
      <c r="D193" s="9"/>
      <c r="E193" s="13">
        <f t="shared" si="22"/>
        <v>3186.5</v>
      </c>
      <c r="F193" s="13">
        <f t="shared" si="20"/>
        <v>2872.1000000000004</v>
      </c>
      <c r="G193" s="13">
        <f>+G194+G229+G230+G231+G232+G233+G234+G235+G236+G237+G238+G239</f>
        <v>652.70000000000005</v>
      </c>
      <c r="H193" s="13">
        <f>+H194+H229+H230+H231+H232+H233+H234+H235+H236+H237+H238+H239</f>
        <v>589.20000000000005</v>
      </c>
      <c r="I193" s="13">
        <f>+I230+I231+I233+I232+I229+I234+I235+I237+I236+I238+I239+I194</f>
        <v>0</v>
      </c>
      <c r="J193" s="13">
        <f>+J230+J231+J233+J232+J229+J234+J235+J237+J236+J238+J239+J194</f>
        <v>0</v>
      </c>
      <c r="K193" s="13">
        <f>+K230+K231+K233+K232+K229+K234+K235+K237+K236+K238+K239+K194</f>
        <v>2533.8000000000002</v>
      </c>
      <c r="L193" s="13">
        <f>+L230+L231+L233+L232+L229+L234+L235+L237+L236+L238+L239+L194</f>
        <v>2282.9</v>
      </c>
      <c r="M193" s="14"/>
      <c r="N193" s="14"/>
      <c r="P193" s="15"/>
      <c r="Q193" s="15"/>
    </row>
    <row r="194" spans="1:17" ht="15" customHeight="1" x14ac:dyDescent="0.25">
      <c r="A194" s="11">
        <v>80</v>
      </c>
      <c r="B194" s="232"/>
      <c r="C194" s="29" t="s">
        <v>317</v>
      </c>
      <c r="D194" s="233"/>
      <c r="E194" s="18">
        <f t="shared" si="22"/>
        <v>2865.8</v>
      </c>
      <c r="F194" s="13">
        <f t="shared" si="20"/>
        <v>2554.5</v>
      </c>
      <c r="G194" s="18">
        <f t="shared" ref="G194:L194" si="23">G195</f>
        <v>332</v>
      </c>
      <c r="H194" s="18">
        <f t="shared" si="23"/>
        <v>271.59999999999997</v>
      </c>
      <c r="I194" s="18">
        <f t="shared" si="23"/>
        <v>0</v>
      </c>
      <c r="J194" s="18">
        <f t="shared" si="23"/>
        <v>0</v>
      </c>
      <c r="K194" s="18">
        <f t="shared" si="23"/>
        <v>2533.8000000000002</v>
      </c>
      <c r="L194" s="18">
        <f t="shared" si="23"/>
        <v>2282.9</v>
      </c>
      <c r="M194" s="14"/>
      <c r="N194" s="14"/>
      <c r="P194" s="15"/>
      <c r="Q194" s="15"/>
    </row>
    <row r="195" spans="1:17" ht="39" customHeight="1" x14ac:dyDescent="0.25">
      <c r="A195" s="30" t="s">
        <v>318</v>
      </c>
      <c r="B195" s="232"/>
      <c r="C195" s="32" t="s">
        <v>72</v>
      </c>
      <c r="D195" s="233"/>
      <c r="E195" s="46">
        <f t="shared" si="22"/>
        <v>2865.8</v>
      </c>
      <c r="F195" s="13">
        <f t="shared" si="20"/>
        <v>2554.5</v>
      </c>
      <c r="G195" s="46">
        <f t="shared" ref="G195:L195" si="24">+G196+G197+G198+G199+G200+G201+G203+G204+G205++G206+G207+G208+G209+G210+G211+G212+G213+G214+G215+G219+G220+G221+G222+G223+G224+G225+G226+G227+G228+G202+G216+G217+G218</f>
        <v>332</v>
      </c>
      <c r="H195" s="46">
        <f t="shared" si="24"/>
        <v>271.59999999999997</v>
      </c>
      <c r="I195" s="46">
        <f t="shared" si="24"/>
        <v>0</v>
      </c>
      <c r="J195" s="46">
        <f t="shared" si="24"/>
        <v>0</v>
      </c>
      <c r="K195" s="46">
        <f t="shared" si="24"/>
        <v>2533.8000000000002</v>
      </c>
      <c r="L195" s="46">
        <f t="shared" si="24"/>
        <v>2282.9</v>
      </c>
      <c r="M195" s="14"/>
      <c r="N195" s="14"/>
      <c r="P195" s="15"/>
      <c r="Q195" s="15"/>
    </row>
    <row r="196" spans="1:17" ht="27.6" customHeight="1" x14ac:dyDescent="0.25">
      <c r="A196" s="30" t="s">
        <v>319</v>
      </c>
      <c r="B196" s="232"/>
      <c r="C196" s="38" t="s">
        <v>320</v>
      </c>
      <c r="D196" s="233" t="s">
        <v>321</v>
      </c>
      <c r="E196" s="18">
        <f t="shared" si="22"/>
        <v>85</v>
      </c>
      <c r="F196" s="13">
        <f t="shared" si="20"/>
        <v>57.900000000000006</v>
      </c>
      <c r="G196" s="18">
        <v>40</v>
      </c>
      <c r="H196" s="18">
        <v>20.100000000000001</v>
      </c>
      <c r="I196" s="18"/>
      <c r="J196" s="18"/>
      <c r="K196" s="18">
        <v>45</v>
      </c>
      <c r="L196" s="16">
        <f>37.7+0.1</f>
        <v>37.800000000000004</v>
      </c>
      <c r="M196" s="14"/>
      <c r="N196" s="14"/>
      <c r="P196" s="15"/>
      <c r="Q196" s="15"/>
    </row>
    <row r="197" spans="1:17" x14ac:dyDescent="0.25">
      <c r="A197" s="30" t="s">
        <v>322</v>
      </c>
      <c r="B197" s="232"/>
      <c r="C197" s="38" t="s">
        <v>323</v>
      </c>
      <c r="D197" s="233" t="s">
        <v>321</v>
      </c>
      <c r="E197" s="18">
        <f t="shared" si="22"/>
        <v>17.5</v>
      </c>
      <c r="F197" s="13">
        <f t="shared" si="20"/>
        <v>8.1999999999999993</v>
      </c>
      <c r="G197" s="18"/>
      <c r="H197" s="18"/>
      <c r="I197" s="18"/>
      <c r="J197" s="18"/>
      <c r="K197" s="18">
        <v>17.5</v>
      </c>
      <c r="L197" s="19">
        <v>8.1999999999999993</v>
      </c>
      <c r="M197" s="14"/>
      <c r="N197" s="14"/>
      <c r="P197" s="15"/>
      <c r="Q197" s="15"/>
    </row>
    <row r="198" spans="1:17" x14ac:dyDescent="0.25">
      <c r="A198" s="30" t="s">
        <v>324</v>
      </c>
      <c r="B198" s="232"/>
      <c r="C198" s="38" t="s">
        <v>325</v>
      </c>
      <c r="D198" s="233" t="s">
        <v>321</v>
      </c>
      <c r="E198" s="18">
        <f t="shared" si="22"/>
        <v>17.5</v>
      </c>
      <c r="F198" s="13">
        <f t="shared" si="20"/>
        <v>6.9</v>
      </c>
      <c r="G198" s="18"/>
      <c r="H198" s="18"/>
      <c r="I198" s="18"/>
      <c r="J198" s="18"/>
      <c r="K198" s="18">
        <v>17.5</v>
      </c>
      <c r="L198" s="19">
        <v>6.9</v>
      </c>
      <c r="M198" s="14"/>
      <c r="N198" s="14"/>
      <c r="P198" s="15"/>
      <c r="Q198" s="15"/>
    </row>
    <row r="199" spans="1:17" ht="27" customHeight="1" x14ac:dyDescent="0.25">
      <c r="A199" s="30" t="s">
        <v>326</v>
      </c>
      <c r="B199" s="232"/>
      <c r="C199" s="39" t="s">
        <v>327</v>
      </c>
      <c r="D199" s="233" t="s">
        <v>328</v>
      </c>
      <c r="E199" s="18">
        <f t="shared" si="22"/>
        <v>20</v>
      </c>
      <c r="F199" s="13">
        <f t="shared" si="20"/>
        <v>20</v>
      </c>
      <c r="G199" s="18">
        <v>20</v>
      </c>
      <c r="H199" s="18">
        <v>20</v>
      </c>
      <c r="I199" s="18"/>
      <c r="J199" s="18"/>
      <c r="K199" s="18"/>
      <c r="L199" s="19"/>
      <c r="M199" s="14"/>
      <c r="N199" s="14"/>
      <c r="P199" s="15"/>
      <c r="Q199" s="15"/>
    </row>
    <row r="200" spans="1:17" ht="40.200000000000003" customHeight="1" x14ac:dyDescent="0.25">
      <c r="A200" s="30" t="s">
        <v>329</v>
      </c>
      <c r="B200" s="232"/>
      <c r="C200" s="29" t="s">
        <v>330</v>
      </c>
      <c r="D200" s="233" t="s">
        <v>321</v>
      </c>
      <c r="E200" s="18">
        <f t="shared" si="22"/>
        <v>20</v>
      </c>
      <c r="F200" s="13">
        <f t="shared" si="20"/>
        <v>18.5</v>
      </c>
      <c r="G200" s="18">
        <v>20</v>
      </c>
      <c r="H200" s="18">
        <v>18.5</v>
      </c>
      <c r="I200" s="18"/>
      <c r="J200" s="18"/>
      <c r="K200" s="18"/>
      <c r="L200" s="19"/>
      <c r="M200" s="14"/>
      <c r="N200" s="14"/>
      <c r="P200" s="15"/>
      <c r="Q200" s="15"/>
    </row>
    <row r="201" spans="1:17" x14ac:dyDescent="0.25">
      <c r="A201" s="30" t="s">
        <v>331</v>
      </c>
      <c r="B201" s="232"/>
      <c r="C201" s="29" t="s">
        <v>332</v>
      </c>
      <c r="D201" s="233" t="s">
        <v>308</v>
      </c>
      <c r="E201" s="18">
        <f t="shared" si="22"/>
        <v>10</v>
      </c>
      <c r="F201" s="13">
        <f t="shared" si="20"/>
        <v>9.9</v>
      </c>
      <c r="G201" s="18">
        <v>10</v>
      </c>
      <c r="H201" s="18">
        <v>9.9</v>
      </c>
      <c r="I201" s="18"/>
      <c r="J201" s="18"/>
      <c r="K201" s="18"/>
      <c r="L201" s="19"/>
      <c r="M201" s="14"/>
      <c r="N201" s="14"/>
      <c r="P201" s="15"/>
      <c r="Q201" s="15"/>
    </row>
    <row r="202" spans="1:17" x14ac:dyDescent="0.25">
      <c r="A202" s="30" t="s">
        <v>333</v>
      </c>
      <c r="B202" s="232"/>
      <c r="C202" s="29" t="s">
        <v>334</v>
      </c>
      <c r="D202" s="233" t="s">
        <v>335</v>
      </c>
      <c r="E202" s="18">
        <f t="shared" si="22"/>
        <v>50</v>
      </c>
      <c r="F202" s="13">
        <f t="shared" si="20"/>
        <v>50</v>
      </c>
      <c r="G202" s="18"/>
      <c r="H202" s="18"/>
      <c r="I202" s="18"/>
      <c r="J202" s="18"/>
      <c r="K202" s="18">
        <f>50</f>
        <v>50</v>
      </c>
      <c r="L202" s="19">
        <v>50</v>
      </c>
      <c r="M202" s="14"/>
      <c r="N202" s="14"/>
      <c r="P202" s="15"/>
      <c r="Q202" s="15"/>
    </row>
    <row r="203" spans="1:17" ht="27.6" customHeight="1" x14ac:dyDescent="0.25">
      <c r="A203" s="30" t="s">
        <v>336</v>
      </c>
      <c r="B203" s="232"/>
      <c r="C203" s="29" t="s">
        <v>337</v>
      </c>
      <c r="D203" s="76" t="s">
        <v>338</v>
      </c>
      <c r="E203" s="18">
        <f t="shared" si="22"/>
        <v>60</v>
      </c>
      <c r="F203" s="13">
        <f t="shared" si="20"/>
        <v>60</v>
      </c>
      <c r="G203" s="18"/>
      <c r="H203" s="18"/>
      <c r="I203" s="18"/>
      <c r="J203" s="18"/>
      <c r="K203" s="18">
        <f>60</f>
        <v>60</v>
      </c>
      <c r="L203" s="16">
        <v>60</v>
      </c>
      <c r="M203" s="14"/>
      <c r="N203" s="14"/>
      <c r="P203" s="15"/>
      <c r="Q203" s="15"/>
    </row>
    <row r="204" spans="1:17" ht="38.4" customHeight="1" x14ac:dyDescent="0.25">
      <c r="A204" s="30" t="s">
        <v>339</v>
      </c>
      <c r="B204" s="26"/>
      <c r="C204" s="20" t="s">
        <v>340</v>
      </c>
      <c r="D204" s="233" t="s">
        <v>341</v>
      </c>
      <c r="E204" s="18">
        <f t="shared" si="22"/>
        <v>308</v>
      </c>
      <c r="F204" s="13">
        <f t="shared" si="20"/>
        <v>308</v>
      </c>
      <c r="G204" s="18"/>
      <c r="H204" s="18"/>
      <c r="I204" s="18"/>
      <c r="J204" s="18"/>
      <c r="K204" s="18">
        <f>208+100</f>
        <v>308</v>
      </c>
      <c r="L204" s="16">
        <v>308</v>
      </c>
      <c r="M204" s="14"/>
      <c r="N204" s="14"/>
      <c r="P204" s="15"/>
      <c r="Q204" s="15"/>
    </row>
    <row r="205" spans="1:17" ht="26.4" customHeight="1" x14ac:dyDescent="0.25">
      <c r="A205" s="30" t="s">
        <v>342</v>
      </c>
      <c r="B205" s="232"/>
      <c r="C205" s="20" t="s">
        <v>343</v>
      </c>
      <c r="D205" s="77" t="s">
        <v>335</v>
      </c>
      <c r="E205" s="18">
        <f t="shared" si="22"/>
        <v>112.5</v>
      </c>
      <c r="F205" s="13">
        <f t="shared" si="20"/>
        <v>95.2</v>
      </c>
      <c r="G205" s="18"/>
      <c r="H205" s="18"/>
      <c r="I205" s="18"/>
      <c r="J205" s="18"/>
      <c r="K205" s="18">
        <f>186-73.5</f>
        <v>112.5</v>
      </c>
      <c r="L205" s="16">
        <v>95.2</v>
      </c>
      <c r="M205" s="14"/>
      <c r="N205" s="14"/>
      <c r="P205" s="15"/>
      <c r="Q205" s="78"/>
    </row>
    <row r="206" spans="1:17" ht="16.5" customHeight="1" x14ac:dyDescent="0.25">
      <c r="A206" s="30" t="s">
        <v>344</v>
      </c>
      <c r="B206" s="26"/>
      <c r="C206" s="20" t="s">
        <v>345</v>
      </c>
      <c r="D206" s="79" t="s">
        <v>335</v>
      </c>
      <c r="E206" s="18">
        <f t="shared" si="22"/>
        <v>47</v>
      </c>
      <c r="F206" s="13">
        <f t="shared" si="20"/>
        <v>29.2</v>
      </c>
      <c r="G206" s="18"/>
      <c r="H206" s="18"/>
      <c r="I206" s="18"/>
      <c r="J206" s="18"/>
      <c r="K206" s="18">
        <v>47</v>
      </c>
      <c r="L206" s="16">
        <v>29.2</v>
      </c>
      <c r="M206" s="170"/>
      <c r="N206" s="14"/>
      <c r="P206" s="15"/>
      <c r="Q206" s="79"/>
    </row>
    <row r="207" spans="1:17" ht="26.4" x14ac:dyDescent="0.25">
      <c r="A207" s="30" t="s">
        <v>346</v>
      </c>
      <c r="B207" s="232"/>
      <c r="C207" s="39" t="s">
        <v>347</v>
      </c>
      <c r="D207" s="233" t="s">
        <v>252</v>
      </c>
      <c r="E207" s="18">
        <f t="shared" si="22"/>
        <v>30</v>
      </c>
      <c r="F207" s="13">
        <f t="shared" si="20"/>
        <v>25.8</v>
      </c>
      <c r="G207" s="18">
        <v>30</v>
      </c>
      <c r="H207" s="18">
        <v>25.8</v>
      </c>
      <c r="I207" s="18"/>
      <c r="J207" s="18"/>
      <c r="K207" s="18"/>
      <c r="L207" s="19"/>
      <c r="M207" s="14"/>
      <c r="N207" s="14"/>
      <c r="P207" s="15"/>
      <c r="Q207" s="15"/>
    </row>
    <row r="208" spans="1:17" ht="15.6" customHeight="1" x14ac:dyDescent="0.25">
      <c r="A208" s="30" t="s">
        <v>348</v>
      </c>
      <c r="B208" s="232"/>
      <c r="C208" s="39" t="s">
        <v>349</v>
      </c>
      <c r="D208" s="233" t="s">
        <v>252</v>
      </c>
      <c r="E208" s="18">
        <f t="shared" si="22"/>
        <v>40</v>
      </c>
      <c r="F208" s="13">
        <f t="shared" si="20"/>
        <v>32.200000000000003</v>
      </c>
      <c r="G208" s="18">
        <v>40</v>
      </c>
      <c r="H208" s="18">
        <v>32.200000000000003</v>
      </c>
      <c r="I208" s="18"/>
      <c r="J208" s="18"/>
      <c r="K208" s="18"/>
      <c r="L208" s="19"/>
      <c r="M208" s="14"/>
      <c r="N208" s="14"/>
      <c r="P208" s="15"/>
      <c r="Q208" s="15"/>
    </row>
    <row r="209" spans="1:19" ht="39.6" x14ac:dyDescent="0.25">
      <c r="A209" s="30" t="s">
        <v>350</v>
      </c>
      <c r="B209" s="26"/>
      <c r="C209" s="20" t="s">
        <v>351</v>
      </c>
      <c r="D209" s="76" t="s">
        <v>338</v>
      </c>
      <c r="E209" s="18">
        <f t="shared" si="22"/>
        <v>10.5</v>
      </c>
      <c r="F209" s="13">
        <f t="shared" si="20"/>
        <v>10.4</v>
      </c>
      <c r="G209" s="18"/>
      <c r="H209" s="18"/>
      <c r="I209" s="18"/>
      <c r="J209" s="18"/>
      <c r="K209" s="18">
        <f>10+0.5</f>
        <v>10.5</v>
      </c>
      <c r="L209" s="16">
        <v>10.4</v>
      </c>
      <c r="M209" s="170"/>
      <c r="N209" s="14"/>
      <c r="P209" s="15"/>
      <c r="Q209" s="76"/>
    </row>
    <row r="210" spans="1:19" ht="26.4" x14ac:dyDescent="0.25">
      <c r="A210" s="30" t="s">
        <v>352</v>
      </c>
      <c r="B210" s="26"/>
      <c r="C210" s="20" t="s">
        <v>353</v>
      </c>
      <c r="D210" s="76" t="s">
        <v>338</v>
      </c>
      <c r="E210" s="18">
        <f t="shared" si="22"/>
        <v>7.4</v>
      </c>
      <c r="F210" s="13">
        <f t="shared" si="20"/>
        <v>7.3</v>
      </c>
      <c r="G210" s="18"/>
      <c r="H210" s="18"/>
      <c r="I210" s="18"/>
      <c r="J210" s="18"/>
      <c r="K210" s="18">
        <f>8.4-1</f>
        <v>7.4</v>
      </c>
      <c r="L210" s="16">
        <v>7.3</v>
      </c>
      <c r="M210" s="14"/>
      <c r="N210" s="14"/>
      <c r="P210" s="15"/>
      <c r="Q210" s="15"/>
    </row>
    <row r="211" spans="1:19" ht="26.4" x14ac:dyDescent="0.25">
      <c r="A211" s="30" t="s">
        <v>354</v>
      </c>
      <c r="B211" s="26"/>
      <c r="C211" s="20" t="s">
        <v>355</v>
      </c>
      <c r="D211" s="76" t="s">
        <v>338</v>
      </c>
      <c r="E211" s="18">
        <f t="shared" si="22"/>
        <v>54.800000000000004</v>
      </c>
      <c r="F211" s="13">
        <f t="shared" si="20"/>
        <v>50.6</v>
      </c>
      <c r="G211" s="18"/>
      <c r="H211" s="18"/>
      <c r="I211" s="18"/>
      <c r="J211" s="18"/>
      <c r="K211" s="18">
        <f>84.7-45.9+16</f>
        <v>54.800000000000004</v>
      </c>
      <c r="L211" s="16">
        <v>50.6</v>
      </c>
      <c r="M211" s="14"/>
      <c r="N211" s="14"/>
      <c r="P211" s="15"/>
      <c r="Q211" s="15"/>
    </row>
    <row r="212" spans="1:19" ht="26.4" x14ac:dyDescent="0.25">
      <c r="A212" s="30" t="s">
        <v>356</v>
      </c>
      <c r="B212" s="232"/>
      <c r="C212" s="39" t="s">
        <v>357</v>
      </c>
      <c r="D212" s="233" t="s">
        <v>358</v>
      </c>
      <c r="E212" s="18">
        <f t="shared" si="22"/>
        <v>20</v>
      </c>
      <c r="F212" s="13">
        <f t="shared" si="20"/>
        <v>16.600000000000001</v>
      </c>
      <c r="G212" s="18"/>
      <c r="H212" s="18"/>
      <c r="I212" s="18"/>
      <c r="J212" s="18"/>
      <c r="K212" s="18">
        <v>20</v>
      </c>
      <c r="L212" s="16">
        <v>16.600000000000001</v>
      </c>
      <c r="M212" s="14"/>
      <c r="N212" s="14"/>
      <c r="P212" s="15"/>
      <c r="Q212" s="15"/>
    </row>
    <row r="213" spans="1:19" ht="26.4" x14ac:dyDescent="0.25">
      <c r="A213" s="30" t="s">
        <v>359</v>
      </c>
      <c r="B213" s="232"/>
      <c r="C213" s="39" t="s">
        <v>360</v>
      </c>
      <c r="D213" s="233" t="s">
        <v>358</v>
      </c>
      <c r="E213" s="18">
        <f t="shared" si="22"/>
        <v>20</v>
      </c>
      <c r="F213" s="13">
        <f t="shared" si="20"/>
        <v>19.899999999999999</v>
      </c>
      <c r="G213" s="18"/>
      <c r="H213" s="18"/>
      <c r="I213" s="18"/>
      <c r="J213" s="18"/>
      <c r="K213" s="18">
        <f>30-10</f>
        <v>20</v>
      </c>
      <c r="L213" s="16">
        <v>19.899999999999999</v>
      </c>
      <c r="M213" s="14"/>
      <c r="N213" s="14"/>
      <c r="P213" s="15"/>
      <c r="Q213" s="15"/>
    </row>
    <row r="214" spans="1:19" ht="39.6" x14ac:dyDescent="0.25">
      <c r="A214" s="30" t="s">
        <v>361</v>
      </c>
      <c r="B214" s="26"/>
      <c r="C214" s="20" t="s">
        <v>362</v>
      </c>
      <c r="D214" s="47" t="s">
        <v>308</v>
      </c>
      <c r="E214" s="18">
        <f t="shared" si="22"/>
        <v>52.2</v>
      </c>
      <c r="F214" s="13">
        <f t="shared" si="20"/>
        <v>7.9</v>
      </c>
      <c r="G214" s="18"/>
      <c r="H214" s="18"/>
      <c r="I214" s="18"/>
      <c r="J214" s="18"/>
      <c r="K214" s="18">
        <f>50+2.2</f>
        <v>52.2</v>
      </c>
      <c r="L214" s="16">
        <v>7.9</v>
      </c>
      <c r="M214" s="14"/>
      <c r="N214" s="14"/>
      <c r="P214" s="15"/>
      <c r="Q214" s="15"/>
    </row>
    <row r="215" spans="1:19" ht="39.6" x14ac:dyDescent="0.25">
      <c r="A215" s="30" t="s">
        <v>363</v>
      </c>
      <c r="B215" s="232"/>
      <c r="C215" s="20" t="s">
        <v>364</v>
      </c>
      <c r="D215" s="233" t="s">
        <v>365</v>
      </c>
      <c r="E215" s="18">
        <f t="shared" si="22"/>
        <v>120.6</v>
      </c>
      <c r="F215" s="13">
        <f t="shared" si="20"/>
        <v>89.5</v>
      </c>
      <c r="G215" s="18"/>
      <c r="H215" s="18"/>
      <c r="I215" s="18"/>
      <c r="J215" s="18"/>
      <c r="K215" s="18">
        <f>200.6-80</f>
        <v>120.6</v>
      </c>
      <c r="L215" s="16">
        <v>89.5</v>
      </c>
      <c r="M215" s="14"/>
      <c r="N215" s="14"/>
      <c r="O215" s="14"/>
      <c r="P215" s="15"/>
      <c r="Q215" s="15"/>
    </row>
    <row r="216" spans="1:19" ht="16.2" customHeight="1" x14ac:dyDescent="0.25">
      <c r="A216" s="55" t="s">
        <v>366</v>
      </c>
      <c r="B216" s="22"/>
      <c r="C216" s="23" t="s">
        <v>367</v>
      </c>
      <c r="D216" s="190" t="s">
        <v>308</v>
      </c>
      <c r="E216" s="24">
        <f t="shared" si="22"/>
        <v>4.5</v>
      </c>
      <c r="F216" s="13">
        <f t="shared" si="20"/>
        <v>0.2</v>
      </c>
      <c r="G216" s="24">
        <v>0.2</v>
      </c>
      <c r="H216" s="24">
        <v>0.2</v>
      </c>
      <c r="I216" s="24"/>
      <c r="J216" s="24"/>
      <c r="K216" s="24">
        <f>4.5-0.2</f>
        <v>4.3</v>
      </c>
      <c r="L216" s="16">
        <v>0</v>
      </c>
      <c r="M216" s="14"/>
      <c r="N216" s="14"/>
      <c r="O216" s="14"/>
      <c r="P216" s="15"/>
      <c r="Q216" s="15"/>
    </row>
    <row r="217" spans="1:19" ht="24" customHeight="1" x14ac:dyDescent="0.25">
      <c r="A217" s="55" t="s">
        <v>368</v>
      </c>
      <c r="B217" s="22"/>
      <c r="C217" s="23" t="s">
        <v>369</v>
      </c>
      <c r="D217" s="190" t="s">
        <v>308</v>
      </c>
      <c r="E217" s="24">
        <f t="shared" si="22"/>
        <v>1.5</v>
      </c>
      <c r="F217" s="13">
        <f t="shared" si="20"/>
        <v>1.5</v>
      </c>
      <c r="G217" s="24">
        <v>0.2</v>
      </c>
      <c r="H217" s="24">
        <v>0.2</v>
      </c>
      <c r="I217" s="24"/>
      <c r="J217" s="24"/>
      <c r="K217" s="24">
        <f>1.5-0.2</f>
        <v>1.3</v>
      </c>
      <c r="L217" s="16">
        <v>1.3</v>
      </c>
      <c r="M217" s="14"/>
      <c r="N217" s="14"/>
      <c r="O217" s="14"/>
      <c r="P217" s="15"/>
      <c r="Q217" s="15"/>
    </row>
    <row r="218" spans="1:19" ht="24.6" customHeight="1" x14ac:dyDescent="0.25">
      <c r="A218" s="55" t="s">
        <v>370</v>
      </c>
      <c r="B218" s="22"/>
      <c r="C218" s="23" t="s">
        <v>371</v>
      </c>
      <c r="D218" s="190" t="s">
        <v>308</v>
      </c>
      <c r="E218" s="24">
        <f t="shared" si="22"/>
        <v>11</v>
      </c>
      <c r="F218" s="13">
        <f t="shared" si="20"/>
        <v>0.4</v>
      </c>
      <c r="G218" s="24">
        <v>0.4</v>
      </c>
      <c r="H218" s="24">
        <v>0.4</v>
      </c>
      <c r="I218" s="24"/>
      <c r="J218" s="24"/>
      <c r="K218" s="24">
        <f>11-0.4</f>
        <v>10.6</v>
      </c>
      <c r="L218" s="16">
        <v>0</v>
      </c>
      <c r="M218" s="14"/>
      <c r="N218" s="14"/>
      <c r="O218" s="14"/>
      <c r="P218" s="15"/>
      <c r="Q218" s="15"/>
    </row>
    <row r="219" spans="1:19" x14ac:dyDescent="0.25">
      <c r="A219" s="30" t="s">
        <v>372</v>
      </c>
      <c r="B219" s="232"/>
      <c r="C219" s="39" t="s">
        <v>373</v>
      </c>
      <c r="D219" s="233" t="s">
        <v>252</v>
      </c>
      <c r="E219" s="18">
        <f t="shared" si="22"/>
        <v>70</v>
      </c>
      <c r="F219" s="13">
        <f t="shared" si="20"/>
        <v>66.400000000000006</v>
      </c>
      <c r="G219" s="18">
        <f>70</f>
        <v>70</v>
      </c>
      <c r="H219" s="18">
        <v>66.400000000000006</v>
      </c>
      <c r="I219" s="18"/>
      <c r="J219" s="18"/>
      <c r="K219" s="18"/>
      <c r="L219" s="16"/>
      <c r="M219" s="14"/>
      <c r="N219" s="14"/>
      <c r="P219" s="15"/>
      <c r="Q219" s="15"/>
      <c r="S219" s="37"/>
    </row>
    <row r="220" spans="1:19" ht="18.75" customHeight="1" x14ac:dyDescent="0.25">
      <c r="A220" s="30" t="s">
        <v>374</v>
      </c>
      <c r="B220" s="232"/>
      <c r="C220" s="39" t="s">
        <v>375</v>
      </c>
      <c r="D220" s="233" t="s">
        <v>252</v>
      </c>
      <c r="E220" s="18">
        <f t="shared" si="22"/>
        <v>70</v>
      </c>
      <c r="F220" s="13">
        <f t="shared" si="20"/>
        <v>59.599999999999994</v>
      </c>
      <c r="G220" s="18">
        <f>0.6+20.5+12.4</f>
        <v>33.5</v>
      </c>
      <c r="H220" s="18">
        <v>23.8</v>
      </c>
      <c r="I220" s="18"/>
      <c r="J220" s="18"/>
      <c r="K220" s="18">
        <f>70-0.6-20.5-12.4</f>
        <v>36.500000000000007</v>
      </c>
      <c r="L220" s="16">
        <v>35.799999999999997</v>
      </c>
      <c r="M220" s="14"/>
      <c r="N220" s="14"/>
      <c r="O220" s="14"/>
      <c r="P220" s="15"/>
      <c r="Q220" s="15"/>
    </row>
    <row r="221" spans="1:19" ht="16.2" customHeight="1" x14ac:dyDescent="0.25">
      <c r="A221" s="30" t="s">
        <v>376</v>
      </c>
      <c r="B221" s="232"/>
      <c r="C221" s="39" t="s">
        <v>377</v>
      </c>
      <c r="D221" s="47" t="s">
        <v>308</v>
      </c>
      <c r="E221" s="18">
        <f t="shared" si="22"/>
        <v>63.7</v>
      </c>
      <c r="F221" s="13">
        <f t="shared" si="20"/>
        <v>63.699999999999996</v>
      </c>
      <c r="G221" s="18"/>
      <c r="H221" s="18"/>
      <c r="I221" s="18"/>
      <c r="J221" s="18"/>
      <c r="K221" s="18">
        <f>66-2.3</f>
        <v>63.7</v>
      </c>
      <c r="L221" s="16">
        <f>58.9+4.8</f>
        <v>63.699999999999996</v>
      </c>
      <c r="M221" s="14"/>
      <c r="N221" s="14"/>
      <c r="P221" s="15"/>
      <c r="Q221" s="15"/>
    </row>
    <row r="222" spans="1:19" ht="14.25" customHeight="1" x14ac:dyDescent="0.25">
      <c r="A222" s="30" t="s">
        <v>378</v>
      </c>
      <c r="B222" s="232"/>
      <c r="C222" s="39" t="s">
        <v>379</v>
      </c>
      <c r="D222" s="233" t="s">
        <v>252</v>
      </c>
      <c r="E222" s="18">
        <f t="shared" si="22"/>
        <v>40</v>
      </c>
      <c r="F222" s="13">
        <f t="shared" si="20"/>
        <v>37.1</v>
      </c>
      <c r="G222" s="18">
        <f>20+10+10</f>
        <v>40</v>
      </c>
      <c r="H222" s="18">
        <v>37.1</v>
      </c>
      <c r="I222" s="18"/>
      <c r="J222" s="18"/>
      <c r="K222" s="18"/>
      <c r="L222" s="19"/>
      <c r="M222" s="14"/>
      <c r="N222" s="14"/>
      <c r="P222" s="15"/>
      <c r="Q222" s="15"/>
    </row>
    <row r="223" spans="1:19" x14ac:dyDescent="0.25">
      <c r="A223" s="30" t="s">
        <v>380</v>
      </c>
      <c r="B223" s="232"/>
      <c r="C223" s="39" t="s">
        <v>381</v>
      </c>
      <c r="D223" s="233" t="s">
        <v>308</v>
      </c>
      <c r="E223" s="18">
        <f t="shared" si="22"/>
        <v>15</v>
      </c>
      <c r="F223" s="13">
        <f t="shared" si="20"/>
        <v>15</v>
      </c>
      <c r="G223" s="18">
        <v>15</v>
      </c>
      <c r="H223" s="18">
        <v>15</v>
      </c>
      <c r="I223" s="18"/>
      <c r="J223" s="18"/>
      <c r="K223" s="18"/>
      <c r="L223" s="19"/>
      <c r="M223" s="14"/>
      <c r="N223" s="14"/>
      <c r="P223" s="15"/>
      <c r="Q223" s="15"/>
    </row>
    <row r="224" spans="1:19" ht="26.4" x14ac:dyDescent="0.25">
      <c r="A224" s="30" t="s">
        <v>382</v>
      </c>
      <c r="B224" s="26"/>
      <c r="C224" s="20" t="s">
        <v>383</v>
      </c>
      <c r="D224" s="47" t="s">
        <v>384</v>
      </c>
      <c r="E224" s="18">
        <f t="shared" si="22"/>
        <v>706</v>
      </c>
      <c r="F224" s="13">
        <f t="shared" si="20"/>
        <v>698.7</v>
      </c>
      <c r="G224" s="18">
        <v>8</v>
      </c>
      <c r="H224" s="18">
        <v>0.7</v>
      </c>
      <c r="I224" s="18"/>
      <c r="J224" s="18"/>
      <c r="K224" s="18">
        <f>544+124+30</f>
        <v>698</v>
      </c>
      <c r="L224" s="16">
        <v>698</v>
      </c>
      <c r="M224" s="14"/>
      <c r="N224" s="14"/>
      <c r="O224" s="14"/>
      <c r="P224" s="15"/>
      <c r="Q224" s="15"/>
    </row>
    <row r="225" spans="1:18" ht="25.2" customHeight="1" x14ac:dyDescent="0.25">
      <c r="A225" s="55" t="s">
        <v>385</v>
      </c>
      <c r="B225" s="188"/>
      <c r="C225" s="23" t="s">
        <v>386</v>
      </c>
      <c r="D225" s="190" t="s">
        <v>384</v>
      </c>
      <c r="E225" s="24">
        <f t="shared" si="22"/>
        <v>567.5</v>
      </c>
      <c r="F225" s="13">
        <f t="shared" si="20"/>
        <v>519.79999999999995</v>
      </c>
      <c r="G225" s="24">
        <f>7.6-4</f>
        <v>3.5999999999999996</v>
      </c>
      <c r="H225" s="24">
        <v>1.3</v>
      </c>
      <c r="I225" s="24"/>
      <c r="J225" s="24"/>
      <c r="K225" s="24">
        <f>447.5+132-15.6</f>
        <v>563.9</v>
      </c>
      <c r="L225" s="16">
        <v>518.5</v>
      </c>
      <c r="M225" s="14"/>
      <c r="N225" s="14"/>
      <c r="O225" s="14"/>
      <c r="P225" s="15"/>
      <c r="Q225" s="15"/>
    </row>
    <row r="226" spans="1:18" ht="39.6" x14ac:dyDescent="0.25">
      <c r="A226" s="30" t="s">
        <v>387</v>
      </c>
      <c r="B226" s="232"/>
      <c r="C226" s="39" t="s">
        <v>388</v>
      </c>
      <c r="D226" s="233" t="s">
        <v>181</v>
      </c>
      <c r="E226" s="18">
        <f t="shared" si="22"/>
        <v>3</v>
      </c>
      <c r="F226" s="13">
        <f t="shared" si="20"/>
        <v>0</v>
      </c>
      <c r="G226" s="18">
        <f>1</f>
        <v>1</v>
      </c>
      <c r="H226" s="18">
        <v>0</v>
      </c>
      <c r="I226" s="18"/>
      <c r="J226" s="18"/>
      <c r="K226" s="18">
        <f>2</f>
        <v>2</v>
      </c>
      <c r="L226" s="16">
        <v>0</v>
      </c>
      <c r="M226" s="14"/>
      <c r="N226" s="14"/>
      <c r="P226" s="15"/>
      <c r="Q226" s="15"/>
      <c r="R226" s="37"/>
    </row>
    <row r="227" spans="1:18" ht="26.4" x14ac:dyDescent="0.25">
      <c r="A227" s="30" t="s">
        <v>389</v>
      </c>
      <c r="B227" s="232"/>
      <c r="C227" s="20" t="s">
        <v>390</v>
      </c>
      <c r="D227" s="233" t="s">
        <v>252</v>
      </c>
      <c r="E227" s="18">
        <f t="shared" si="22"/>
        <v>200</v>
      </c>
      <c r="F227" s="13">
        <f t="shared" si="20"/>
        <v>157.6</v>
      </c>
      <c r="G227" s="18"/>
      <c r="H227" s="18"/>
      <c r="I227" s="18"/>
      <c r="J227" s="18"/>
      <c r="K227" s="18">
        <v>200</v>
      </c>
      <c r="L227" s="16">
        <v>157.6</v>
      </c>
      <c r="M227" s="170"/>
      <c r="N227" s="14"/>
      <c r="P227" s="15"/>
      <c r="Q227" s="15"/>
    </row>
    <row r="228" spans="1:18" ht="16.95" customHeight="1" x14ac:dyDescent="0.25">
      <c r="A228" s="30" t="s">
        <v>391</v>
      </c>
      <c r="B228" s="26"/>
      <c r="C228" s="20" t="s">
        <v>392</v>
      </c>
      <c r="D228" s="47" t="s">
        <v>384</v>
      </c>
      <c r="E228" s="18">
        <f t="shared" si="22"/>
        <v>10.6</v>
      </c>
      <c r="F228" s="13">
        <f t="shared" si="20"/>
        <v>10.5</v>
      </c>
      <c r="G228" s="18">
        <f>0.7-0.6</f>
        <v>9.9999999999999978E-2</v>
      </c>
      <c r="H228" s="18">
        <v>0</v>
      </c>
      <c r="I228" s="18"/>
      <c r="J228" s="18"/>
      <c r="K228" s="18">
        <f>5.1+5.4</f>
        <v>10.5</v>
      </c>
      <c r="L228" s="16">
        <v>10.5</v>
      </c>
      <c r="M228" s="14"/>
      <c r="N228" s="14"/>
      <c r="P228" s="15"/>
      <c r="Q228" s="15"/>
    </row>
    <row r="229" spans="1:18" ht="26.4" x14ac:dyDescent="0.25">
      <c r="A229" s="11">
        <v>81</v>
      </c>
      <c r="B229" s="231"/>
      <c r="C229" s="20" t="s">
        <v>191</v>
      </c>
      <c r="D229" s="233" t="s">
        <v>365</v>
      </c>
      <c r="E229" s="18">
        <f t="shared" si="22"/>
        <v>170.5</v>
      </c>
      <c r="F229" s="13">
        <f t="shared" si="20"/>
        <v>167.4</v>
      </c>
      <c r="G229" s="18">
        <v>170.5</v>
      </c>
      <c r="H229" s="18">
        <f>167.5-0.1</f>
        <v>167.4</v>
      </c>
      <c r="I229" s="18"/>
      <c r="J229" s="18"/>
      <c r="K229" s="18"/>
      <c r="L229" s="19"/>
      <c r="M229" s="14"/>
      <c r="N229" s="14"/>
      <c r="P229" s="15"/>
      <c r="Q229" s="15"/>
    </row>
    <row r="230" spans="1:18" ht="27" customHeight="1" x14ac:dyDescent="0.25">
      <c r="A230" s="11">
        <v>82</v>
      </c>
      <c r="B230" s="231"/>
      <c r="C230" s="20" t="s">
        <v>193</v>
      </c>
      <c r="D230" s="233" t="s">
        <v>358</v>
      </c>
      <c r="E230" s="18">
        <f t="shared" si="22"/>
        <v>27</v>
      </c>
      <c r="F230" s="13">
        <f t="shared" si="20"/>
        <v>27</v>
      </c>
      <c r="G230" s="18">
        <v>27</v>
      </c>
      <c r="H230" s="18">
        <v>27</v>
      </c>
      <c r="I230" s="18"/>
      <c r="J230" s="18"/>
      <c r="K230" s="18"/>
      <c r="L230" s="19"/>
      <c r="M230" s="14"/>
      <c r="N230" s="14"/>
      <c r="P230" s="15"/>
      <c r="Q230" s="15"/>
    </row>
    <row r="231" spans="1:18" ht="27" customHeight="1" x14ac:dyDescent="0.25">
      <c r="A231" s="11">
        <v>83</v>
      </c>
      <c r="B231" s="231"/>
      <c r="C231" s="20" t="s">
        <v>195</v>
      </c>
      <c r="D231" s="233" t="s">
        <v>358</v>
      </c>
      <c r="E231" s="18">
        <f t="shared" si="22"/>
        <v>10</v>
      </c>
      <c r="F231" s="13">
        <f t="shared" si="20"/>
        <v>10</v>
      </c>
      <c r="G231" s="18">
        <v>10</v>
      </c>
      <c r="H231" s="18">
        <v>10</v>
      </c>
      <c r="I231" s="18"/>
      <c r="J231" s="18"/>
      <c r="K231" s="18"/>
      <c r="L231" s="19"/>
      <c r="M231" s="14"/>
      <c r="N231" s="14"/>
      <c r="P231" s="15"/>
      <c r="Q231" s="15"/>
    </row>
    <row r="232" spans="1:18" ht="27" customHeight="1" x14ac:dyDescent="0.25">
      <c r="A232" s="11">
        <v>84</v>
      </c>
      <c r="B232" s="231"/>
      <c r="C232" s="29" t="s">
        <v>196</v>
      </c>
      <c r="D232" s="233" t="s">
        <v>358</v>
      </c>
      <c r="E232" s="18">
        <f t="shared" si="22"/>
        <v>17</v>
      </c>
      <c r="F232" s="13">
        <f t="shared" si="20"/>
        <v>17</v>
      </c>
      <c r="G232" s="18">
        <v>17</v>
      </c>
      <c r="H232" s="18">
        <v>17</v>
      </c>
      <c r="I232" s="18"/>
      <c r="J232" s="18"/>
      <c r="K232" s="18"/>
      <c r="L232" s="19"/>
      <c r="M232" s="14"/>
      <c r="N232" s="14"/>
      <c r="P232" s="15"/>
      <c r="Q232" s="15"/>
    </row>
    <row r="233" spans="1:18" ht="27" customHeight="1" x14ac:dyDescent="0.25">
      <c r="A233" s="11">
        <v>85</v>
      </c>
      <c r="B233" s="231"/>
      <c r="C233" s="20" t="s">
        <v>197</v>
      </c>
      <c r="D233" s="233" t="s">
        <v>358</v>
      </c>
      <c r="E233" s="18">
        <f t="shared" si="22"/>
        <v>14.4</v>
      </c>
      <c r="F233" s="13">
        <f t="shared" si="20"/>
        <v>14.4</v>
      </c>
      <c r="G233" s="18">
        <v>14.4</v>
      </c>
      <c r="H233" s="18">
        <v>14.4</v>
      </c>
      <c r="I233" s="18"/>
      <c r="J233" s="18"/>
      <c r="K233" s="18"/>
      <c r="L233" s="19"/>
      <c r="M233" s="14"/>
      <c r="N233" s="14"/>
      <c r="P233" s="15"/>
      <c r="Q233" s="15"/>
    </row>
    <row r="234" spans="1:18" ht="27" customHeight="1" x14ac:dyDescent="0.25">
      <c r="A234" s="11">
        <v>86</v>
      </c>
      <c r="B234" s="231"/>
      <c r="C234" s="20" t="s">
        <v>198</v>
      </c>
      <c r="D234" s="233" t="s">
        <v>358</v>
      </c>
      <c r="E234" s="18">
        <f t="shared" si="22"/>
        <v>16.600000000000001</v>
      </c>
      <c r="F234" s="13">
        <f t="shared" si="20"/>
        <v>16.600000000000001</v>
      </c>
      <c r="G234" s="18">
        <v>16.600000000000001</v>
      </c>
      <c r="H234" s="18">
        <v>16.600000000000001</v>
      </c>
      <c r="I234" s="18"/>
      <c r="J234" s="18"/>
      <c r="K234" s="18"/>
      <c r="L234" s="19"/>
      <c r="M234" s="14"/>
      <c r="N234" s="14"/>
      <c r="P234" s="15"/>
      <c r="Q234" s="15"/>
    </row>
    <row r="235" spans="1:18" ht="27" customHeight="1" x14ac:dyDescent="0.25">
      <c r="A235" s="11">
        <v>87</v>
      </c>
      <c r="B235" s="231"/>
      <c r="C235" s="29" t="s">
        <v>199</v>
      </c>
      <c r="D235" s="233" t="s">
        <v>358</v>
      </c>
      <c r="E235" s="18">
        <f t="shared" si="22"/>
        <v>11.3</v>
      </c>
      <c r="F235" s="13">
        <f t="shared" si="20"/>
        <v>11.3</v>
      </c>
      <c r="G235" s="18">
        <f>10.5+0.8</f>
        <v>11.3</v>
      </c>
      <c r="H235" s="18">
        <v>11.3</v>
      </c>
      <c r="I235" s="18"/>
      <c r="J235" s="18"/>
      <c r="K235" s="18"/>
      <c r="L235" s="19"/>
      <c r="M235" s="14"/>
      <c r="N235" s="14"/>
      <c r="P235" s="15"/>
      <c r="Q235" s="15"/>
    </row>
    <row r="236" spans="1:18" ht="27" customHeight="1" x14ac:dyDescent="0.25">
      <c r="A236" s="11">
        <v>88</v>
      </c>
      <c r="B236" s="231"/>
      <c r="C236" s="20" t="s">
        <v>200</v>
      </c>
      <c r="D236" s="233" t="s">
        <v>358</v>
      </c>
      <c r="E236" s="18">
        <f t="shared" si="22"/>
        <v>12.7</v>
      </c>
      <c r="F236" s="13">
        <f t="shared" si="20"/>
        <v>12.7</v>
      </c>
      <c r="G236" s="18">
        <f>10+2.7</f>
        <v>12.7</v>
      </c>
      <c r="H236" s="18">
        <v>12.7</v>
      </c>
      <c r="I236" s="18"/>
      <c r="J236" s="18"/>
      <c r="K236" s="18"/>
      <c r="L236" s="19"/>
      <c r="M236" s="14"/>
      <c r="N236" s="14"/>
      <c r="P236" s="15"/>
      <c r="Q236" s="15"/>
    </row>
    <row r="237" spans="1:18" ht="27" customHeight="1" x14ac:dyDescent="0.25">
      <c r="A237" s="11">
        <v>89</v>
      </c>
      <c r="B237" s="231"/>
      <c r="C237" s="20" t="s">
        <v>227</v>
      </c>
      <c r="D237" s="233" t="s">
        <v>358</v>
      </c>
      <c r="E237" s="18">
        <f t="shared" si="22"/>
        <v>11</v>
      </c>
      <c r="F237" s="13">
        <f t="shared" si="20"/>
        <v>11</v>
      </c>
      <c r="G237" s="18">
        <f>10+1</f>
        <v>11</v>
      </c>
      <c r="H237" s="18">
        <v>11</v>
      </c>
      <c r="I237" s="18"/>
      <c r="J237" s="18"/>
      <c r="K237" s="18"/>
      <c r="L237" s="19"/>
      <c r="M237" s="14"/>
      <c r="N237" s="14"/>
      <c r="P237" s="15"/>
      <c r="Q237" s="15"/>
    </row>
    <row r="238" spans="1:18" ht="27" customHeight="1" x14ac:dyDescent="0.25">
      <c r="A238" s="11">
        <v>90</v>
      </c>
      <c r="B238" s="231"/>
      <c r="C238" s="20" t="s">
        <v>202</v>
      </c>
      <c r="D238" s="233" t="s">
        <v>358</v>
      </c>
      <c r="E238" s="18">
        <f t="shared" si="22"/>
        <v>13</v>
      </c>
      <c r="F238" s="13">
        <f t="shared" si="20"/>
        <v>13</v>
      </c>
      <c r="G238" s="18">
        <v>13</v>
      </c>
      <c r="H238" s="18">
        <v>13</v>
      </c>
      <c r="I238" s="18"/>
      <c r="J238" s="18"/>
      <c r="K238" s="18"/>
      <c r="L238" s="19"/>
      <c r="M238" s="14"/>
      <c r="N238" s="14"/>
      <c r="P238" s="15"/>
      <c r="Q238" s="15"/>
    </row>
    <row r="239" spans="1:18" ht="27" customHeight="1" x14ac:dyDescent="0.25">
      <c r="A239" s="11">
        <v>91</v>
      </c>
      <c r="B239" s="232"/>
      <c r="C239" s="20" t="s">
        <v>203</v>
      </c>
      <c r="D239" s="233" t="s">
        <v>358</v>
      </c>
      <c r="E239" s="18">
        <f t="shared" si="22"/>
        <v>17.2</v>
      </c>
      <c r="F239" s="13">
        <f t="shared" si="20"/>
        <v>17.2</v>
      </c>
      <c r="G239" s="18">
        <v>17.2</v>
      </c>
      <c r="H239" s="18">
        <v>17.2</v>
      </c>
      <c r="I239" s="18"/>
      <c r="J239" s="18"/>
      <c r="K239" s="18"/>
      <c r="L239" s="19"/>
      <c r="M239" s="14"/>
      <c r="N239" s="14"/>
      <c r="P239" s="15"/>
      <c r="Q239" s="15"/>
    </row>
    <row r="240" spans="1:18" ht="20.399999999999999" customHeight="1" x14ac:dyDescent="0.25">
      <c r="A240" s="11">
        <v>92</v>
      </c>
      <c r="B240" s="231" t="s">
        <v>393</v>
      </c>
      <c r="C240" s="42" t="s">
        <v>394</v>
      </c>
      <c r="D240" s="9"/>
      <c r="E240" s="43">
        <f t="shared" si="22"/>
        <v>3680.3999999999996</v>
      </c>
      <c r="F240" s="13">
        <f t="shared" si="20"/>
        <v>3541.6000000000008</v>
      </c>
      <c r="G240" s="43">
        <f t="shared" ref="G240:L240" si="25">+G252+G253+G255+G254+G251+G256+G257+G259+G258+G260+G261+G241</f>
        <v>3589.8999999999996</v>
      </c>
      <c r="H240" s="43">
        <f t="shared" si="25"/>
        <v>3455.7000000000007</v>
      </c>
      <c r="I240" s="43">
        <f t="shared" si="25"/>
        <v>593.20000000000005</v>
      </c>
      <c r="J240" s="43">
        <f t="shared" si="25"/>
        <v>591.09999999999991</v>
      </c>
      <c r="K240" s="43">
        <f t="shared" si="25"/>
        <v>90.499999999999986</v>
      </c>
      <c r="L240" s="43">
        <f t="shared" si="25"/>
        <v>85.899999999999991</v>
      </c>
      <c r="M240" s="14"/>
      <c r="N240" s="14"/>
      <c r="P240" s="15"/>
      <c r="Q240" s="15"/>
    </row>
    <row r="241" spans="1:17" ht="14.4" customHeight="1" x14ac:dyDescent="0.25">
      <c r="A241" s="11">
        <v>93</v>
      </c>
      <c r="B241" s="232"/>
      <c r="C241" s="29" t="s">
        <v>58</v>
      </c>
      <c r="D241" s="233"/>
      <c r="E241" s="18">
        <f>+G241+K241</f>
        <v>2054.2999999999997</v>
      </c>
      <c r="F241" s="13">
        <f t="shared" si="20"/>
        <v>1944.4</v>
      </c>
      <c r="G241" s="18">
        <f t="shared" ref="G241:L241" si="26">+G242+G243+G248+G249+G250</f>
        <v>1970.1</v>
      </c>
      <c r="H241" s="18">
        <f t="shared" si="26"/>
        <v>1864.8000000000002</v>
      </c>
      <c r="I241" s="18">
        <f t="shared" si="26"/>
        <v>0</v>
      </c>
      <c r="J241" s="18">
        <f t="shared" si="26"/>
        <v>0</v>
      </c>
      <c r="K241" s="18">
        <f t="shared" si="26"/>
        <v>84.199999999999989</v>
      </c>
      <c r="L241" s="18">
        <f t="shared" si="26"/>
        <v>79.599999999999994</v>
      </c>
      <c r="M241" s="14"/>
      <c r="N241" s="14"/>
      <c r="P241" s="15"/>
      <c r="Q241" s="15"/>
    </row>
    <row r="242" spans="1:17" ht="15.6" customHeight="1" x14ac:dyDescent="0.25">
      <c r="A242" s="30" t="s">
        <v>395</v>
      </c>
      <c r="B242" s="232"/>
      <c r="C242" s="80" t="s">
        <v>60</v>
      </c>
      <c r="D242" s="232" t="s">
        <v>396</v>
      </c>
      <c r="E242" s="18">
        <f t="shared" ref="E242:F273" si="27">+G242+K242</f>
        <v>21.5</v>
      </c>
      <c r="F242" s="13">
        <f t="shared" si="27"/>
        <v>17.899999999999999</v>
      </c>
      <c r="G242" s="18">
        <f>15.5+6</f>
        <v>21.5</v>
      </c>
      <c r="H242" s="18">
        <v>17.899999999999999</v>
      </c>
      <c r="I242" s="18"/>
      <c r="J242" s="18"/>
      <c r="K242" s="18"/>
      <c r="L242" s="19"/>
      <c r="M242" s="14"/>
      <c r="N242" s="14"/>
      <c r="P242" s="15"/>
      <c r="Q242" s="15"/>
    </row>
    <row r="243" spans="1:17" ht="41.4" x14ac:dyDescent="0.25">
      <c r="A243" s="30" t="s">
        <v>397</v>
      </c>
      <c r="B243" s="232"/>
      <c r="C243" s="32" t="s">
        <v>72</v>
      </c>
      <c r="D243" s="231"/>
      <c r="E243" s="46">
        <f t="shared" si="27"/>
        <v>223.09999999999997</v>
      </c>
      <c r="F243" s="13">
        <f t="shared" si="27"/>
        <v>199.00000000000003</v>
      </c>
      <c r="G243" s="46">
        <f t="shared" ref="G243:L243" si="28">+G244+G245+G246+G247</f>
        <v>161.69999999999999</v>
      </c>
      <c r="H243" s="46">
        <f t="shared" si="28"/>
        <v>141.60000000000002</v>
      </c>
      <c r="I243" s="46">
        <f t="shared" si="28"/>
        <v>0</v>
      </c>
      <c r="J243" s="46">
        <f t="shared" si="28"/>
        <v>0</v>
      </c>
      <c r="K243" s="46">
        <f t="shared" si="28"/>
        <v>61.399999999999991</v>
      </c>
      <c r="L243" s="46">
        <f t="shared" si="28"/>
        <v>57.4</v>
      </c>
      <c r="M243" s="14"/>
      <c r="N243" s="14"/>
      <c r="P243" s="15"/>
      <c r="Q243" s="15"/>
    </row>
    <row r="244" spans="1:17" ht="15.6" customHeight="1" x14ac:dyDescent="0.25">
      <c r="A244" s="30" t="s">
        <v>398</v>
      </c>
      <c r="B244" s="232"/>
      <c r="C244" s="38" t="s">
        <v>399</v>
      </c>
      <c r="D244" s="232" t="s">
        <v>252</v>
      </c>
      <c r="E244" s="18">
        <f t="shared" si="27"/>
        <v>130</v>
      </c>
      <c r="F244" s="13">
        <f t="shared" si="27"/>
        <v>129.80000000000001</v>
      </c>
      <c r="G244" s="18">
        <f>150-20</f>
        <v>130</v>
      </c>
      <c r="H244" s="18">
        <v>129.80000000000001</v>
      </c>
      <c r="I244" s="46"/>
      <c r="J244" s="46"/>
      <c r="K244" s="46"/>
      <c r="L244" s="19"/>
      <c r="M244" s="14"/>
      <c r="N244" s="14"/>
      <c r="P244" s="15"/>
      <c r="Q244" s="15"/>
    </row>
    <row r="245" spans="1:17" ht="26.4" x14ac:dyDescent="0.25">
      <c r="A245" s="65" t="s">
        <v>400</v>
      </c>
      <c r="B245" s="26"/>
      <c r="C245" s="39" t="s">
        <v>401</v>
      </c>
      <c r="D245" s="81" t="s">
        <v>402</v>
      </c>
      <c r="E245" s="41">
        <f t="shared" si="27"/>
        <v>61.999999999999993</v>
      </c>
      <c r="F245" s="13">
        <f t="shared" si="27"/>
        <v>57.9</v>
      </c>
      <c r="G245" s="41">
        <v>0.6</v>
      </c>
      <c r="H245" s="41">
        <f>0.6-0.1</f>
        <v>0.5</v>
      </c>
      <c r="I245" s="18"/>
      <c r="J245" s="18"/>
      <c r="K245" s="18">
        <f>81.6-20.2</f>
        <v>61.399999999999991</v>
      </c>
      <c r="L245" s="16">
        <v>57.4</v>
      </c>
      <c r="M245" s="14"/>
      <c r="N245" s="14"/>
      <c r="P245" s="15"/>
      <c r="Q245" s="15"/>
    </row>
    <row r="246" spans="1:17" ht="39.6" x14ac:dyDescent="0.25">
      <c r="A246" s="30" t="s">
        <v>403</v>
      </c>
      <c r="B246" s="26"/>
      <c r="C246" s="39" t="s">
        <v>404</v>
      </c>
      <c r="D246" s="26" t="s">
        <v>396</v>
      </c>
      <c r="E246" s="41">
        <f t="shared" si="27"/>
        <v>25.1</v>
      </c>
      <c r="F246" s="13">
        <f t="shared" si="27"/>
        <v>7.9</v>
      </c>
      <c r="G246" s="41">
        <v>25.1</v>
      </c>
      <c r="H246" s="41">
        <v>7.9</v>
      </c>
      <c r="I246" s="18"/>
      <c r="J246" s="18"/>
      <c r="K246" s="18"/>
      <c r="L246" s="19"/>
      <c r="M246" s="14"/>
      <c r="N246" s="14"/>
      <c r="P246" s="15"/>
      <c r="Q246" s="15"/>
    </row>
    <row r="247" spans="1:17" ht="18" customHeight="1" x14ac:dyDescent="0.25">
      <c r="A247" s="65" t="s">
        <v>405</v>
      </c>
      <c r="B247" s="26"/>
      <c r="C247" s="39" t="s">
        <v>406</v>
      </c>
      <c r="D247" s="26" t="s">
        <v>396</v>
      </c>
      <c r="E247" s="41">
        <f t="shared" si="27"/>
        <v>6</v>
      </c>
      <c r="F247" s="13">
        <f t="shared" si="27"/>
        <v>3.4</v>
      </c>
      <c r="G247" s="41">
        <f>26.7-20.7</f>
        <v>6</v>
      </c>
      <c r="H247" s="41">
        <v>3.4</v>
      </c>
      <c r="I247" s="18"/>
      <c r="J247" s="18"/>
      <c r="K247" s="18"/>
      <c r="L247" s="19"/>
      <c r="M247" s="14"/>
      <c r="N247" s="14"/>
      <c r="P247" s="15"/>
      <c r="Q247" s="15"/>
    </row>
    <row r="248" spans="1:17" ht="27" customHeight="1" x14ac:dyDescent="0.25">
      <c r="A248" s="30" t="s">
        <v>407</v>
      </c>
      <c r="B248" s="232"/>
      <c r="C248" s="45" t="s">
        <v>134</v>
      </c>
      <c r="D248" s="82" t="s">
        <v>408</v>
      </c>
      <c r="E248" s="18">
        <f t="shared" si="27"/>
        <v>394.7</v>
      </c>
      <c r="F248" s="13">
        <f t="shared" si="27"/>
        <v>328.59999999999997</v>
      </c>
      <c r="G248" s="18">
        <f>348.2-21.3+12+28.6-7-6.5+17.9</f>
        <v>371.9</v>
      </c>
      <c r="H248" s="18">
        <v>306.39999999999998</v>
      </c>
      <c r="I248" s="18"/>
      <c r="J248" s="18"/>
      <c r="K248" s="18">
        <f>21.3-12+7+6.5</f>
        <v>22.8</v>
      </c>
      <c r="L248" s="16">
        <v>22.2</v>
      </c>
      <c r="M248" s="14"/>
      <c r="N248" s="14"/>
      <c r="P248" s="15"/>
      <c r="Q248" s="15"/>
    </row>
    <row r="249" spans="1:17" ht="15.6" customHeight="1" x14ac:dyDescent="0.25">
      <c r="A249" s="83" t="s">
        <v>409</v>
      </c>
      <c r="B249" s="22"/>
      <c r="C249" s="56" t="s">
        <v>410</v>
      </c>
      <c r="D249" s="84" t="s">
        <v>402</v>
      </c>
      <c r="E249" s="24">
        <f t="shared" si="27"/>
        <v>1375</v>
      </c>
      <c r="F249" s="13">
        <f t="shared" si="27"/>
        <v>1375</v>
      </c>
      <c r="G249" s="24">
        <f>995+300+80</f>
        <v>1375</v>
      </c>
      <c r="H249" s="24">
        <v>1375</v>
      </c>
      <c r="I249" s="24"/>
      <c r="J249" s="24"/>
      <c r="K249" s="24"/>
      <c r="L249" s="19"/>
      <c r="M249" s="14"/>
      <c r="N249" s="14"/>
      <c r="P249" s="15"/>
      <c r="Q249" s="15"/>
    </row>
    <row r="250" spans="1:17" ht="15" customHeight="1" x14ac:dyDescent="0.25">
      <c r="A250" s="30" t="s">
        <v>411</v>
      </c>
      <c r="B250" s="232"/>
      <c r="C250" s="45" t="s">
        <v>412</v>
      </c>
      <c r="D250" s="82" t="s">
        <v>402</v>
      </c>
      <c r="E250" s="18">
        <f t="shared" si="27"/>
        <v>40</v>
      </c>
      <c r="F250" s="13">
        <f t="shared" si="27"/>
        <v>23.9</v>
      </c>
      <c r="G250" s="18">
        <v>40</v>
      </c>
      <c r="H250" s="18">
        <v>23.9</v>
      </c>
      <c r="I250" s="18"/>
      <c r="J250" s="18"/>
      <c r="K250" s="18"/>
      <c r="L250" s="19"/>
      <c r="M250" s="14"/>
      <c r="N250" s="14"/>
      <c r="P250" s="15"/>
      <c r="Q250" s="15"/>
    </row>
    <row r="251" spans="1:17" ht="39.6" x14ac:dyDescent="0.25">
      <c r="A251" s="11">
        <v>94</v>
      </c>
      <c r="B251" s="232"/>
      <c r="C251" s="35" t="s">
        <v>191</v>
      </c>
      <c r="D251" s="54" t="s">
        <v>413</v>
      </c>
      <c r="E251" s="18">
        <f t="shared" si="27"/>
        <v>899.69999999999993</v>
      </c>
      <c r="F251" s="13">
        <f t="shared" si="27"/>
        <v>876</v>
      </c>
      <c r="G251" s="18">
        <f>896.9+2.8</f>
        <v>899.69999999999993</v>
      </c>
      <c r="H251" s="18">
        <v>876</v>
      </c>
      <c r="I251" s="18">
        <f>119+7.9</f>
        <v>126.9</v>
      </c>
      <c r="J251" s="18">
        <v>126.6</v>
      </c>
      <c r="K251" s="18"/>
      <c r="L251" s="19"/>
      <c r="M251" s="14"/>
      <c r="N251" s="14"/>
      <c r="P251" s="15"/>
      <c r="Q251" s="15"/>
    </row>
    <row r="252" spans="1:17" ht="26.4" x14ac:dyDescent="0.25">
      <c r="A252" s="11">
        <v>95</v>
      </c>
      <c r="B252" s="232"/>
      <c r="C252" s="20" t="s">
        <v>193</v>
      </c>
      <c r="D252" s="54" t="s">
        <v>414</v>
      </c>
      <c r="E252" s="18">
        <f t="shared" si="27"/>
        <v>99</v>
      </c>
      <c r="F252" s="13">
        <f t="shared" si="27"/>
        <v>98.4</v>
      </c>
      <c r="G252" s="18">
        <f>97+2</f>
        <v>99</v>
      </c>
      <c r="H252" s="18">
        <v>98.4</v>
      </c>
      <c r="I252" s="18">
        <f>65.7-0.3</f>
        <v>65.400000000000006</v>
      </c>
      <c r="J252" s="18">
        <v>65</v>
      </c>
      <c r="K252" s="18"/>
      <c r="L252" s="19"/>
      <c r="M252" s="14"/>
      <c r="N252" s="14"/>
      <c r="P252" s="15"/>
      <c r="Q252" s="15"/>
    </row>
    <row r="253" spans="1:17" ht="24.9" customHeight="1" x14ac:dyDescent="0.25">
      <c r="A253" s="11">
        <v>96</v>
      </c>
      <c r="B253" s="232"/>
      <c r="C253" s="20" t="s">
        <v>195</v>
      </c>
      <c r="D253" s="54" t="s">
        <v>402</v>
      </c>
      <c r="E253" s="18">
        <f t="shared" si="27"/>
        <v>87.8</v>
      </c>
      <c r="F253" s="13">
        <f t="shared" si="27"/>
        <v>87.6</v>
      </c>
      <c r="G253" s="18">
        <f>86.2+1.6</f>
        <v>87.8</v>
      </c>
      <c r="H253" s="18">
        <v>87.6</v>
      </c>
      <c r="I253" s="18">
        <f>65.9+1.6</f>
        <v>67.5</v>
      </c>
      <c r="J253" s="18">
        <v>67.5</v>
      </c>
      <c r="K253" s="18"/>
      <c r="L253" s="19"/>
      <c r="M253" s="14"/>
      <c r="N253" s="14"/>
      <c r="P253" s="15"/>
      <c r="Q253" s="15"/>
    </row>
    <row r="254" spans="1:17" ht="24.9" customHeight="1" x14ac:dyDescent="0.25">
      <c r="A254" s="11">
        <v>97</v>
      </c>
      <c r="B254" s="232"/>
      <c r="C254" s="20" t="s">
        <v>196</v>
      </c>
      <c r="D254" s="54" t="s">
        <v>414</v>
      </c>
      <c r="E254" s="18">
        <f>+G254+K254</f>
        <v>69.399999999999991</v>
      </c>
      <c r="F254" s="13">
        <f t="shared" si="27"/>
        <v>68.8</v>
      </c>
      <c r="G254" s="18">
        <f>67-0.7</f>
        <v>66.3</v>
      </c>
      <c r="H254" s="18">
        <v>65.7</v>
      </c>
      <c r="I254" s="18">
        <f>39.7-0.7</f>
        <v>39</v>
      </c>
      <c r="J254" s="18">
        <v>38.799999999999997</v>
      </c>
      <c r="K254" s="18">
        <v>3.1</v>
      </c>
      <c r="L254" s="16">
        <v>3.1</v>
      </c>
      <c r="M254" s="14"/>
      <c r="N254" s="14"/>
      <c r="P254" s="15"/>
      <c r="Q254" s="15"/>
    </row>
    <row r="255" spans="1:17" ht="24.9" customHeight="1" x14ac:dyDescent="0.25">
      <c r="A255" s="11">
        <v>98</v>
      </c>
      <c r="B255" s="232"/>
      <c r="C255" s="35" t="s">
        <v>197</v>
      </c>
      <c r="D255" s="54" t="s">
        <v>414</v>
      </c>
      <c r="E255" s="18">
        <f t="shared" si="27"/>
        <v>72.099999999999994</v>
      </c>
      <c r="F255" s="13">
        <f t="shared" si="27"/>
        <v>71.7</v>
      </c>
      <c r="G255" s="18">
        <f>63+3+6.1</f>
        <v>72.099999999999994</v>
      </c>
      <c r="H255" s="18">
        <v>71.7</v>
      </c>
      <c r="I255" s="18">
        <f>32.8+7.6</f>
        <v>40.4</v>
      </c>
      <c r="J255" s="18">
        <v>40.4</v>
      </c>
      <c r="K255" s="18"/>
      <c r="L255" s="16"/>
      <c r="M255" s="14"/>
      <c r="N255" s="14"/>
      <c r="P255" s="15"/>
      <c r="Q255" s="15"/>
    </row>
    <row r="256" spans="1:17" ht="24.9" customHeight="1" x14ac:dyDescent="0.25">
      <c r="A256" s="11">
        <v>99</v>
      </c>
      <c r="B256" s="232"/>
      <c r="C256" s="20" t="s">
        <v>198</v>
      </c>
      <c r="D256" s="54" t="s">
        <v>415</v>
      </c>
      <c r="E256" s="18">
        <f t="shared" si="27"/>
        <v>62.7</v>
      </c>
      <c r="F256" s="13">
        <f t="shared" si="27"/>
        <v>62.400000000000006</v>
      </c>
      <c r="G256" s="18">
        <f>56.8+2.7</f>
        <v>59.5</v>
      </c>
      <c r="H256" s="18">
        <v>59.2</v>
      </c>
      <c r="I256" s="18">
        <f>37+0.7</f>
        <v>37.700000000000003</v>
      </c>
      <c r="J256" s="18">
        <v>37.5</v>
      </c>
      <c r="K256" s="18">
        <v>3.2</v>
      </c>
      <c r="L256" s="16">
        <v>3.2</v>
      </c>
      <c r="M256" s="14"/>
      <c r="N256" s="14"/>
      <c r="O256" s="14"/>
      <c r="P256" s="15"/>
      <c r="Q256" s="15"/>
    </row>
    <row r="257" spans="1:17" ht="24.9" customHeight="1" x14ac:dyDescent="0.25">
      <c r="A257" s="11">
        <v>100</v>
      </c>
      <c r="B257" s="232"/>
      <c r="C257" s="29" t="s">
        <v>199</v>
      </c>
      <c r="D257" s="54" t="s">
        <v>414</v>
      </c>
      <c r="E257" s="18">
        <f t="shared" si="27"/>
        <v>33.1</v>
      </c>
      <c r="F257" s="13">
        <f t="shared" si="27"/>
        <v>32.9</v>
      </c>
      <c r="G257" s="18">
        <f>33.9-0.8</f>
        <v>33.1</v>
      </c>
      <c r="H257" s="18">
        <v>32.9</v>
      </c>
      <c r="I257" s="18">
        <f>19.7+1.1</f>
        <v>20.8</v>
      </c>
      <c r="J257" s="18">
        <v>20.7</v>
      </c>
      <c r="K257" s="18"/>
      <c r="L257" s="19"/>
      <c r="M257" s="14"/>
      <c r="N257" s="14"/>
      <c r="P257" s="15"/>
      <c r="Q257" s="15"/>
    </row>
    <row r="258" spans="1:17" ht="24.9" customHeight="1" x14ac:dyDescent="0.25">
      <c r="A258" s="11">
        <v>101</v>
      </c>
      <c r="B258" s="232"/>
      <c r="C258" s="20" t="s">
        <v>200</v>
      </c>
      <c r="D258" s="54" t="s">
        <v>414</v>
      </c>
      <c r="E258" s="18">
        <f>+G258+K258</f>
        <v>38</v>
      </c>
      <c r="F258" s="13">
        <f t="shared" si="27"/>
        <v>37.799999999999997</v>
      </c>
      <c r="G258" s="18">
        <f>34.3+3.7</f>
        <v>38</v>
      </c>
      <c r="H258" s="18">
        <v>37.799999999999997</v>
      </c>
      <c r="I258" s="18">
        <f>21.5+2.5</f>
        <v>24</v>
      </c>
      <c r="J258" s="18">
        <v>23.9</v>
      </c>
      <c r="K258" s="18"/>
      <c r="L258" s="19"/>
      <c r="M258" s="14"/>
      <c r="N258" s="14"/>
      <c r="P258" s="15"/>
      <c r="Q258" s="15"/>
    </row>
    <row r="259" spans="1:17" ht="29.25" customHeight="1" x14ac:dyDescent="0.25">
      <c r="A259" s="11">
        <v>102</v>
      </c>
      <c r="B259" s="232"/>
      <c r="C259" s="35" t="s">
        <v>227</v>
      </c>
      <c r="D259" s="54" t="s">
        <v>414</v>
      </c>
      <c r="E259" s="18">
        <f t="shared" si="27"/>
        <v>57.199999999999996</v>
      </c>
      <c r="F259" s="13">
        <f t="shared" si="27"/>
        <v>56.4</v>
      </c>
      <c r="G259" s="18">
        <f>53.4+3.8</f>
        <v>57.199999999999996</v>
      </c>
      <c r="H259" s="18">
        <v>56.4</v>
      </c>
      <c r="I259" s="18">
        <f>38.9+2.3</f>
        <v>41.199999999999996</v>
      </c>
      <c r="J259" s="18">
        <v>41.1</v>
      </c>
      <c r="K259" s="18"/>
      <c r="L259" s="19"/>
      <c r="M259" s="14"/>
      <c r="N259" s="14"/>
      <c r="P259" s="15"/>
      <c r="Q259" s="15"/>
    </row>
    <row r="260" spans="1:17" ht="27" customHeight="1" x14ac:dyDescent="0.25">
      <c r="A260" s="11">
        <v>103</v>
      </c>
      <c r="B260" s="232"/>
      <c r="C260" s="20" t="s">
        <v>202</v>
      </c>
      <c r="D260" s="54" t="s">
        <v>414</v>
      </c>
      <c r="E260" s="18">
        <f t="shared" si="27"/>
        <v>58</v>
      </c>
      <c r="F260" s="13">
        <f t="shared" si="27"/>
        <v>57.5</v>
      </c>
      <c r="G260" s="18">
        <f>58.2+1-1.2</f>
        <v>58</v>
      </c>
      <c r="H260" s="18">
        <v>57.5</v>
      </c>
      <c r="I260" s="18">
        <f>35.2+3.5</f>
        <v>38.700000000000003</v>
      </c>
      <c r="J260" s="18">
        <v>38.700000000000003</v>
      </c>
      <c r="K260" s="18"/>
      <c r="L260" s="19"/>
      <c r="M260" s="14"/>
      <c r="N260" s="14"/>
      <c r="P260" s="15"/>
      <c r="Q260" s="15"/>
    </row>
    <row r="261" spans="1:17" ht="24.9" customHeight="1" x14ac:dyDescent="0.25">
      <c r="A261" s="11">
        <v>104</v>
      </c>
      <c r="B261" s="232"/>
      <c r="C261" s="20" t="s">
        <v>203</v>
      </c>
      <c r="D261" s="54" t="s">
        <v>414</v>
      </c>
      <c r="E261" s="18">
        <f t="shared" si="27"/>
        <v>149.1</v>
      </c>
      <c r="F261" s="13">
        <f t="shared" si="27"/>
        <v>147.69999999999999</v>
      </c>
      <c r="G261" s="18">
        <f>145.5+3.6</f>
        <v>149.1</v>
      </c>
      <c r="H261" s="18">
        <v>147.69999999999999</v>
      </c>
      <c r="I261" s="18">
        <f>88+3.6</f>
        <v>91.6</v>
      </c>
      <c r="J261" s="18">
        <v>90.9</v>
      </c>
      <c r="K261" s="18"/>
      <c r="L261" s="19"/>
      <c r="M261" s="14"/>
      <c r="N261" s="14"/>
      <c r="P261" s="15"/>
      <c r="Q261" s="15"/>
    </row>
    <row r="262" spans="1:17" x14ac:dyDescent="0.25">
      <c r="A262" s="11">
        <v>105</v>
      </c>
      <c r="B262" s="231" t="s">
        <v>416</v>
      </c>
      <c r="C262" s="42" t="s">
        <v>417</v>
      </c>
      <c r="D262" s="54"/>
      <c r="E262" s="46">
        <f t="shared" si="27"/>
        <v>40</v>
      </c>
      <c r="F262" s="13">
        <f t="shared" si="27"/>
        <v>40</v>
      </c>
      <c r="G262" s="46">
        <f t="shared" ref="G262:L264" si="29">+G263</f>
        <v>40</v>
      </c>
      <c r="H262" s="46">
        <f t="shared" si="29"/>
        <v>40</v>
      </c>
      <c r="I262" s="43">
        <f t="shared" si="29"/>
        <v>0</v>
      </c>
      <c r="J262" s="43">
        <f t="shared" si="29"/>
        <v>0</v>
      </c>
      <c r="K262" s="43">
        <f t="shared" si="29"/>
        <v>0</v>
      </c>
      <c r="L262" s="43">
        <f t="shared" si="29"/>
        <v>0</v>
      </c>
      <c r="M262" s="14"/>
      <c r="N262" s="14"/>
      <c r="P262" s="15"/>
      <c r="Q262" s="15"/>
    </row>
    <row r="263" spans="1:17" ht="16.5" customHeight="1" x14ac:dyDescent="0.25">
      <c r="A263" s="11">
        <v>106</v>
      </c>
      <c r="B263" s="231"/>
      <c r="C263" s="29" t="s">
        <v>418</v>
      </c>
      <c r="D263" s="54"/>
      <c r="E263" s="18">
        <f t="shared" si="27"/>
        <v>40</v>
      </c>
      <c r="F263" s="13">
        <f t="shared" si="27"/>
        <v>40</v>
      </c>
      <c r="G263" s="18">
        <f t="shared" si="29"/>
        <v>40</v>
      </c>
      <c r="H263" s="18">
        <f t="shared" si="29"/>
        <v>40</v>
      </c>
      <c r="I263" s="18">
        <f t="shared" si="29"/>
        <v>0</v>
      </c>
      <c r="J263" s="18">
        <f t="shared" si="29"/>
        <v>0</v>
      </c>
      <c r="K263" s="18">
        <f t="shared" si="29"/>
        <v>0</v>
      </c>
      <c r="L263" s="18">
        <f t="shared" si="29"/>
        <v>0</v>
      </c>
      <c r="M263" s="14"/>
      <c r="N263" s="14"/>
      <c r="P263" s="15"/>
      <c r="Q263" s="15"/>
    </row>
    <row r="264" spans="1:17" ht="41.4" x14ac:dyDescent="0.25">
      <c r="A264" s="30" t="s">
        <v>419</v>
      </c>
      <c r="B264" s="232"/>
      <c r="C264" s="32" t="s">
        <v>72</v>
      </c>
      <c r="D264" s="85"/>
      <c r="E264" s="46">
        <f t="shared" si="27"/>
        <v>40</v>
      </c>
      <c r="F264" s="13">
        <f t="shared" si="27"/>
        <v>40</v>
      </c>
      <c r="G264" s="46">
        <f t="shared" si="29"/>
        <v>40</v>
      </c>
      <c r="H264" s="46">
        <v>40</v>
      </c>
      <c r="I264" s="46">
        <f t="shared" si="29"/>
        <v>0</v>
      </c>
      <c r="J264" s="46">
        <f t="shared" si="29"/>
        <v>0</v>
      </c>
      <c r="K264" s="46">
        <f t="shared" si="29"/>
        <v>0</v>
      </c>
      <c r="L264" s="46">
        <f t="shared" si="29"/>
        <v>0</v>
      </c>
      <c r="M264" s="14"/>
      <c r="N264" s="14"/>
      <c r="P264" s="15"/>
      <c r="Q264" s="15"/>
    </row>
    <row r="265" spans="1:17" ht="26.4" x14ac:dyDescent="0.25">
      <c r="A265" s="72" t="s">
        <v>420</v>
      </c>
      <c r="B265" s="232"/>
      <c r="C265" s="20" t="s">
        <v>421</v>
      </c>
      <c r="D265" s="54" t="s">
        <v>422</v>
      </c>
      <c r="E265" s="18">
        <f t="shared" si="27"/>
        <v>40</v>
      </c>
      <c r="F265" s="13">
        <f t="shared" si="27"/>
        <v>40</v>
      </c>
      <c r="G265" s="18">
        <v>40</v>
      </c>
      <c r="H265" s="18">
        <v>40</v>
      </c>
      <c r="I265" s="18"/>
      <c r="J265" s="18"/>
      <c r="K265" s="18"/>
      <c r="L265" s="19"/>
      <c r="M265" s="14"/>
      <c r="N265" s="14"/>
      <c r="P265" s="15"/>
      <c r="Q265" s="15"/>
    </row>
    <row r="266" spans="1:17" x14ac:dyDescent="0.25">
      <c r="A266" s="11">
        <v>107</v>
      </c>
      <c r="B266" s="231" t="s">
        <v>423</v>
      </c>
      <c r="C266" s="42" t="s">
        <v>424</v>
      </c>
      <c r="D266" s="9"/>
      <c r="E266" s="43">
        <f t="shared" si="27"/>
        <v>30</v>
      </c>
      <c r="F266" s="13">
        <f t="shared" si="27"/>
        <v>29</v>
      </c>
      <c r="G266" s="43">
        <f t="shared" ref="G266:L266" si="30">+G267</f>
        <v>30</v>
      </c>
      <c r="H266" s="43">
        <f t="shared" si="30"/>
        <v>29</v>
      </c>
      <c r="I266" s="43">
        <f t="shared" si="30"/>
        <v>0</v>
      </c>
      <c r="J266" s="43">
        <f t="shared" si="30"/>
        <v>0</v>
      </c>
      <c r="K266" s="43">
        <f t="shared" si="30"/>
        <v>0</v>
      </c>
      <c r="L266" s="43">
        <f t="shared" si="30"/>
        <v>0</v>
      </c>
      <c r="M266" s="14"/>
      <c r="N266" s="14"/>
      <c r="P266" s="15"/>
      <c r="Q266" s="15"/>
    </row>
    <row r="267" spans="1:17" ht="20.100000000000001" customHeight="1" x14ac:dyDescent="0.25">
      <c r="A267" s="11">
        <v>108</v>
      </c>
      <c r="B267" s="231"/>
      <c r="C267" s="29" t="s">
        <v>58</v>
      </c>
      <c r="D267" s="9"/>
      <c r="E267" s="18">
        <f t="shared" si="27"/>
        <v>30</v>
      </c>
      <c r="F267" s="13">
        <f t="shared" si="27"/>
        <v>29</v>
      </c>
      <c r="G267" s="18">
        <f>+G268+G269</f>
        <v>30</v>
      </c>
      <c r="H267" s="18">
        <f>+H268+H269</f>
        <v>29</v>
      </c>
      <c r="I267" s="18">
        <f>SUM(I268:I268)</f>
        <v>0</v>
      </c>
      <c r="J267" s="18">
        <f>SUM(J268:J268)</f>
        <v>0</v>
      </c>
      <c r="K267" s="18">
        <f>SUM(K268:K268)</f>
        <v>0</v>
      </c>
      <c r="L267" s="18">
        <f>SUM(L268:L268)</f>
        <v>0</v>
      </c>
      <c r="M267" s="14"/>
      <c r="N267" s="14"/>
      <c r="P267" s="15"/>
      <c r="Q267" s="15"/>
    </row>
    <row r="268" spans="1:17" ht="26.4" x14ac:dyDescent="0.25">
      <c r="A268" s="72" t="s">
        <v>425</v>
      </c>
      <c r="B268" s="232"/>
      <c r="C268" s="35" t="s">
        <v>426</v>
      </c>
      <c r="D268" s="233" t="s">
        <v>427</v>
      </c>
      <c r="E268" s="18">
        <f t="shared" si="27"/>
        <v>29</v>
      </c>
      <c r="F268" s="13">
        <f t="shared" si="27"/>
        <v>29</v>
      </c>
      <c r="G268" s="18">
        <v>29</v>
      </c>
      <c r="H268" s="18">
        <v>29</v>
      </c>
      <c r="I268" s="18"/>
      <c r="J268" s="18"/>
      <c r="K268" s="18"/>
      <c r="L268" s="19"/>
      <c r="M268" s="14"/>
      <c r="N268" s="14"/>
      <c r="P268" s="15"/>
      <c r="Q268" s="15"/>
    </row>
    <row r="269" spans="1:17" ht="14.4" customHeight="1" x14ac:dyDescent="0.25">
      <c r="A269" s="72" t="s">
        <v>428</v>
      </c>
      <c r="B269" s="232"/>
      <c r="C269" s="35" t="s">
        <v>429</v>
      </c>
      <c r="D269" s="233" t="s">
        <v>430</v>
      </c>
      <c r="E269" s="18">
        <f t="shared" si="27"/>
        <v>1</v>
      </c>
      <c r="F269" s="13">
        <f t="shared" si="27"/>
        <v>0</v>
      </c>
      <c r="G269" s="18">
        <v>1</v>
      </c>
      <c r="H269" s="18">
        <v>0</v>
      </c>
      <c r="I269" s="18"/>
      <c r="J269" s="18"/>
      <c r="K269" s="18"/>
      <c r="L269" s="19"/>
      <c r="M269" s="14"/>
      <c r="N269" s="14"/>
      <c r="P269" s="15"/>
      <c r="Q269" s="15"/>
    </row>
    <row r="270" spans="1:17" x14ac:dyDescent="0.25">
      <c r="A270" s="11">
        <v>109</v>
      </c>
      <c r="B270" s="231" t="s">
        <v>431</v>
      </c>
      <c r="C270" s="42" t="s">
        <v>432</v>
      </c>
      <c r="D270" s="9"/>
      <c r="E270" s="43">
        <f t="shared" si="27"/>
        <v>6599.1</v>
      </c>
      <c r="F270" s="13">
        <f t="shared" si="27"/>
        <v>6450.4999999999991</v>
      </c>
      <c r="G270" s="43">
        <f t="shared" ref="G270:L270" si="31">+G271+G272+G273+G281+G284+G286+G288+G290+G292+G294+G296+G298+G300+G302+G304</f>
        <v>6527.6</v>
      </c>
      <c r="H270" s="43">
        <f t="shared" si="31"/>
        <v>6379.4999999999991</v>
      </c>
      <c r="I270" s="43">
        <f t="shared" si="31"/>
        <v>3142.1999999999994</v>
      </c>
      <c r="J270" s="43">
        <f t="shared" si="31"/>
        <v>3130.8999999999992</v>
      </c>
      <c r="K270" s="43">
        <f t="shared" si="31"/>
        <v>71.499999999999986</v>
      </c>
      <c r="L270" s="43">
        <f t="shared" si="31"/>
        <v>70.999999999999986</v>
      </c>
      <c r="M270" s="14"/>
      <c r="N270" s="14"/>
      <c r="P270" s="15"/>
      <c r="Q270" s="15"/>
    </row>
    <row r="271" spans="1:17" ht="15.6" customHeight="1" x14ac:dyDescent="0.25">
      <c r="A271" s="11">
        <v>110</v>
      </c>
      <c r="B271" s="231"/>
      <c r="C271" s="20" t="s">
        <v>433</v>
      </c>
      <c r="D271" s="233" t="s">
        <v>434</v>
      </c>
      <c r="E271" s="18">
        <f t="shared" si="27"/>
        <v>13.2</v>
      </c>
      <c r="F271" s="13">
        <f t="shared" si="27"/>
        <v>13.2</v>
      </c>
      <c r="G271" s="18">
        <v>13.2</v>
      </c>
      <c r="H271" s="18">
        <v>13.2</v>
      </c>
      <c r="I271" s="18">
        <v>8.4</v>
      </c>
      <c r="J271" s="18">
        <v>8.4</v>
      </c>
      <c r="K271" s="18"/>
      <c r="L271" s="19"/>
      <c r="M271" s="14"/>
      <c r="N271" s="14"/>
      <c r="P271" s="15"/>
      <c r="Q271" s="15"/>
    </row>
    <row r="272" spans="1:17" ht="15" customHeight="1" x14ac:dyDescent="0.25">
      <c r="A272" s="11">
        <v>111</v>
      </c>
      <c r="B272" s="231"/>
      <c r="C272" s="29" t="s">
        <v>435</v>
      </c>
      <c r="D272" s="233" t="s">
        <v>436</v>
      </c>
      <c r="E272" s="18">
        <f t="shared" si="27"/>
        <v>119.5</v>
      </c>
      <c r="F272" s="13">
        <f t="shared" si="27"/>
        <v>119.5</v>
      </c>
      <c r="G272" s="18">
        <f>119.5-1.5</f>
        <v>118</v>
      </c>
      <c r="H272" s="18">
        <v>118</v>
      </c>
      <c r="I272" s="18">
        <f>109.1+0.6</f>
        <v>109.69999999999999</v>
      </c>
      <c r="J272" s="18">
        <v>109.7</v>
      </c>
      <c r="K272" s="18">
        <v>1.5</v>
      </c>
      <c r="L272" s="19">
        <v>1.5</v>
      </c>
      <c r="M272" s="14"/>
      <c r="N272" s="14"/>
      <c r="P272" s="15"/>
      <c r="Q272" s="15"/>
    </row>
    <row r="273" spans="1:17" ht="15" customHeight="1" x14ac:dyDescent="0.25">
      <c r="A273" s="11">
        <v>112</v>
      </c>
      <c r="B273" s="231"/>
      <c r="C273" s="29" t="s">
        <v>58</v>
      </c>
      <c r="D273" s="233"/>
      <c r="E273" s="18">
        <f t="shared" si="27"/>
        <v>4558.5000000000009</v>
      </c>
      <c r="F273" s="13">
        <f t="shared" si="27"/>
        <v>4439.2000000000007</v>
      </c>
      <c r="G273" s="18">
        <f>+G274+G280+G275+G276+G277+G278+G279</f>
        <v>4493.3000000000011</v>
      </c>
      <c r="H273" s="24">
        <v>4374.1000000000004</v>
      </c>
      <c r="I273" s="18">
        <f>+I274+I280+I275+I276+I277+I278+I279</f>
        <v>2213.1</v>
      </c>
      <c r="J273" s="18">
        <f>+J274+J280+J275+J276+J277+J278+J279</f>
        <v>2213</v>
      </c>
      <c r="K273" s="18">
        <f>+K274+K280+K275+K276+K277+K278+K279</f>
        <v>65.199999999999989</v>
      </c>
      <c r="L273" s="18">
        <f>+L274+L280+L275+L276+L277+L278+L279</f>
        <v>65.099999999999994</v>
      </c>
      <c r="N273" s="14"/>
      <c r="P273" s="15"/>
      <c r="Q273" s="15"/>
    </row>
    <row r="274" spans="1:17" ht="92.4" x14ac:dyDescent="0.25">
      <c r="A274" s="72" t="s">
        <v>437</v>
      </c>
      <c r="B274" s="231"/>
      <c r="C274" s="29" t="s">
        <v>429</v>
      </c>
      <c r="D274" s="233" t="s">
        <v>438</v>
      </c>
      <c r="E274" s="24">
        <f>+G274+K274</f>
        <v>3695.1000000000004</v>
      </c>
      <c r="F274" s="266">
        <f t="shared" ref="F274:F306" si="32">+H274+L274</f>
        <v>3663.6000000000004</v>
      </c>
      <c r="G274" s="24">
        <f>3605.3-40-30-3.2-7.6+47.5+15+42.9</f>
        <v>3629.9000000000005</v>
      </c>
      <c r="H274" s="24">
        <f>H273-H275-H276-H277-H278-H279-H280</f>
        <v>3598.5000000000005</v>
      </c>
      <c r="I274" s="24">
        <f>2106.5+46.9+59.7</f>
        <v>2213.1</v>
      </c>
      <c r="J274" s="24">
        <v>2213</v>
      </c>
      <c r="K274" s="24">
        <f>96.7+7.6-39.1</f>
        <v>65.199999999999989</v>
      </c>
      <c r="L274" s="24">
        <v>65.099999999999994</v>
      </c>
      <c r="M274" s="14"/>
      <c r="N274" s="14"/>
      <c r="P274" s="15"/>
      <c r="Q274" s="15"/>
    </row>
    <row r="275" spans="1:17" ht="26.4" x14ac:dyDescent="0.25">
      <c r="A275" s="72" t="s">
        <v>439</v>
      </c>
      <c r="B275" s="232"/>
      <c r="C275" s="35" t="s">
        <v>440</v>
      </c>
      <c r="D275" s="233" t="s">
        <v>441</v>
      </c>
      <c r="E275" s="24">
        <f>+G275+K275</f>
        <v>216.29999999999995</v>
      </c>
      <c r="F275" s="266">
        <f t="shared" si="32"/>
        <v>147.6</v>
      </c>
      <c r="G275" s="24">
        <f>30+285+2+3.2+30-83.9-50</f>
        <v>216.29999999999995</v>
      </c>
      <c r="H275" s="24">
        <v>147.6</v>
      </c>
      <c r="I275" s="24"/>
      <c r="J275" s="24"/>
      <c r="K275" s="24"/>
      <c r="L275" s="267"/>
      <c r="M275" s="14"/>
      <c r="N275" s="14"/>
      <c r="P275" s="15"/>
      <c r="Q275" s="15"/>
    </row>
    <row r="276" spans="1:17" ht="24.75" customHeight="1" x14ac:dyDescent="0.25">
      <c r="A276" s="72" t="s">
        <v>442</v>
      </c>
      <c r="B276" s="232"/>
      <c r="C276" s="35" t="s">
        <v>443</v>
      </c>
      <c r="D276" s="233" t="s">
        <v>328</v>
      </c>
      <c r="E276" s="24">
        <f t="shared" ref="E276:E304" si="33">+G276+K276</f>
        <v>15</v>
      </c>
      <c r="F276" s="266">
        <f t="shared" si="32"/>
        <v>12.9</v>
      </c>
      <c r="G276" s="24">
        <f>20-5</f>
        <v>15</v>
      </c>
      <c r="H276" s="24">
        <v>12.9</v>
      </c>
      <c r="I276" s="24"/>
      <c r="J276" s="24"/>
      <c r="K276" s="24"/>
      <c r="L276" s="267"/>
      <c r="M276" s="14"/>
      <c r="N276" s="14"/>
      <c r="P276" s="15"/>
      <c r="Q276" s="15"/>
    </row>
    <row r="277" spans="1:17" ht="15" customHeight="1" x14ac:dyDescent="0.25">
      <c r="A277" s="73" t="s">
        <v>444</v>
      </c>
      <c r="B277" s="22"/>
      <c r="C277" s="58" t="s">
        <v>445</v>
      </c>
      <c r="D277" s="60" t="s">
        <v>446</v>
      </c>
      <c r="E277" s="24">
        <f>+G277+K277</f>
        <v>566</v>
      </c>
      <c r="F277" s="266">
        <f t="shared" si="32"/>
        <v>563.70000000000005</v>
      </c>
      <c r="G277" s="24">
        <f>250+146+100+70</f>
        <v>566</v>
      </c>
      <c r="H277" s="24">
        <v>563.70000000000005</v>
      </c>
      <c r="I277" s="24"/>
      <c r="J277" s="24"/>
      <c r="K277" s="24"/>
      <c r="L277" s="267"/>
      <c r="M277" s="14"/>
      <c r="N277" s="14"/>
      <c r="P277" s="15"/>
      <c r="Q277" s="15"/>
    </row>
    <row r="278" spans="1:17" ht="15" customHeight="1" x14ac:dyDescent="0.25">
      <c r="A278" s="72" t="s">
        <v>447</v>
      </c>
      <c r="B278" s="232"/>
      <c r="C278" s="35" t="s">
        <v>448</v>
      </c>
      <c r="D278" s="233" t="s">
        <v>328</v>
      </c>
      <c r="E278" s="24">
        <f t="shared" si="33"/>
        <v>21.5</v>
      </c>
      <c r="F278" s="266">
        <f t="shared" si="32"/>
        <v>21.5</v>
      </c>
      <c r="G278" s="24">
        <v>21.5</v>
      </c>
      <c r="H278" s="24">
        <v>21.5</v>
      </c>
      <c r="I278" s="24"/>
      <c r="J278" s="24"/>
      <c r="K278" s="24"/>
      <c r="L278" s="267"/>
      <c r="M278" s="14"/>
      <c r="N278" s="14"/>
      <c r="P278" s="15"/>
      <c r="Q278" s="15"/>
    </row>
    <row r="279" spans="1:17" ht="26.4" x14ac:dyDescent="0.25">
      <c r="A279" s="72" t="s">
        <v>449</v>
      </c>
      <c r="B279" s="232"/>
      <c r="C279" s="38" t="s">
        <v>450</v>
      </c>
      <c r="D279" s="233" t="s">
        <v>328</v>
      </c>
      <c r="E279" s="24">
        <f>+G279+K279</f>
        <v>32.6</v>
      </c>
      <c r="F279" s="266">
        <f t="shared" si="32"/>
        <v>17.899999999999999</v>
      </c>
      <c r="G279" s="24">
        <f>33.6+30-31</f>
        <v>32.6</v>
      </c>
      <c r="H279" s="24">
        <v>17.899999999999999</v>
      </c>
      <c r="I279" s="24"/>
      <c r="J279" s="24"/>
      <c r="K279" s="24"/>
      <c r="L279" s="267"/>
      <c r="M279" s="14"/>
      <c r="N279" s="14"/>
      <c r="P279" s="15"/>
      <c r="Q279" s="15"/>
    </row>
    <row r="280" spans="1:17" ht="26.4" x14ac:dyDescent="0.25">
      <c r="A280" s="72" t="s">
        <v>451</v>
      </c>
      <c r="B280" s="232"/>
      <c r="C280" s="35" t="s">
        <v>452</v>
      </c>
      <c r="D280" s="233" t="s">
        <v>453</v>
      </c>
      <c r="E280" s="24">
        <f>+G280+K280</f>
        <v>12</v>
      </c>
      <c r="F280" s="266">
        <f t="shared" si="32"/>
        <v>12</v>
      </c>
      <c r="G280" s="24">
        <v>12</v>
      </c>
      <c r="H280" s="24">
        <v>12</v>
      </c>
      <c r="I280" s="24"/>
      <c r="J280" s="24"/>
      <c r="K280" s="24"/>
      <c r="L280" s="267"/>
      <c r="M280" s="14"/>
      <c r="N280" s="14"/>
      <c r="P280" s="15"/>
      <c r="Q280" s="15"/>
    </row>
    <row r="281" spans="1:17" x14ac:dyDescent="0.25">
      <c r="A281" s="72">
        <v>113</v>
      </c>
      <c r="B281" s="232"/>
      <c r="C281" s="29" t="s">
        <v>429</v>
      </c>
      <c r="D281" s="233"/>
      <c r="E281" s="18">
        <f>+G281+K281</f>
        <v>836</v>
      </c>
      <c r="F281" s="13">
        <f t="shared" si="32"/>
        <v>828.6</v>
      </c>
      <c r="G281" s="18">
        <f t="shared" ref="G281:L281" si="34">+G282+G283</f>
        <v>836</v>
      </c>
      <c r="H281" s="18">
        <f t="shared" si="34"/>
        <v>828.6</v>
      </c>
      <c r="I281" s="18">
        <f t="shared" si="34"/>
        <v>0</v>
      </c>
      <c r="J281" s="18">
        <f t="shared" si="34"/>
        <v>0</v>
      </c>
      <c r="K281" s="18">
        <f t="shared" si="34"/>
        <v>0</v>
      </c>
      <c r="L281" s="18">
        <f t="shared" si="34"/>
        <v>0</v>
      </c>
      <c r="M281" s="14"/>
      <c r="N281" s="14"/>
      <c r="P281" s="15"/>
      <c r="Q281" s="15"/>
    </row>
    <row r="282" spans="1:17" ht="12.6" customHeight="1" x14ac:dyDescent="0.25">
      <c r="A282" s="72" t="s">
        <v>454</v>
      </c>
      <c r="B282" s="232"/>
      <c r="C282" s="35" t="s">
        <v>455</v>
      </c>
      <c r="D282" s="233" t="s">
        <v>456</v>
      </c>
      <c r="E282" s="18">
        <f t="shared" si="33"/>
        <v>56</v>
      </c>
      <c r="F282" s="13">
        <f t="shared" si="32"/>
        <v>48.6</v>
      </c>
      <c r="G282" s="18">
        <v>56</v>
      </c>
      <c r="H282" s="18">
        <v>48.6</v>
      </c>
      <c r="I282" s="18"/>
      <c r="J282" s="18"/>
      <c r="K282" s="18"/>
      <c r="L282" s="19"/>
      <c r="M282" s="14"/>
      <c r="N282" s="14"/>
      <c r="P282" s="15"/>
      <c r="Q282" s="15"/>
    </row>
    <row r="283" spans="1:17" ht="12.6" customHeight="1" x14ac:dyDescent="0.25">
      <c r="A283" s="72" t="s">
        <v>457</v>
      </c>
      <c r="B283" s="232"/>
      <c r="C283" s="35" t="s">
        <v>458</v>
      </c>
      <c r="D283" s="233" t="s">
        <v>459</v>
      </c>
      <c r="E283" s="18">
        <f>+G283+K283</f>
        <v>780</v>
      </c>
      <c r="F283" s="13">
        <f>+H283+L283</f>
        <v>780</v>
      </c>
      <c r="G283" s="18">
        <v>780</v>
      </c>
      <c r="H283" s="18">
        <v>780</v>
      </c>
      <c r="I283" s="18"/>
      <c r="J283" s="18"/>
      <c r="K283" s="18"/>
      <c r="L283" s="19"/>
      <c r="M283" s="14"/>
      <c r="N283" s="14"/>
      <c r="P283" s="15"/>
      <c r="Q283" s="15"/>
    </row>
    <row r="284" spans="1:17" ht="25.5" customHeight="1" x14ac:dyDescent="0.25">
      <c r="A284" s="283">
        <v>114</v>
      </c>
      <c r="B284" s="285"/>
      <c r="C284" s="20" t="s">
        <v>191</v>
      </c>
      <c r="D284" s="47" t="s">
        <v>460</v>
      </c>
      <c r="E284" s="18">
        <f>+G284+K284</f>
        <v>157.89999999999998</v>
      </c>
      <c r="F284" s="13">
        <f t="shared" si="32"/>
        <v>144.69999999999999</v>
      </c>
      <c r="G284" s="18">
        <f>162.7-14.6+5.1+4.7</f>
        <v>157.89999999999998</v>
      </c>
      <c r="H284" s="18">
        <v>144.69999999999999</v>
      </c>
      <c r="I284" s="18">
        <f>131-14.4-4.4</f>
        <v>112.19999999999999</v>
      </c>
      <c r="J284" s="18">
        <v>104.3</v>
      </c>
      <c r="K284" s="18"/>
      <c r="L284" s="19"/>
      <c r="M284" s="14"/>
      <c r="N284" s="14"/>
      <c r="O284" s="14"/>
      <c r="P284" s="15"/>
      <c r="Q284" s="15"/>
    </row>
    <row r="285" spans="1:17" ht="15.6" customHeight="1" x14ac:dyDescent="0.25">
      <c r="A285" s="284"/>
      <c r="B285" s="286"/>
      <c r="C285" s="86" t="s">
        <v>461</v>
      </c>
      <c r="D285" s="233" t="s">
        <v>462</v>
      </c>
      <c r="E285" s="18">
        <f>+G285+K285</f>
        <v>5.3</v>
      </c>
      <c r="F285" s="13">
        <f t="shared" si="32"/>
        <v>3.3</v>
      </c>
      <c r="G285" s="18">
        <v>5.3</v>
      </c>
      <c r="H285" s="18">
        <v>3.3</v>
      </c>
      <c r="I285" s="18">
        <v>5.2</v>
      </c>
      <c r="J285" s="18">
        <v>3.3</v>
      </c>
      <c r="K285" s="18"/>
      <c r="L285" s="19"/>
      <c r="M285" s="14"/>
      <c r="N285" s="14"/>
      <c r="P285" s="15"/>
      <c r="Q285" s="15"/>
    </row>
    <row r="286" spans="1:17" ht="26.4" x14ac:dyDescent="0.25">
      <c r="A286" s="283">
        <v>115</v>
      </c>
      <c r="B286" s="285"/>
      <c r="C286" s="20" t="s">
        <v>193</v>
      </c>
      <c r="D286" s="233" t="s">
        <v>460</v>
      </c>
      <c r="E286" s="18">
        <f t="shared" si="33"/>
        <v>70.600000000000009</v>
      </c>
      <c r="F286" s="13">
        <f t="shared" si="32"/>
        <v>70.2</v>
      </c>
      <c r="G286" s="18">
        <f>92.8-3.3-15.8-3.1</f>
        <v>70.600000000000009</v>
      </c>
      <c r="H286" s="18">
        <v>70.2</v>
      </c>
      <c r="I286" s="18">
        <f>83.8-3.2-16.3-4.5</f>
        <v>59.8</v>
      </c>
      <c r="J286" s="18">
        <v>59.7</v>
      </c>
      <c r="K286" s="18"/>
      <c r="L286" s="19"/>
      <c r="M286" s="14"/>
      <c r="N286" s="14"/>
      <c r="O286" s="14"/>
      <c r="P286" s="15"/>
      <c r="Q286" s="15"/>
    </row>
    <row r="287" spans="1:17" ht="15" customHeight="1" x14ac:dyDescent="0.25">
      <c r="A287" s="284"/>
      <c r="B287" s="286"/>
      <c r="C287" s="86" t="s">
        <v>461</v>
      </c>
      <c r="D287" s="233" t="s">
        <v>462</v>
      </c>
      <c r="E287" s="18">
        <f t="shared" si="33"/>
        <v>2.6</v>
      </c>
      <c r="F287" s="13">
        <f t="shared" si="32"/>
        <v>2.6</v>
      </c>
      <c r="G287" s="18">
        <v>2.6</v>
      </c>
      <c r="H287" s="18">
        <v>2.6</v>
      </c>
      <c r="I287" s="18">
        <v>2.6</v>
      </c>
      <c r="J287" s="18">
        <v>2.6</v>
      </c>
      <c r="K287" s="18"/>
      <c r="L287" s="19"/>
      <c r="M287" s="14"/>
      <c r="N287" s="14"/>
      <c r="P287" s="15"/>
      <c r="Q287" s="15"/>
    </row>
    <row r="288" spans="1:17" ht="26.4" x14ac:dyDescent="0.25">
      <c r="A288" s="283">
        <v>116</v>
      </c>
      <c r="B288" s="285"/>
      <c r="C288" s="20" t="s">
        <v>195</v>
      </c>
      <c r="D288" s="233" t="s">
        <v>460</v>
      </c>
      <c r="E288" s="18">
        <f t="shared" si="33"/>
        <v>101.8</v>
      </c>
      <c r="F288" s="13">
        <f t="shared" si="32"/>
        <v>101.2</v>
      </c>
      <c r="G288" s="18">
        <f>101.8-4.2+4.2</f>
        <v>101.8</v>
      </c>
      <c r="H288" s="18">
        <v>101.2</v>
      </c>
      <c r="I288" s="18">
        <f>72.6-4.1+4.1</f>
        <v>72.599999999999994</v>
      </c>
      <c r="J288" s="18">
        <v>72.5</v>
      </c>
      <c r="K288" s="18"/>
      <c r="L288" s="19"/>
      <c r="M288" s="14"/>
      <c r="N288" s="14"/>
      <c r="O288" s="14"/>
      <c r="P288" s="15"/>
      <c r="Q288" s="15"/>
    </row>
    <row r="289" spans="1:17" x14ac:dyDescent="0.25">
      <c r="A289" s="284"/>
      <c r="B289" s="286"/>
      <c r="C289" s="86" t="s">
        <v>461</v>
      </c>
      <c r="D289" s="233" t="s">
        <v>462</v>
      </c>
      <c r="E289" s="18">
        <f t="shared" si="33"/>
        <v>2.6</v>
      </c>
      <c r="F289" s="13">
        <f t="shared" si="32"/>
        <v>2.6</v>
      </c>
      <c r="G289" s="18">
        <v>2.6</v>
      </c>
      <c r="H289" s="18">
        <v>2.6</v>
      </c>
      <c r="I289" s="18">
        <v>2.6</v>
      </c>
      <c r="J289" s="18">
        <v>2.6</v>
      </c>
      <c r="K289" s="18"/>
      <c r="L289" s="19"/>
      <c r="M289" s="14"/>
      <c r="N289" s="14"/>
      <c r="P289" s="15"/>
      <c r="Q289" s="15"/>
    </row>
    <row r="290" spans="1:17" ht="26.4" x14ac:dyDescent="0.25">
      <c r="A290" s="283">
        <v>117</v>
      </c>
      <c r="B290" s="285"/>
      <c r="C290" s="20" t="s">
        <v>196</v>
      </c>
      <c r="D290" s="233" t="s">
        <v>460</v>
      </c>
      <c r="E290" s="18">
        <f>+G290+K290</f>
        <v>89.1</v>
      </c>
      <c r="F290" s="13">
        <f t="shared" si="32"/>
        <v>88.1</v>
      </c>
      <c r="G290" s="18">
        <f>88.5-4.3+1.8</f>
        <v>86</v>
      </c>
      <c r="H290" s="18">
        <v>85</v>
      </c>
      <c r="I290" s="18">
        <f>68.7-4.2+1.7</f>
        <v>66.2</v>
      </c>
      <c r="J290" s="18">
        <v>65.5</v>
      </c>
      <c r="K290" s="18">
        <v>3.1</v>
      </c>
      <c r="L290" s="16">
        <v>3.1</v>
      </c>
      <c r="M290" s="14"/>
      <c r="N290" s="14"/>
      <c r="P290" s="15"/>
      <c r="Q290" s="15"/>
    </row>
    <row r="291" spans="1:17" ht="12.6" customHeight="1" x14ac:dyDescent="0.25">
      <c r="A291" s="284"/>
      <c r="B291" s="286"/>
      <c r="C291" s="86" t="s">
        <v>461</v>
      </c>
      <c r="D291" s="233" t="s">
        <v>462</v>
      </c>
      <c r="E291" s="18">
        <f>+G291+K291</f>
        <v>2.6</v>
      </c>
      <c r="F291" s="13">
        <f t="shared" si="32"/>
        <v>2.2000000000000002</v>
      </c>
      <c r="G291" s="18">
        <v>2.6</v>
      </c>
      <c r="H291" s="18">
        <f>2.1+0.1</f>
        <v>2.2000000000000002</v>
      </c>
      <c r="I291" s="18">
        <v>2.6</v>
      </c>
      <c r="J291" s="18">
        <v>2.1</v>
      </c>
      <c r="K291" s="18"/>
      <c r="L291" s="19"/>
      <c r="M291" s="14"/>
      <c r="N291" s="14"/>
      <c r="P291" s="15"/>
      <c r="Q291" s="15"/>
    </row>
    <row r="292" spans="1:17" ht="26.4" x14ac:dyDescent="0.25">
      <c r="A292" s="283">
        <v>118</v>
      </c>
      <c r="B292" s="285"/>
      <c r="C292" s="20" t="s">
        <v>197</v>
      </c>
      <c r="D292" s="47" t="s">
        <v>460</v>
      </c>
      <c r="E292" s="18">
        <f t="shared" si="33"/>
        <v>82.7</v>
      </c>
      <c r="F292" s="13">
        <f t="shared" si="32"/>
        <v>82.4</v>
      </c>
      <c r="G292" s="18">
        <f>85.5-3+1.3-1.1</f>
        <v>82.7</v>
      </c>
      <c r="H292" s="18">
        <v>82.4</v>
      </c>
      <c r="I292" s="18">
        <f>71.4-3+1.3-4-1.1</f>
        <v>64.600000000000009</v>
      </c>
      <c r="J292" s="18">
        <v>64.599999999999994</v>
      </c>
      <c r="K292" s="18"/>
      <c r="L292" s="19"/>
      <c r="M292" s="14"/>
      <c r="N292" s="14"/>
      <c r="P292" s="15"/>
      <c r="Q292" s="15"/>
    </row>
    <row r="293" spans="1:17" ht="15" customHeight="1" x14ac:dyDescent="0.25">
      <c r="A293" s="284"/>
      <c r="B293" s="286"/>
      <c r="C293" s="86" t="s">
        <v>461</v>
      </c>
      <c r="D293" s="233" t="s">
        <v>462</v>
      </c>
      <c r="E293" s="18">
        <f>+G293+K293</f>
        <v>2.6</v>
      </c>
      <c r="F293" s="13">
        <f t="shared" si="32"/>
        <v>2.6</v>
      </c>
      <c r="G293" s="18">
        <v>2.6</v>
      </c>
      <c r="H293" s="18">
        <v>2.6</v>
      </c>
      <c r="I293" s="18">
        <v>2.6</v>
      </c>
      <c r="J293" s="18">
        <v>2.6</v>
      </c>
      <c r="K293" s="18"/>
      <c r="L293" s="19"/>
      <c r="M293" s="14"/>
      <c r="N293" s="14"/>
      <c r="P293" s="15"/>
      <c r="Q293" s="15"/>
    </row>
    <row r="294" spans="1:17" ht="26.4" x14ac:dyDescent="0.25">
      <c r="A294" s="283">
        <v>119</v>
      </c>
      <c r="B294" s="285"/>
      <c r="C294" s="20" t="s">
        <v>198</v>
      </c>
      <c r="D294" s="233" t="s">
        <v>460</v>
      </c>
      <c r="E294" s="18">
        <f t="shared" si="33"/>
        <v>88.100000000000009</v>
      </c>
      <c r="F294" s="13">
        <f t="shared" si="32"/>
        <v>87.7</v>
      </c>
      <c r="G294" s="18">
        <f>86-4.5+3.2+3.4</f>
        <v>88.100000000000009</v>
      </c>
      <c r="H294" s="18">
        <v>87.7</v>
      </c>
      <c r="I294" s="18">
        <f>67.5+-4.4+3.2-0.2</f>
        <v>66.099999999999994</v>
      </c>
      <c r="J294" s="18">
        <v>66</v>
      </c>
      <c r="K294" s="18"/>
      <c r="L294" s="19"/>
      <c r="M294" s="14"/>
      <c r="N294" s="14"/>
      <c r="P294" s="15"/>
      <c r="Q294" s="15"/>
    </row>
    <row r="295" spans="1:17" ht="15.6" customHeight="1" x14ac:dyDescent="0.25">
      <c r="A295" s="284"/>
      <c r="B295" s="286"/>
      <c r="C295" s="86" t="s">
        <v>461</v>
      </c>
      <c r="D295" s="233" t="s">
        <v>462</v>
      </c>
      <c r="E295" s="18">
        <f>+G295+K295</f>
        <v>2.6</v>
      </c>
      <c r="F295" s="13">
        <f t="shared" si="32"/>
        <v>2.6</v>
      </c>
      <c r="G295" s="18">
        <v>2.6</v>
      </c>
      <c r="H295" s="18">
        <v>2.6</v>
      </c>
      <c r="I295" s="18">
        <v>2.6</v>
      </c>
      <c r="J295" s="18">
        <v>2.6</v>
      </c>
      <c r="K295" s="18"/>
      <c r="L295" s="19"/>
      <c r="M295" s="14"/>
      <c r="N295" s="14"/>
      <c r="P295" s="15"/>
      <c r="Q295" s="15"/>
    </row>
    <row r="296" spans="1:17" ht="26.4" x14ac:dyDescent="0.25">
      <c r="A296" s="283">
        <v>120</v>
      </c>
      <c r="B296" s="285"/>
      <c r="C296" s="29" t="s">
        <v>199</v>
      </c>
      <c r="D296" s="233" t="s">
        <v>460</v>
      </c>
      <c r="E296" s="18">
        <f t="shared" si="33"/>
        <v>93.2</v>
      </c>
      <c r="F296" s="13">
        <f t="shared" si="32"/>
        <v>92.8</v>
      </c>
      <c r="G296" s="18">
        <f>75.7-0.3-4.5+15.6+5.3-0.3+1.4</f>
        <v>92.9</v>
      </c>
      <c r="H296" s="18">
        <v>92.5</v>
      </c>
      <c r="I296" s="18">
        <f>60.8-4.4+15.4+1.9</f>
        <v>73.7</v>
      </c>
      <c r="J296" s="18">
        <v>73.599999999999994</v>
      </c>
      <c r="K296" s="18">
        <v>0.3</v>
      </c>
      <c r="L296" s="16">
        <v>0.3</v>
      </c>
      <c r="M296" s="14"/>
      <c r="N296" s="14"/>
      <c r="P296" s="15"/>
      <c r="Q296" s="15"/>
    </row>
    <row r="297" spans="1:17" ht="15" customHeight="1" x14ac:dyDescent="0.25">
      <c r="A297" s="284"/>
      <c r="B297" s="286"/>
      <c r="C297" s="86" t="s">
        <v>461</v>
      </c>
      <c r="D297" s="233" t="s">
        <v>462</v>
      </c>
      <c r="E297" s="18">
        <f>+G297+K297</f>
        <v>2.6</v>
      </c>
      <c r="F297" s="13">
        <f t="shared" si="32"/>
        <v>2.6</v>
      </c>
      <c r="G297" s="18">
        <v>2.6</v>
      </c>
      <c r="H297" s="18">
        <v>2.6</v>
      </c>
      <c r="I297" s="18">
        <v>2.6</v>
      </c>
      <c r="J297" s="18">
        <v>2.6</v>
      </c>
      <c r="K297" s="18"/>
      <c r="L297" s="19"/>
      <c r="M297" s="14"/>
      <c r="N297" s="14"/>
      <c r="P297" s="15"/>
      <c r="Q297" s="15"/>
    </row>
    <row r="298" spans="1:17" ht="26.4" x14ac:dyDescent="0.25">
      <c r="A298" s="283">
        <v>121</v>
      </c>
      <c r="B298" s="285"/>
      <c r="C298" s="20" t="s">
        <v>200</v>
      </c>
      <c r="D298" s="233" t="s">
        <v>460</v>
      </c>
      <c r="E298" s="18">
        <f>+G298+K298</f>
        <v>82.3</v>
      </c>
      <c r="F298" s="13">
        <f t="shared" si="32"/>
        <v>81.400000000000006</v>
      </c>
      <c r="G298" s="18">
        <f>92.1-3.3-7.9</f>
        <v>80.899999999999991</v>
      </c>
      <c r="H298" s="18">
        <v>80.400000000000006</v>
      </c>
      <c r="I298" s="18">
        <f>77.2-3.2-9.3+0.6</f>
        <v>65.3</v>
      </c>
      <c r="J298" s="18">
        <v>65.099999999999994</v>
      </c>
      <c r="K298" s="18">
        <v>1.4</v>
      </c>
      <c r="L298" s="16">
        <f>1.1-0.1</f>
        <v>1</v>
      </c>
      <c r="M298" s="14"/>
      <c r="N298" s="14"/>
      <c r="P298" s="15"/>
      <c r="Q298" s="15"/>
    </row>
    <row r="299" spans="1:17" ht="19.2" customHeight="1" x14ac:dyDescent="0.25">
      <c r="A299" s="284"/>
      <c r="B299" s="286"/>
      <c r="C299" s="86" t="s">
        <v>461</v>
      </c>
      <c r="D299" s="233" t="s">
        <v>462</v>
      </c>
      <c r="E299" s="18">
        <f>+G299+K299</f>
        <v>2.7</v>
      </c>
      <c r="F299" s="13">
        <f t="shared" si="32"/>
        <v>2.7</v>
      </c>
      <c r="G299" s="18">
        <v>2.7</v>
      </c>
      <c r="H299" s="18">
        <v>2.7</v>
      </c>
      <c r="I299" s="18">
        <v>2.6</v>
      </c>
      <c r="J299" s="18">
        <v>2.6</v>
      </c>
      <c r="K299" s="18"/>
      <c r="L299" s="19"/>
      <c r="M299" s="14"/>
      <c r="N299" s="14"/>
      <c r="P299" s="15"/>
      <c r="Q299" s="15"/>
    </row>
    <row r="300" spans="1:17" ht="26.4" x14ac:dyDescent="0.25">
      <c r="A300" s="283">
        <v>122</v>
      </c>
      <c r="B300" s="285"/>
      <c r="C300" s="20" t="s">
        <v>227</v>
      </c>
      <c r="D300" s="233" t="s">
        <v>460</v>
      </c>
      <c r="E300" s="18">
        <f t="shared" si="33"/>
        <v>96.4</v>
      </c>
      <c r="F300" s="13">
        <f t="shared" si="32"/>
        <v>93.3</v>
      </c>
      <c r="G300" s="18">
        <f>101.7-4.5-2.3+1.5</f>
        <v>96.4</v>
      </c>
      <c r="H300" s="18">
        <v>93.3</v>
      </c>
      <c r="I300" s="18">
        <f>73.8-4.4-1.7+4.8+1.5</f>
        <v>73.999999999999986</v>
      </c>
      <c r="J300" s="18">
        <f>72.3-0.1</f>
        <v>72.2</v>
      </c>
      <c r="K300" s="18"/>
      <c r="L300" s="19"/>
      <c r="M300" s="14"/>
      <c r="N300" s="14"/>
      <c r="P300" s="15"/>
      <c r="Q300" s="15"/>
    </row>
    <row r="301" spans="1:17" ht="16.95" customHeight="1" x14ac:dyDescent="0.25">
      <c r="A301" s="284"/>
      <c r="B301" s="286"/>
      <c r="C301" s="86" t="s">
        <v>461</v>
      </c>
      <c r="D301" s="233" t="s">
        <v>462</v>
      </c>
      <c r="E301" s="18">
        <f>+G301+K301</f>
        <v>2.7</v>
      </c>
      <c r="F301" s="13">
        <f t="shared" si="32"/>
        <v>2.5</v>
      </c>
      <c r="G301" s="18">
        <v>2.7</v>
      </c>
      <c r="H301" s="18">
        <v>2.5</v>
      </c>
      <c r="I301" s="18">
        <v>2.6</v>
      </c>
      <c r="J301" s="18">
        <v>2.5</v>
      </c>
      <c r="K301" s="18"/>
      <c r="L301" s="19"/>
      <c r="M301" s="14"/>
      <c r="N301" s="14"/>
      <c r="P301" s="15"/>
      <c r="Q301" s="15"/>
    </row>
    <row r="302" spans="1:17" ht="26.4" x14ac:dyDescent="0.25">
      <c r="A302" s="283">
        <v>123</v>
      </c>
      <c r="B302" s="285"/>
      <c r="C302" s="20" t="s">
        <v>202</v>
      </c>
      <c r="D302" s="233" t="s">
        <v>460</v>
      </c>
      <c r="E302" s="18">
        <f t="shared" si="33"/>
        <v>85.3</v>
      </c>
      <c r="F302" s="13">
        <f t="shared" si="32"/>
        <v>84.899999999999991</v>
      </c>
      <c r="G302" s="18">
        <f>86.5-2.2+1</f>
        <v>85.3</v>
      </c>
      <c r="H302" s="18">
        <f>84.8+0.1</f>
        <v>84.899999999999991</v>
      </c>
      <c r="I302" s="18">
        <f>69.6-2.1+3.6</f>
        <v>71.099999999999994</v>
      </c>
      <c r="J302" s="18">
        <v>71.099999999999994</v>
      </c>
      <c r="K302" s="18"/>
      <c r="L302" s="19"/>
      <c r="M302" s="14"/>
      <c r="N302" s="14"/>
      <c r="P302" s="15"/>
      <c r="Q302" s="15"/>
    </row>
    <row r="303" spans="1:17" ht="16.2" customHeight="1" x14ac:dyDescent="0.25">
      <c r="A303" s="284"/>
      <c r="B303" s="286"/>
      <c r="C303" s="86" t="s">
        <v>461</v>
      </c>
      <c r="D303" s="233" t="s">
        <v>462</v>
      </c>
      <c r="E303" s="18">
        <f t="shared" si="33"/>
        <v>2.7</v>
      </c>
      <c r="F303" s="13">
        <f t="shared" si="32"/>
        <v>2.6</v>
      </c>
      <c r="G303" s="18">
        <v>2.7</v>
      </c>
      <c r="H303" s="18">
        <v>2.6</v>
      </c>
      <c r="I303" s="18">
        <v>2.6</v>
      </c>
      <c r="J303" s="18">
        <v>2.6</v>
      </c>
      <c r="K303" s="18"/>
      <c r="L303" s="19"/>
      <c r="M303" s="14"/>
      <c r="N303" s="14"/>
      <c r="P303" s="15"/>
      <c r="Q303" s="15"/>
    </row>
    <row r="304" spans="1:17" ht="26.4" x14ac:dyDescent="0.25">
      <c r="A304" s="283">
        <v>124</v>
      </c>
      <c r="B304" s="285"/>
      <c r="C304" s="20" t="s">
        <v>203</v>
      </c>
      <c r="D304" s="233" t="s">
        <v>460</v>
      </c>
      <c r="E304" s="18">
        <f t="shared" si="33"/>
        <v>124.49999999999999</v>
      </c>
      <c r="F304" s="13">
        <f t="shared" si="32"/>
        <v>123.3</v>
      </c>
      <c r="G304" s="18">
        <f>126.6-4.2+1.1+1.4-0.4</f>
        <v>124.49999999999999</v>
      </c>
      <c r="H304" s="18">
        <v>123.3</v>
      </c>
      <c r="I304" s="18">
        <f>89.8-4.1+1.1+1.4-2.6-0.2</f>
        <v>85.4</v>
      </c>
      <c r="J304" s="18">
        <v>85.2</v>
      </c>
      <c r="K304" s="18"/>
      <c r="L304" s="19"/>
      <c r="M304" s="14"/>
      <c r="N304" s="14"/>
      <c r="P304" s="15"/>
      <c r="Q304" s="15"/>
    </row>
    <row r="305" spans="1:23" ht="15.6" customHeight="1" x14ac:dyDescent="0.25">
      <c r="A305" s="284"/>
      <c r="B305" s="286"/>
      <c r="C305" s="86" t="s">
        <v>461</v>
      </c>
      <c r="D305" s="233" t="s">
        <v>462</v>
      </c>
      <c r="E305" s="18">
        <f>+G305+K305</f>
        <v>2.7</v>
      </c>
      <c r="F305" s="13">
        <f t="shared" si="32"/>
        <v>2.7</v>
      </c>
      <c r="G305" s="18">
        <v>2.7</v>
      </c>
      <c r="H305" s="18">
        <v>2.7</v>
      </c>
      <c r="I305" s="18">
        <v>2.6</v>
      </c>
      <c r="J305" s="18">
        <v>2.6</v>
      </c>
      <c r="K305" s="18"/>
      <c r="L305" s="19"/>
      <c r="M305" s="14"/>
      <c r="N305" s="14"/>
      <c r="P305" s="15"/>
      <c r="Q305" s="15"/>
    </row>
    <row r="306" spans="1:23" ht="17.399999999999999" customHeight="1" x14ac:dyDescent="0.25">
      <c r="A306" s="11">
        <v>125</v>
      </c>
      <c r="B306" s="232"/>
      <c r="C306" s="87" t="s">
        <v>463</v>
      </c>
      <c r="D306" s="232"/>
      <c r="E306" s="46">
        <f>+G306+K306</f>
        <v>35890.1</v>
      </c>
      <c r="F306" s="13">
        <f t="shared" si="32"/>
        <v>33738.699999999997</v>
      </c>
      <c r="G306" s="46">
        <f t="shared" ref="G306:L306" si="35">+G12+G64+G87+G123+G147+G171+G193+G240+G262+G266+G270</f>
        <v>30801.699999999997</v>
      </c>
      <c r="H306" s="46">
        <f t="shared" si="35"/>
        <v>29343.7</v>
      </c>
      <c r="I306" s="46">
        <f t="shared" si="35"/>
        <v>16300.8</v>
      </c>
      <c r="J306" s="46">
        <f t="shared" si="35"/>
        <v>16262.2</v>
      </c>
      <c r="K306" s="46">
        <f t="shared" si="35"/>
        <v>5088.3999999999996</v>
      </c>
      <c r="L306" s="46">
        <f t="shared" si="35"/>
        <v>4395</v>
      </c>
      <c r="M306" s="14"/>
      <c r="N306" s="14"/>
      <c r="O306" s="14"/>
      <c r="P306" s="15"/>
      <c r="Q306" s="15"/>
      <c r="R306" s="15"/>
      <c r="S306" s="15"/>
      <c r="T306" s="15"/>
      <c r="U306" s="15"/>
      <c r="V306" s="15"/>
      <c r="W306" s="15"/>
    </row>
    <row r="307" spans="1:23" ht="19.5" customHeight="1" x14ac:dyDescent="0.25">
      <c r="C307" s="4" t="s">
        <v>464</v>
      </c>
      <c r="E307" s="88"/>
      <c r="F307" s="88"/>
      <c r="G307" s="88"/>
      <c r="H307" s="88"/>
      <c r="I307" s="88"/>
      <c r="J307" s="88"/>
      <c r="K307" s="88"/>
      <c r="L307" s="14"/>
    </row>
    <row r="308" spans="1:23" x14ac:dyDescent="0.25">
      <c r="E308" s="89"/>
      <c r="F308" s="89"/>
      <c r="G308" s="89"/>
      <c r="H308" s="89"/>
      <c r="I308" s="89"/>
      <c r="J308" s="89"/>
      <c r="K308" s="89"/>
      <c r="L308" s="14"/>
    </row>
    <row r="309" spans="1:23" x14ac:dyDescent="0.25">
      <c r="E309" s="89"/>
      <c r="F309" s="89"/>
      <c r="G309" s="78"/>
      <c r="H309" s="78"/>
      <c r="I309" s="78"/>
      <c r="J309" s="78"/>
      <c r="K309" s="78"/>
    </row>
    <row r="310" spans="1:23" x14ac:dyDescent="0.25">
      <c r="E310" s="78"/>
      <c r="F310" s="78"/>
      <c r="G310" s="78"/>
      <c r="H310" s="78"/>
      <c r="I310" s="78"/>
      <c r="J310" s="78"/>
      <c r="K310" s="78"/>
    </row>
    <row r="311" spans="1:23" x14ac:dyDescent="0.25">
      <c r="E311" s="78"/>
      <c r="F311" s="78"/>
      <c r="G311" s="78"/>
      <c r="H311" s="78"/>
      <c r="I311" s="78"/>
      <c r="J311" s="78"/>
      <c r="K311" s="78"/>
    </row>
    <row r="312" spans="1:23" x14ac:dyDescent="0.25">
      <c r="C312" s="132"/>
      <c r="E312" s="78"/>
      <c r="F312" s="78"/>
      <c r="G312" s="78"/>
      <c r="H312" s="78"/>
      <c r="I312" s="89"/>
      <c r="J312" s="89"/>
      <c r="K312" s="89"/>
      <c r="L312" s="211"/>
    </row>
    <row r="313" spans="1:23" x14ac:dyDescent="0.25">
      <c r="C313" s="90"/>
      <c r="D313" s="91"/>
      <c r="E313" s="92"/>
      <c r="F313" s="92"/>
      <c r="G313" s="92"/>
      <c r="H313" s="92"/>
      <c r="I313" s="92"/>
      <c r="J313" s="92"/>
      <c r="K313" s="92"/>
    </row>
    <row r="314" spans="1:23" x14ac:dyDescent="0.25">
      <c r="C314" s="90"/>
      <c r="D314" s="91"/>
      <c r="E314" s="92"/>
      <c r="F314" s="92"/>
      <c r="G314" s="92"/>
      <c r="H314" s="92"/>
      <c r="I314" s="93"/>
      <c r="J314" s="93"/>
      <c r="K314" s="93"/>
    </row>
    <row r="315" spans="1:23" x14ac:dyDescent="0.25">
      <c r="C315" s="132"/>
      <c r="D315" s="91"/>
      <c r="E315" s="93"/>
      <c r="F315" s="93"/>
      <c r="G315" s="93"/>
      <c r="H315" s="93"/>
      <c r="I315" s="93"/>
      <c r="J315" s="93"/>
      <c r="K315" s="93"/>
    </row>
    <row r="316" spans="1:23" x14ac:dyDescent="0.25">
      <c r="C316" s="132"/>
      <c r="D316" s="91"/>
      <c r="E316" s="93"/>
      <c r="F316" s="92"/>
      <c r="G316" s="93"/>
      <c r="H316" s="93"/>
      <c r="I316" s="94"/>
      <c r="J316" s="94"/>
      <c r="K316" s="95"/>
    </row>
    <row r="317" spans="1:23" x14ac:dyDescent="0.25">
      <c r="C317" s="132"/>
      <c r="D317" s="91"/>
      <c r="E317" s="93"/>
      <c r="F317" s="93"/>
      <c r="G317" s="93"/>
      <c r="H317" s="93"/>
      <c r="I317" s="94"/>
      <c r="J317" s="94"/>
      <c r="K317" s="95"/>
    </row>
    <row r="318" spans="1:23" x14ac:dyDescent="0.25">
      <c r="C318" s="90"/>
      <c r="E318" s="88"/>
      <c r="F318" s="88"/>
      <c r="G318" s="78"/>
      <c r="H318" s="78"/>
      <c r="I318" s="78"/>
      <c r="J318" s="78"/>
      <c r="K318" s="78"/>
    </row>
    <row r="319" spans="1:23" x14ac:dyDescent="0.25">
      <c r="C319" s="132"/>
      <c r="E319" s="96"/>
      <c r="F319" s="96"/>
      <c r="K319" s="93"/>
    </row>
    <row r="320" spans="1:23" x14ac:dyDescent="0.25">
      <c r="C320" s="132"/>
      <c r="E320" s="96"/>
      <c r="F320" s="96"/>
      <c r="G320" s="89"/>
      <c r="H320" s="89"/>
      <c r="I320" s="89"/>
      <c r="J320" s="89"/>
      <c r="K320" s="94"/>
    </row>
    <row r="321" spans="3:12" x14ac:dyDescent="0.25">
      <c r="C321" s="90"/>
    </row>
    <row r="322" spans="3:12" x14ac:dyDescent="0.25">
      <c r="C322" s="132"/>
      <c r="K322" s="95"/>
    </row>
    <row r="323" spans="3:12" x14ac:dyDescent="0.25">
      <c r="C323" s="132"/>
      <c r="G323" s="95"/>
      <c r="H323" s="95"/>
      <c r="K323" s="95"/>
    </row>
    <row r="324" spans="3:12" x14ac:dyDescent="0.25">
      <c r="C324" s="90"/>
    </row>
    <row r="325" spans="3:12" x14ac:dyDescent="0.25">
      <c r="C325" s="132"/>
      <c r="K325" s="95"/>
    </row>
    <row r="326" spans="3:12" x14ac:dyDescent="0.25">
      <c r="C326" s="90"/>
    </row>
    <row r="327" spans="3:12" x14ac:dyDescent="0.25">
      <c r="C327" s="132"/>
      <c r="K327" s="95"/>
    </row>
    <row r="328" spans="3:12" x14ac:dyDescent="0.25">
      <c r="C328" s="97"/>
      <c r="E328" s="88"/>
      <c r="F328" s="88"/>
      <c r="G328" s="93"/>
      <c r="H328" s="93"/>
    </row>
    <row r="329" spans="3:12" x14ac:dyDescent="0.25">
      <c r="C329" s="90"/>
      <c r="E329" s="88"/>
      <c r="F329" s="88"/>
      <c r="G329" s="93"/>
      <c r="H329" s="93"/>
      <c r="I329" s="88"/>
      <c r="J329" s="88"/>
    </row>
    <row r="330" spans="3:12" x14ac:dyDescent="0.25">
      <c r="E330" s="88"/>
      <c r="F330" s="88"/>
    </row>
    <row r="332" spans="3:12" x14ac:dyDescent="0.25">
      <c r="L332" s="14"/>
    </row>
    <row r="334" spans="3:12" x14ac:dyDescent="0.25">
      <c r="L334" s="14"/>
    </row>
  </sheetData>
  <mergeCells count="66">
    <mergeCell ref="F9:F10"/>
    <mergeCell ref="C1:L1"/>
    <mergeCell ref="C2:L2"/>
    <mergeCell ref="E3:L3"/>
    <mergeCell ref="A5:K5"/>
    <mergeCell ref="I6:L6"/>
    <mergeCell ref="G9:H9"/>
    <mergeCell ref="I9:J9"/>
    <mergeCell ref="K9:K10"/>
    <mergeCell ref="L9:L10"/>
    <mergeCell ref="E7:F8"/>
    <mergeCell ref="G7:L7"/>
    <mergeCell ref="G8:J8"/>
    <mergeCell ref="K8:L8"/>
    <mergeCell ref="E9:E10"/>
    <mergeCell ref="A37:A38"/>
    <mergeCell ref="B37:B38"/>
    <mergeCell ref="D37:D38"/>
    <mergeCell ref="A7:A10"/>
    <mergeCell ref="B7:B10"/>
    <mergeCell ref="C7:C10"/>
    <mergeCell ref="D7:D10"/>
    <mergeCell ref="A88:A90"/>
    <mergeCell ref="B88:B90"/>
    <mergeCell ref="D88:D90"/>
    <mergeCell ref="A39:A40"/>
    <mergeCell ref="B39:B40"/>
    <mergeCell ref="D39:D40"/>
    <mergeCell ref="A41:A42"/>
    <mergeCell ref="B41:B42"/>
    <mergeCell ref="D41:D42"/>
    <mergeCell ref="A43:A44"/>
    <mergeCell ref="B43:B44"/>
    <mergeCell ref="D43:D44"/>
    <mergeCell ref="A65:A66"/>
    <mergeCell ref="B65:B66"/>
    <mergeCell ref="A126:A131"/>
    <mergeCell ref="B126:B131"/>
    <mergeCell ref="D126:D131"/>
    <mergeCell ref="A155:A156"/>
    <mergeCell ref="B155:B156"/>
    <mergeCell ref="D155:D156"/>
    <mergeCell ref="A172:A173"/>
    <mergeCell ref="B172:B173"/>
    <mergeCell ref="A284:A285"/>
    <mergeCell ref="B284:B285"/>
    <mergeCell ref="A286:A287"/>
    <mergeCell ref="B286:B287"/>
    <mergeCell ref="A288:A289"/>
    <mergeCell ref="B288:B289"/>
    <mergeCell ref="A290:A291"/>
    <mergeCell ref="B290:B291"/>
    <mergeCell ref="A292:A293"/>
    <mergeCell ref="B292:B293"/>
    <mergeCell ref="A294:A295"/>
    <mergeCell ref="B294:B295"/>
    <mergeCell ref="A296:A297"/>
    <mergeCell ref="B296:B297"/>
    <mergeCell ref="A298:A299"/>
    <mergeCell ref="B298:B299"/>
    <mergeCell ref="A300:A301"/>
    <mergeCell ref="B300:B301"/>
    <mergeCell ref="A302:A303"/>
    <mergeCell ref="B302:B303"/>
    <mergeCell ref="A304:A305"/>
    <mergeCell ref="B304:B305"/>
  </mergeCells>
  <pageMargins left="0.31496062992125984" right="0" top="0.35433070866141736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workbookViewId="0">
      <selection activeCell="T20" sqref="T20"/>
    </sheetView>
  </sheetViews>
  <sheetFormatPr defaultColWidth="9.109375" defaultRowHeight="13.2" x14ac:dyDescent="0.25"/>
  <cols>
    <col min="1" max="1" width="4.5546875" style="208" customWidth="1"/>
    <col min="2" max="2" width="5" style="208" customWidth="1"/>
    <col min="3" max="3" width="45.5546875" style="208" customWidth="1"/>
    <col min="4" max="4" width="9.5546875" style="238" customWidth="1"/>
    <col min="5" max="5" width="8" style="208" customWidth="1"/>
    <col min="6" max="6" width="7.6640625" style="208" customWidth="1"/>
    <col min="7" max="7" width="7.33203125" style="208" customWidth="1"/>
    <col min="8" max="8" width="8.109375" style="208" customWidth="1"/>
    <col min="9" max="9" width="9.33203125" style="208" customWidth="1"/>
    <col min="10" max="10" width="8.6640625" style="208" customWidth="1"/>
    <col min="11" max="11" width="7.6640625" style="208" customWidth="1"/>
    <col min="12" max="12" width="8.33203125" style="236" customWidth="1"/>
    <col min="13" max="13" width="10.6640625" style="208" customWidth="1"/>
    <col min="14" max="259" width="9.109375" style="208"/>
    <col min="260" max="260" width="5.44140625" style="208" customWidth="1"/>
    <col min="261" max="261" width="5" style="208" customWidth="1"/>
    <col min="262" max="262" width="45.5546875" style="208" customWidth="1"/>
    <col min="263" max="263" width="9.5546875" style="208" customWidth="1"/>
    <col min="264" max="264" width="8.44140625" style="208" customWidth="1"/>
    <col min="265" max="265" width="8.109375" style="208" customWidth="1"/>
    <col min="266" max="267" width="8.44140625" style="208" customWidth="1"/>
    <col min="268" max="268" width="9.5546875" style="208" customWidth="1"/>
    <col min="269" max="515" width="9.109375" style="208"/>
    <col min="516" max="516" width="5.44140625" style="208" customWidth="1"/>
    <col min="517" max="517" width="5" style="208" customWidth="1"/>
    <col min="518" max="518" width="45.5546875" style="208" customWidth="1"/>
    <col min="519" max="519" width="9.5546875" style="208" customWidth="1"/>
    <col min="520" max="520" width="8.44140625" style="208" customWidth="1"/>
    <col min="521" max="521" width="8.109375" style="208" customWidth="1"/>
    <col min="522" max="523" width="8.44140625" style="208" customWidth="1"/>
    <col min="524" max="524" width="9.5546875" style="208" customWidth="1"/>
    <col min="525" max="771" width="9.109375" style="208"/>
    <col min="772" max="772" width="5.44140625" style="208" customWidth="1"/>
    <col min="773" max="773" width="5" style="208" customWidth="1"/>
    <col min="774" max="774" width="45.5546875" style="208" customWidth="1"/>
    <col min="775" max="775" width="9.5546875" style="208" customWidth="1"/>
    <col min="776" max="776" width="8.44140625" style="208" customWidth="1"/>
    <col min="777" max="777" width="8.109375" style="208" customWidth="1"/>
    <col min="778" max="779" width="8.44140625" style="208" customWidth="1"/>
    <col min="780" max="780" width="9.5546875" style="208" customWidth="1"/>
    <col min="781" max="1027" width="9.109375" style="208"/>
    <col min="1028" max="1028" width="5.44140625" style="208" customWidth="1"/>
    <col min="1029" max="1029" width="5" style="208" customWidth="1"/>
    <col min="1030" max="1030" width="45.5546875" style="208" customWidth="1"/>
    <col min="1031" max="1031" width="9.5546875" style="208" customWidth="1"/>
    <col min="1032" max="1032" width="8.44140625" style="208" customWidth="1"/>
    <col min="1033" max="1033" width="8.109375" style="208" customWidth="1"/>
    <col min="1034" max="1035" width="8.44140625" style="208" customWidth="1"/>
    <col min="1036" max="1036" width="9.5546875" style="208" customWidth="1"/>
    <col min="1037" max="1283" width="9.109375" style="208"/>
    <col min="1284" max="1284" width="5.44140625" style="208" customWidth="1"/>
    <col min="1285" max="1285" width="5" style="208" customWidth="1"/>
    <col min="1286" max="1286" width="45.5546875" style="208" customWidth="1"/>
    <col min="1287" max="1287" width="9.5546875" style="208" customWidth="1"/>
    <col min="1288" max="1288" width="8.44140625" style="208" customWidth="1"/>
    <col min="1289" max="1289" width="8.109375" style="208" customWidth="1"/>
    <col min="1290" max="1291" width="8.44140625" style="208" customWidth="1"/>
    <col min="1292" max="1292" width="9.5546875" style="208" customWidth="1"/>
    <col min="1293" max="1539" width="9.109375" style="208"/>
    <col min="1540" max="1540" width="5.44140625" style="208" customWidth="1"/>
    <col min="1541" max="1541" width="5" style="208" customWidth="1"/>
    <col min="1542" max="1542" width="45.5546875" style="208" customWidth="1"/>
    <col min="1543" max="1543" width="9.5546875" style="208" customWidth="1"/>
    <col min="1544" max="1544" width="8.44140625" style="208" customWidth="1"/>
    <col min="1545" max="1545" width="8.109375" style="208" customWidth="1"/>
    <col min="1546" max="1547" width="8.44140625" style="208" customWidth="1"/>
    <col min="1548" max="1548" width="9.5546875" style="208" customWidth="1"/>
    <col min="1549" max="1795" width="9.109375" style="208"/>
    <col min="1796" max="1796" width="5.44140625" style="208" customWidth="1"/>
    <col min="1797" max="1797" width="5" style="208" customWidth="1"/>
    <col min="1798" max="1798" width="45.5546875" style="208" customWidth="1"/>
    <col min="1799" max="1799" width="9.5546875" style="208" customWidth="1"/>
    <col min="1800" max="1800" width="8.44140625" style="208" customWidth="1"/>
    <col min="1801" max="1801" width="8.109375" style="208" customWidth="1"/>
    <col min="1802" max="1803" width="8.44140625" style="208" customWidth="1"/>
    <col min="1804" max="1804" width="9.5546875" style="208" customWidth="1"/>
    <col min="1805" max="2051" width="9.109375" style="208"/>
    <col min="2052" max="2052" width="5.44140625" style="208" customWidth="1"/>
    <col min="2053" max="2053" width="5" style="208" customWidth="1"/>
    <col min="2054" max="2054" width="45.5546875" style="208" customWidth="1"/>
    <col min="2055" max="2055" width="9.5546875" style="208" customWidth="1"/>
    <col min="2056" max="2056" width="8.44140625" style="208" customWidth="1"/>
    <col min="2057" max="2057" width="8.109375" style="208" customWidth="1"/>
    <col min="2058" max="2059" width="8.44140625" style="208" customWidth="1"/>
    <col min="2060" max="2060" width="9.5546875" style="208" customWidth="1"/>
    <col min="2061" max="2307" width="9.109375" style="208"/>
    <col min="2308" max="2308" width="5.44140625" style="208" customWidth="1"/>
    <col min="2309" max="2309" width="5" style="208" customWidth="1"/>
    <col min="2310" max="2310" width="45.5546875" style="208" customWidth="1"/>
    <col min="2311" max="2311" width="9.5546875" style="208" customWidth="1"/>
    <col min="2312" max="2312" width="8.44140625" style="208" customWidth="1"/>
    <col min="2313" max="2313" width="8.109375" style="208" customWidth="1"/>
    <col min="2314" max="2315" width="8.44140625" style="208" customWidth="1"/>
    <col min="2316" max="2316" width="9.5546875" style="208" customWidth="1"/>
    <col min="2317" max="2563" width="9.109375" style="208"/>
    <col min="2564" max="2564" width="5.44140625" style="208" customWidth="1"/>
    <col min="2565" max="2565" width="5" style="208" customWidth="1"/>
    <col min="2566" max="2566" width="45.5546875" style="208" customWidth="1"/>
    <col min="2567" max="2567" width="9.5546875" style="208" customWidth="1"/>
    <col min="2568" max="2568" width="8.44140625" style="208" customWidth="1"/>
    <col min="2569" max="2569" width="8.109375" style="208" customWidth="1"/>
    <col min="2570" max="2571" width="8.44140625" style="208" customWidth="1"/>
    <col min="2572" max="2572" width="9.5546875" style="208" customWidth="1"/>
    <col min="2573" max="2819" width="9.109375" style="208"/>
    <col min="2820" max="2820" width="5.44140625" style="208" customWidth="1"/>
    <col min="2821" max="2821" width="5" style="208" customWidth="1"/>
    <col min="2822" max="2822" width="45.5546875" style="208" customWidth="1"/>
    <col min="2823" max="2823" width="9.5546875" style="208" customWidth="1"/>
    <col min="2824" max="2824" width="8.44140625" style="208" customWidth="1"/>
    <col min="2825" max="2825" width="8.109375" style="208" customWidth="1"/>
    <col min="2826" max="2827" width="8.44140625" style="208" customWidth="1"/>
    <col min="2828" max="2828" width="9.5546875" style="208" customWidth="1"/>
    <col min="2829" max="3075" width="9.109375" style="208"/>
    <col min="3076" max="3076" width="5.44140625" style="208" customWidth="1"/>
    <col min="3077" max="3077" width="5" style="208" customWidth="1"/>
    <col min="3078" max="3078" width="45.5546875" style="208" customWidth="1"/>
    <col min="3079" max="3079" width="9.5546875" style="208" customWidth="1"/>
    <col min="3080" max="3080" width="8.44140625" style="208" customWidth="1"/>
    <col min="3081" max="3081" width="8.109375" style="208" customWidth="1"/>
    <col min="3082" max="3083" width="8.44140625" style="208" customWidth="1"/>
    <col min="3084" max="3084" width="9.5546875" style="208" customWidth="1"/>
    <col min="3085" max="3331" width="9.109375" style="208"/>
    <col min="3332" max="3332" width="5.44140625" style="208" customWidth="1"/>
    <col min="3333" max="3333" width="5" style="208" customWidth="1"/>
    <col min="3334" max="3334" width="45.5546875" style="208" customWidth="1"/>
    <col min="3335" max="3335" width="9.5546875" style="208" customWidth="1"/>
    <col min="3336" max="3336" width="8.44140625" style="208" customWidth="1"/>
    <col min="3337" max="3337" width="8.109375" style="208" customWidth="1"/>
    <col min="3338" max="3339" width="8.44140625" style="208" customWidth="1"/>
    <col min="3340" max="3340" width="9.5546875" style="208" customWidth="1"/>
    <col min="3341" max="3587" width="9.109375" style="208"/>
    <col min="3588" max="3588" width="5.44140625" style="208" customWidth="1"/>
    <col min="3589" max="3589" width="5" style="208" customWidth="1"/>
    <col min="3590" max="3590" width="45.5546875" style="208" customWidth="1"/>
    <col min="3591" max="3591" width="9.5546875" style="208" customWidth="1"/>
    <col min="3592" max="3592" width="8.44140625" style="208" customWidth="1"/>
    <col min="3593" max="3593" width="8.109375" style="208" customWidth="1"/>
    <col min="3594" max="3595" width="8.44140625" style="208" customWidth="1"/>
    <col min="3596" max="3596" width="9.5546875" style="208" customWidth="1"/>
    <col min="3597" max="3843" width="9.109375" style="208"/>
    <col min="3844" max="3844" width="5.44140625" style="208" customWidth="1"/>
    <col min="3845" max="3845" width="5" style="208" customWidth="1"/>
    <col min="3846" max="3846" width="45.5546875" style="208" customWidth="1"/>
    <col min="3847" max="3847" width="9.5546875" style="208" customWidth="1"/>
    <col min="3848" max="3848" width="8.44140625" style="208" customWidth="1"/>
    <col min="3849" max="3849" width="8.109375" style="208" customWidth="1"/>
    <col min="3850" max="3851" width="8.44140625" style="208" customWidth="1"/>
    <col min="3852" max="3852" width="9.5546875" style="208" customWidth="1"/>
    <col min="3853" max="4099" width="9.109375" style="208"/>
    <col min="4100" max="4100" width="5.44140625" style="208" customWidth="1"/>
    <col min="4101" max="4101" width="5" style="208" customWidth="1"/>
    <col min="4102" max="4102" width="45.5546875" style="208" customWidth="1"/>
    <col min="4103" max="4103" width="9.5546875" style="208" customWidth="1"/>
    <col min="4104" max="4104" width="8.44140625" style="208" customWidth="1"/>
    <col min="4105" max="4105" width="8.109375" style="208" customWidth="1"/>
    <col min="4106" max="4107" width="8.44140625" style="208" customWidth="1"/>
    <col min="4108" max="4108" width="9.5546875" style="208" customWidth="1"/>
    <col min="4109" max="4355" width="9.109375" style="208"/>
    <col min="4356" max="4356" width="5.44140625" style="208" customWidth="1"/>
    <col min="4357" max="4357" width="5" style="208" customWidth="1"/>
    <col min="4358" max="4358" width="45.5546875" style="208" customWidth="1"/>
    <col min="4359" max="4359" width="9.5546875" style="208" customWidth="1"/>
    <col min="4360" max="4360" width="8.44140625" style="208" customWidth="1"/>
    <col min="4361" max="4361" width="8.109375" style="208" customWidth="1"/>
    <col min="4362" max="4363" width="8.44140625" style="208" customWidth="1"/>
    <col min="4364" max="4364" width="9.5546875" style="208" customWidth="1"/>
    <col min="4365" max="4611" width="9.109375" style="208"/>
    <col min="4612" max="4612" width="5.44140625" style="208" customWidth="1"/>
    <col min="4613" max="4613" width="5" style="208" customWidth="1"/>
    <col min="4614" max="4614" width="45.5546875" style="208" customWidth="1"/>
    <col min="4615" max="4615" width="9.5546875" style="208" customWidth="1"/>
    <col min="4616" max="4616" width="8.44140625" style="208" customWidth="1"/>
    <col min="4617" max="4617" width="8.109375" style="208" customWidth="1"/>
    <col min="4618" max="4619" width="8.44140625" style="208" customWidth="1"/>
    <col min="4620" max="4620" width="9.5546875" style="208" customWidth="1"/>
    <col min="4621" max="4867" width="9.109375" style="208"/>
    <col min="4868" max="4868" width="5.44140625" style="208" customWidth="1"/>
    <col min="4869" max="4869" width="5" style="208" customWidth="1"/>
    <col min="4870" max="4870" width="45.5546875" style="208" customWidth="1"/>
    <col min="4871" max="4871" width="9.5546875" style="208" customWidth="1"/>
    <col min="4872" max="4872" width="8.44140625" style="208" customWidth="1"/>
    <col min="4873" max="4873" width="8.109375" style="208" customWidth="1"/>
    <col min="4874" max="4875" width="8.44140625" style="208" customWidth="1"/>
    <col min="4876" max="4876" width="9.5546875" style="208" customWidth="1"/>
    <col min="4877" max="5123" width="9.109375" style="208"/>
    <col min="5124" max="5124" width="5.44140625" style="208" customWidth="1"/>
    <col min="5125" max="5125" width="5" style="208" customWidth="1"/>
    <col min="5126" max="5126" width="45.5546875" style="208" customWidth="1"/>
    <col min="5127" max="5127" width="9.5546875" style="208" customWidth="1"/>
    <col min="5128" max="5128" width="8.44140625" style="208" customWidth="1"/>
    <col min="5129" max="5129" width="8.109375" style="208" customWidth="1"/>
    <col min="5130" max="5131" width="8.44140625" style="208" customWidth="1"/>
    <col min="5132" max="5132" width="9.5546875" style="208" customWidth="1"/>
    <col min="5133" max="5379" width="9.109375" style="208"/>
    <col min="5380" max="5380" width="5.44140625" style="208" customWidth="1"/>
    <col min="5381" max="5381" width="5" style="208" customWidth="1"/>
    <col min="5382" max="5382" width="45.5546875" style="208" customWidth="1"/>
    <col min="5383" max="5383" width="9.5546875" style="208" customWidth="1"/>
    <col min="5384" max="5384" width="8.44140625" style="208" customWidth="1"/>
    <col min="5385" max="5385" width="8.109375" style="208" customWidth="1"/>
    <col min="5386" max="5387" width="8.44140625" style="208" customWidth="1"/>
    <col min="5388" max="5388" width="9.5546875" style="208" customWidth="1"/>
    <col min="5389" max="5635" width="9.109375" style="208"/>
    <col min="5636" max="5636" width="5.44140625" style="208" customWidth="1"/>
    <col min="5637" max="5637" width="5" style="208" customWidth="1"/>
    <col min="5638" max="5638" width="45.5546875" style="208" customWidth="1"/>
    <col min="5639" max="5639" width="9.5546875" style="208" customWidth="1"/>
    <col min="5640" max="5640" width="8.44140625" style="208" customWidth="1"/>
    <col min="5641" max="5641" width="8.109375" style="208" customWidth="1"/>
    <col min="5642" max="5643" width="8.44140625" style="208" customWidth="1"/>
    <col min="5644" max="5644" width="9.5546875" style="208" customWidth="1"/>
    <col min="5645" max="5891" width="9.109375" style="208"/>
    <col min="5892" max="5892" width="5.44140625" style="208" customWidth="1"/>
    <col min="5893" max="5893" width="5" style="208" customWidth="1"/>
    <col min="5894" max="5894" width="45.5546875" style="208" customWidth="1"/>
    <col min="5895" max="5895" width="9.5546875" style="208" customWidth="1"/>
    <col min="5896" max="5896" width="8.44140625" style="208" customWidth="1"/>
    <col min="5897" max="5897" width="8.109375" style="208" customWidth="1"/>
    <col min="5898" max="5899" width="8.44140625" style="208" customWidth="1"/>
    <col min="5900" max="5900" width="9.5546875" style="208" customWidth="1"/>
    <col min="5901" max="6147" width="9.109375" style="208"/>
    <col min="6148" max="6148" width="5.44140625" style="208" customWidth="1"/>
    <col min="6149" max="6149" width="5" style="208" customWidth="1"/>
    <col min="6150" max="6150" width="45.5546875" style="208" customWidth="1"/>
    <col min="6151" max="6151" width="9.5546875" style="208" customWidth="1"/>
    <col min="6152" max="6152" width="8.44140625" style="208" customWidth="1"/>
    <col min="6153" max="6153" width="8.109375" style="208" customWidth="1"/>
    <col min="6154" max="6155" width="8.44140625" style="208" customWidth="1"/>
    <col min="6156" max="6156" width="9.5546875" style="208" customWidth="1"/>
    <col min="6157" max="6403" width="9.109375" style="208"/>
    <col min="6404" max="6404" width="5.44140625" style="208" customWidth="1"/>
    <col min="6405" max="6405" width="5" style="208" customWidth="1"/>
    <col min="6406" max="6406" width="45.5546875" style="208" customWidth="1"/>
    <col min="6407" max="6407" width="9.5546875" style="208" customWidth="1"/>
    <col min="6408" max="6408" width="8.44140625" style="208" customWidth="1"/>
    <col min="6409" max="6409" width="8.109375" style="208" customWidth="1"/>
    <col min="6410" max="6411" width="8.44140625" style="208" customWidth="1"/>
    <col min="6412" max="6412" width="9.5546875" style="208" customWidth="1"/>
    <col min="6413" max="6659" width="9.109375" style="208"/>
    <col min="6660" max="6660" width="5.44140625" style="208" customWidth="1"/>
    <col min="6661" max="6661" width="5" style="208" customWidth="1"/>
    <col min="6662" max="6662" width="45.5546875" style="208" customWidth="1"/>
    <col min="6663" max="6663" width="9.5546875" style="208" customWidth="1"/>
    <col min="6664" max="6664" width="8.44140625" style="208" customWidth="1"/>
    <col min="6665" max="6665" width="8.109375" style="208" customWidth="1"/>
    <col min="6666" max="6667" width="8.44140625" style="208" customWidth="1"/>
    <col min="6668" max="6668" width="9.5546875" style="208" customWidth="1"/>
    <col min="6669" max="6915" width="9.109375" style="208"/>
    <col min="6916" max="6916" width="5.44140625" style="208" customWidth="1"/>
    <col min="6917" max="6917" width="5" style="208" customWidth="1"/>
    <col min="6918" max="6918" width="45.5546875" style="208" customWidth="1"/>
    <col min="6919" max="6919" width="9.5546875" style="208" customWidth="1"/>
    <col min="6920" max="6920" width="8.44140625" style="208" customWidth="1"/>
    <col min="6921" max="6921" width="8.109375" style="208" customWidth="1"/>
    <col min="6922" max="6923" width="8.44140625" style="208" customWidth="1"/>
    <col min="6924" max="6924" width="9.5546875" style="208" customWidth="1"/>
    <col min="6925" max="7171" width="9.109375" style="208"/>
    <col min="7172" max="7172" width="5.44140625" style="208" customWidth="1"/>
    <col min="7173" max="7173" width="5" style="208" customWidth="1"/>
    <col min="7174" max="7174" width="45.5546875" style="208" customWidth="1"/>
    <col min="7175" max="7175" width="9.5546875" style="208" customWidth="1"/>
    <col min="7176" max="7176" width="8.44140625" style="208" customWidth="1"/>
    <col min="7177" max="7177" width="8.109375" style="208" customWidth="1"/>
    <col min="7178" max="7179" width="8.44140625" style="208" customWidth="1"/>
    <col min="7180" max="7180" width="9.5546875" style="208" customWidth="1"/>
    <col min="7181" max="7427" width="9.109375" style="208"/>
    <col min="7428" max="7428" width="5.44140625" style="208" customWidth="1"/>
    <col min="7429" max="7429" width="5" style="208" customWidth="1"/>
    <col min="7430" max="7430" width="45.5546875" style="208" customWidth="1"/>
    <col min="7431" max="7431" width="9.5546875" style="208" customWidth="1"/>
    <col min="7432" max="7432" width="8.44140625" style="208" customWidth="1"/>
    <col min="7433" max="7433" width="8.109375" style="208" customWidth="1"/>
    <col min="7434" max="7435" width="8.44140625" style="208" customWidth="1"/>
    <col min="7436" max="7436" width="9.5546875" style="208" customWidth="1"/>
    <col min="7437" max="7683" width="9.109375" style="208"/>
    <col min="7684" max="7684" width="5.44140625" style="208" customWidth="1"/>
    <col min="7685" max="7685" width="5" style="208" customWidth="1"/>
    <col min="7686" max="7686" width="45.5546875" style="208" customWidth="1"/>
    <col min="7687" max="7687" width="9.5546875" style="208" customWidth="1"/>
    <col min="7688" max="7688" width="8.44140625" style="208" customWidth="1"/>
    <col min="7689" max="7689" width="8.109375" style="208" customWidth="1"/>
    <col min="7690" max="7691" width="8.44140625" style="208" customWidth="1"/>
    <col min="7692" max="7692" width="9.5546875" style="208" customWidth="1"/>
    <col min="7693" max="7939" width="9.109375" style="208"/>
    <col min="7940" max="7940" width="5.44140625" style="208" customWidth="1"/>
    <col min="7941" max="7941" width="5" style="208" customWidth="1"/>
    <col min="7942" max="7942" width="45.5546875" style="208" customWidth="1"/>
    <col min="7943" max="7943" width="9.5546875" style="208" customWidth="1"/>
    <col min="7944" max="7944" width="8.44140625" style="208" customWidth="1"/>
    <col min="7945" max="7945" width="8.109375" style="208" customWidth="1"/>
    <col min="7946" max="7947" width="8.44140625" style="208" customWidth="1"/>
    <col min="7948" max="7948" width="9.5546875" style="208" customWidth="1"/>
    <col min="7949" max="8195" width="9.109375" style="208"/>
    <col min="8196" max="8196" width="5.44140625" style="208" customWidth="1"/>
    <col min="8197" max="8197" width="5" style="208" customWidth="1"/>
    <col min="8198" max="8198" width="45.5546875" style="208" customWidth="1"/>
    <col min="8199" max="8199" width="9.5546875" style="208" customWidth="1"/>
    <col min="8200" max="8200" width="8.44140625" style="208" customWidth="1"/>
    <col min="8201" max="8201" width="8.109375" style="208" customWidth="1"/>
    <col min="8202" max="8203" width="8.44140625" style="208" customWidth="1"/>
    <col min="8204" max="8204" width="9.5546875" style="208" customWidth="1"/>
    <col min="8205" max="8451" width="9.109375" style="208"/>
    <col min="8452" max="8452" width="5.44140625" style="208" customWidth="1"/>
    <col min="8453" max="8453" width="5" style="208" customWidth="1"/>
    <col min="8454" max="8454" width="45.5546875" style="208" customWidth="1"/>
    <col min="8455" max="8455" width="9.5546875" style="208" customWidth="1"/>
    <col min="8456" max="8456" width="8.44140625" style="208" customWidth="1"/>
    <col min="8457" max="8457" width="8.109375" style="208" customWidth="1"/>
    <col min="8458" max="8459" width="8.44140625" style="208" customWidth="1"/>
    <col min="8460" max="8460" width="9.5546875" style="208" customWidth="1"/>
    <col min="8461" max="8707" width="9.109375" style="208"/>
    <col min="8708" max="8708" width="5.44140625" style="208" customWidth="1"/>
    <col min="8709" max="8709" width="5" style="208" customWidth="1"/>
    <col min="8710" max="8710" width="45.5546875" style="208" customWidth="1"/>
    <col min="8711" max="8711" width="9.5546875" style="208" customWidth="1"/>
    <col min="8712" max="8712" width="8.44140625" style="208" customWidth="1"/>
    <col min="8713" max="8713" width="8.109375" style="208" customWidth="1"/>
    <col min="8714" max="8715" width="8.44140625" style="208" customWidth="1"/>
    <col min="8716" max="8716" width="9.5546875" style="208" customWidth="1"/>
    <col min="8717" max="8963" width="9.109375" style="208"/>
    <col min="8964" max="8964" width="5.44140625" style="208" customWidth="1"/>
    <col min="8965" max="8965" width="5" style="208" customWidth="1"/>
    <col min="8966" max="8966" width="45.5546875" style="208" customWidth="1"/>
    <col min="8967" max="8967" width="9.5546875" style="208" customWidth="1"/>
    <col min="8968" max="8968" width="8.44140625" style="208" customWidth="1"/>
    <col min="8969" max="8969" width="8.109375" style="208" customWidth="1"/>
    <col min="8970" max="8971" width="8.44140625" style="208" customWidth="1"/>
    <col min="8972" max="8972" width="9.5546875" style="208" customWidth="1"/>
    <col min="8973" max="9219" width="9.109375" style="208"/>
    <col min="9220" max="9220" width="5.44140625" style="208" customWidth="1"/>
    <col min="9221" max="9221" width="5" style="208" customWidth="1"/>
    <col min="9222" max="9222" width="45.5546875" style="208" customWidth="1"/>
    <col min="9223" max="9223" width="9.5546875" style="208" customWidth="1"/>
    <col min="9224" max="9224" width="8.44140625" style="208" customWidth="1"/>
    <col min="9225" max="9225" width="8.109375" style="208" customWidth="1"/>
    <col min="9226" max="9227" width="8.44140625" style="208" customWidth="1"/>
    <col min="9228" max="9228" width="9.5546875" style="208" customWidth="1"/>
    <col min="9229" max="9475" width="9.109375" style="208"/>
    <col min="9476" max="9476" width="5.44140625" style="208" customWidth="1"/>
    <col min="9477" max="9477" width="5" style="208" customWidth="1"/>
    <col min="9478" max="9478" width="45.5546875" style="208" customWidth="1"/>
    <col min="9479" max="9479" width="9.5546875" style="208" customWidth="1"/>
    <col min="9480" max="9480" width="8.44140625" style="208" customWidth="1"/>
    <col min="9481" max="9481" width="8.109375" style="208" customWidth="1"/>
    <col min="9482" max="9483" width="8.44140625" style="208" customWidth="1"/>
    <col min="9484" max="9484" width="9.5546875" style="208" customWidth="1"/>
    <col min="9485" max="9731" width="9.109375" style="208"/>
    <col min="9732" max="9732" width="5.44140625" style="208" customWidth="1"/>
    <col min="9733" max="9733" width="5" style="208" customWidth="1"/>
    <col min="9734" max="9734" width="45.5546875" style="208" customWidth="1"/>
    <col min="9735" max="9735" width="9.5546875" style="208" customWidth="1"/>
    <col min="9736" max="9736" width="8.44140625" style="208" customWidth="1"/>
    <col min="9737" max="9737" width="8.109375" style="208" customWidth="1"/>
    <col min="9738" max="9739" width="8.44140625" style="208" customWidth="1"/>
    <col min="9740" max="9740" width="9.5546875" style="208" customWidth="1"/>
    <col min="9741" max="9987" width="9.109375" style="208"/>
    <col min="9988" max="9988" width="5.44140625" style="208" customWidth="1"/>
    <col min="9989" max="9989" width="5" style="208" customWidth="1"/>
    <col min="9990" max="9990" width="45.5546875" style="208" customWidth="1"/>
    <col min="9991" max="9991" width="9.5546875" style="208" customWidth="1"/>
    <col min="9992" max="9992" width="8.44140625" style="208" customWidth="1"/>
    <col min="9993" max="9993" width="8.109375" style="208" customWidth="1"/>
    <col min="9994" max="9995" width="8.44140625" style="208" customWidth="1"/>
    <col min="9996" max="9996" width="9.5546875" style="208" customWidth="1"/>
    <col min="9997" max="10243" width="9.109375" style="208"/>
    <col min="10244" max="10244" width="5.44140625" style="208" customWidth="1"/>
    <col min="10245" max="10245" width="5" style="208" customWidth="1"/>
    <col min="10246" max="10246" width="45.5546875" style="208" customWidth="1"/>
    <col min="10247" max="10247" width="9.5546875" style="208" customWidth="1"/>
    <col min="10248" max="10248" width="8.44140625" style="208" customWidth="1"/>
    <col min="10249" max="10249" width="8.109375" style="208" customWidth="1"/>
    <col min="10250" max="10251" width="8.44140625" style="208" customWidth="1"/>
    <col min="10252" max="10252" width="9.5546875" style="208" customWidth="1"/>
    <col min="10253" max="10499" width="9.109375" style="208"/>
    <col min="10500" max="10500" width="5.44140625" style="208" customWidth="1"/>
    <col min="10501" max="10501" width="5" style="208" customWidth="1"/>
    <col min="10502" max="10502" width="45.5546875" style="208" customWidth="1"/>
    <col min="10503" max="10503" width="9.5546875" style="208" customWidth="1"/>
    <col min="10504" max="10504" width="8.44140625" style="208" customWidth="1"/>
    <col min="10505" max="10505" width="8.109375" style="208" customWidth="1"/>
    <col min="10506" max="10507" width="8.44140625" style="208" customWidth="1"/>
    <col min="10508" max="10508" width="9.5546875" style="208" customWidth="1"/>
    <col min="10509" max="10755" width="9.109375" style="208"/>
    <col min="10756" max="10756" width="5.44140625" style="208" customWidth="1"/>
    <col min="10757" max="10757" width="5" style="208" customWidth="1"/>
    <col min="10758" max="10758" width="45.5546875" style="208" customWidth="1"/>
    <col min="10759" max="10759" width="9.5546875" style="208" customWidth="1"/>
    <col min="10760" max="10760" width="8.44140625" style="208" customWidth="1"/>
    <col min="10761" max="10761" width="8.109375" style="208" customWidth="1"/>
    <col min="10762" max="10763" width="8.44140625" style="208" customWidth="1"/>
    <col min="10764" max="10764" width="9.5546875" style="208" customWidth="1"/>
    <col min="10765" max="11011" width="9.109375" style="208"/>
    <col min="11012" max="11012" width="5.44140625" style="208" customWidth="1"/>
    <col min="11013" max="11013" width="5" style="208" customWidth="1"/>
    <col min="11014" max="11014" width="45.5546875" style="208" customWidth="1"/>
    <col min="11015" max="11015" width="9.5546875" style="208" customWidth="1"/>
    <col min="11016" max="11016" width="8.44140625" style="208" customWidth="1"/>
    <col min="11017" max="11017" width="8.109375" style="208" customWidth="1"/>
    <col min="11018" max="11019" width="8.44140625" style="208" customWidth="1"/>
    <col min="11020" max="11020" width="9.5546875" style="208" customWidth="1"/>
    <col min="11021" max="11267" width="9.109375" style="208"/>
    <col min="11268" max="11268" width="5.44140625" style="208" customWidth="1"/>
    <col min="11269" max="11269" width="5" style="208" customWidth="1"/>
    <col min="11270" max="11270" width="45.5546875" style="208" customWidth="1"/>
    <col min="11271" max="11271" width="9.5546875" style="208" customWidth="1"/>
    <col min="11272" max="11272" width="8.44140625" style="208" customWidth="1"/>
    <col min="11273" max="11273" width="8.109375" style="208" customWidth="1"/>
    <col min="11274" max="11275" width="8.44140625" style="208" customWidth="1"/>
    <col min="11276" max="11276" width="9.5546875" style="208" customWidth="1"/>
    <col min="11277" max="11523" width="9.109375" style="208"/>
    <col min="11524" max="11524" width="5.44140625" style="208" customWidth="1"/>
    <col min="11525" max="11525" width="5" style="208" customWidth="1"/>
    <col min="11526" max="11526" width="45.5546875" style="208" customWidth="1"/>
    <col min="11527" max="11527" width="9.5546875" style="208" customWidth="1"/>
    <col min="11528" max="11528" width="8.44140625" style="208" customWidth="1"/>
    <col min="11529" max="11529" width="8.109375" style="208" customWidth="1"/>
    <col min="11530" max="11531" width="8.44140625" style="208" customWidth="1"/>
    <col min="11532" max="11532" width="9.5546875" style="208" customWidth="1"/>
    <col min="11533" max="11779" width="9.109375" style="208"/>
    <col min="11780" max="11780" width="5.44140625" style="208" customWidth="1"/>
    <col min="11781" max="11781" width="5" style="208" customWidth="1"/>
    <col min="11782" max="11782" width="45.5546875" style="208" customWidth="1"/>
    <col min="11783" max="11783" width="9.5546875" style="208" customWidth="1"/>
    <col min="11784" max="11784" width="8.44140625" style="208" customWidth="1"/>
    <col min="11785" max="11785" width="8.109375" style="208" customWidth="1"/>
    <col min="11786" max="11787" width="8.44140625" style="208" customWidth="1"/>
    <col min="11788" max="11788" width="9.5546875" style="208" customWidth="1"/>
    <col min="11789" max="12035" width="9.109375" style="208"/>
    <col min="12036" max="12036" width="5.44140625" style="208" customWidth="1"/>
    <col min="12037" max="12037" width="5" style="208" customWidth="1"/>
    <col min="12038" max="12038" width="45.5546875" style="208" customWidth="1"/>
    <col min="12039" max="12039" width="9.5546875" style="208" customWidth="1"/>
    <col min="12040" max="12040" width="8.44140625" style="208" customWidth="1"/>
    <col min="12041" max="12041" width="8.109375" style="208" customWidth="1"/>
    <col min="12042" max="12043" width="8.44140625" style="208" customWidth="1"/>
    <col min="12044" max="12044" width="9.5546875" style="208" customWidth="1"/>
    <col min="12045" max="12291" width="9.109375" style="208"/>
    <col min="12292" max="12292" width="5.44140625" style="208" customWidth="1"/>
    <col min="12293" max="12293" width="5" style="208" customWidth="1"/>
    <col min="12294" max="12294" width="45.5546875" style="208" customWidth="1"/>
    <col min="12295" max="12295" width="9.5546875" style="208" customWidth="1"/>
    <col min="12296" max="12296" width="8.44140625" style="208" customWidth="1"/>
    <col min="12297" max="12297" width="8.109375" style="208" customWidth="1"/>
    <col min="12298" max="12299" width="8.44140625" style="208" customWidth="1"/>
    <col min="12300" max="12300" width="9.5546875" style="208" customWidth="1"/>
    <col min="12301" max="12547" width="9.109375" style="208"/>
    <col min="12548" max="12548" width="5.44140625" style="208" customWidth="1"/>
    <col min="12549" max="12549" width="5" style="208" customWidth="1"/>
    <col min="12550" max="12550" width="45.5546875" style="208" customWidth="1"/>
    <col min="12551" max="12551" width="9.5546875" style="208" customWidth="1"/>
    <col min="12552" max="12552" width="8.44140625" style="208" customWidth="1"/>
    <col min="12553" max="12553" width="8.109375" style="208" customWidth="1"/>
    <col min="12554" max="12555" width="8.44140625" style="208" customWidth="1"/>
    <col min="12556" max="12556" width="9.5546875" style="208" customWidth="1"/>
    <col min="12557" max="12803" width="9.109375" style="208"/>
    <col min="12804" max="12804" width="5.44140625" style="208" customWidth="1"/>
    <col min="12805" max="12805" width="5" style="208" customWidth="1"/>
    <col min="12806" max="12806" width="45.5546875" style="208" customWidth="1"/>
    <col min="12807" max="12807" width="9.5546875" style="208" customWidth="1"/>
    <col min="12808" max="12808" width="8.44140625" style="208" customWidth="1"/>
    <col min="12809" max="12809" width="8.109375" style="208" customWidth="1"/>
    <col min="12810" max="12811" width="8.44140625" style="208" customWidth="1"/>
    <col min="12812" max="12812" width="9.5546875" style="208" customWidth="1"/>
    <col min="12813" max="13059" width="9.109375" style="208"/>
    <col min="13060" max="13060" width="5.44140625" style="208" customWidth="1"/>
    <col min="13061" max="13061" width="5" style="208" customWidth="1"/>
    <col min="13062" max="13062" width="45.5546875" style="208" customWidth="1"/>
    <col min="13063" max="13063" width="9.5546875" style="208" customWidth="1"/>
    <col min="13064" max="13064" width="8.44140625" style="208" customWidth="1"/>
    <col min="13065" max="13065" width="8.109375" style="208" customWidth="1"/>
    <col min="13066" max="13067" width="8.44140625" style="208" customWidth="1"/>
    <col min="13068" max="13068" width="9.5546875" style="208" customWidth="1"/>
    <col min="13069" max="13315" width="9.109375" style="208"/>
    <col min="13316" max="13316" width="5.44140625" style="208" customWidth="1"/>
    <col min="13317" max="13317" width="5" style="208" customWidth="1"/>
    <col min="13318" max="13318" width="45.5546875" style="208" customWidth="1"/>
    <col min="13319" max="13319" width="9.5546875" style="208" customWidth="1"/>
    <col min="13320" max="13320" width="8.44140625" style="208" customWidth="1"/>
    <col min="13321" max="13321" width="8.109375" style="208" customWidth="1"/>
    <col min="13322" max="13323" width="8.44140625" style="208" customWidth="1"/>
    <col min="13324" max="13324" width="9.5546875" style="208" customWidth="1"/>
    <col min="13325" max="13571" width="9.109375" style="208"/>
    <col min="13572" max="13572" width="5.44140625" style="208" customWidth="1"/>
    <col min="13573" max="13573" width="5" style="208" customWidth="1"/>
    <col min="13574" max="13574" width="45.5546875" style="208" customWidth="1"/>
    <col min="13575" max="13575" width="9.5546875" style="208" customWidth="1"/>
    <col min="13576" max="13576" width="8.44140625" style="208" customWidth="1"/>
    <col min="13577" max="13577" width="8.109375" style="208" customWidth="1"/>
    <col min="13578" max="13579" width="8.44140625" style="208" customWidth="1"/>
    <col min="13580" max="13580" width="9.5546875" style="208" customWidth="1"/>
    <col min="13581" max="13827" width="9.109375" style="208"/>
    <col min="13828" max="13828" width="5.44140625" style="208" customWidth="1"/>
    <col min="13829" max="13829" width="5" style="208" customWidth="1"/>
    <col min="13830" max="13830" width="45.5546875" style="208" customWidth="1"/>
    <col min="13831" max="13831" width="9.5546875" style="208" customWidth="1"/>
    <col min="13832" max="13832" width="8.44140625" style="208" customWidth="1"/>
    <col min="13833" max="13833" width="8.109375" style="208" customWidth="1"/>
    <col min="13834" max="13835" width="8.44140625" style="208" customWidth="1"/>
    <col min="13836" max="13836" width="9.5546875" style="208" customWidth="1"/>
    <col min="13837" max="14083" width="9.109375" style="208"/>
    <col min="14084" max="14084" width="5.44140625" style="208" customWidth="1"/>
    <col min="14085" max="14085" width="5" style="208" customWidth="1"/>
    <col min="14086" max="14086" width="45.5546875" style="208" customWidth="1"/>
    <col min="14087" max="14087" width="9.5546875" style="208" customWidth="1"/>
    <col min="14088" max="14088" width="8.44140625" style="208" customWidth="1"/>
    <col min="14089" max="14089" width="8.109375" style="208" customWidth="1"/>
    <col min="14090" max="14091" width="8.44140625" style="208" customWidth="1"/>
    <col min="14092" max="14092" width="9.5546875" style="208" customWidth="1"/>
    <col min="14093" max="14339" width="9.109375" style="208"/>
    <col min="14340" max="14340" width="5.44140625" style="208" customWidth="1"/>
    <col min="14341" max="14341" width="5" style="208" customWidth="1"/>
    <col min="14342" max="14342" width="45.5546875" style="208" customWidth="1"/>
    <col min="14343" max="14343" width="9.5546875" style="208" customWidth="1"/>
    <col min="14344" max="14344" width="8.44140625" style="208" customWidth="1"/>
    <col min="14345" max="14345" width="8.109375" style="208" customWidth="1"/>
    <col min="14346" max="14347" width="8.44140625" style="208" customWidth="1"/>
    <col min="14348" max="14348" width="9.5546875" style="208" customWidth="1"/>
    <col min="14349" max="14595" width="9.109375" style="208"/>
    <col min="14596" max="14596" width="5.44140625" style="208" customWidth="1"/>
    <col min="14597" max="14597" width="5" style="208" customWidth="1"/>
    <col min="14598" max="14598" width="45.5546875" style="208" customWidth="1"/>
    <col min="14599" max="14599" width="9.5546875" style="208" customWidth="1"/>
    <col min="14600" max="14600" width="8.44140625" style="208" customWidth="1"/>
    <col min="14601" max="14601" width="8.109375" style="208" customWidth="1"/>
    <col min="14602" max="14603" width="8.44140625" style="208" customWidth="1"/>
    <col min="14604" max="14604" width="9.5546875" style="208" customWidth="1"/>
    <col min="14605" max="14851" width="9.109375" style="208"/>
    <col min="14852" max="14852" width="5.44140625" style="208" customWidth="1"/>
    <col min="14853" max="14853" width="5" style="208" customWidth="1"/>
    <col min="14854" max="14854" width="45.5546875" style="208" customWidth="1"/>
    <col min="14855" max="14855" width="9.5546875" style="208" customWidth="1"/>
    <col min="14856" max="14856" width="8.44140625" style="208" customWidth="1"/>
    <col min="14857" max="14857" width="8.109375" style="208" customWidth="1"/>
    <col min="14858" max="14859" width="8.44140625" style="208" customWidth="1"/>
    <col min="14860" max="14860" width="9.5546875" style="208" customWidth="1"/>
    <col min="14861" max="15107" width="9.109375" style="208"/>
    <col min="15108" max="15108" width="5.44140625" style="208" customWidth="1"/>
    <col min="15109" max="15109" width="5" style="208" customWidth="1"/>
    <col min="15110" max="15110" width="45.5546875" style="208" customWidth="1"/>
    <col min="15111" max="15111" width="9.5546875" style="208" customWidth="1"/>
    <col min="15112" max="15112" width="8.44140625" style="208" customWidth="1"/>
    <col min="15113" max="15113" width="8.109375" style="208" customWidth="1"/>
    <col min="15114" max="15115" width="8.44140625" style="208" customWidth="1"/>
    <col min="15116" max="15116" width="9.5546875" style="208" customWidth="1"/>
    <col min="15117" max="15363" width="9.109375" style="208"/>
    <col min="15364" max="15364" width="5.44140625" style="208" customWidth="1"/>
    <col min="15365" max="15365" width="5" style="208" customWidth="1"/>
    <col min="15366" max="15366" width="45.5546875" style="208" customWidth="1"/>
    <col min="15367" max="15367" width="9.5546875" style="208" customWidth="1"/>
    <col min="15368" max="15368" width="8.44140625" style="208" customWidth="1"/>
    <col min="15369" max="15369" width="8.109375" style="208" customWidth="1"/>
    <col min="15370" max="15371" width="8.44140625" style="208" customWidth="1"/>
    <col min="15372" max="15372" width="9.5546875" style="208" customWidth="1"/>
    <col min="15373" max="15619" width="9.109375" style="208"/>
    <col min="15620" max="15620" width="5.44140625" style="208" customWidth="1"/>
    <col min="15621" max="15621" width="5" style="208" customWidth="1"/>
    <col min="15622" max="15622" width="45.5546875" style="208" customWidth="1"/>
    <col min="15623" max="15623" width="9.5546875" style="208" customWidth="1"/>
    <col min="15624" max="15624" width="8.44140625" style="208" customWidth="1"/>
    <col min="15625" max="15625" width="8.109375" style="208" customWidth="1"/>
    <col min="15626" max="15627" width="8.44140625" style="208" customWidth="1"/>
    <col min="15628" max="15628" width="9.5546875" style="208" customWidth="1"/>
    <col min="15629" max="15875" width="9.109375" style="208"/>
    <col min="15876" max="15876" width="5.44140625" style="208" customWidth="1"/>
    <col min="15877" max="15877" width="5" style="208" customWidth="1"/>
    <col min="15878" max="15878" width="45.5546875" style="208" customWidth="1"/>
    <col min="15879" max="15879" width="9.5546875" style="208" customWidth="1"/>
    <col min="15880" max="15880" width="8.44140625" style="208" customWidth="1"/>
    <col min="15881" max="15881" width="8.109375" style="208" customWidth="1"/>
    <col min="15882" max="15883" width="8.44140625" style="208" customWidth="1"/>
    <col min="15884" max="15884" width="9.5546875" style="208" customWidth="1"/>
    <col min="15885" max="16131" width="9.109375" style="208"/>
    <col min="16132" max="16132" width="5.44140625" style="208" customWidth="1"/>
    <col min="16133" max="16133" width="5" style="208" customWidth="1"/>
    <col min="16134" max="16134" width="45.5546875" style="208" customWidth="1"/>
    <col min="16135" max="16135" width="9.5546875" style="208" customWidth="1"/>
    <col min="16136" max="16136" width="8.44140625" style="208" customWidth="1"/>
    <col min="16137" max="16137" width="8.109375" style="208" customWidth="1"/>
    <col min="16138" max="16139" width="8.44140625" style="208" customWidth="1"/>
    <col min="16140" max="16140" width="9.5546875" style="208" customWidth="1"/>
    <col min="16141" max="16384" width="9.109375" style="208"/>
  </cols>
  <sheetData>
    <row r="1" spans="1:22" ht="15.75" customHeight="1" x14ac:dyDescent="0.3">
      <c r="C1" s="306" t="s">
        <v>797</v>
      </c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22" ht="15.75" customHeight="1" x14ac:dyDescent="0.3">
      <c r="C2" s="306" t="s">
        <v>798</v>
      </c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</row>
    <row r="3" spans="1:22" ht="15.6" x14ac:dyDescent="0.3">
      <c r="B3" s="237"/>
      <c r="E3" s="367" t="s">
        <v>801</v>
      </c>
      <c r="F3" s="367"/>
      <c r="G3" s="367"/>
      <c r="H3" s="367"/>
      <c r="I3" s="367"/>
      <c r="J3" s="367"/>
      <c r="K3" s="367"/>
      <c r="L3" s="367"/>
    </row>
    <row r="4" spans="1:22" ht="12.6" customHeight="1" x14ac:dyDescent="0.3">
      <c r="B4" s="237"/>
      <c r="E4" s="239"/>
      <c r="F4" s="239"/>
      <c r="G4" s="239"/>
      <c r="H4" s="239"/>
      <c r="I4" s="239"/>
      <c r="J4" s="239"/>
      <c r="K4" s="239"/>
      <c r="L4" s="208"/>
    </row>
    <row r="5" spans="1:22" ht="30.6" customHeight="1" x14ac:dyDescent="0.25">
      <c r="A5" s="368" t="s">
        <v>754</v>
      </c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</row>
    <row r="6" spans="1:22" x14ac:dyDescent="0.25">
      <c r="B6" s="237"/>
      <c r="E6" s="240"/>
      <c r="F6" s="240"/>
      <c r="G6" s="240"/>
      <c r="H6" s="240"/>
      <c r="I6" s="366" t="s">
        <v>1</v>
      </c>
      <c r="J6" s="366"/>
      <c r="K6" s="366"/>
      <c r="L6" s="366"/>
    </row>
    <row r="7" spans="1:22" ht="17.399999999999999" customHeight="1" x14ac:dyDescent="0.25">
      <c r="A7" s="355" t="s">
        <v>466</v>
      </c>
      <c r="B7" s="357" t="s">
        <v>3</v>
      </c>
      <c r="C7" s="355" t="s">
        <v>4</v>
      </c>
      <c r="D7" s="358" t="s">
        <v>5</v>
      </c>
      <c r="E7" s="359" t="s">
        <v>6</v>
      </c>
      <c r="F7" s="360"/>
      <c r="G7" s="363" t="s">
        <v>7</v>
      </c>
      <c r="H7" s="364"/>
      <c r="I7" s="364"/>
      <c r="J7" s="364"/>
      <c r="K7" s="364"/>
      <c r="L7" s="365"/>
    </row>
    <row r="8" spans="1:22" ht="14.4" customHeight="1" x14ac:dyDescent="0.25">
      <c r="A8" s="356"/>
      <c r="B8" s="357"/>
      <c r="C8" s="355"/>
      <c r="D8" s="358"/>
      <c r="E8" s="361"/>
      <c r="F8" s="362"/>
      <c r="G8" s="363" t="s">
        <v>682</v>
      </c>
      <c r="H8" s="364"/>
      <c r="I8" s="364"/>
      <c r="J8" s="365"/>
      <c r="K8" s="347" t="s">
        <v>755</v>
      </c>
      <c r="L8" s="348"/>
    </row>
    <row r="9" spans="1:22" ht="16.2" customHeight="1" x14ac:dyDescent="0.25">
      <c r="A9" s="356"/>
      <c r="B9" s="357"/>
      <c r="C9" s="355"/>
      <c r="D9" s="358"/>
      <c r="E9" s="351" t="s">
        <v>10</v>
      </c>
      <c r="F9" s="351" t="s">
        <v>11</v>
      </c>
      <c r="G9" s="347" t="s">
        <v>6</v>
      </c>
      <c r="H9" s="348"/>
      <c r="I9" s="349" t="s">
        <v>13</v>
      </c>
      <c r="J9" s="350"/>
      <c r="K9" s="351" t="s">
        <v>10</v>
      </c>
      <c r="L9" s="353" t="s">
        <v>11</v>
      </c>
    </row>
    <row r="10" spans="1:22" ht="21.6" customHeight="1" x14ac:dyDescent="0.25">
      <c r="A10" s="356"/>
      <c r="B10" s="357"/>
      <c r="C10" s="355"/>
      <c r="D10" s="358"/>
      <c r="E10" s="352"/>
      <c r="F10" s="352"/>
      <c r="G10" s="269" t="s">
        <v>10</v>
      </c>
      <c r="H10" s="241" t="s">
        <v>11</v>
      </c>
      <c r="I10" s="269" t="s">
        <v>10</v>
      </c>
      <c r="J10" s="241" t="s">
        <v>11</v>
      </c>
      <c r="K10" s="352"/>
      <c r="L10" s="354"/>
    </row>
    <row r="11" spans="1:22" x14ac:dyDescent="0.25">
      <c r="A11" s="242">
        <v>1</v>
      </c>
      <c r="B11" s="243" t="s">
        <v>14</v>
      </c>
      <c r="C11" s="241">
        <v>3</v>
      </c>
      <c r="D11" s="244">
        <v>4</v>
      </c>
      <c r="E11" s="241">
        <v>5</v>
      </c>
      <c r="F11" s="241">
        <v>6</v>
      </c>
      <c r="G11" s="241">
        <v>7</v>
      </c>
      <c r="H11" s="241">
        <v>8</v>
      </c>
      <c r="I11" s="241">
        <v>9</v>
      </c>
      <c r="J11" s="241">
        <v>10</v>
      </c>
      <c r="K11" s="241">
        <v>11</v>
      </c>
      <c r="L11" s="242">
        <v>12</v>
      </c>
    </row>
    <row r="12" spans="1:22" ht="20.100000000000001" customHeight="1" x14ac:dyDescent="0.25">
      <c r="A12" s="245">
        <v>1</v>
      </c>
      <c r="B12" s="243" t="s">
        <v>15</v>
      </c>
      <c r="C12" s="246" t="s">
        <v>16</v>
      </c>
      <c r="D12" s="244"/>
      <c r="E12" s="247">
        <f>+G12+K12</f>
        <v>880</v>
      </c>
      <c r="F12" s="247">
        <f>+H12+L12</f>
        <v>784.50000000000011</v>
      </c>
      <c r="G12" s="247">
        <f t="shared" ref="G12:L12" si="0">+G13</f>
        <v>0</v>
      </c>
      <c r="H12" s="247">
        <f t="shared" si="0"/>
        <v>0</v>
      </c>
      <c r="I12" s="247">
        <f t="shared" si="0"/>
        <v>0</v>
      </c>
      <c r="J12" s="247">
        <f t="shared" si="0"/>
        <v>0</v>
      </c>
      <c r="K12" s="247">
        <f t="shared" si="0"/>
        <v>880</v>
      </c>
      <c r="L12" s="247">
        <f t="shared" si="0"/>
        <v>784.50000000000011</v>
      </c>
      <c r="N12" s="63"/>
    </row>
    <row r="13" spans="1:22" ht="13.95" customHeight="1" x14ac:dyDescent="0.25">
      <c r="A13" s="245">
        <v>2</v>
      </c>
      <c r="B13" s="248"/>
      <c r="C13" s="249" t="s">
        <v>505</v>
      </c>
      <c r="D13" s="248"/>
      <c r="E13" s="250">
        <f>+G13+K13</f>
        <v>880</v>
      </c>
      <c r="F13" s="250"/>
      <c r="G13" s="251">
        <f>+G14+G15</f>
        <v>0</v>
      </c>
      <c r="H13" s="251"/>
      <c r="I13" s="251">
        <f>+I14+I15</f>
        <v>0</v>
      </c>
      <c r="J13" s="251"/>
      <c r="K13" s="250">
        <f>+K14+K15</f>
        <v>880</v>
      </c>
      <c r="L13" s="250">
        <f>+L14+L15</f>
        <v>784.50000000000011</v>
      </c>
      <c r="U13" s="63"/>
      <c r="V13" s="252"/>
    </row>
    <row r="14" spans="1:22" ht="24.9" customHeight="1" x14ac:dyDescent="0.25">
      <c r="A14" s="253" t="s">
        <v>756</v>
      </c>
      <c r="B14" s="248"/>
      <c r="C14" s="254" t="s">
        <v>78</v>
      </c>
      <c r="D14" s="248" t="s">
        <v>20</v>
      </c>
      <c r="E14" s="250">
        <f>+G14+K14</f>
        <v>780</v>
      </c>
      <c r="F14" s="250"/>
      <c r="G14" s="250"/>
      <c r="H14" s="250"/>
      <c r="I14" s="255"/>
      <c r="J14" s="255"/>
      <c r="K14" s="255">
        <v>780</v>
      </c>
      <c r="L14" s="16">
        <f>684.7+0.1</f>
        <v>684.80000000000007</v>
      </c>
      <c r="U14" s="63"/>
      <c r="V14" s="252"/>
    </row>
    <row r="15" spans="1:22" ht="39.6" x14ac:dyDescent="0.25">
      <c r="A15" s="253" t="s">
        <v>742</v>
      </c>
      <c r="B15" s="248"/>
      <c r="C15" s="256" t="s">
        <v>757</v>
      </c>
      <c r="D15" s="248" t="s">
        <v>20</v>
      </c>
      <c r="E15" s="250">
        <f>+G15+K15</f>
        <v>100</v>
      </c>
      <c r="F15" s="250"/>
      <c r="G15" s="250"/>
      <c r="H15" s="250"/>
      <c r="I15" s="255"/>
      <c r="J15" s="255"/>
      <c r="K15" s="255">
        <v>100</v>
      </c>
      <c r="L15" s="270">
        <v>99.7</v>
      </c>
      <c r="O15" s="236"/>
      <c r="U15" s="63"/>
      <c r="V15" s="252"/>
    </row>
    <row r="16" spans="1:22" ht="26.4" x14ac:dyDescent="0.25">
      <c r="A16" s="253">
        <v>3</v>
      </c>
      <c r="B16" s="243" t="s">
        <v>268</v>
      </c>
      <c r="C16" s="257" t="s">
        <v>269</v>
      </c>
      <c r="D16" s="248"/>
      <c r="E16" s="258">
        <f t="shared" ref="E16:F23" si="1">+G16+K16</f>
        <v>250</v>
      </c>
      <c r="F16" s="258">
        <f t="shared" si="1"/>
        <v>250</v>
      </c>
      <c r="G16" s="258">
        <f t="shared" ref="G16:L17" si="2">+G17</f>
        <v>0</v>
      </c>
      <c r="H16" s="258">
        <f t="shared" si="2"/>
        <v>0</v>
      </c>
      <c r="I16" s="258">
        <f t="shared" si="2"/>
        <v>0</v>
      </c>
      <c r="J16" s="258">
        <f t="shared" si="2"/>
        <v>0</v>
      </c>
      <c r="K16" s="258">
        <f t="shared" si="2"/>
        <v>250</v>
      </c>
      <c r="L16" s="258">
        <f t="shared" si="2"/>
        <v>250</v>
      </c>
      <c r="U16" s="63"/>
      <c r="V16" s="252"/>
    </row>
    <row r="17" spans="1:22" x14ac:dyDescent="0.25">
      <c r="A17" s="253">
        <v>4</v>
      </c>
      <c r="B17" s="248"/>
      <c r="C17" s="256" t="s">
        <v>505</v>
      </c>
      <c r="D17" s="248"/>
      <c r="E17" s="250">
        <f t="shared" si="1"/>
        <v>250</v>
      </c>
      <c r="F17" s="250"/>
      <c r="G17" s="251">
        <f t="shared" si="2"/>
        <v>0</v>
      </c>
      <c r="H17" s="251"/>
      <c r="I17" s="251">
        <f t="shared" si="2"/>
        <v>0</v>
      </c>
      <c r="J17" s="251"/>
      <c r="K17" s="250">
        <f t="shared" si="2"/>
        <v>250</v>
      </c>
      <c r="L17" s="250">
        <f t="shared" si="2"/>
        <v>250</v>
      </c>
      <c r="U17" s="63"/>
      <c r="V17" s="252"/>
    </row>
    <row r="18" spans="1:22" ht="52.8" x14ac:dyDescent="0.25">
      <c r="A18" s="253" t="s">
        <v>496</v>
      </c>
      <c r="B18" s="248"/>
      <c r="C18" s="256" t="s">
        <v>300</v>
      </c>
      <c r="D18" s="248" t="s">
        <v>272</v>
      </c>
      <c r="E18" s="250">
        <f t="shared" si="1"/>
        <v>250</v>
      </c>
      <c r="F18" s="250"/>
      <c r="G18" s="250"/>
      <c r="H18" s="250"/>
      <c r="I18" s="255"/>
      <c r="J18" s="255"/>
      <c r="K18" s="255">
        <v>250</v>
      </c>
      <c r="L18" s="270">
        <v>250</v>
      </c>
      <c r="U18" s="63"/>
      <c r="V18" s="252"/>
    </row>
    <row r="19" spans="1:22" ht="22.8" x14ac:dyDescent="0.25">
      <c r="A19" s="253">
        <v>5</v>
      </c>
      <c r="B19" s="243" t="s">
        <v>315</v>
      </c>
      <c r="C19" s="259" t="s">
        <v>316</v>
      </c>
      <c r="D19" s="248"/>
      <c r="E19" s="258">
        <f t="shared" si="1"/>
        <v>612</v>
      </c>
      <c r="F19" s="258">
        <f t="shared" si="1"/>
        <v>609.6</v>
      </c>
      <c r="G19" s="258">
        <f t="shared" ref="G19:L19" si="3">+G20</f>
        <v>0</v>
      </c>
      <c r="H19" s="258">
        <f t="shared" si="3"/>
        <v>0</v>
      </c>
      <c r="I19" s="258">
        <f t="shared" si="3"/>
        <v>0</v>
      </c>
      <c r="J19" s="258">
        <f t="shared" si="3"/>
        <v>0</v>
      </c>
      <c r="K19" s="258">
        <f t="shared" si="3"/>
        <v>612</v>
      </c>
      <c r="L19" s="258">
        <f t="shared" si="3"/>
        <v>609.6</v>
      </c>
      <c r="U19" s="63"/>
      <c r="V19" s="252"/>
    </row>
    <row r="20" spans="1:22" x14ac:dyDescent="0.25">
      <c r="A20" s="253">
        <v>6</v>
      </c>
      <c r="B20" s="248"/>
      <c r="C20" s="256" t="s">
        <v>505</v>
      </c>
      <c r="D20" s="248"/>
      <c r="E20" s="250">
        <f t="shared" si="1"/>
        <v>612</v>
      </c>
      <c r="F20" s="250"/>
      <c r="G20" s="251">
        <f>+G21+G22+G23</f>
        <v>0</v>
      </c>
      <c r="H20" s="251"/>
      <c r="I20" s="251">
        <f>+I21+I22+I23</f>
        <v>0</v>
      </c>
      <c r="J20" s="251"/>
      <c r="K20" s="250">
        <f>+K21+K22+K23</f>
        <v>612</v>
      </c>
      <c r="L20" s="250">
        <f>+L21+L22+L23</f>
        <v>609.6</v>
      </c>
      <c r="O20" s="236"/>
      <c r="U20" s="63"/>
      <c r="V20" s="252"/>
    </row>
    <row r="21" spans="1:22" x14ac:dyDescent="0.25">
      <c r="A21" s="253" t="s">
        <v>746</v>
      </c>
      <c r="B21" s="248"/>
      <c r="C21" s="256" t="s">
        <v>345</v>
      </c>
      <c r="D21" s="248" t="s">
        <v>335</v>
      </c>
      <c r="E21" s="250">
        <f t="shared" si="1"/>
        <v>73</v>
      </c>
      <c r="F21" s="250"/>
      <c r="G21" s="250"/>
      <c r="H21" s="250"/>
      <c r="I21" s="255"/>
      <c r="J21" s="255"/>
      <c r="K21" s="255">
        <v>73</v>
      </c>
      <c r="L21" s="62">
        <v>70.599999999999994</v>
      </c>
      <c r="U21" s="63"/>
      <c r="V21" s="252"/>
    </row>
    <row r="22" spans="1:22" ht="26.4" x14ac:dyDescent="0.25">
      <c r="A22" s="253" t="s">
        <v>747</v>
      </c>
      <c r="B22" s="248"/>
      <c r="C22" s="256" t="s">
        <v>383</v>
      </c>
      <c r="D22" s="248" t="s">
        <v>384</v>
      </c>
      <c r="E22" s="250">
        <f t="shared" si="1"/>
        <v>100</v>
      </c>
      <c r="F22" s="250"/>
      <c r="G22" s="250"/>
      <c r="H22" s="250"/>
      <c r="I22" s="255"/>
      <c r="J22" s="255"/>
      <c r="K22" s="255">
        <v>100</v>
      </c>
      <c r="L22" s="270">
        <v>100</v>
      </c>
      <c r="U22" s="63"/>
      <c r="V22" s="252"/>
    </row>
    <row r="23" spans="1:22" ht="26.4" x14ac:dyDescent="0.25">
      <c r="A23" s="253" t="s">
        <v>758</v>
      </c>
      <c r="B23" s="248"/>
      <c r="C23" s="256" t="s">
        <v>386</v>
      </c>
      <c r="D23" s="248" t="s">
        <v>384</v>
      </c>
      <c r="E23" s="250">
        <f t="shared" si="1"/>
        <v>439</v>
      </c>
      <c r="F23" s="250"/>
      <c r="G23" s="250"/>
      <c r="H23" s="250"/>
      <c r="I23" s="255"/>
      <c r="J23" s="255"/>
      <c r="K23" s="255">
        <v>439</v>
      </c>
      <c r="L23" s="270">
        <v>439</v>
      </c>
      <c r="U23" s="63"/>
      <c r="V23" s="252"/>
    </row>
    <row r="24" spans="1:22" ht="15.75" customHeight="1" x14ac:dyDescent="0.25">
      <c r="A24" s="245">
        <v>7</v>
      </c>
      <c r="B24" s="248"/>
      <c r="C24" s="260" t="s">
        <v>463</v>
      </c>
      <c r="D24" s="248"/>
      <c r="E24" s="261">
        <f>+G24+K24</f>
        <v>1742</v>
      </c>
      <c r="F24" s="261">
        <f>+H24+L24</f>
        <v>1644.1</v>
      </c>
      <c r="G24" s="261">
        <f t="shared" ref="G24:L24" si="4">+G12+G16+G19</f>
        <v>0</v>
      </c>
      <c r="H24" s="261">
        <f t="shared" si="4"/>
        <v>0</v>
      </c>
      <c r="I24" s="261">
        <f t="shared" si="4"/>
        <v>0</v>
      </c>
      <c r="J24" s="261">
        <f t="shared" si="4"/>
        <v>0</v>
      </c>
      <c r="K24" s="261">
        <f t="shared" si="4"/>
        <v>1742</v>
      </c>
      <c r="L24" s="261">
        <f t="shared" si="4"/>
        <v>1644.1</v>
      </c>
      <c r="M24" s="63"/>
      <c r="N24" s="63"/>
      <c r="O24" s="63"/>
    </row>
    <row r="25" spans="1:22" x14ac:dyDescent="0.25">
      <c r="C25" s="208" t="s">
        <v>464</v>
      </c>
      <c r="E25" s="63"/>
      <c r="F25" s="63"/>
      <c r="G25" s="63"/>
      <c r="H25" s="63"/>
      <c r="I25" s="63"/>
      <c r="J25" s="63"/>
      <c r="K25" s="63"/>
      <c r="L25" s="208"/>
    </row>
    <row r="26" spans="1:22" x14ac:dyDescent="0.25">
      <c r="D26" s="208"/>
      <c r="L26" s="208"/>
      <c r="M26" s="63"/>
    </row>
    <row r="27" spans="1:22" x14ac:dyDescent="0.25">
      <c r="D27" s="208"/>
      <c r="E27" s="262"/>
      <c r="F27" s="262"/>
      <c r="G27" s="262"/>
      <c r="H27" s="262"/>
      <c r="I27" s="262"/>
      <c r="J27" s="262"/>
      <c r="K27" s="63"/>
      <c r="L27" s="208"/>
    </row>
    <row r="28" spans="1:22" x14ac:dyDescent="0.25">
      <c r="E28" s="262"/>
      <c r="F28" s="262"/>
      <c r="G28" s="262"/>
      <c r="H28" s="262"/>
      <c r="I28" s="262"/>
      <c r="J28" s="262"/>
      <c r="K28" s="262"/>
      <c r="L28" s="63"/>
      <c r="M28" s="63"/>
    </row>
    <row r="29" spans="1:22" x14ac:dyDescent="0.25">
      <c r="C29" s="271"/>
      <c r="E29" s="262"/>
      <c r="F29" s="262"/>
      <c r="G29" s="63"/>
      <c r="H29" s="63"/>
      <c r="I29" s="63"/>
      <c r="J29" s="63"/>
      <c r="K29" s="63"/>
      <c r="L29" s="63"/>
      <c r="M29" s="63"/>
    </row>
    <row r="30" spans="1:22" x14ac:dyDescent="0.25">
      <c r="E30" s="63"/>
      <c r="F30" s="63"/>
      <c r="G30" s="262"/>
      <c r="H30" s="262"/>
    </row>
    <row r="31" spans="1:22" x14ac:dyDescent="0.25">
      <c r="E31" s="63"/>
      <c r="F31" s="63"/>
      <c r="G31" s="63"/>
      <c r="H31" s="63"/>
      <c r="I31" s="63"/>
      <c r="J31" s="63"/>
    </row>
    <row r="32" spans="1:22" x14ac:dyDescent="0.25">
      <c r="C32" s="240"/>
      <c r="D32" s="240"/>
      <c r="E32" s="63"/>
      <c r="F32" s="63"/>
      <c r="G32" s="63"/>
      <c r="H32" s="63"/>
      <c r="I32" s="63"/>
      <c r="J32" s="63"/>
      <c r="K32" s="63"/>
    </row>
    <row r="33" spans="3:12" x14ac:dyDescent="0.25">
      <c r="C33" s="240"/>
      <c r="D33" s="240"/>
      <c r="E33" s="63"/>
      <c r="F33" s="63"/>
      <c r="G33" s="63"/>
      <c r="H33" s="63"/>
      <c r="I33" s="63"/>
      <c r="J33" s="63"/>
    </row>
    <row r="34" spans="3:12" x14ac:dyDescent="0.25">
      <c r="E34" s="63"/>
      <c r="F34" s="63"/>
      <c r="G34" s="63"/>
      <c r="H34" s="63"/>
      <c r="I34" s="63"/>
      <c r="J34" s="63"/>
      <c r="K34" s="63"/>
    </row>
    <row r="35" spans="3:12" x14ac:dyDescent="0.25">
      <c r="E35" s="63"/>
      <c r="F35" s="63"/>
      <c r="G35" s="63"/>
      <c r="H35" s="63"/>
      <c r="I35" s="63"/>
      <c r="J35" s="63"/>
      <c r="K35" s="63"/>
    </row>
    <row r="36" spans="3:12" x14ac:dyDescent="0.25">
      <c r="E36" s="63"/>
      <c r="F36" s="63"/>
    </row>
    <row r="37" spans="3:12" x14ac:dyDescent="0.25">
      <c r="E37" s="63"/>
      <c r="F37" s="63"/>
      <c r="G37" s="63"/>
      <c r="H37" s="63"/>
      <c r="I37" s="63"/>
      <c r="J37" s="63"/>
      <c r="K37" s="63"/>
    </row>
    <row r="39" spans="3:12" x14ac:dyDescent="0.25">
      <c r="E39" s="63"/>
      <c r="F39" s="63"/>
      <c r="G39" s="63"/>
      <c r="H39" s="63"/>
      <c r="I39" s="63"/>
      <c r="J39" s="63"/>
      <c r="K39" s="63"/>
      <c r="L39" s="263"/>
    </row>
  </sheetData>
  <mergeCells count="19">
    <mergeCell ref="I6:L6"/>
    <mergeCell ref="E3:L3"/>
    <mergeCell ref="C1:P1"/>
    <mergeCell ref="C2:P2"/>
    <mergeCell ref="A5:L5"/>
    <mergeCell ref="G9:H9"/>
    <mergeCell ref="I9:J9"/>
    <mergeCell ref="K9:K10"/>
    <mergeCell ref="L9:L10"/>
    <mergeCell ref="A7:A10"/>
    <mergeCell ref="B7:B10"/>
    <mergeCell ref="C7:C10"/>
    <mergeCell ref="D7:D10"/>
    <mergeCell ref="E7:F8"/>
    <mergeCell ref="G7:L7"/>
    <mergeCell ref="G8:J8"/>
    <mergeCell ref="K8:L8"/>
    <mergeCell ref="E9:E10"/>
    <mergeCell ref="F9:F10"/>
  </mergeCells>
  <pageMargins left="0.70866141732283472" right="0.70866141732283472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workbookViewId="0">
      <selection activeCell="I3" sqref="I3:L3"/>
    </sheetView>
  </sheetViews>
  <sheetFormatPr defaultColWidth="9.109375" defaultRowHeight="13.2" x14ac:dyDescent="0.25"/>
  <cols>
    <col min="1" max="1" width="4" style="4" customWidth="1"/>
    <col min="2" max="2" width="5" style="1" customWidth="1"/>
    <col min="3" max="3" width="53.109375" style="4" customWidth="1"/>
    <col min="4" max="4" width="10.6640625" style="1" customWidth="1"/>
    <col min="5" max="5" width="7.5546875" style="132" customWidth="1"/>
    <col min="6" max="6" width="8.5546875" style="132" customWidth="1"/>
    <col min="7" max="7" width="7.44140625" style="132" customWidth="1"/>
    <col min="8" max="8" width="8.33203125" style="132" customWidth="1"/>
    <col min="9" max="9" width="8.6640625" style="132" customWidth="1"/>
    <col min="10" max="10" width="9" style="132" customWidth="1"/>
    <col min="11" max="11" width="7.5546875" style="132" customWidth="1"/>
    <col min="12" max="16" width="9.109375" style="2" customWidth="1"/>
    <col min="17" max="259" width="9.109375" style="2"/>
    <col min="260" max="261" width="4" style="2" customWidth="1"/>
    <col min="262" max="262" width="53.109375" style="2" customWidth="1"/>
    <col min="263" max="263" width="10.6640625" style="2" customWidth="1"/>
    <col min="264" max="264" width="7.5546875" style="2" customWidth="1"/>
    <col min="265" max="265" width="7.44140625" style="2" customWidth="1"/>
    <col min="266" max="266" width="7.88671875" style="2" customWidth="1"/>
    <col min="267" max="267" width="6" style="2" customWidth="1"/>
    <col min="268" max="272" width="9.109375" style="2" customWidth="1"/>
    <col min="273" max="515" width="9.109375" style="2"/>
    <col min="516" max="517" width="4" style="2" customWidth="1"/>
    <col min="518" max="518" width="53.109375" style="2" customWidth="1"/>
    <col min="519" max="519" width="10.6640625" style="2" customWidth="1"/>
    <col min="520" max="520" width="7.5546875" style="2" customWidth="1"/>
    <col min="521" max="521" width="7.44140625" style="2" customWidth="1"/>
    <col min="522" max="522" width="7.88671875" style="2" customWidth="1"/>
    <col min="523" max="523" width="6" style="2" customWidth="1"/>
    <col min="524" max="528" width="9.109375" style="2" customWidth="1"/>
    <col min="529" max="771" width="9.109375" style="2"/>
    <col min="772" max="773" width="4" style="2" customWidth="1"/>
    <col min="774" max="774" width="53.109375" style="2" customWidth="1"/>
    <col min="775" max="775" width="10.6640625" style="2" customWidth="1"/>
    <col min="776" max="776" width="7.5546875" style="2" customWidth="1"/>
    <col min="777" max="777" width="7.44140625" style="2" customWidth="1"/>
    <col min="778" max="778" width="7.88671875" style="2" customWidth="1"/>
    <col min="779" max="779" width="6" style="2" customWidth="1"/>
    <col min="780" max="784" width="9.109375" style="2" customWidth="1"/>
    <col min="785" max="1027" width="9.109375" style="2"/>
    <col min="1028" max="1029" width="4" style="2" customWidth="1"/>
    <col min="1030" max="1030" width="53.109375" style="2" customWidth="1"/>
    <col min="1031" max="1031" width="10.6640625" style="2" customWidth="1"/>
    <col min="1032" max="1032" width="7.5546875" style="2" customWidth="1"/>
    <col min="1033" max="1033" width="7.44140625" style="2" customWidth="1"/>
    <col min="1034" max="1034" width="7.88671875" style="2" customWidth="1"/>
    <col min="1035" max="1035" width="6" style="2" customWidth="1"/>
    <col min="1036" max="1040" width="9.109375" style="2" customWidth="1"/>
    <col min="1041" max="1283" width="9.109375" style="2"/>
    <col min="1284" max="1285" width="4" style="2" customWidth="1"/>
    <col min="1286" max="1286" width="53.109375" style="2" customWidth="1"/>
    <col min="1287" max="1287" width="10.6640625" style="2" customWidth="1"/>
    <col min="1288" max="1288" width="7.5546875" style="2" customWidth="1"/>
    <col min="1289" max="1289" width="7.44140625" style="2" customWidth="1"/>
    <col min="1290" max="1290" width="7.88671875" style="2" customWidth="1"/>
    <col min="1291" max="1291" width="6" style="2" customWidth="1"/>
    <col min="1292" max="1296" width="9.109375" style="2" customWidth="1"/>
    <col min="1297" max="1539" width="9.109375" style="2"/>
    <col min="1540" max="1541" width="4" style="2" customWidth="1"/>
    <col min="1542" max="1542" width="53.109375" style="2" customWidth="1"/>
    <col min="1543" max="1543" width="10.6640625" style="2" customWidth="1"/>
    <col min="1544" max="1544" width="7.5546875" style="2" customWidth="1"/>
    <col min="1545" max="1545" width="7.44140625" style="2" customWidth="1"/>
    <col min="1546" max="1546" width="7.88671875" style="2" customWidth="1"/>
    <col min="1547" max="1547" width="6" style="2" customWidth="1"/>
    <col min="1548" max="1552" width="9.109375" style="2" customWidth="1"/>
    <col min="1553" max="1795" width="9.109375" style="2"/>
    <col min="1796" max="1797" width="4" style="2" customWidth="1"/>
    <col min="1798" max="1798" width="53.109375" style="2" customWidth="1"/>
    <col min="1799" max="1799" width="10.6640625" style="2" customWidth="1"/>
    <col min="1800" max="1800" width="7.5546875" style="2" customWidth="1"/>
    <col min="1801" max="1801" width="7.44140625" style="2" customWidth="1"/>
    <col min="1802" max="1802" width="7.88671875" style="2" customWidth="1"/>
    <col min="1803" max="1803" width="6" style="2" customWidth="1"/>
    <col min="1804" max="1808" width="9.109375" style="2" customWidth="1"/>
    <col min="1809" max="2051" width="9.109375" style="2"/>
    <col min="2052" max="2053" width="4" style="2" customWidth="1"/>
    <col min="2054" max="2054" width="53.109375" style="2" customWidth="1"/>
    <col min="2055" max="2055" width="10.6640625" style="2" customWidth="1"/>
    <col min="2056" max="2056" width="7.5546875" style="2" customWidth="1"/>
    <col min="2057" max="2057" width="7.44140625" style="2" customWidth="1"/>
    <col min="2058" max="2058" width="7.88671875" style="2" customWidth="1"/>
    <col min="2059" max="2059" width="6" style="2" customWidth="1"/>
    <col min="2060" max="2064" width="9.109375" style="2" customWidth="1"/>
    <col min="2065" max="2307" width="9.109375" style="2"/>
    <col min="2308" max="2309" width="4" style="2" customWidth="1"/>
    <col min="2310" max="2310" width="53.109375" style="2" customWidth="1"/>
    <col min="2311" max="2311" width="10.6640625" style="2" customWidth="1"/>
    <col min="2312" max="2312" width="7.5546875" style="2" customWidth="1"/>
    <col min="2313" max="2313" width="7.44140625" style="2" customWidth="1"/>
    <col min="2314" max="2314" width="7.88671875" style="2" customWidth="1"/>
    <col min="2315" max="2315" width="6" style="2" customWidth="1"/>
    <col min="2316" max="2320" width="9.109375" style="2" customWidth="1"/>
    <col min="2321" max="2563" width="9.109375" style="2"/>
    <col min="2564" max="2565" width="4" style="2" customWidth="1"/>
    <col min="2566" max="2566" width="53.109375" style="2" customWidth="1"/>
    <col min="2567" max="2567" width="10.6640625" style="2" customWidth="1"/>
    <col min="2568" max="2568" width="7.5546875" style="2" customWidth="1"/>
    <col min="2569" max="2569" width="7.44140625" style="2" customWidth="1"/>
    <col min="2570" max="2570" width="7.88671875" style="2" customWidth="1"/>
    <col min="2571" max="2571" width="6" style="2" customWidth="1"/>
    <col min="2572" max="2576" width="9.109375" style="2" customWidth="1"/>
    <col min="2577" max="2819" width="9.109375" style="2"/>
    <col min="2820" max="2821" width="4" style="2" customWidth="1"/>
    <col min="2822" max="2822" width="53.109375" style="2" customWidth="1"/>
    <col min="2823" max="2823" width="10.6640625" style="2" customWidth="1"/>
    <col min="2824" max="2824" width="7.5546875" style="2" customWidth="1"/>
    <col min="2825" max="2825" width="7.44140625" style="2" customWidth="1"/>
    <col min="2826" max="2826" width="7.88671875" style="2" customWidth="1"/>
    <col min="2827" max="2827" width="6" style="2" customWidth="1"/>
    <col min="2828" max="2832" width="9.109375" style="2" customWidth="1"/>
    <col min="2833" max="3075" width="9.109375" style="2"/>
    <col min="3076" max="3077" width="4" style="2" customWidth="1"/>
    <col min="3078" max="3078" width="53.109375" style="2" customWidth="1"/>
    <col min="3079" max="3079" width="10.6640625" style="2" customWidth="1"/>
    <col min="3080" max="3080" width="7.5546875" style="2" customWidth="1"/>
    <col min="3081" max="3081" width="7.44140625" style="2" customWidth="1"/>
    <col min="3082" max="3082" width="7.88671875" style="2" customWidth="1"/>
    <col min="3083" max="3083" width="6" style="2" customWidth="1"/>
    <col min="3084" max="3088" width="9.109375" style="2" customWidth="1"/>
    <col min="3089" max="3331" width="9.109375" style="2"/>
    <col min="3332" max="3333" width="4" style="2" customWidth="1"/>
    <col min="3334" max="3334" width="53.109375" style="2" customWidth="1"/>
    <col min="3335" max="3335" width="10.6640625" style="2" customWidth="1"/>
    <col min="3336" max="3336" width="7.5546875" style="2" customWidth="1"/>
    <col min="3337" max="3337" width="7.44140625" style="2" customWidth="1"/>
    <col min="3338" max="3338" width="7.88671875" style="2" customWidth="1"/>
    <col min="3339" max="3339" width="6" style="2" customWidth="1"/>
    <col min="3340" max="3344" width="9.109375" style="2" customWidth="1"/>
    <col min="3345" max="3587" width="9.109375" style="2"/>
    <col min="3588" max="3589" width="4" style="2" customWidth="1"/>
    <col min="3590" max="3590" width="53.109375" style="2" customWidth="1"/>
    <col min="3591" max="3591" width="10.6640625" style="2" customWidth="1"/>
    <col min="3592" max="3592" width="7.5546875" style="2" customWidth="1"/>
    <col min="3593" max="3593" width="7.44140625" style="2" customWidth="1"/>
    <col min="3594" max="3594" width="7.88671875" style="2" customWidth="1"/>
    <col min="3595" max="3595" width="6" style="2" customWidth="1"/>
    <col min="3596" max="3600" width="9.109375" style="2" customWidth="1"/>
    <col min="3601" max="3843" width="9.109375" style="2"/>
    <col min="3844" max="3845" width="4" style="2" customWidth="1"/>
    <col min="3846" max="3846" width="53.109375" style="2" customWidth="1"/>
    <col min="3847" max="3847" width="10.6640625" style="2" customWidth="1"/>
    <col min="3848" max="3848" width="7.5546875" style="2" customWidth="1"/>
    <col min="3849" max="3849" width="7.44140625" style="2" customWidth="1"/>
    <col min="3850" max="3850" width="7.88671875" style="2" customWidth="1"/>
    <col min="3851" max="3851" width="6" style="2" customWidth="1"/>
    <col min="3852" max="3856" width="9.109375" style="2" customWidth="1"/>
    <col min="3857" max="4099" width="9.109375" style="2"/>
    <col min="4100" max="4101" width="4" style="2" customWidth="1"/>
    <col min="4102" max="4102" width="53.109375" style="2" customWidth="1"/>
    <col min="4103" max="4103" width="10.6640625" style="2" customWidth="1"/>
    <col min="4104" max="4104" width="7.5546875" style="2" customWidth="1"/>
    <col min="4105" max="4105" width="7.44140625" style="2" customWidth="1"/>
    <col min="4106" max="4106" width="7.88671875" style="2" customWidth="1"/>
    <col min="4107" max="4107" width="6" style="2" customWidth="1"/>
    <col min="4108" max="4112" width="9.109375" style="2" customWidth="1"/>
    <col min="4113" max="4355" width="9.109375" style="2"/>
    <col min="4356" max="4357" width="4" style="2" customWidth="1"/>
    <col min="4358" max="4358" width="53.109375" style="2" customWidth="1"/>
    <col min="4359" max="4359" width="10.6640625" style="2" customWidth="1"/>
    <col min="4360" max="4360" width="7.5546875" style="2" customWidth="1"/>
    <col min="4361" max="4361" width="7.44140625" style="2" customWidth="1"/>
    <col min="4362" max="4362" width="7.88671875" style="2" customWidth="1"/>
    <col min="4363" max="4363" width="6" style="2" customWidth="1"/>
    <col min="4364" max="4368" width="9.109375" style="2" customWidth="1"/>
    <col min="4369" max="4611" width="9.109375" style="2"/>
    <col min="4612" max="4613" width="4" style="2" customWidth="1"/>
    <col min="4614" max="4614" width="53.109375" style="2" customWidth="1"/>
    <col min="4615" max="4615" width="10.6640625" style="2" customWidth="1"/>
    <col min="4616" max="4616" width="7.5546875" style="2" customWidth="1"/>
    <col min="4617" max="4617" width="7.44140625" style="2" customWidth="1"/>
    <col min="4618" max="4618" width="7.88671875" style="2" customWidth="1"/>
    <col min="4619" max="4619" width="6" style="2" customWidth="1"/>
    <col min="4620" max="4624" width="9.109375" style="2" customWidth="1"/>
    <col min="4625" max="4867" width="9.109375" style="2"/>
    <col min="4868" max="4869" width="4" style="2" customWidth="1"/>
    <col min="4870" max="4870" width="53.109375" style="2" customWidth="1"/>
    <col min="4871" max="4871" width="10.6640625" style="2" customWidth="1"/>
    <col min="4872" max="4872" width="7.5546875" style="2" customWidth="1"/>
    <col min="4873" max="4873" width="7.44140625" style="2" customWidth="1"/>
    <col min="4874" max="4874" width="7.88671875" style="2" customWidth="1"/>
    <col min="4875" max="4875" width="6" style="2" customWidth="1"/>
    <col min="4876" max="4880" width="9.109375" style="2" customWidth="1"/>
    <col min="4881" max="5123" width="9.109375" style="2"/>
    <col min="5124" max="5125" width="4" style="2" customWidth="1"/>
    <col min="5126" max="5126" width="53.109375" style="2" customWidth="1"/>
    <col min="5127" max="5127" width="10.6640625" style="2" customWidth="1"/>
    <col min="5128" max="5128" width="7.5546875" style="2" customWidth="1"/>
    <col min="5129" max="5129" width="7.44140625" style="2" customWidth="1"/>
    <col min="5130" max="5130" width="7.88671875" style="2" customWidth="1"/>
    <col min="5131" max="5131" width="6" style="2" customWidth="1"/>
    <col min="5132" max="5136" width="9.109375" style="2" customWidth="1"/>
    <col min="5137" max="5379" width="9.109375" style="2"/>
    <col min="5380" max="5381" width="4" style="2" customWidth="1"/>
    <col min="5382" max="5382" width="53.109375" style="2" customWidth="1"/>
    <col min="5383" max="5383" width="10.6640625" style="2" customWidth="1"/>
    <col min="5384" max="5384" width="7.5546875" style="2" customWidth="1"/>
    <col min="5385" max="5385" width="7.44140625" style="2" customWidth="1"/>
    <col min="5386" max="5386" width="7.88671875" style="2" customWidth="1"/>
    <col min="5387" max="5387" width="6" style="2" customWidth="1"/>
    <col min="5388" max="5392" width="9.109375" style="2" customWidth="1"/>
    <col min="5393" max="5635" width="9.109375" style="2"/>
    <col min="5636" max="5637" width="4" style="2" customWidth="1"/>
    <col min="5638" max="5638" width="53.109375" style="2" customWidth="1"/>
    <col min="5639" max="5639" width="10.6640625" style="2" customWidth="1"/>
    <col min="5640" max="5640" width="7.5546875" style="2" customWidth="1"/>
    <col min="5641" max="5641" width="7.44140625" style="2" customWidth="1"/>
    <col min="5642" max="5642" width="7.88671875" style="2" customWidth="1"/>
    <col min="5643" max="5643" width="6" style="2" customWidth="1"/>
    <col min="5644" max="5648" width="9.109375" style="2" customWidth="1"/>
    <col min="5649" max="5891" width="9.109375" style="2"/>
    <col min="5892" max="5893" width="4" style="2" customWidth="1"/>
    <col min="5894" max="5894" width="53.109375" style="2" customWidth="1"/>
    <col min="5895" max="5895" width="10.6640625" style="2" customWidth="1"/>
    <col min="5896" max="5896" width="7.5546875" style="2" customWidth="1"/>
    <col min="5897" max="5897" width="7.44140625" style="2" customWidth="1"/>
    <col min="5898" max="5898" width="7.88671875" style="2" customWidth="1"/>
    <col min="5899" max="5899" width="6" style="2" customWidth="1"/>
    <col min="5900" max="5904" width="9.109375" style="2" customWidth="1"/>
    <col min="5905" max="6147" width="9.109375" style="2"/>
    <col min="6148" max="6149" width="4" style="2" customWidth="1"/>
    <col min="6150" max="6150" width="53.109375" style="2" customWidth="1"/>
    <col min="6151" max="6151" width="10.6640625" style="2" customWidth="1"/>
    <col min="6152" max="6152" width="7.5546875" style="2" customWidth="1"/>
    <col min="6153" max="6153" width="7.44140625" style="2" customWidth="1"/>
    <col min="6154" max="6154" width="7.88671875" style="2" customWidth="1"/>
    <col min="6155" max="6155" width="6" style="2" customWidth="1"/>
    <col min="6156" max="6160" width="9.109375" style="2" customWidth="1"/>
    <col min="6161" max="6403" width="9.109375" style="2"/>
    <col min="6404" max="6405" width="4" style="2" customWidth="1"/>
    <col min="6406" max="6406" width="53.109375" style="2" customWidth="1"/>
    <col min="6407" max="6407" width="10.6640625" style="2" customWidth="1"/>
    <col min="6408" max="6408" width="7.5546875" style="2" customWidth="1"/>
    <col min="6409" max="6409" width="7.44140625" style="2" customWidth="1"/>
    <col min="6410" max="6410" width="7.88671875" style="2" customWidth="1"/>
    <col min="6411" max="6411" width="6" style="2" customWidth="1"/>
    <col min="6412" max="6416" width="9.109375" style="2" customWidth="1"/>
    <col min="6417" max="6659" width="9.109375" style="2"/>
    <col min="6660" max="6661" width="4" style="2" customWidth="1"/>
    <col min="6662" max="6662" width="53.109375" style="2" customWidth="1"/>
    <col min="6663" max="6663" width="10.6640625" style="2" customWidth="1"/>
    <col min="6664" max="6664" width="7.5546875" style="2" customWidth="1"/>
    <col min="6665" max="6665" width="7.44140625" style="2" customWidth="1"/>
    <col min="6666" max="6666" width="7.88671875" style="2" customWidth="1"/>
    <col min="6667" max="6667" width="6" style="2" customWidth="1"/>
    <col min="6668" max="6672" width="9.109375" style="2" customWidth="1"/>
    <col min="6673" max="6915" width="9.109375" style="2"/>
    <col min="6916" max="6917" width="4" style="2" customWidth="1"/>
    <col min="6918" max="6918" width="53.109375" style="2" customWidth="1"/>
    <col min="6919" max="6919" width="10.6640625" style="2" customWidth="1"/>
    <col min="6920" max="6920" width="7.5546875" style="2" customWidth="1"/>
    <col min="6921" max="6921" width="7.44140625" style="2" customWidth="1"/>
    <col min="6922" max="6922" width="7.88671875" style="2" customWidth="1"/>
    <col min="6923" max="6923" width="6" style="2" customWidth="1"/>
    <col min="6924" max="6928" width="9.109375" style="2" customWidth="1"/>
    <col min="6929" max="7171" width="9.109375" style="2"/>
    <col min="7172" max="7173" width="4" style="2" customWidth="1"/>
    <col min="7174" max="7174" width="53.109375" style="2" customWidth="1"/>
    <col min="7175" max="7175" width="10.6640625" style="2" customWidth="1"/>
    <col min="7176" max="7176" width="7.5546875" style="2" customWidth="1"/>
    <col min="7177" max="7177" width="7.44140625" style="2" customWidth="1"/>
    <col min="7178" max="7178" width="7.88671875" style="2" customWidth="1"/>
    <col min="7179" max="7179" width="6" style="2" customWidth="1"/>
    <col min="7180" max="7184" width="9.109375" style="2" customWidth="1"/>
    <col min="7185" max="7427" width="9.109375" style="2"/>
    <col min="7428" max="7429" width="4" style="2" customWidth="1"/>
    <col min="7430" max="7430" width="53.109375" style="2" customWidth="1"/>
    <col min="7431" max="7431" width="10.6640625" style="2" customWidth="1"/>
    <col min="7432" max="7432" width="7.5546875" style="2" customWidth="1"/>
    <col min="7433" max="7433" width="7.44140625" style="2" customWidth="1"/>
    <col min="7434" max="7434" width="7.88671875" style="2" customWidth="1"/>
    <col min="7435" max="7435" width="6" style="2" customWidth="1"/>
    <col min="7436" max="7440" width="9.109375" style="2" customWidth="1"/>
    <col min="7441" max="7683" width="9.109375" style="2"/>
    <col min="7684" max="7685" width="4" style="2" customWidth="1"/>
    <col min="7686" max="7686" width="53.109375" style="2" customWidth="1"/>
    <col min="7687" max="7687" width="10.6640625" style="2" customWidth="1"/>
    <col min="7688" max="7688" width="7.5546875" style="2" customWidth="1"/>
    <col min="7689" max="7689" width="7.44140625" style="2" customWidth="1"/>
    <col min="7690" max="7690" width="7.88671875" style="2" customWidth="1"/>
    <col min="7691" max="7691" width="6" style="2" customWidth="1"/>
    <col min="7692" max="7696" width="9.109375" style="2" customWidth="1"/>
    <col min="7697" max="7939" width="9.109375" style="2"/>
    <col min="7940" max="7941" width="4" style="2" customWidth="1"/>
    <col min="7942" max="7942" width="53.109375" style="2" customWidth="1"/>
    <col min="7943" max="7943" width="10.6640625" style="2" customWidth="1"/>
    <col min="7944" max="7944" width="7.5546875" style="2" customWidth="1"/>
    <col min="7945" max="7945" width="7.44140625" style="2" customWidth="1"/>
    <col min="7946" max="7946" width="7.88671875" style="2" customWidth="1"/>
    <col min="7947" max="7947" width="6" style="2" customWidth="1"/>
    <col min="7948" max="7952" width="9.109375" style="2" customWidth="1"/>
    <col min="7953" max="8195" width="9.109375" style="2"/>
    <col min="8196" max="8197" width="4" style="2" customWidth="1"/>
    <col min="8198" max="8198" width="53.109375" style="2" customWidth="1"/>
    <col min="8199" max="8199" width="10.6640625" style="2" customWidth="1"/>
    <col min="8200" max="8200" width="7.5546875" style="2" customWidth="1"/>
    <col min="8201" max="8201" width="7.44140625" style="2" customWidth="1"/>
    <col min="8202" max="8202" width="7.88671875" style="2" customWidth="1"/>
    <col min="8203" max="8203" width="6" style="2" customWidth="1"/>
    <col min="8204" max="8208" width="9.109375" style="2" customWidth="1"/>
    <col min="8209" max="8451" width="9.109375" style="2"/>
    <col min="8452" max="8453" width="4" style="2" customWidth="1"/>
    <col min="8454" max="8454" width="53.109375" style="2" customWidth="1"/>
    <col min="8455" max="8455" width="10.6640625" style="2" customWidth="1"/>
    <col min="8456" max="8456" width="7.5546875" style="2" customWidth="1"/>
    <col min="8457" max="8457" width="7.44140625" style="2" customWidth="1"/>
    <col min="8458" max="8458" width="7.88671875" style="2" customWidth="1"/>
    <col min="8459" max="8459" width="6" style="2" customWidth="1"/>
    <col min="8460" max="8464" width="9.109375" style="2" customWidth="1"/>
    <col min="8465" max="8707" width="9.109375" style="2"/>
    <col min="8708" max="8709" width="4" style="2" customWidth="1"/>
    <col min="8710" max="8710" width="53.109375" style="2" customWidth="1"/>
    <col min="8711" max="8711" width="10.6640625" style="2" customWidth="1"/>
    <col min="8712" max="8712" width="7.5546875" style="2" customWidth="1"/>
    <col min="8713" max="8713" width="7.44140625" style="2" customWidth="1"/>
    <col min="8714" max="8714" width="7.88671875" style="2" customWidth="1"/>
    <col min="8715" max="8715" width="6" style="2" customWidth="1"/>
    <col min="8716" max="8720" width="9.109375" style="2" customWidth="1"/>
    <col min="8721" max="8963" width="9.109375" style="2"/>
    <col min="8964" max="8965" width="4" style="2" customWidth="1"/>
    <col min="8966" max="8966" width="53.109375" style="2" customWidth="1"/>
    <col min="8967" max="8967" width="10.6640625" style="2" customWidth="1"/>
    <col min="8968" max="8968" width="7.5546875" style="2" customWidth="1"/>
    <col min="8969" max="8969" width="7.44140625" style="2" customWidth="1"/>
    <col min="8970" max="8970" width="7.88671875" style="2" customWidth="1"/>
    <col min="8971" max="8971" width="6" style="2" customWidth="1"/>
    <col min="8972" max="8976" width="9.109375" style="2" customWidth="1"/>
    <col min="8977" max="9219" width="9.109375" style="2"/>
    <col min="9220" max="9221" width="4" style="2" customWidth="1"/>
    <col min="9222" max="9222" width="53.109375" style="2" customWidth="1"/>
    <col min="9223" max="9223" width="10.6640625" style="2" customWidth="1"/>
    <col min="9224" max="9224" width="7.5546875" style="2" customWidth="1"/>
    <col min="9225" max="9225" width="7.44140625" style="2" customWidth="1"/>
    <col min="9226" max="9226" width="7.88671875" style="2" customWidth="1"/>
    <col min="9227" max="9227" width="6" style="2" customWidth="1"/>
    <col min="9228" max="9232" width="9.109375" style="2" customWidth="1"/>
    <col min="9233" max="9475" width="9.109375" style="2"/>
    <col min="9476" max="9477" width="4" style="2" customWidth="1"/>
    <col min="9478" max="9478" width="53.109375" style="2" customWidth="1"/>
    <col min="9479" max="9479" width="10.6640625" style="2" customWidth="1"/>
    <col min="9480" max="9480" width="7.5546875" style="2" customWidth="1"/>
    <col min="9481" max="9481" width="7.44140625" style="2" customWidth="1"/>
    <col min="9482" max="9482" width="7.88671875" style="2" customWidth="1"/>
    <col min="9483" max="9483" width="6" style="2" customWidth="1"/>
    <col min="9484" max="9488" width="9.109375" style="2" customWidth="1"/>
    <col min="9489" max="9731" width="9.109375" style="2"/>
    <col min="9732" max="9733" width="4" style="2" customWidth="1"/>
    <col min="9734" max="9734" width="53.109375" style="2" customWidth="1"/>
    <col min="9735" max="9735" width="10.6640625" style="2" customWidth="1"/>
    <col min="9736" max="9736" width="7.5546875" style="2" customWidth="1"/>
    <col min="9737" max="9737" width="7.44140625" style="2" customWidth="1"/>
    <col min="9738" max="9738" width="7.88671875" style="2" customWidth="1"/>
    <col min="9739" max="9739" width="6" style="2" customWidth="1"/>
    <col min="9740" max="9744" width="9.109375" style="2" customWidth="1"/>
    <col min="9745" max="9987" width="9.109375" style="2"/>
    <col min="9988" max="9989" width="4" style="2" customWidth="1"/>
    <col min="9990" max="9990" width="53.109375" style="2" customWidth="1"/>
    <col min="9991" max="9991" width="10.6640625" style="2" customWidth="1"/>
    <col min="9992" max="9992" width="7.5546875" style="2" customWidth="1"/>
    <col min="9993" max="9993" width="7.44140625" style="2" customWidth="1"/>
    <col min="9994" max="9994" width="7.88671875" style="2" customWidth="1"/>
    <col min="9995" max="9995" width="6" style="2" customWidth="1"/>
    <col min="9996" max="10000" width="9.109375" style="2" customWidth="1"/>
    <col min="10001" max="10243" width="9.109375" style="2"/>
    <col min="10244" max="10245" width="4" style="2" customWidth="1"/>
    <col min="10246" max="10246" width="53.109375" style="2" customWidth="1"/>
    <col min="10247" max="10247" width="10.6640625" style="2" customWidth="1"/>
    <col min="10248" max="10248" width="7.5546875" style="2" customWidth="1"/>
    <col min="10249" max="10249" width="7.44140625" style="2" customWidth="1"/>
    <col min="10250" max="10250" width="7.88671875" style="2" customWidth="1"/>
    <col min="10251" max="10251" width="6" style="2" customWidth="1"/>
    <col min="10252" max="10256" width="9.109375" style="2" customWidth="1"/>
    <col min="10257" max="10499" width="9.109375" style="2"/>
    <col min="10500" max="10501" width="4" style="2" customWidth="1"/>
    <col min="10502" max="10502" width="53.109375" style="2" customWidth="1"/>
    <col min="10503" max="10503" width="10.6640625" style="2" customWidth="1"/>
    <col min="10504" max="10504" width="7.5546875" style="2" customWidth="1"/>
    <col min="10505" max="10505" width="7.44140625" style="2" customWidth="1"/>
    <col min="10506" max="10506" width="7.88671875" style="2" customWidth="1"/>
    <col min="10507" max="10507" width="6" style="2" customWidth="1"/>
    <col min="10508" max="10512" width="9.109375" style="2" customWidth="1"/>
    <col min="10513" max="10755" width="9.109375" style="2"/>
    <col min="10756" max="10757" width="4" style="2" customWidth="1"/>
    <col min="10758" max="10758" width="53.109375" style="2" customWidth="1"/>
    <col min="10759" max="10759" width="10.6640625" style="2" customWidth="1"/>
    <col min="10760" max="10760" width="7.5546875" style="2" customWidth="1"/>
    <col min="10761" max="10761" width="7.44140625" style="2" customWidth="1"/>
    <col min="10762" max="10762" width="7.88671875" style="2" customWidth="1"/>
    <col min="10763" max="10763" width="6" style="2" customWidth="1"/>
    <col min="10764" max="10768" width="9.109375" style="2" customWidth="1"/>
    <col min="10769" max="11011" width="9.109375" style="2"/>
    <col min="11012" max="11013" width="4" style="2" customWidth="1"/>
    <col min="11014" max="11014" width="53.109375" style="2" customWidth="1"/>
    <col min="11015" max="11015" width="10.6640625" style="2" customWidth="1"/>
    <col min="11016" max="11016" width="7.5546875" style="2" customWidth="1"/>
    <col min="11017" max="11017" width="7.44140625" style="2" customWidth="1"/>
    <col min="11018" max="11018" width="7.88671875" style="2" customWidth="1"/>
    <col min="11019" max="11019" width="6" style="2" customWidth="1"/>
    <col min="11020" max="11024" width="9.109375" style="2" customWidth="1"/>
    <col min="11025" max="11267" width="9.109375" style="2"/>
    <col min="11268" max="11269" width="4" style="2" customWidth="1"/>
    <col min="11270" max="11270" width="53.109375" style="2" customWidth="1"/>
    <col min="11271" max="11271" width="10.6640625" style="2" customWidth="1"/>
    <col min="11272" max="11272" width="7.5546875" style="2" customWidth="1"/>
    <col min="11273" max="11273" width="7.44140625" style="2" customWidth="1"/>
    <col min="11274" max="11274" width="7.88671875" style="2" customWidth="1"/>
    <col min="11275" max="11275" width="6" style="2" customWidth="1"/>
    <col min="11276" max="11280" width="9.109375" style="2" customWidth="1"/>
    <col min="11281" max="11523" width="9.109375" style="2"/>
    <col min="11524" max="11525" width="4" style="2" customWidth="1"/>
    <col min="11526" max="11526" width="53.109375" style="2" customWidth="1"/>
    <col min="11527" max="11527" width="10.6640625" style="2" customWidth="1"/>
    <col min="11528" max="11528" width="7.5546875" style="2" customWidth="1"/>
    <col min="11529" max="11529" width="7.44140625" style="2" customWidth="1"/>
    <col min="11530" max="11530" width="7.88671875" style="2" customWidth="1"/>
    <col min="11531" max="11531" width="6" style="2" customWidth="1"/>
    <col min="11532" max="11536" width="9.109375" style="2" customWidth="1"/>
    <col min="11537" max="11779" width="9.109375" style="2"/>
    <col min="11780" max="11781" width="4" style="2" customWidth="1"/>
    <col min="11782" max="11782" width="53.109375" style="2" customWidth="1"/>
    <col min="11783" max="11783" width="10.6640625" style="2" customWidth="1"/>
    <col min="11784" max="11784" width="7.5546875" style="2" customWidth="1"/>
    <col min="11785" max="11785" width="7.44140625" style="2" customWidth="1"/>
    <col min="11786" max="11786" width="7.88671875" style="2" customWidth="1"/>
    <col min="11787" max="11787" width="6" style="2" customWidth="1"/>
    <col min="11788" max="11792" width="9.109375" style="2" customWidth="1"/>
    <col min="11793" max="12035" width="9.109375" style="2"/>
    <col min="12036" max="12037" width="4" style="2" customWidth="1"/>
    <col min="12038" max="12038" width="53.109375" style="2" customWidth="1"/>
    <col min="12039" max="12039" width="10.6640625" style="2" customWidth="1"/>
    <col min="12040" max="12040" width="7.5546875" style="2" customWidth="1"/>
    <col min="12041" max="12041" width="7.44140625" style="2" customWidth="1"/>
    <col min="12042" max="12042" width="7.88671875" style="2" customWidth="1"/>
    <col min="12043" max="12043" width="6" style="2" customWidth="1"/>
    <col min="12044" max="12048" width="9.109375" style="2" customWidth="1"/>
    <col min="12049" max="12291" width="9.109375" style="2"/>
    <col min="12292" max="12293" width="4" style="2" customWidth="1"/>
    <col min="12294" max="12294" width="53.109375" style="2" customWidth="1"/>
    <col min="12295" max="12295" width="10.6640625" style="2" customWidth="1"/>
    <col min="12296" max="12296" width="7.5546875" style="2" customWidth="1"/>
    <col min="12297" max="12297" width="7.44140625" style="2" customWidth="1"/>
    <col min="12298" max="12298" width="7.88671875" style="2" customWidth="1"/>
    <col min="12299" max="12299" width="6" style="2" customWidth="1"/>
    <col min="12300" max="12304" width="9.109375" style="2" customWidth="1"/>
    <col min="12305" max="12547" width="9.109375" style="2"/>
    <col min="12548" max="12549" width="4" style="2" customWidth="1"/>
    <col min="12550" max="12550" width="53.109375" style="2" customWidth="1"/>
    <col min="12551" max="12551" width="10.6640625" style="2" customWidth="1"/>
    <col min="12552" max="12552" width="7.5546875" style="2" customWidth="1"/>
    <col min="12553" max="12553" width="7.44140625" style="2" customWidth="1"/>
    <col min="12554" max="12554" width="7.88671875" style="2" customWidth="1"/>
    <col min="12555" max="12555" width="6" style="2" customWidth="1"/>
    <col min="12556" max="12560" width="9.109375" style="2" customWidth="1"/>
    <col min="12561" max="12803" width="9.109375" style="2"/>
    <col min="12804" max="12805" width="4" style="2" customWidth="1"/>
    <col min="12806" max="12806" width="53.109375" style="2" customWidth="1"/>
    <col min="12807" max="12807" width="10.6640625" style="2" customWidth="1"/>
    <col min="12808" max="12808" width="7.5546875" style="2" customWidth="1"/>
    <col min="12809" max="12809" width="7.44140625" style="2" customWidth="1"/>
    <col min="12810" max="12810" width="7.88671875" style="2" customWidth="1"/>
    <col min="12811" max="12811" width="6" style="2" customWidth="1"/>
    <col min="12812" max="12816" width="9.109375" style="2" customWidth="1"/>
    <col min="12817" max="13059" width="9.109375" style="2"/>
    <col min="13060" max="13061" width="4" style="2" customWidth="1"/>
    <col min="13062" max="13062" width="53.109375" style="2" customWidth="1"/>
    <col min="13063" max="13063" width="10.6640625" style="2" customWidth="1"/>
    <col min="13064" max="13064" width="7.5546875" style="2" customWidth="1"/>
    <col min="13065" max="13065" width="7.44140625" style="2" customWidth="1"/>
    <col min="13066" max="13066" width="7.88671875" style="2" customWidth="1"/>
    <col min="13067" max="13067" width="6" style="2" customWidth="1"/>
    <col min="13068" max="13072" width="9.109375" style="2" customWidth="1"/>
    <col min="13073" max="13315" width="9.109375" style="2"/>
    <col min="13316" max="13317" width="4" style="2" customWidth="1"/>
    <col min="13318" max="13318" width="53.109375" style="2" customWidth="1"/>
    <col min="13319" max="13319" width="10.6640625" style="2" customWidth="1"/>
    <col min="13320" max="13320" width="7.5546875" style="2" customWidth="1"/>
    <col min="13321" max="13321" width="7.44140625" style="2" customWidth="1"/>
    <col min="13322" max="13322" width="7.88671875" style="2" customWidth="1"/>
    <col min="13323" max="13323" width="6" style="2" customWidth="1"/>
    <col min="13324" max="13328" width="9.109375" style="2" customWidth="1"/>
    <col min="13329" max="13571" width="9.109375" style="2"/>
    <col min="13572" max="13573" width="4" style="2" customWidth="1"/>
    <col min="13574" max="13574" width="53.109375" style="2" customWidth="1"/>
    <col min="13575" max="13575" width="10.6640625" style="2" customWidth="1"/>
    <col min="13576" max="13576" width="7.5546875" style="2" customWidth="1"/>
    <col min="13577" max="13577" width="7.44140625" style="2" customWidth="1"/>
    <col min="13578" max="13578" width="7.88671875" style="2" customWidth="1"/>
    <col min="13579" max="13579" width="6" style="2" customWidth="1"/>
    <col min="13580" max="13584" width="9.109375" style="2" customWidth="1"/>
    <col min="13585" max="13827" width="9.109375" style="2"/>
    <col min="13828" max="13829" width="4" style="2" customWidth="1"/>
    <col min="13830" max="13830" width="53.109375" style="2" customWidth="1"/>
    <col min="13831" max="13831" width="10.6640625" style="2" customWidth="1"/>
    <col min="13832" max="13832" width="7.5546875" style="2" customWidth="1"/>
    <col min="13833" max="13833" width="7.44140625" style="2" customWidth="1"/>
    <col min="13834" max="13834" width="7.88671875" style="2" customWidth="1"/>
    <col min="13835" max="13835" width="6" style="2" customWidth="1"/>
    <col min="13836" max="13840" width="9.109375" style="2" customWidth="1"/>
    <col min="13841" max="14083" width="9.109375" style="2"/>
    <col min="14084" max="14085" width="4" style="2" customWidth="1"/>
    <col min="14086" max="14086" width="53.109375" style="2" customWidth="1"/>
    <col min="14087" max="14087" width="10.6640625" style="2" customWidth="1"/>
    <col min="14088" max="14088" width="7.5546875" style="2" customWidth="1"/>
    <col min="14089" max="14089" width="7.44140625" style="2" customWidth="1"/>
    <col min="14090" max="14090" width="7.88671875" style="2" customWidth="1"/>
    <col min="14091" max="14091" width="6" style="2" customWidth="1"/>
    <col min="14092" max="14096" width="9.109375" style="2" customWidth="1"/>
    <col min="14097" max="14339" width="9.109375" style="2"/>
    <col min="14340" max="14341" width="4" style="2" customWidth="1"/>
    <col min="14342" max="14342" width="53.109375" style="2" customWidth="1"/>
    <col min="14343" max="14343" width="10.6640625" style="2" customWidth="1"/>
    <col min="14344" max="14344" width="7.5546875" style="2" customWidth="1"/>
    <col min="14345" max="14345" width="7.44140625" style="2" customWidth="1"/>
    <col min="14346" max="14346" width="7.88671875" style="2" customWidth="1"/>
    <col min="14347" max="14347" width="6" style="2" customWidth="1"/>
    <col min="14348" max="14352" width="9.109375" style="2" customWidth="1"/>
    <col min="14353" max="14595" width="9.109375" style="2"/>
    <col min="14596" max="14597" width="4" style="2" customWidth="1"/>
    <col min="14598" max="14598" width="53.109375" style="2" customWidth="1"/>
    <col min="14599" max="14599" width="10.6640625" style="2" customWidth="1"/>
    <col min="14600" max="14600" width="7.5546875" style="2" customWidth="1"/>
    <col min="14601" max="14601" width="7.44140625" style="2" customWidth="1"/>
    <col min="14602" max="14602" width="7.88671875" style="2" customWidth="1"/>
    <col min="14603" max="14603" width="6" style="2" customWidth="1"/>
    <col min="14604" max="14608" width="9.109375" style="2" customWidth="1"/>
    <col min="14609" max="14851" width="9.109375" style="2"/>
    <col min="14852" max="14853" width="4" style="2" customWidth="1"/>
    <col min="14854" max="14854" width="53.109375" style="2" customWidth="1"/>
    <col min="14855" max="14855" width="10.6640625" style="2" customWidth="1"/>
    <col min="14856" max="14856" width="7.5546875" style="2" customWidth="1"/>
    <col min="14857" max="14857" width="7.44140625" style="2" customWidth="1"/>
    <col min="14858" max="14858" width="7.88671875" style="2" customWidth="1"/>
    <col min="14859" max="14859" width="6" style="2" customWidth="1"/>
    <col min="14860" max="14864" width="9.109375" style="2" customWidth="1"/>
    <col min="14865" max="15107" width="9.109375" style="2"/>
    <col min="15108" max="15109" width="4" style="2" customWidth="1"/>
    <col min="15110" max="15110" width="53.109375" style="2" customWidth="1"/>
    <col min="15111" max="15111" width="10.6640625" style="2" customWidth="1"/>
    <col min="15112" max="15112" width="7.5546875" style="2" customWidth="1"/>
    <col min="15113" max="15113" width="7.44140625" style="2" customWidth="1"/>
    <col min="15114" max="15114" width="7.88671875" style="2" customWidth="1"/>
    <col min="15115" max="15115" width="6" style="2" customWidth="1"/>
    <col min="15116" max="15120" width="9.109375" style="2" customWidth="1"/>
    <col min="15121" max="15363" width="9.109375" style="2"/>
    <col min="15364" max="15365" width="4" style="2" customWidth="1"/>
    <col min="15366" max="15366" width="53.109375" style="2" customWidth="1"/>
    <col min="15367" max="15367" width="10.6640625" style="2" customWidth="1"/>
    <col min="15368" max="15368" width="7.5546875" style="2" customWidth="1"/>
    <col min="15369" max="15369" width="7.44140625" style="2" customWidth="1"/>
    <col min="15370" max="15370" width="7.88671875" style="2" customWidth="1"/>
    <col min="15371" max="15371" width="6" style="2" customWidth="1"/>
    <col min="15372" max="15376" width="9.109375" style="2" customWidth="1"/>
    <col min="15377" max="15619" width="9.109375" style="2"/>
    <col min="15620" max="15621" width="4" style="2" customWidth="1"/>
    <col min="15622" max="15622" width="53.109375" style="2" customWidth="1"/>
    <col min="15623" max="15623" width="10.6640625" style="2" customWidth="1"/>
    <col min="15624" max="15624" width="7.5546875" style="2" customWidth="1"/>
    <col min="15625" max="15625" width="7.44140625" style="2" customWidth="1"/>
    <col min="15626" max="15626" width="7.88671875" style="2" customWidth="1"/>
    <col min="15627" max="15627" width="6" style="2" customWidth="1"/>
    <col min="15628" max="15632" width="9.109375" style="2" customWidth="1"/>
    <col min="15633" max="15875" width="9.109375" style="2"/>
    <col min="15876" max="15877" width="4" style="2" customWidth="1"/>
    <col min="15878" max="15878" width="53.109375" style="2" customWidth="1"/>
    <col min="15879" max="15879" width="10.6640625" style="2" customWidth="1"/>
    <col min="15880" max="15880" width="7.5546875" style="2" customWidth="1"/>
    <col min="15881" max="15881" width="7.44140625" style="2" customWidth="1"/>
    <col min="15882" max="15882" width="7.88671875" style="2" customWidth="1"/>
    <col min="15883" max="15883" width="6" style="2" customWidth="1"/>
    <col min="15884" max="15888" width="9.109375" style="2" customWidth="1"/>
    <col min="15889" max="16131" width="9.109375" style="2"/>
    <col min="16132" max="16133" width="4" style="2" customWidth="1"/>
    <col min="16134" max="16134" width="53.109375" style="2" customWidth="1"/>
    <col min="16135" max="16135" width="10.6640625" style="2" customWidth="1"/>
    <col min="16136" max="16136" width="7.5546875" style="2" customWidth="1"/>
    <col min="16137" max="16137" width="7.44140625" style="2" customWidth="1"/>
    <col min="16138" max="16138" width="7.88671875" style="2" customWidth="1"/>
    <col min="16139" max="16139" width="6" style="2" customWidth="1"/>
    <col min="16140" max="16144" width="9.109375" style="2" customWidth="1"/>
    <col min="16145" max="16384" width="9.109375" style="2"/>
  </cols>
  <sheetData>
    <row r="1" spans="1:20" ht="15.6" x14ac:dyDescent="0.3">
      <c r="C1" s="306" t="s">
        <v>788</v>
      </c>
      <c r="D1" s="306"/>
      <c r="E1" s="306"/>
      <c r="F1" s="306"/>
      <c r="G1" s="306"/>
      <c r="H1" s="306"/>
      <c r="I1" s="306"/>
      <c r="J1" s="306"/>
      <c r="K1" s="306"/>
      <c r="L1" s="306"/>
    </row>
    <row r="2" spans="1:20" ht="15.6" x14ac:dyDescent="0.3">
      <c r="C2" s="306" t="s">
        <v>786</v>
      </c>
      <c r="D2" s="306"/>
      <c r="E2" s="306"/>
      <c r="F2" s="306"/>
      <c r="G2" s="306"/>
      <c r="H2" s="306"/>
      <c r="I2" s="306"/>
      <c r="J2" s="306"/>
      <c r="K2" s="306"/>
      <c r="L2" s="306"/>
    </row>
    <row r="3" spans="1:20" ht="15.6" x14ac:dyDescent="0.25">
      <c r="I3" s="307" t="s">
        <v>789</v>
      </c>
      <c r="J3" s="307"/>
      <c r="K3" s="307"/>
      <c r="L3" s="307"/>
    </row>
    <row r="4" spans="1:20" ht="15.6" x14ac:dyDescent="0.25">
      <c r="I4" s="5"/>
      <c r="J4" s="5"/>
      <c r="K4" s="5"/>
    </row>
    <row r="5" spans="1:20" ht="18.75" customHeight="1" x14ac:dyDescent="0.25">
      <c r="A5" s="321" t="s">
        <v>465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spans="1:20" x14ac:dyDescent="0.25">
      <c r="K6" s="309" t="s">
        <v>1</v>
      </c>
      <c r="L6" s="309"/>
    </row>
    <row r="7" spans="1:20" ht="23.4" customHeight="1" x14ac:dyDescent="0.25">
      <c r="A7" s="297" t="s">
        <v>466</v>
      </c>
      <c r="B7" s="297" t="s">
        <v>467</v>
      </c>
      <c r="C7" s="297" t="s">
        <v>4</v>
      </c>
      <c r="D7" s="297" t="s">
        <v>5</v>
      </c>
      <c r="E7" s="310" t="s">
        <v>468</v>
      </c>
      <c r="F7" s="322"/>
      <c r="G7" s="322"/>
      <c r="H7" s="322"/>
      <c r="I7" s="322"/>
      <c r="J7" s="322"/>
      <c r="K7" s="322"/>
      <c r="L7" s="311"/>
    </row>
    <row r="8" spans="1:20" ht="12.75" customHeight="1" x14ac:dyDescent="0.25">
      <c r="A8" s="298"/>
      <c r="B8" s="298"/>
      <c r="C8" s="298"/>
      <c r="D8" s="298"/>
      <c r="E8" s="314" t="s">
        <v>6</v>
      </c>
      <c r="F8" s="316"/>
      <c r="G8" s="310" t="s">
        <v>7</v>
      </c>
      <c r="H8" s="322"/>
      <c r="I8" s="322"/>
      <c r="J8" s="322"/>
      <c r="K8" s="322"/>
      <c r="L8" s="311"/>
    </row>
    <row r="9" spans="1:20" ht="12.75" customHeight="1" x14ac:dyDescent="0.25">
      <c r="A9" s="298"/>
      <c r="B9" s="298"/>
      <c r="C9" s="298"/>
      <c r="D9" s="298"/>
      <c r="E9" s="315"/>
      <c r="F9" s="317"/>
      <c r="G9" s="310" t="s">
        <v>8</v>
      </c>
      <c r="H9" s="322"/>
      <c r="I9" s="322"/>
      <c r="J9" s="311"/>
      <c r="K9" s="310" t="s">
        <v>9</v>
      </c>
      <c r="L9" s="311"/>
    </row>
    <row r="10" spans="1:20" ht="25.5" customHeight="1" x14ac:dyDescent="0.25">
      <c r="A10" s="298"/>
      <c r="B10" s="298"/>
      <c r="C10" s="298"/>
      <c r="D10" s="298"/>
      <c r="E10" s="297" t="s">
        <v>10</v>
      </c>
      <c r="F10" s="297" t="s">
        <v>11</v>
      </c>
      <c r="G10" s="310" t="s">
        <v>12</v>
      </c>
      <c r="H10" s="311"/>
      <c r="I10" s="312" t="s">
        <v>13</v>
      </c>
      <c r="J10" s="313"/>
      <c r="K10" s="297" t="s">
        <v>10</v>
      </c>
      <c r="L10" s="323" t="s">
        <v>11</v>
      </c>
    </row>
    <row r="11" spans="1:20" ht="15" customHeight="1" x14ac:dyDescent="0.25">
      <c r="A11" s="299"/>
      <c r="B11" s="299"/>
      <c r="C11" s="299"/>
      <c r="D11" s="299"/>
      <c r="E11" s="299"/>
      <c r="F11" s="299"/>
      <c r="G11" s="7" t="s">
        <v>10</v>
      </c>
      <c r="H11" s="7" t="s">
        <v>11</v>
      </c>
      <c r="I11" s="7" t="s">
        <v>10</v>
      </c>
      <c r="J11" s="7" t="s">
        <v>11</v>
      </c>
      <c r="K11" s="299"/>
      <c r="L11" s="324"/>
    </row>
    <row r="12" spans="1:20" x14ac:dyDescent="0.25">
      <c r="A12" s="98">
        <v>1</v>
      </c>
      <c r="B12" s="7">
        <v>2</v>
      </c>
      <c r="C12" s="98">
        <v>3</v>
      </c>
      <c r="D12" s="7">
        <v>4</v>
      </c>
      <c r="E12" s="98">
        <v>5</v>
      </c>
      <c r="F12" s="98">
        <v>6</v>
      </c>
      <c r="G12" s="7">
        <v>7</v>
      </c>
      <c r="H12" s="7">
        <v>8</v>
      </c>
      <c r="I12" s="98">
        <v>9</v>
      </c>
      <c r="J12" s="98">
        <v>10</v>
      </c>
      <c r="K12" s="7">
        <v>11</v>
      </c>
      <c r="L12" s="10">
        <v>12</v>
      </c>
    </row>
    <row r="13" spans="1:20" ht="20.100000000000001" customHeight="1" x14ac:dyDescent="0.25">
      <c r="A13" s="99">
        <v>1</v>
      </c>
      <c r="B13" s="231" t="s">
        <v>15</v>
      </c>
      <c r="C13" s="12" t="s">
        <v>16</v>
      </c>
      <c r="D13" s="98"/>
      <c r="E13" s="100">
        <f>+G13+K13</f>
        <v>132</v>
      </c>
      <c r="F13" s="100">
        <f>+H13+L13</f>
        <v>64.8</v>
      </c>
      <c r="G13" s="100">
        <f t="shared" ref="G13:L13" si="0">SUM(G14:G32)</f>
        <v>132</v>
      </c>
      <c r="H13" s="100">
        <f t="shared" si="0"/>
        <v>64.8</v>
      </c>
      <c r="I13" s="100">
        <f t="shared" si="0"/>
        <v>22.5</v>
      </c>
      <c r="J13" s="100">
        <f t="shared" si="0"/>
        <v>13.4</v>
      </c>
      <c r="K13" s="100">
        <f t="shared" si="0"/>
        <v>0</v>
      </c>
      <c r="L13" s="100">
        <f t="shared" si="0"/>
        <v>0</v>
      </c>
      <c r="M13" s="14"/>
      <c r="Q13" s="14"/>
      <c r="R13" s="14"/>
      <c r="S13" s="14"/>
      <c r="T13" s="14"/>
    </row>
    <row r="14" spans="1:20" ht="12.6" customHeight="1" x14ac:dyDescent="0.25">
      <c r="A14" s="99">
        <v>2</v>
      </c>
      <c r="B14" s="40"/>
      <c r="C14" s="101" t="s">
        <v>22</v>
      </c>
      <c r="D14" s="232" t="s">
        <v>20</v>
      </c>
      <c r="E14" s="102">
        <f t="shared" ref="E14:F59" si="1">+G14+K14</f>
        <v>1.1000000000000001</v>
      </c>
      <c r="F14" s="102">
        <f>+H14+L14</f>
        <v>0.7</v>
      </c>
      <c r="G14" s="102">
        <v>1.1000000000000001</v>
      </c>
      <c r="H14" s="102">
        <v>0.7</v>
      </c>
      <c r="I14" s="102"/>
      <c r="J14" s="102"/>
      <c r="K14" s="102"/>
      <c r="L14" s="19"/>
      <c r="M14" s="14"/>
      <c r="Q14" s="14"/>
      <c r="R14" s="14"/>
      <c r="S14" s="14"/>
      <c r="T14" s="14"/>
    </row>
    <row r="15" spans="1:20" ht="12.6" customHeight="1" x14ac:dyDescent="0.25">
      <c r="A15" s="99">
        <v>3</v>
      </c>
      <c r="B15" s="40"/>
      <c r="C15" s="101" t="s">
        <v>28</v>
      </c>
      <c r="D15" s="232" t="s">
        <v>29</v>
      </c>
      <c r="E15" s="102">
        <f t="shared" si="1"/>
        <v>8</v>
      </c>
      <c r="F15" s="102">
        <f t="shared" si="1"/>
        <v>2.2000000000000002</v>
      </c>
      <c r="G15" s="102">
        <v>8</v>
      </c>
      <c r="H15" s="102">
        <v>2.2000000000000002</v>
      </c>
      <c r="I15" s="102"/>
      <c r="J15" s="102"/>
      <c r="K15" s="102"/>
      <c r="L15" s="19"/>
      <c r="M15" s="14"/>
      <c r="Q15" s="14"/>
      <c r="R15" s="14"/>
      <c r="S15" s="14"/>
      <c r="T15" s="14"/>
    </row>
    <row r="16" spans="1:20" ht="12.6" customHeight="1" x14ac:dyDescent="0.25">
      <c r="A16" s="99">
        <v>4</v>
      </c>
      <c r="B16" s="40"/>
      <c r="C16" s="101" t="s">
        <v>30</v>
      </c>
      <c r="D16" s="232" t="s">
        <v>29</v>
      </c>
      <c r="E16" s="102">
        <f t="shared" si="1"/>
        <v>0.5</v>
      </c>
      <c r="F16" s="102">
        <f t="shared" si="1"/>
        <v>0.3</v>
      </c>
      <c r="G16" s="102">
        <f>1-0.5</f>
        <v>0.5</v>
      </c>
      <c r="H16" s="102">
        <v>0.3</v>
      </c>
      <c r="I16" s="102"/>
      <c r="J16" s="102"/>
      <c r="K16" s="102"/>
      <c r="L16" s="19"/>
      <c r="M16" s="14"/>
      <c r="Q16" s="14"/>
      <c r="R16" s="14"/>
      <c r="S16" s="14"/>
      <c r="T16" s="14"/>
    </row>
    <row r="17" spans="1:20" ht="12.6" customHeight="1" x14ac:dyDescent="0.25">
      <c r="A17" s="99">
        <v>5</v>
      </c>
      <c r="B17" s="40"/>
      <c r="C17" s="103" t="s">
        <v>32</v>
      </c>
      <c r="D17" s="232" t="s">
        <v>29</v>
      </c>
      <c r="E17" s="102">
        <f t="shared" si="1"/>
        <v>0.7</v>
      </c>
      <c r="F17" s="102">
        <f t="shared" si="1"/>
        <v>0.3</v>
      </c>
      <c r="G17" s="102">
        <f>1.4-0.7</f>
        <v>0.7</v>
      </c>
      <c r="H17" s="102">
        <v>0.3</v>
      </c>
      <c r="I17" s="102">
        <f>0.6-0.3</f>
        <v>0.3</v>
      </c>
      <c r="J17" s="102">
        <v>0.1</v>
      </c>
      <c r="K17" s="102"/>
      <c r="L17" s="19"/>
      <c r="M17" s="14"/>
      <c r="Q17" s="14"/>
      <c r="R17" s="14"/>
      <c r="S17" s="14"/>
      <c r="T17" s="14"/>
    </row>
    <row r="18" spans="1:20" ht="12.6" customHeight="1" x14ac:dyDescent="0.25">
      <c r="A18" s="99">
        <v>6</v>
      </c>
      <c r="B18" s="40"/>
      <c r="C18" s="103" t="s">
        <v>33</v>
      </c>
      <c r="D18" s="232" t="s">
        <v>29</v>
      </c>
      <c r="E18" s="102">
        <f t="shared" si="1"/>
        <v>0.89999999999999991</v>
      </c>
      <c r="F18" s="102">
        <f t="shared" si="1"/>
        <v>0</v>
      </c>
      <c r="G18" s="102">
        <f>2.4-1.5</f>
        <v>0.89999999999999991</v>
      </c>
      <c r="H18" s="102">
        <v>0</v>
      </c>
      <c r="I18" s="102"/>
      <c r="J18" s="102"/>
      <c r="K18" s="102"/>
      <c r="L18" s="19"/>
      <c r="M18" s="14"/>
      <c r="Q18" s="14"/>
      <c r="R18" s="14"/>
      <c r="S18" s="14"/>
      <c r="T18" s="14"/>
    </row>
    <row r="19" spans="1:20" ht="12.6" customHeight="1" x14ac:dyDescent="0.25">
      <c r="A19" s="99">
        <v>7</v>
      </c>
      <c r="B19" s="40"/>
      <c r="C19" s="103" t="s">
        <v>34</v>
      </c>
      <c r="D19" s="232" t="s">
        <v>29</v>
      </c>
      <c r="E19" s="102">
        <f t="shared" si="1"/>
        <v>2.8</v>
      </c>
      <c r="F19" s="102">
        <f t="shared" si="1"/>
        <v>1.5</v>
      </c>
      <c r="G19" s="102">
        <f>3.8-1</f>
        <v>2.8</v>
      </c>
      <c r="H19" s="102">
        <v>1.5</v>
      </c>
      <c r="I19" s="102"/>
      <c r="J19" s="102"/>
      <c r="K19" s="102"/>
      <c r="L19" s="19"/>
      <c r="M19" s="14"/>
      <c r="Q19" s="14"/>
      <c r="R19" s="14"/>
      <c r="S19" s="14"/>
      <c r="T19" s="14"/>
    </row>
    <row r="20" spans="1:20" ht="12.6" customHeight="1" x14ac:dyDescent="0.25">
      <c r="A20" s="99">
        <v>8</v>
      </c>
      <c r="B20" s="40"/>
      <c r="C20" s="101" t="s">
        <v>35</v>
      </c>
      <c r="D20" s="232" t="s">
        <v>29</v>
      </c>
      <c r="E20" s="102">
        <f>+G20+K20</f>
        <v>1.4999999999999998</v>
      </c>
      <c r="F20" s="102">
        <f t="shared" si="1"/>
        <v>0.7</v>
      </c>
      <c r="G20" s="102">
        <f>2.8-1.3</f>
        <v>1.4999999999999998</v>
      </c>
      <c r="H20" s="102">
        <v>0.7</v>
      </c>
      <c r="I20" s="102"/>
      <c r="J20" s="102"/>
      <c r="K20" s="102"/>
      <c r="L20" s="19"/>
      <c r="M20" s="14"/>
      <c r="Q20" s="14"/>
      <c r="R20" s="14"/>
      <c r="S20" s="14"/>
      <c r="T20" s="14"/>
    </row>
    <row r="21" spans="1:20" ht="12.6" customHeight="1" x14ac:dyDescent="0.25">
      <c r="A21" s="99">
        <v>9</v>
      </c>
      <c r="B21" s="40"/>
      <c r="C21" s="103" t="s">
        <v>36</v>
      </c>
      <c r="D21" s="233" t="s">
        <v>469</v>
      </c>
      <c r="E21" s="102">
        <f t="shared" si="1"/>
        <v>15.600000000000001</v>
      </c>
      <c r="F21" s="102">
        <f t="shared" si="1"/>
        <v>9.5</v>
      </c>
      <c r="G21" s="102">
        <f>25.6-10</f>
        <v>15.600000000000001</v>
      </c>
      <c r="H21" s="102">
        <v>9.5</v>
      </c>
      <c r="I21" s="102"/>
      <c r="J21" s="102"/>
      <c r="K21" s="102"/>
      <c r="L21" s="19"/>
      <c r="M21" s="14"/>
      <c r="Q21" s="14"/>
      <c r="R21" s="14"/>
      <c r="S21" s="14"/>
      <c r="T21" s="14"/>
    </row>
    <row r="22" spans="1:20" ht="12.6" customHeight="1" x14ac:dyDescent="0.25">
      <c r="A22" s="99">
        <v>10</v>
      </c>
      <c r="B22" s="40"/>
      <c r="C22" s="101" t="s">
        <v>38</v>
      </c>
      <c r="D22" s="233" t="s">
        <v>469</v>
      </c>
      <c r="E22" s="102">
        <f t="shared" si="1"/>
        <v>3.5999999999999996</v>
      </c>
      <c r="F22" s="102">
        <f t="shared" si="1"/>
        <v>3.2</v>
      </c>
      <c r="G22" s="102">
        <f>4.6-1</f>
        <v>3.5999999999999996</v>
      </c>
      <c r="H22" s="102">
        <v>3.2</v>
      </c>
      <c r="I22" s="102"/>
      <c r="J22" s="102"/>
      <c r="K22" s="102"/>
      <c r="L22" s="19"/>
      <c r="M22" s="14"/>
      <c r="Q22" s="14"/>
      <c r="R22" s="14"/>
      <c r="S22" s="14"/>
      <c r="T22" s="14"/>
    </row>
    <row r="23" spans="1:20" ht="12.6" customHeight="1" x14ac:dyDescent="0.25">
      <c r="A23" s="99">
        <v>11</v>
      </c>
      <c r="B23" s="40"/>
      <c r="C23" s="103" t="s">
        <v>40</v>
      </c>
      <c r="D23" s="232" t="s">
        <v>37</v>
      </c>
      <c r="E23" s="102">
        <f t="shared" si="1"/>
        <v>0.30000000000000004</v>
      </c>
      <c r="F23" s="102">
        <f t="shared" si="1"/>
        <v>0.2</v>
      </c>
      <c r="G23" s="102">
        <f>0.4-0.1</f>
        <v>0.30000000000000004</v>
      </c>
      <c r="H23" s="102">
        <v>0.2</v>
      </c>
      <c r="I23" s="102"/>
      <c r="J23" s="102"/>
      <c r="K23" s="102"/>
      <c r="L23" s="19"/>
      <c r="M23" s="14"/>
      <c r="Q23" s="14"/>
      <c r="R23" s="14"/>
      <c r="S23" s="14"/>
      <c r="T23" s="14"/>
    </row>
    <row r="24" spans="1:20" ht="12.6" customHeight="1" x14ac:dyDescent="0.25">
      <c r="A24" s="99">
        <v>12</v>
      </c>
      <c r="B24" s="40"/>
      <c r="C24" s="20" t="s">
        <v>470</v>
      </c>
      <c r="D24" s="232" t="s">
        <v>37</v>
      </c>
      <c r="E24" s="102">
        <f t="shared" si="1"/>
        <v>0.4</v>
      </c>
      <c r="F24" s="102">
        <f t="shared" si="1"/>
        <v>0.4</v>
      </c>
      <c r="G24" s="102">
        <v>0.4</v>
      </c>
      <c r="H24" s="102">
        <v>0.4</v>
      </c>
      <c r="I24" s="102"/>
      <c r="J24" s="102"/>
      <c r="K24" s="102"/>
      <c r="L24" s="19"/>
      <c r="M24" s="14"/>
      <c r="Q24" s="14"/>
      <c r="R24" s="14"/>
      <c r="S24" s="14"/>
      <c r="T24" s="14"/>
    </row>
    <row r="25" spans="1:20" ht="12.6" customHeight="1" x14ac:dyDescent="0.25">
      <c r="A25" s="99">
        <v>13</v>
      </c>
      <c r="B25" s="40"/>
      <c r="C25" s="20" t="s">
        <v>43</v>
      </c>
      <c r="D25" s="232" t="s">
        <v>37</v>
      </c>
      <c r="E25" s="102">
        <f t="shared" si="1"/>
        <v>9.9999999999999978E-2</v>
      </c>
      <c r="F25" s="102">
        <f t="shared" si="1"/>
        <v>0.1</v>
      </c>
      <c r="G25" s="102">
        <f>0.6-0.5</f>
        <v>9.9999999999999978E-2</v>
      </c>
      <c r="H25" s="102">
        <v>0.1</v>
      </c>
      <c r="I25" s="102"/>
      <c r="J25" s="102"/>
      <c r="K25" s="102"/>
      <c r="L25" s="19"/>
      <c r="M25" s="14"/>
      <c r="Q25" s="14"/>
      <c r="R25" s="14"/>
      <c r="S25" s="14"/>
      <c r="T25" s="14"/>
    </row>
    <row r="26" spans="1:20" ht="12.6" customHeight="1" x14ac:dyDescent="0.25">
      <c r="A26" s="99">
        <v>14</v>
      </c>
      <c r="B26" s="40"/>
      <c r="C26" s="20" t="s">
        <v>44</v>
      </c>
      <c r="D26" s="232" t="s">
        <v>37</v>
      </c>
      <c r="E26" s="102">
        <f t="shared" si="1"/>
        <v>0.19999999999999996</v>
      </c>
      <c r="F26" s="102">
        <f t="shared" si="1"/>
        <v>0.2</v>
      </c>
      <c r="G26" s="102">
        <f>0.6-0.4</f>
        <v>0.19999999999999996</v>
      </c>
      <c r="H26" s="102">
        <v>0.2</v>
      </c>
      <c r="I26" s="102"/>
      <c r="J26" s="102"/>
      <c r="K26" s="102"/>
      <c r="L26" s="19"/>
      <c r="M26" s="14"/>
      <c r="Q26" s="14"/>
      <c r="R26" s="14"/>
      <c r="S26" s="14"/>
      <c r="T26" s="14"/>
    </row>
    <row r="27" spans="1:20" ht="12.6" customHeight="1" x14ac:dyDescent="0.25">
      <c r="A27" s="99">
        <v>15</v>
      </c>
      <c r="B27" s="40"/>
      <c r="C27" s="103" t="s">
        <v>45</v>
      </c>
      <c r="D27" s="232" t="s">
        <v>29</v>
      </c>
      <c r="E27" s="102">
        <f>+G27+K27</f>
        <v>32.6</v>
      </c>
      <c r="F27" s="102">
        <f t="shared" si="1"/>
        <v>15.2</v>
      </c>
      <c r="G27" s="102">
        <v>32.6</v>
      </c>
      <c r="H27" s="102">
        <v>15.2</v>
      </c>
      <c r="I27" s="102">
        <v>22.2</v>
      </c>
      <c r="J27" s="102">
        <v>13.3</v>
      </c>
      <c r="K27" s="102"/>
      <c r="L27" s="19"/>
      <c r="M27" s="14"/>
      <c r="Q27" s="14"/>
      <c r="R27" s="14"/>
      <c r="S27" s="14"/>
      <c r="T27" s="14"/>
    </row>
    <row r="28" spans="1:20" ht="12.6" customHeight="1" x14ac:dyDescent="0.25">
      <c r="A28" s="99">
        <v>16</v>
      </c>
      <c r="B28" s="40"/>
      <c r="C28" s="101" t="s">
        <v>47</v>
      </c>
      <c r="D28" s="232" t="s">
        <v>37</v>
      </c>
      <c r="E28" s="102">
        <f>+G28+K28</f>
        <v>1</v>
      </c>
      <c r="F28" s="102">
        <f t="shared" si="1"/>
        <v>0.7</v>
      </c>
      <c r="G28" s="102">
        <f>5-4</f>
        <v>1</v>
      </c>
      <c r="H28" s="102">
        <v>0.7</v>
      </c>
      <c r="I28" s="102"/>
      <c r="J28" s="102"/>
      <c r="K28" s="102"/>
      <c r="L28" s="19"/>
      <c r="M28" s="14"/>
      <c r="Q28" s="14"/>
      <c r="R28" s="14"/>
      <c r="S28" s="14"/>
      <c r="T28" s="14"/>
    </row>
    <row r="29" spans="1:20" ht="12.6" customHeight="1" x14ac:dyDescent="0.25">
      <c r="A29" s="99">
        <v>17</v>
      </c>
      <c r="B29" s="40"/>
      <c r="C29" s="101" t="s">
        <v>51</v>
      </c>
      <c r="D29" s="233" t="s">
        <v>49</v>
      </c>
      <c r="E29" s="102">
        <f t="shared" si="1"/>
        <v>0.7</v>
      </c>
      <c r="F29" s="102">
        <f t="shared" si="1"/>
        <v>0.3</v>
      </c>
      <c r="G29" s="102">
        <v>0.7</v>
      </c>
      <c r="H29" s="102">
        <f>0.3</f>
        <v>0.3</v>
      </c>
      <c r="I29" s="102"/>
      <c r="J29" s="102"/>
      <c r="K29" s="102"/>
      <c r="L29" s="19"/>
      <c r="M29" s="14"/>
      <c r="Q29" s="14"/>
      <c r="R29" s="14"/>
      <c r="S29" s="14"/>
      <c r="T29" s="14"/>
    </row>
    <row r="30" spans="1:20" ht="12.6" customHeight="1" x14ac:dyDescent="0.25">
      <c r="A30" s="99">
        <v>18</v>
      </c>
      <c r="B30" s="40"/>
      <c r="C30" s="16" t="s">
        <v>52</v>
      </c>
      <c r="D30" s="233" t="s">
        <v>49</v>
      </c>
      <c r="E30" s="102">
        <f t="shared" si="1"/>
        <v>1.3</v>
      </c>
      <c r="F30" s="102">
        <f t="shared" si="1"/>
        <v>0.4</v>
      </c>
      <c r="G30" s="102">
        <v>1.3</v>
      </c>
      <c r="H30" s="102">
        <v>0.4</v>
      </c>
      <c r="I30" s="102"/>
      <c r="J30" s="102"/>
      <c r="K30" s="102"/>
      <c r="L30" s="19"/>
      <c r="M30" s="14"/>
      <c r="Q30" s="14"/>
      <c r="R30" s="14"/>
      <c r="S30" s="14"/>
      <c r="T30" s="14"/>
    </row>
    <row r="31" spans="1:20" ht="12.6" customHeight="1" x14ac:dyDescent="0.25">
      <c r="A31" s="99">
        <v>19</v>
      </c>
      <c r="B31" s="40"/>
      <c r="C31" s="101" t="s">
        <v>53</v>
      </c>
      <c r="D31" s="233" t="s">
        <v>49</v>
      </c>
      <c r="E31" s="102">
        <f t="shared" si="1"/>
        <v>44.6</v>
      </c>
      <c r="F31" s="102">
        <f t="shared" si="1"/>
        <v>13.9</v>
      </c>
      <c r="G31" s="102">
        <v>44.6</v>
      </c>
      <c r="H31" s="102">
        <v>13.9</v>
      </c>
      <c r="I31" s="102"/>
      <c r="J31" s="102"/>
      <c r="K31" s="102"/>
      <c r="L31" s="19"/>
      <c r="M31" s="14"/>
      <c r="Q31" s="14"/>
      <c r="R31" s="14"/>
      <c r="S31" s="14"/>
      <c r="T31" s="14"/>
    </row>
    <row r="32" spans="1:20" ht="12.6" customHeight="1" x14ac:dyDescent="0.25">
      <c r="A32" s="99">
        <v>20</v>
      </c>
      <c r="B32" s="40"/>
      <c r="C32" s="16" t="s">
        <v>471</v>
      </c>
      <c r="D32" s="232" t="s">
        <v>472</v>
      </c>
      <c r="E32" s="102">
        <f t="shared" si="1"/>
        <v>16.100000000000001</v>
      </c>
      <c r="F32" s="102">
        <f t="shared" si="1"/>
        <v>15</v>
      </c>
      <c r="G32" s="102">
        <v>16.100000000000001</v>
      </c>
      <c r="H32" s="102">
        <v>15</v>
      </c>
      <c r="I32" s="102"/>
      <c r="J32" s="102"/>
      <c r="K32" s="102"/>
      <c r="L32" s="19"/>
      <c r="M32" s="14"/>
      <c r="Q32" s="14"/>
      <c r="R32" s="14"/>
      <c r="S32" s="14"/>
      <c r="T32" s="14"/>
    </row>
    <row r="33" spans="1:20" ht="20.100000000000001" customHeight="1" x14ac:dyDescent="0.25">
      <c r="A33" s="99">
        <v>21</v>
      </c>
      <c r="B33" s="231" t="s">
        <v>93</v>
      </c>
      <c r="C33" s="42" t="s">
        <v>94</v>
      </c>
      <c r="D33" s="232"/>
      <c r="E33" s="100">
        <f>+G33+K33</f>
        <v>11.7</v>
      </c>
      <c r="F33" s="100">
        <f>+H33+L33</f>
        <v>8.8000000000000007</v>
      </c>
      <c r="G33" s="100">
        <f t="shared" ref="G33:L33" si="2">SUM(G34:G34)</f>
        <v>11.7</v>
      </c>
      <c r="H33" s="100">
        <f t="shared" si="2"/>
        <v>8.8000000000000007</v>
      </c>
      <c r="I33" s="100">
        <f t="shared" si="2"/>
        <v>7.5</v>
      </c>
      <c r="J33" s="100">
        <f t="shared" si="2"/>
        <v>6.1000000000000005</v>
      </c>
      <c r="K33" s="100">
        <f t="shared" si="2"/>
        <v>0</v>
      </c>
      <c r="L33" s="100">
        <f t="shared" si="2"/>
        <v>0</v>
      </c>
      <c r="M33" s="14"/>
      <c r="Q33" s="14"/>
      <c r="R33" s="14"/>
      <c r="S33" s="14"/>
      <c r="T33" s="14"/>
    </row>
    <row r="34" spans="1:20" ht="12.6" customHeight="1" x14ac:dyDescent="0.25">
      <c r="A34" s="99">
        <v>22</v>
      </c>
      <c r="B34" s="40"/>
      <c r="C34" s="104" t="s">
        <v>473</v>
      </c>
      <c r="D34" s="40" t="s">
        <v>474</v>
      </c>
      <c r="E34" s="102">
        <f t="shared" si="1"/>
        <v>11.7</v>
      </c>
      <c r="F34" s="100">
        <f>+H34+L34</f>
        <v>8.8000000000000007</v>
      </c>
      <c r="G34" s="102">
        <v>11.7</v>
      </c>
      <c r="H34" s="102">
        <v>8.8000000000000007</v>
      </c>
      <c r="I34" s="102">
        <v>7.5</v>
      </c>
      <c r="J34" s="102">
        <f>6.2-0.1</f>
        <v>6.1000000000000005</v>
      </c>
      <c r="K34" s="102"/>
      <c r="L34" s="19"/>
      <c r="M34" s="14"/>
      <c r="Q34" s="14"/>
      <c r="R34" s="14"/>
      <c r="S34" s="14"/>
      <c r="T34" s="14"/>
    </row>
    <row r="35" spans="1:20" ht="20.100000000000001" customHeight="1" x14ac:dyDescent="0.25">
      <c r="A35" s="99">
        <v>23</v>
      </c>
      <c r="B35" s="231" t="s">
        <v>141</v>
      </c>
      <c r="C35" s="42" t="s">
        <v>142</v>
      </c>
      <c r="D35" s="40"/>
      <c r="E35" s="100">
        <f>+G35+K35</f>
        <v>31</v>
      </c>
      <c r="F35" s="100">
        <f t="shared" ref="F35:F59" si="3">+H35+L35</f>
        <v>30.9</v>
      </c>
      <c r="G35" s="100">
        <f>SUM(G36:G37)</f>
        <v>31</v>
      </c>
      <c r="H35" s="100">
        <f>SUM(H36:H37)</f>
        <v>30.9</v>
      </c>
      <c r="I35" s="100">
        <f>SUM(I36:I36)</f>
        <v>3</v>
      </c>
      <c r="J35" s="100">
        <f>SUM(J36:J36)</f>
        <v>3</v>
      </c>
      <c r="K35" s="100">
        <f>SUM(K36:K36)</f>
        <v>0</v>
      </c>
      <c r="L35" s="100">
        <f>SUM(L36:L36)</f>
        <v>0</v>
      </c>
      <c r="M35" s="14"/>
      <c r="Q35" s="14"/>
      <c r="R35" s="14"/>
      <c r="S35" s="14"/>
      <c r="T35" s="14"/>
    </row>
    <row r="36" spans="1:20" ht="27" customHeight="1" x14ac:dyDescent="0.25">
      <c r="A36" s="99">
        <v>24</v>
      </c>
      <c r="B36" s="40"/>
      <c r="C36" s="105" t="s">
        <v>143</v>
      </c>
      <c r="D36" s="52" t="s">
        <v>475</v>
      </c>
      <c r="E36" s="102">
        <f t="shared" si="1"/>
        <v>30.5</v>
      </c>
      <c r="F36" s="100">
        <f t="shared" si="3"/>
        <v>30.4</v>
      </c>
      <c r="G36" s="102">
        <v>30.5</v>
      </c>
      <c r="H36" s="102">
        <v>30.4</v>
      </c>
      <c r="I36" s="102">
        <v>3</v>
      </c>
      <c r="J36" s="102">
        <v>3</v>
      </c>
      <c r="K36" s="102"/>
      <c r="L36" s="19"/>
      <c r="M36" s="14"/>
      <c r="N36" s="14"/>
      <c r="Q36" s="14"/>
      <c r="R36" s="14"/>
      <c r="S36" s="14"/>
      <c r="T36" s="14"/>
    </row>
    <row r="37" spans="1:20" ht="12.75" customHeight="1" x14ac:dyDescent="0.25">
      <c r="A37" s="99">
        <v>25</v>
      </c>
      <c r="B37" s="40"/>
      <c r="C37" s="105" t="s">
        <v>193</v>
      </c>
      <c r="D37" s="52" t="s">
        <v>476</v>
      </c>
      <c r="E37" s="102">
        <f t="shared" si="1"/>
        <v>0.5</v>
      </c>
      <c r="F37" s="100">
        <f t="shared" si="3"/>
        <v>0.5</v>
      </c>
      <c r="G37" s="102">
        <f>0.1+0.4</f>
        <v>0.5</v>
      </c>
      <c r="H37" s="102">
        <v>0.5</v>
      </c>
      <c r="I37" s="102"/>
      <c r="J37" s="102"/>
      <c r="K37" s="102"/>
      <c r="L37" s="19"/>
      <c r="M37" s="14"/>
      <c r="Q37" s="14"/>
      <c r="R37" s="14"/>
      <c r="S37" s="14"/>
      <c r="T37" s="14"/>
    </row>
    <row r="38" spans="1:20" ht="20.100000000000001" customHeight="1" x14ac:dyDescent="0.25">
      <c r="A38" s="99">
        <v>26</v>
      </c>
      <c r="B38" s="231" t="s">
        <v>228</v>
      </c>
      <c r="C38" s="42" t="s">
        <v>229</v>
      </c>
      <c r="D38" s="232"/>
      <c r="E38" s="100">
        <f>+G38+K38</f>
        <v>45.9</v>
      </c>
      <c r="F38" s="100">
        <f t="shared" si="3"/>
        <v>24.599999999999994</v>
      </c>
      <c r="G38" s="100">
        <f>SUM(G39:G46)</f>
        <v>45.9</v>
      </c>
      <c r="H38" s="100">
        <f>SUM(H39:H46)</f>
        <v>24.599999999999994</v>
      </c>
      <c r="I38" s="100">
        <f>SUM(I39:I46)</f>
        <v>0</v>
      </c>
      <c r="J38" s="100">
        <v>0</v>
      </c>
      <c r="K38" s="100">
        <f>SUM(K39:K46)</f>
        <v>0</v>
      </c>
      <c r="L38" s="106">
        <v>0</v>
      </c>
      <c r="M38" s="14"/>
      <c r="Q38" s="14"/>
      <c r="R38" s="14"/>
      <c r="S38" s="14"/>
      <c r="T38" s="14"/>
    </row>
    <row r="39" spans="1:20" ht="12.6" customHeight="1" x14ac:dyDescent="0.25">
      <c r="A39" s="99">
        <v>27</v>
      </c>
      <c r="B39" s="40"/>
      <c r="C39" s="16" t="s">
        <v>230</v>
      </c>
      <c r="D39" s="232" t="s">
        <v>231</v>
      </c>
      <c r="E39" s="102">
        <f t="shared" si="1"/>
        <v>9.9</v>
      </c>
      <c r="F39" s="100">
        <f t="shared" si="3"/>
        <v>8.1</v>
      </c>
      <c r="G39" s="102">
        <f>13.9-4</f>
        <v>9.9</v>
      </c>
      <c r="H39" s="102">
        <v>8.1</v>
      </c>
      <c r="I39" s="102"/>
      <c r="J39" s="102"/>
      <c r="K39" s="102"/>
      <c r="L39" s="19"/>
      <c r="M39" s="14"/>
      <c r="Q39" s="14"/>
      <c r="R39" s="14"/>
      <c r="S39" s="14"/>
      <c r="T39" s="14"/>
    </row>
    <row r="40" spans="1:20" ht="12.6" customHeight="1" x14ac:dyDescent="0.25">
      <c r="A40" s="99">
        <v>28</v>
      </c>
      <c r="B40" s="40"/>
      <c r="C40" s="16" t="s">
        <v>232</v>
      </c>
      <c r="D40" s="232" t="s">
        <v>231</v>
      </c>
      <c r="E40" s="102">
        <f t="shared" si="1"/>
        <v>2.9999999999999996</v>
      </c>
      <c r="F40" s="100">
        <f t="shared" si="3"/>
        <v>2.8</v>
      </c>
      <c r="G40" s="102">
        <f>4.1-1.1</f>
        <v>2.9999999999999996</v>
      </c>
      <c r="H40" s="102">
        <v>2.8</v>
      </c>
      <c r="I40" s="102"/>
      <c r="J40" s="102"/>
      <c r="K40" s="102"/>
      <c r="L40" s="19"/>
      <c r="M40" s="14"/>
      <c r="Q40" s="14"/>
      <c r="R40" s="14"/>
      <c r="S40" s="14"/>
      <c r="T40" s="14"/>
    </row>
    <row r="41" spans="1:20" ht="12.6" customHeight="1" x14ac:dyDescent="0.25">
      <c r="A41" s="99">
        <v>29</v>
      </c>
      <c r="B41" s="40"/>
      <c r="C41" s="16" t="s">
        <v>233</v>
      </c>
      <c r="D41" s="232" t="s">
        <v>231</v>
      </c>
      <c r="E41" s="102">
        <f t="shared" si="1"/>
        <v>0.19999999999999996</v>
      </c>
      <c r="F41" s="100">
        <f t="shared" si="3"/>
        <v>0.2</v>
      </c>
      <c r="G41" s="102">
        <f>2-1.8</f>
        <v>0.19999999999999996</v>
      </c>
      <c r="H41" s="102">
        <v>0.2</v>
      </c>
      <c r="I41" s="102"/>
      <c r="J41" s="102"/>
      <c r="K41" s="102"/>
      <c r="L41" s="19"/>
      <c r="M41" s="14"/>
      <c r="Q41" s="14"/>
      <c r="R41" s="14"/>
      <c r="S41" s="14"/>
      <c r="T41" s="14"/>
    </row>
    <row r="42" spans="1:20" ht="12.6" customHeight="1" x14ac:dyDescent="0.25">
      <c r="A42" s="99">
        <v>30</v>
      </c>
      <c r="B42" s="40"/>
      <c r="C42" s="16" t="s">
        <v>234</v>
      </c>
      <c r="D42" s="232" t="s">
        <v>231</v>
      </c>
      <c r="E42" s="102">
        <f t="shared" si="1"/>
        <v>0.19999999999999996</v>
      </c>
      <c r="F42" s="100">
        <f t="shared" si="3"/>
        <v>0.2</v>
      </c>
      <c r="G42" s="102">
        <f>0.6-0.4</f>
        <v>0.19999999999999996</v>
      </c>
      <c r="H42" s="102">
        <v>0.2</v>
      </c>
      <c r="I42" s="102"/>
      <c r="J42" s="102"/>
      <c r="K42" s="102"/>
      <c r="L42" s="19"/>
      <c r="M42" s="14"/>
      <c r="Q42" s="14"/>
      <c r="R42" s="14"/>
      <c r="S42" s="14"/>
      <c r="T42" s="14"/>
    </row>
    <row r="43" spans="1:20" ht="12.6" customHeight="1" x14ac:dyDescent="0.25">
      <c r="A43" s="99">
        <v>31</v>
      </c>
      <c r="B43" s="40"/>
      <c r="C43" s="16" t="s">
        <v>235</v>
      </c>
      <c r="D43" s="232" t="s">
        <v>231</v>
      </c>
      <c r="E43" s="102">
        <f t="shared" si="1"/>
        <v>0.4</v>
      </c>
      <c r="F43" s="100">
        <f t="shared" si="3"/>
        <v>0</v>
      </c>
      <c r="G43" s="102">
        <f>0.2+0.2</f>
        <v>0.4</v>
      </c>
      <c r="H43" s="102">
        <v>0</v>
      </c>
      <c r="I43" s="102"/>
      <c r="J43" s="102"/>
      <c r="K43" s="102"/>
      <c r="L43" s="19"/>
      <c r="M43" s="14"/>
      <c r="Q43" s="14"/>
      <c r="R43" s="14"/>
      <c r="S43" s="14"/>
      <c r="T43" s="14"/>
    </row>
    <row r="44" spans="1:20" ht="12.6" customHeight="1" x14ac:dyDescent="0.25">
      <c r="A44" s="99">
        <v>32</v>
      </c>
      <c r="B44" s="40"/>
      <c r="C44" s="16" t="s">
        <v>236</v>
      </c>
      <c r="D44" s="232" t="s">
        <v>231</v>
      </c>
      <c r="E44" s="102">
        <f t="shared" si="1"/>
        <v>9.9999999999999978E-2</v>
      </c>
      <c r="F44" s="100">
        <f t="shared" si="3"/>
        <v>0.1</v>
      </c>
      <c r="G44" s="102">
        <f>0.3-0.2</f>
        <v>9.9999999999999978E-2</v>
      </c>
      <c r="H44" s="102">
        <v>0.1</v>
      </c>
      <c r="I44" s="102"/>
      <c r="J44" s="102"/>
      <c r="K44" s="102"/>
      <c r="L44" s="19"/>
      <c r="M44" s="14"/>
      <c r="Q44" s="14"/>
      <c r="R44" s="14"/>
      <c r="S44" s="14"/>
      <c r="T44" s="14"/>
    </row>
    <row r="45" spans="1:20" ht="12.6" customHeight="1" x14ac:dyDescent="0.25">
      <c r="A45" s="99">
        <v>33</v>
      </c>
      <c r="B45" s="40"/>
      <c r="C45" s="104" t="s">
        <v>237</v>
      </c>
      <c r="D45" s="40" t="s">
        <v>238</v>
      </c>
      <c r="E45" s="102">
        <f>+G45+K45</f>
        <v>1.3</v>
      </c>
      <c r="F45" s="100">
        <f t="shared" si="3"/>
        <v>1.1000000000000001</v>
      </c>
      <c r="G45" s="102">
        <v>1.3</v>
      </c>
      <c r="H45" s="102">
        <v>1.1000000000000001</v>
      </c>
      <c r="I45" s="102"/>
      <c r="J45" s="102"/>
      <c r="K45" s="102"/>
      <c r="L45" s="19"/>
      <c r="M45" s="14"/>
      <c r="Q45" s="14"/>
      <c r="R45" s="14"/>
      <c r="S45" s="14"/>
      <c r="T45" s="14"/>
    </row>
    <row r="46" spans="1:20" ht="12.6" customHeight="1" x14ac:dyDescent="0.25">
      <c r="A46" s="99">
        <v>34</v>
      </c>
      <c r="B46" s="40"/>
      <c r="C46" s="16" t="s">
        <v>239</v>
      </c>
      <c r="D46" s="233" t="s">
        <v>240</v>
      </c>
      <c r="E46" s="102">
        <f>+G46+K46</f>
        <v>30.8</v>
      </c>
      <c r="F46" s="100">
        <f t="shared" si="3"/>
        <v>12.1</v>
      </c>
      <c r="G46" s="102">
        <v>30.8</v>
      </c>
      <c r="H46" s="102">
        <v>12.1</v>
      </c>
      <c r="I46" s="102"/>
      <c r="J46" s="102"/>
      <c r="K46" s="102"/>
      <c r="L46" s="19"/>
      <c r="M46" s="14"/>
      <c r="Q46" s="14"/>
      <c r="R46" s="14"/>
      <c r="S46" s="14"/>
      <c r="T46" s="14"/>
    </row>
    <row r="47" spans="1:20" ht="20.100000000000001" customHeight="1" x14ac:dyDescent="0.25">
      <c r="A47" s="99">
        <v>35</v>
      </c>
      <c r="B47" s="231" t="s">
        <v>393</v>
      </c>
      <c r="C47" s="42" t="s">
        <v>394</v>
      </c>
      <c r="D47" s="40"/>
      <c r="E47" s="100">
        <f>+G47+K47</f>
        <v>8.5</v>
      </c>
      <c r="F47" s="100">
        <f t="shared" si="3"/>
        <v>5.9999999999999991</v>
      </c>
      <c r="G47" s="100">
        <f>SUM(G48:G53)</f>
        <v>8.5</v>
      </c>
      <c r="H47" s="100">
        <f>SUM(H48:H53)</f>
        <v>5.9999999999999991</v>
      </c>
      <c r="I47" s="100">
        <f>SUM(I48:I52)</f>
        <v>0</v>
      </c>
      <c r="J47" s="100">
        <v>0</v>
      </c>
      <c r="K47" s="100">
        <f>SUM(K48:K52)</f>
        <v>0</v>
      </c>
      <c r="L47" s="106">
        <v>0</v>
      </c>
      <c r="M47" s="14"/>
      <c r="Q47" s="14"/>
      <c r="R47" s="14"/>
      <c r="S47" s="14"/>
      <c r="T47" s="14"/>
    </row>
    <row r="48" spans="1:20" ht="12.6" customHeight="1" x14ac:dyDescent="0.25">
      <c r="A48" s="99">
        <v>36</v>
      </c>
      <c r="B48" s="40"/>
      <c r="C48" s="105" t="s">
        <v>195</v>
      </c>
      <c r="D48" s="52" t="s">
        <v>477</v>
      </c>
      <c r="E48" s="102">
        <f t="shared" si="1"/>
        <v>2.9</v>
      </c>
      <c r="F48" s="100">
        <f t="shared" si="3"/>
        <v>2.2999999999999998</v>
      </c>
      <c r="G48" s="102">
        <v>2.9</v>
      </c>
      <c r="H48" s="102">
        <v>2.2999999999999998</v>
      </c>
      <c r="I48" s="102"/>
      <c r="J48" s="102"/>
      <c r="K48" s="102"/>
      <c r="L48" s="19"/>
      <c r="M48" s="14"/>
      <c r="Q48" s="14"/>
      <c r="R48" s="14"/>
      <c r="S48" s="14"/>
      <c r="T48" s="14"/>
    </row>
    <row r="49" spans="1:20" ht="24" customHeight="1" x14ac:dyDescent="0.25">
      <c r="A49" s="99">
        <v>37</v>
      </c>
      <c r="B49" s="231"/>
      <c r="C49" s="105" t="s">
        <v>196</v>
      </c>
      <c r="D49" s="107" t="s">
        <v>414</v>
      </c>
      <c r="E49" s="102">
        <f>+G49+K49</f>
        <v>3.7</v>
      </c>
      <c r="F49" s="100">
        <f t="shared" si="3"/>
        <v>2.2999999999999998</v>
      </c>
      <c r="G49" s="102">
        <v>3.7</v>
      </c>
      <c r="H49" s="102">
        <v>2.2999999999999998</v>
      </c>
      <c r="I49" s="102"/>
      <c r="J49" s="102"/>
      <c r="K49" s="102"/>
      <c r="L49" s="19"/>
      <c r="M49" s="14"/>
      <c r="Q49" s="14"/>
      <c r="R49" s="14"/>
      <c r="S49" s="14"/>
      <c r="T49" s="14"/>
    </row>
    <row r="50" spans="1:20" ht="12.6" customHeight="1" x14ac:dyDescent="0.25">
      <c r="A50" s="99">
        <v>38</v>
      </c>
      <c r="B50" s="40"/>
      <c r="C50" s="104" t="s">
        <v>197</v>
      </c>
      <c r="D50" s="52" t="s">
        <v>402</v>
      </c>
      <c r="E50" s="102">
        <f t="shared" si="1"/>
        <v>1</v>
      </c>
      <c r="F50" s="100">
        <f t="shared" si="3"/>
        <v>1</v>
      </c>
      <c r="G50" s="102">
        <v>1</v>
      </c>
      <c r="H50" s="102">
        <v>1</v>
      </c>
      <c r="I50" s="102"/>
      <c r="J50" s="102"/>
      <c r="K50" s="102"/>
      <c r="L50" s="19"/>
      <c r="M50" s="14"/>
      <c r="Q50" s="14"/>
      <c r="R50" s="14"/>
      <c r="S50" s="14"/>
      <c r="T50" s="14"/>
    </row>
    <row r="51" spans="1:20" ht="12.6" customHeight="1" x14ac:dyDescent="0.25">
      <c r="A51" s="99">
        <v>39</v>
      </c>
      <c r="B51" s="40"/>
      <c r="C51" s="105" t="s">
        <v>200</v>
      </c>
      <c r="D51" s="52" t="s">
        <v>402</v>
      </c>
      <c r="E51" s="102">
        <f>+G51+K51</f>
        <v>0.2</v>
      </c>
      <c r="F51" s="100">
        <f t="shared" si="3"/>
        <v>0.1</v>
      </c>
      <c r="G51" s="102">
        <v>0.2</v>
      </c>
      <c r="H51" s="102">
        <v>0.1</v>
      </c>
      <c r="I51" s="102"/>
      <c r="J51" s="102"/>
      <c r="K51" s="102"/>
      <c r="L51" s="19"/>
      <c r="M51" s="14"/>
      <c r="Q51" s="14"/>
      <c r="R51" s="14"/>
      <c r="S51" s="14"/>
      <c r="T51" s="14"/>
    </row>
    <row r="52" spans="1:20" ht="12.6" customHeight="1" x14ac:dyDescent="0.25">
      <c r="A52" s="99">
        <v>40</v>
      </c>
      <c r="B52" s="231"/>
      <c r="C52" s="105" t="s">
        <v>201</v>
      </c>
      <c r="D52" s="40" t="s">
        <v>478</v>
      </c>
      <c r="E52" s="102">
        <f t="shared" si="1"/>
        <v>0.5</v>
      </c>
      <c r="F52" s="100">
        <f t="shared" si="3"/>
        <v>0.3</v>
      </c>
      <c r="G52" s="102">
        <v>0.5</v>
      </c>
      <c r="H52" s="102">
        <v>0.3</v>
      </c>
      <c r="I52" s="102"/>
      <c r="J52" s="102"/>
      <c r="K52" s="102"/>
      <c r="L52" s="19"/>
      <c r="M52" s="14"/>
      <c r="Q52" s="14"/>
      <c r="R52" s="14"/>
      <c r="S52" s="14"/>
      <c r="T52" s="14"/>
    </row>
    <row r="53" spans="1:20" ht="12.6" customHeight="1" x14ac:dyDescent="0.25">
      <c r="A53" s="99">
        <v>41</v>
      </c>
      <c r="B53" s="231"/>
      <c r="C53" s="29" t="s">
        <v>202</v>
      </c>
      <c r="D53" s="52" t="s">
        <v>402</v>
      </c>
      <c r="E53" s="102">
        <f t="shared" si="1"/>
        <v>0.2</v>
      </c>
      <c r="F53" s="100">
        <f t="shared" si="3"/>
        <v>0</v>
      </c>
      <c r="G53" s="102">
        <v>0.2</v>
      </c>
      <c r="H53" s="102">
        <v>0</v>
      </c>
      <c r="I53" s="102"/>
      <c r="J53" s="102"/>
      <c r="K53" s="102"/>
      <c r="L53" s="19"/>
      <c r="M53" s="14"/>
      <c r="Q53" s="14"/>
      <c r="R53" s="14"/>
      <c r="S53" s="14"/>
      <c r="T53" s="14"/>
    </row>
    <row r="54" spans="1:20" ht="20.100000000000001" customHeight="1" x14ac:dyDescent="0.25">
      <c r="A54" s="99">
        <v>42</v>
      </c>
      <c r="B54" s="231" t="s">
        <v>431</v>
      </c>
      <c r="C54" s="42" t="s">
        <v>432</v>
      </c>
      <c r="D54" s="52"/>
      <c r="E54" s="100">
        <f>+G54+K54</f>
        <v>5.5</v>
      </c>
      <c r="F54" s="100">
        <f t="shared" si="3"/>
        <v>4.5999999999999996</v>
      </c>
      <c r="G54" s="100">
        <f>SUM(G55:G59)</f>
        <v>5.5</v>
      </c>
      <c r="H54" s="100">
        <f>SUM(H55:H59)</f>
        <v>4.5999999999999996</v>
      </c>
      <c r="I54" s="100">
        <f>SUM(I55:I58)</f>
        <v>0</v>
      </c>
      <c r="J54" s="100">
        <v>0</v>
      </c>
      <c r="K54" s="100">
        <f>SUM(K55:K58)</f>
        <v>0</v>
      </c>
      <c r="L54" s="106">
        <v>0</v>
      </c>
      <c r="M54" s="14"/>
      <c r="Q54" s="14"/>
      <c r="R54" s="14"/>
      <c r="S54" s="14"/>
      <c r="T54" s="14"/>
    </row>
    <row r="55" spans="1:20" ht="12.6" customHeight="1" x14ac:dyDescent="0.25">
      <c r="A55" s="99">
        <v>43</v>
      </c>
      <c r="B55" s="231"/>
      <c r="C55" s="103" t="s">
        <v>433</v>
      </c>
      <c r="D55" s="233" t="s">
        <v>434</v>
      </c>
      <c r="E55" s="102">
        <f t="shared" si="1"/>
        <v>0.6</v>
      </c>
      <c r="F55" s="100">
        <f t="shared" si="3"/>
        <v>0.5</v>
      </c>
      <c r="G55" s="102">
        <f>1-0.4</f>
        <v>0.6</v>
      </c>
      <c r="H55" s="102">
        <v>0.5</v>
      </c>
      <c r="I55" s="108"/>
      <c r="J55" s="108"/>
      <c r="K55" s="108"/>
      <c r="L55" s="19"/>
      <c r="M55" s="14"/>
      <c r="Q55" s="14"/>
      <c r="R55" s="14"/>
      <c r="S55" s="14"/>
      <c r="T55" s="14"/>
    </row>
    <row r="56" spans="1:20" ht="27.6" customHeight="1" x14ac:dyDescent="0.25">
      <c r="A56" s="99">
        <v>44</v>
      </c>
      <c r="B56" s="40"/>
      <c r="C56" s="105" t="s">
        <v>191</v>
      </c>
      <c r="D56" s="52" t="s">
        <v>479</v>
      </c>
      <c r="E56" s="102">
        <f>+G56+K56</f>
        <v>1.8</v>
      </c>
      <c r="F56" s="100">
        <f t="shared" si="3"/>
        <v>1.1000000000000001</v>
      </c>
      <c r="G56" s="102">
        <f>0.3+1.5</f>
        <v>1.8</v>
      </c>
      <c r="H56" s="102">
        <f>1.1</f>
        <v>1.1000000000000001</v>
      </c>
      <c r="I56" s="102"/>
      <c r="J56" s="102"/>
      <c r="K56" s="102"/>
      <c r="L56" s="19"/>
      <c r="M56" s="14"/>
      <c r="Q56" s="14"/>
      <c r="R56" s="14"/>
      <c r="S56" s="14"/>
      <c r="T56" s="14"/>
    </row>
    <row r="57" spans="1:20" ht="12.6" customHeight="1" x14ac:dyDescent="0.25">
      <c r="A57" s="99">
        <v>45</v>
      </c>
      <c r="B57" s="40"/>
      <c r="C57" s="20" t="s">
        <v>195</v>
      </c>
      <c r="D57" s="52" t="s">
        <v>480</v>
      </c>
      <c r="E57" s="102">
        <f t="shared" si="1"/>
        <v>0.9</v>
      </c>
      <c r="F57" s="100">
        <f t="shared" si="3"/>
        <v>0.9</v>
      </c>
      <c r="G57" s="102">
        <v>0.9</v>
      </c>
      <c r="H57" s="102">
        <v>0.9</v>
      </c>
      <c r="I57" s="102"/>
      <c r="J57" s="102"/>
      <c r="K57" s="102"/>
      <c r="L57" s="19"/>
      <c r="M57" s="14"/>
      <c r="Q57" s="14"/>
      <c r="R57" s="14"/>
      <c r="S57" s="14"/>
      <c r="T57" s="14"/>
    </row>
    <row r="58" spans="1:20" ht="12.6" customHeight="1" x14ac:dyDescent="0.25">
      <c r="A58" s="99">
        <v>46</v>
      </c>
      <c r="B58" s="40"/>
      <c r="C58" s="104" t="s">
        <v>198</v>
      </c>
      <c r="D58" s="52" t="s">
        <v>480</v>
      </c>
      <c r="E58" s="102">
        <f t="shared" si="1"/>
        <v>0.9</v>
      </c>
      <c r="F58" s="100">
        <f t="shared" si="3"/>
        <v>0.9</v>
      </c>
      <c r="G58" s="102">
        <f>0.4+0.5</f>
        <v>0.9</v>
      </c>
      <c r="H58" s="102">
        <v>0.9</v>
      </c>
      <c r="I58" s="102"/>
      <c r="J58" s="102"/>
      <c r="K58" s="102"/>
      <c r="L58" s="19"/>
      <c r="M58" s="14"/>
      <c r="Q58" s="14"/>
      <c r="R58" s="14"/>
      <c r="S58" s="14"/>
      <c r="T58" s="14"/>
    </row>
    <row r="59" spans="1:20" ht="12.6" customHeight="1" x14ac:dyDescent="0.25">
      <c r="A59" s="99">
        <v>47</v>
      </c>
      <c r="B59" s="40"/>
      <c r="C59" s="29" t="s">
        <v>202</v>
      </c>
      <c r="D59" s="52" t="s">
        <v>480</v>
      </c>
      <c r="E59" s="102">
        <f t="shared" si="1"/>
        <v>1.3</v>
      </c>
      <c r="F59" s="100">
        <f t="shared" si="3"/>
        <v>1.2</v>
      </c>
      <c r="G59" s="102">
        <f>1+0.3</f>
        <v>1.3</v>
      </c>
      <c r="H59" s="102">
        <v>1.2</v>
      </c>
      <c r="I59" s="102"/>
      <c r="J59" s="102"/>
      <c r="K59" s="102"/>
      <c r="L59" s="19"/>
      <c r="M59" s="14"/>
      <c r="Q59" s="14"/>
      <c r="R59" s="14"/>
      <c r="S59" s="14"/>
      <c r="T59" s="14"/>
    </row>
    <row r="60" spans="1:20" ht="12.6" customHeight="1" x14ac:dyDescent="0.25">
      <c r="A60" s="99">
        <v>48</v>
      </c>
      <c r="B60" s="40"/>
      <c r="C60" s="109" t="s">
        <v>463</v>
      </c>
      <c r="D60" s="40"/>
      <c r="E60" s="100">
        <f>+G60+K60</f>
        <v>234.6</v>
      </c>
      <c r="F60" s="100">
        <f>+H60+L60</f>
        <v>139.69999999999999</v>
      </c>
      <c r="G60" s="100">
        <f t="shared" ref="G60:L60" si="4">+G13+G33+G35+G38+G47+G54</f>
        <v>234.6</v>
      </c>
      <c r="H60" s="100">
        <f t="shared" si="4"/>
        <v>139.69999999999999</v>
      </c>
      <c r="I60" s="100">
        <f t="shared" si="4"/>
        <v>33</v>
      </c>
      <c r="J60" s="100">
        <f t="shared" si="4"/>
        <v>22.5</v>
      </c>
      <c r="K60" s="100">
        <f t="shared" si="4"/>
        <v>0</v>
      </c>
      <c r="L60" s="100">
        <f t="shared" si="4"/>
        <v>0</v>
      </c>
      <c r="M60" s="14"/>
      <c r="N60" s="14"/>
      <c r="O60" s="14"/>
      <c r="P60" s="14"/>
      <c r="Q60" s="14"/>
      <c r="R60" s="14"/>
      <c r="S60" s="14"/>
      <c r="T60" s="14"/>
    </row>
    <row r="61" spans="1:20" x14ac:dyDescent="0.25">
      <c r="E61" s="110"/>
      <c r="F61" s="110"/>
      <c r="G61" s="110"/>
      <c r="H61" s="110"/>
      <c r="I61" s="110"/>
      <c r="J61" s="110"/>
      <c r="K61" s="110"/>
    </row>
    <row r="62" spans="1:20" x14ac:dyDescent="0.25">
      <c r="C62" s="4" t="s">
        <v>481</v>
      </c>
      <c r="E62" s="110"/>
      <c r="F62" s="110"/>
      <c r="G62" s="110"/>
      <c r="H62" s="110"/>
      <c r="I62" s="110"/>
      <c r="J62" s="110"/>
      <c r="K62" s="110"/>
    </row>
    <row r="63" spans="1:20" x14ac:dyDescent="0.25">
      <c r="E63" s="111"/>
      <c r="F63" s="111"/>
      <c r="G63" s="110"/>
      <c r="H63" s="110"/>
      <c r="I63" s="110"/>
      <c r="J63" s="110"/>
      <c r="K63" s="110"/>
    </row>
    <row r="64" spans="1:20" x14ac:dyDescent="0.25">
      <c r="E64" s="111"/>
      <c r="F64" s="111"/>
      <c r="G64" s="110"/>
      <c r="H64" s="110"/>
      <c r="I64" s="110"/>
      <c r="J64" s="110"/>
      <c r="K64" s="110"/>
      <c r="L64" s="110"/>
    </row>
    <row r="65" spans="5:11" x14ac:dyDescent="0.25">
      <c r="E65" s="110"/>
      <c r="F65" s="110"/>
    </row>
    <row r="66" spans="5:11" x14ac:dyDescent="0.25">
      <c r="E66" s="110"/>
      <c r="F66" s="110"/>
      <c r="G66" s="112"/>
      <c r="H66" s="112"/>
      <c r="I66" s="112"/>
      <c r="J66" s="112"/>
      <c r="K66" s="112"/>
    </row>
  </sheetData>
  <mergeCells count="20">
    <mergeCell ref="A7:A11"/>
    <mergeCell ref="B7:B11"/>
    <mergeCell ref="C7:C11"/>
    <mergeCell ref="D7:D11"/>
    <mergeCell ref="E7:L7"/>
    <mergeCell ref="E8:F9"/>
    <mergeCell ref="G8:L8"/>
    <mergeCell ref="G9:J9"/>
    <mergeCell ref="K9:L9"/>
    <mergeCell ref="E10:E11"/>
    <mergeCell ref="F10:F11"/>
    <mergeCell ref="G10:H10"/>
    <mergeCell ref="I10:J10"/>
    <mergeCell ref="K10:K11"/>
    <mergeCell ref="L10:L11"/>
    <mergeCell ref="C1:L1"/>
    <mergeCell ref="C2:L2"/>
    <mergeCell ref="I3:L3"/>
    <mergeCell ref="A5:K5"/>
    <mergeCell ref="K6:L6"/>
  </mergeCells>
  <pageMargins left="0.31496062992125984" right="0.35433070866141736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workbookViewId="0">
      <selection activeCell="V32" sqref="V32"/>
    </sheetView>
  </sheetViews>
  <sheetFormatPr defaultColWidth="9.109375" defaultRowHeight="13.2" x14ac:dyDescent="0.25"/>
  <cols>
    <col min="1" max="1" width="4.33203125" style="4" customWidth="1"/>
    <col min="2" max="2" width="5.6640625" style="1" customWidth="1"/>
    <col min="3" max="3" width="51.6640625" style="4" customWidth="1"/>
    <col min="4" max="4" width="10.33203125" style="1" customWidth="1"/>
    <col min="5" max="5" width="7.109375" style="4" customWidth="1"/>
    <col min="6" max="6" width="7.6640625" style="4" customWidth="1"/>
    <col min="7" max="7" width="6.6640625" style="4" customWidth="1"/>
    <col min="8" max="8" width="8.6640625" style="4" customWidth="1"/>
    <col min="9" max="10" width="8.33203125" style="4" customWidth="1"/>
    <col min="11" max="11" width="7" style="4" customWidth="1"/>
    <col min="12" max="12" width="9" style="2" hidden="1" customWidth="1"/>
    <col min="13" max="13" width="7" style="2" hidden="1" customWidth="1"/>
    <col min="14" max="16" width="0" style="2" hidden="1" customWidth="1"/>
    <col min="17" max="259" width="9.109375" style="2"/>
    <col min="260" max="260" width="4.33203125" style="2" customWidth="1"/>
    <col min="261" max="261" width="5.6640625" style="2" customWidth="1"/>
    <col min="262" max="262" width="51.6640625" style="2" customWidth="1"/>
    <col min="263" max="263" width="10.33203125" style="2" customWidth="1"/>
    <col min="264" max="264" width="7.109375" style="2" customWidth="1"/>
    <col min="265" max="265" width="6.6640625" style="2" customWidth="1"/>
    <col min="266" max="266" width="8.33203125" style="2" customWidth="1"/>
    <col min="267" max="267" width="7" style="2" customWidth="1"/>
    <col min="268" max="272" width="0" style="2" hidden="1" customWidth="1"/>
    <col min="273" max="515" width="9.109375" style="2"/>
    <col min="516" max="516" width="4.33203125" style="2" customWidth="1"/>
    <col min="517" max="517" width="5.6640625" style="2" customWidth="1"/>
    <col min="518" max="518" width="51.6640625" style="2" customWidth="1"/>
    <col min="519" max="519" width="10.33203125" style="2" customWidth="1"/>
    <col min="520" max="520" width="7.109375" style="2" customWidth="1"/>
    <col min="521" max="521" width="6.6640625" style="2" customWidth="1"/>
    <col min="522" max="522" width="8.33203125" style="2" customWidth="1"/>
    <col min="523" max="523" width="7" style="2" customWidth="1"/>
    <col min="524" max="528" width="0" style="2" hidden="1" customWidth="1"/>
    <col min="529" max="771" width="9.109375" style="2"/>
    <col min="772" max="772" width="4.33203125" style="2" customWidth="1"/>
    <col min="773" max="773" width="5.6640625" style="2" customWidth="1"/>
    <col min="774" max="774" width="51.6640625" style="2" customWidth="1"/>
    <col min="775" max="775" width="10.33203125" style="2" customWidth="1"/>
    <col min="776" max="776" width="7.109375" style="2" customWidth="1"/>
    <col min="777" max="777" width="6.6640625" style="2" customWidth="1"/>
    <col min="778" max="778" width="8.33203125" style="2" customWidth="1"/>
    <col min="779" max="779" width="7" style="2" customWidth="1"/>
    <col min="780" max="784" width="0" style="2" hidden="1" customWidth="1"/>
    <col min="785" max="1027" width="9.109375" style="2"/>
    <col min="1028" max="1028" width="4.33203125" style="2" customWidth="1"/>
    <col min="1029" max="1029" width="5.6640625" style="2" customWidth="1"/>
    <col min="1030" max="1030" width="51.6640625" style="2" customWidth="1"/>
    <col min="1031" max="1031" width="10.33203125" style="2" customWidth="1"/>
    <col min="1032" max="1032" width="7.109375" style="2" customWidth="1"/>
    <col min="1033" max="1033" width="6.6640625" style="2" customWidth="1"/>
    <col min="1034" max="1034" width="8.33203125" style="2" customWidth="1"/>
    <col min="1035" max="1035" width="7" style="2" customWidth="1"/>
    <col min="1036" max="1040" width="0" style="2" hidden="1" customWidth="1"/>
    <col min="1041" max="1283" width="9.109375" style="2"/>
    <col min="1284" max="1284" width="4.33203125" style="2" customWidth="1"/>
    <col min="1285" max="1285" width="5.6640625" style="2" customWidth="1"/>
    <col min="1286" max="1286" width="51.6640625" style="2" customWidth="1"/>
    <col min="1287" max="1287" width="10.33203125" style="2" customWidth="1"/>
    <col min="1288" max="1288" width="7.109375" style="2" customWidth="1"/>
    <col min="1289" max="1289" width="6.6640625" style="2" customWidth="1"/>
    <col min="1290" max="1290" width="8.33203125" style="2" customWidth="1"/>
    <col min="1291" max="1291" width="7" style="2" customWidth="1"/>
    <col min="1292" max="1296" width="0" style="2" hidden="1" customWidth="1"/>
    <col min="1297" max="1539" width="9.109375" style="2"/>
    <col min="1540" max="1540" width="4.33203125" style="2" customWidth="1"/>
    <col min="1541" max="1541" width="5.6640625" style="2" customWidth="1"/>
    <col min="1542" max="1542" width="51.6640625" style="2" customWidth="1"/>
    <col min="1543" max="1543" width="10.33203125" style="2" customWidth="1"/>
    <col min="1544" max="1544" width="7.109375" style="2" customWidth="1"/>
    <col min="1545" max="1545" width="6.6640625" style="2" customWidth="1"/>
    <col min="1546" max="1546" width="8.33203125" style="2" customWidth="1"/>
    <col min="1547" max="1547" width="7" style="2" customWidth="1"/>
    <col min="1548" max="1552" width="0" style="2" hidden="1" customWidth="1"/>
    <col min="1553" max="1795" width="9.109375" style="2"/>
    <col min="1796" max="1796" width="4.33203125" style="2" customWidth="1"/>
    <col min="1797" max="1797" width="5.6640625" style="2" customWidth="1"/>
    <col min="1798" max="1798" width="51.6640625" style="2" customWidth="1"/>
    <col min="1799" max="1799" width="10.33203125" style="2" customWidth="1"/>
    <col min="1800" max="1800" width="7.109375" style="2" customWidth="1"/>
    <col min="1801" max="1801" width="6.6640625" style="2" customWidth="1"/>
    <col min="1802" max="1802" width="8.33203125" style="2" customWidth="1"/>
    <col min="1803" max="1803" width="7" style="2" customWidth="1"/>
    <col min="1804" max="1808" width="0" style="2" hidden="1" customWidth="1"/>
    <col min="1809" max="2051" width="9.109375" style="2"/>
    <col min="2052" max="2052" width="4.33203125" style="2" customWidth="1"/>
    <col min="2053" max="2053" width="5.6640625" style="2" customWidth="1"/>
    <col min="2054" max="2054" width="51.6640625" style="2" customWidth="1"/>
    <col min="2055" max="2055" width="10.33203125" style="2" customWidth="1"/>
    <col min="2056" max="2056" width="7.109375" style="2" customWidth="1"/>
    <col min="2057" max="2057" width="6.6640625" style="2" customWidth="1"/>
    <col min="2058" max="2058" width="8.33203125" style="2" customWidth="1"/>
    <col min="2059" max="2059" width="7" style="2" customWidth="1"/>
    <col min="2060" max="2064" width="0" style="2" hidden="1" customWidth="1"/>
    <col min="2065" max="2307" width="9.109375" style="2"/>
    <col min="2308" max="2308" width="4.33203125" style="2" customWidth="1"/>
    <col min="2309" max="2309" width="5.6640625" style="2" customWidth="1"/>
    <col min="2310" max="2310" width="51.6640625" style="2" customWidth="1"/>
    <col min="2311" max="2311" width="10.33203125" style="2" customWidth="1"/>
    <col min="2312" max="2312" width="7.109375" style="2" customWidth="1"/>
    <col min="2313" max="2313" width="6.6640625" style="2" customWidth="1"/>
    <col min="2314" max="2314" width="8.33203125" style="2" customWidth="1"/>
    <col min="2315" max="2315" width="7" style="2" customWidth="1"/>
    <col min="2316" max="2320" width="0" style="2" hidden="1" customWidth="1"/>
    <col min="2321" max="2563" width="9.109375" style="2"/>
    <col min="2564" max="2564" width="4.33203125" style="2" customWidth="1"/>
    <col min="2565" max="2565" width="5.6640625" style="2" customWidth="1"/>
    <col min="2566" max="2566" width="51.6640625" style="2" customWidth="1"/>
    <col min="2567" max="2567" width="10.33203125" style="2" customWidth="1"/>
    <col min="2568" max="2568" width="7.109375" style="2" customWidth="1"/>
    <col min="2569" max="2569" width="6.6640625" style="2" customWidth="1"/>
    <col min="2570" max="2570" width="8.33203125" style="2" customWidth="1"/>
    <col min="2571" max="2571" width="7" style="2" customWidth="1"/>
    <col min="2572" max="2576" width="0" style="2" hidden="1" customWidth="1"/>
    <col min="2577" max="2819" width="9.109375" style="2"/>
    <col min="2820" max="2820" width="4.33203125" style="2" customWidth="1"/>
    <col min="2821" max="2821" width="5.6640625" style="2" customWidth="1"/>
    <col min="2822" max="2822" width="51.6640625" style="2" customWidth="1"/>
    <col min="2823" max="2823" width="10.33203125" style="2" customWidth="1"/>
    <col min="2824" max="2824" width="7.109375" style="2" customWidth="1"/>
    <col min="2825" max="2825" width="6.6640625" style="2" customWidth="1"/>
    <col min="2826" max="2826" width="8.33203125" style="2" customWidth="1"/>
    <col min="2827" max="2827" width="7" style="2" customWidth="1"/>
    <col min="2828" max="2832" width="0" style="2" hidden="1" customWidth="1"/>
    <col min="2833" max="3075" width="9.109375" style="2"/>
    <col min="3076" max="3076" width="4.33203125" style="2" customWidth="1"/>
    <col min="3077" max="3077" width="5.6640625" style="2" customWidth="1"/>
    <col min="3078" max="3078" width="51.6640625" style="2" customWidth="1"/>
    <col min="3079" max="3079" width="10.33203125" style="2" customWidth="1"/>
    <col min="3080" max="3080" width="7.109375" style="2" customWidth="1"/>
    <col min="3081" max="3081" width="6.6640625" style="2" customWidth="1"/>
    <col min="3082" max="3082" width="8.33203125" style="2" customWidth="1"/>
    <col min="3083" max="3083" width="7" style="2" customWidth="1"/>
    <col min="3084" max="3088" width="0" style="2" hidden="1" customWidth="1"/>
    <col min="3089" max="3331" width="9.109375" style="2"/>
    <col min="3332" max="3332" width="4.33203125" style="2" customWidth="1"/>
    <col min="3333" max="3333" width="5.6640625" style="2" customWidth="1"/>
    <col min="3334" max="3334" width="51.6640625" style="2" customWidth="1"/>
    <col min="3335" max="3335" width="10.33203125" style="2" customWidth="1"/>
    <col min="3336" max="3336" width="7.109375" style="2" customWidth="1"/>
    <col min="3337" max="3337" width="6.6640625" style="2" customWidth="1"/>
    <col min="3338" max="3338" width="8.33203125" style="2" customWidth="1"/>
    <col min="3339" max="3339" width="7" style="2" customWidth="1"/>
    <col min="3340" max="3344" width="0" style="2" hidden="1" customWidth="1"/>
    <col min="3345" max="3587" width="9.109375" style="2"/>
    <col min="3588" max="3588" width="4.33203125" style="2" customWidth="1"/>
    <col min="3589" max="3589" width="5.6640625" style="2" customWidth="1"/>
    <col min="3590" max="3590" width="51.6640625" style="2" customWidth="1"/>
    <col min="3591" max="3591" width="10.33203125" style="2" customWidth="1"/>
    <col min="3592" max="3592" width="7.109375" style="2" customWidth="1"/>
    <col min="3593" max="3593" width="6.6640625" style="2" customWidth="1"/>
    <col min="3594" max="3594" width="8.33203125" style="2" customWidth="1"/>
    <col min="3595" max="3595" width="7" style="2" customWidth="1"/>
    <col min="3596" max="3600" width="0" style="2" hidden="1" customWidth="1"/>
    <col min="3601" max="3843" width="9.109375" style="2"/>
    <col min="3844" max="3844" width="4.33203125" style="2" customWidth="1"/>
    <col min="3845" max="3845" width="5.6640625" style="2" customWidth="1"/>
    <col min="3846" max="3846" width="51.6640625" style="2" customWidth="1"/>
    <col min="3847" max="3847" width="10.33203125" style="2" customWidth="1"/>
    <col min="3848" max="3848" width="7.109375" style="2" customWidth="1"/>
    <col min="3849" max="3849" width="6.6640625" style="2" customWidth="1"/>
    <col min="3850" max="3850" width="8.33203125" style="2" customWidth="1"/>
    <col min="3851" max="3851" width="7" style="2" customWidth="1"/>
    <col min="3852" max="3856" width="0" style="2" hidden="1" customWidth="1"/>
    <col min="3857" max="4099" width="9.109375" style="2"/>
    <col min="4100" max="4100" width="4.33203125" style="2" customWidth="1"/>
    <col min="4101" max="4101" width="5.6640625" style="2" customWidth="1"/>
    <col min="4102" max="4102" width="51.6640625" style="2" customWidth="1"/>
    <col min="4103" max="4103" width="10.33203125" style="2" customWidth="1"/>
    <col min="4104" max="4104" width="7.109375" style="2" customWidth="1"/>
    <col min="4105" max="4105" width="6.6640625" style="2" customWidth="1"/>
    <col min="4106" max="4106" width="8.33203125" style="2" customWidth="1"/>
    <col min="4107" max="4107" width="7" style="2" customWidth="1"/>
    <col min="4108" max="4112" width="0" style="2" hidden="1" customWidth="1"/>
    <col min="4113" max="4355" width="9.109375" style="2"/>
    <col min="4356" max="4356" width="4.33203125" style="2" customWidth="1"/>
    <col min="4357" max="4357" width="5.6640625" style="2" customWidth="1"/>
    <col min="4358" max="4358" width="51.6640625" style="2" customWidth="1"/>
    <col min="4359" max="4359" width="10.33203125" style="2" customWidth="1"/>
    <col min="4360" max="4360" width="7.109375" style="2" customWidth="1"/>
    <col min="4361" max="4361" width="6.6640625" style="2" customWidth="1"/>
    <col min="4362" max="4362" width="8.33203125" style="2" customWidth="1"/>
    <col min="4363" max="4363" width="7" style="2" customWidth="1"/>
    <col min="4364" max="4368" width="0" style="2" hidden="1" customWidth="1"/>
    <col min="4369" max="4611" width="9.109375" style="2"/>
    <col min="4612" max="4612" width="4.33203125" style="2" customWidth="1"/>
    <col min="4613" max="4613" width="5.6640625" style="2" customWidth="1"/>
    <col min="4614" max="4614" width="51.6640625" style="2" customWidth="1"/>
    <col min="4615" max="4615" width="10.33203125" style="2" customWidth="1"/>
    <col min="4616" max="4616" width="7.109375" style="2" customWidth="1"/>
    <col min="4617" max="4617" width="6.6640625" style="2" customWidth="1"/>
    <col min="4618" max="4618" width="8.33203125" style="2" customWidth="1"/>
    <col min="4619" max="4619" width="7" style="2" customWidth="1"/>
    <col min="4620" max="4624" width="0" style="2" hidden="1" customWidth="1"/>
    <col min="4625" max="4867" width="9.109375" style="2"/>
    <col min="4868" max="4868" width="4.33203125" style="2" customWidth="1"/>
    <col min="4869" max="4869" width="5.6640625" style="2" customWidth="1"/>
    <col min="4870" max="4870" width="51.6640625" style="2" customWidth="1"/>
    <col min="4871" max="4871" width="10.33203125" style="2" customWidth="1"/>
    <col min="4872" max="4872" width="7.109375" style="2" customWidth="1"/>
    <col min="4873" max="4873" width="6.6640625" style="2" customWidth="1"/>
    <col min="4874" max="4874" width="8.33203125" style="2" customWidth="1"/>
    <col min="4875" max="4875" width="7" style="2" customWidth="1"/>
    <col min="4876" max="4880" width="0" style="2" hidden="1" customWidth="1"/>
    <col min="4881" max="5123" width="9.109375" style="2"/>
    <col min="5124" max="5124" width="4.33203125" style="2" customWidth="1"/>
    <col min="5125" max="5125" width="5.6640625" style="2" customWidth="1"/>
    <col min="5126" max="5126" width="51.6640625" style="2" customWidth="1"/>
    <col min="5127" max="5127" width="10.33203125" style="2" customWidth="1"/>
    <col min="5128" max="5128" width="7.109375" style="2" customWidth="1"/>
    <col min="5129" max="5129" width="6.6640625" style="2" customWidth="1"/>
    <col min="5130" max="5130" width="8.33203125" style="2" customWidth="1"/>
    <col min="5131" max="5131" width="7" style="2" customWidth="1"/>
    <col min="5132" max="5136" width="0" style="2" hidden="1" customWidth="1"/>
    <col min="5137" max="5379" width="9.109375" style="2"/>
    <col min="5380" max="5380" width="4.33203125" style="2" customWidth="1"/>
    <col min="5381" max="5381" width="5.6640625" style="2" customWidth="1"/>
    <col min="5382" max="5382" width="51.6640625" style="2" customWidth="1"/>
    <col min="5383" max="5383" width="10.33203125" style="2" customWidth="1"/>
    <col min="5384" max="5384" width="7.109375" style="2" customWidth="1"/>
    <col min="5385" max="5385" width="6.6640625" style="2" customWidth="1"/>
    <col min="5386" max="5386" width="8.33203125" style="2" customWidth="1"/>
    <col min="5387" max="5387" width="7" style="2" customWidth="1"/>
    <col min="5388" max="5392" width="0" style="2" hidden="1" customWidth="1"/>
    <col min="5393" max="5635" width="9.109375" style="2"/>
    <col min="5636" max="5636" width="4.33203125" style="2" customWidth="1"/>
    <col min="5637" max="5637" width="5.6640625" style="2" customWidth="1"/>
    <col min="5638" max="5638" width="51.6640625" style="2" customWidth="1"/>
    <col min="5639" max="5639" width="10.33203125" style="2" customWidth="1"/>
    <col min="5640" max="5640" width="7.109375" style="2" customWidth="1"/>
    <col min="5641" max="5641" width="6.6640625" style="2" customWidth="1"/>
    <col min="5642" max="5642" width="8.33203125" style="2" customWidth="1"/>
    <col min="5643" max="5643" width="7" style="2" customWidth="1"/>
    <col min="5644" max="5648" width="0" style="2" hidden="1" customWidth="1"/>
    <col min="5649" max="5891" width="9.109375" style="2"/>
    <col min="5892" max="5892" width="4.33203125" style="2" customWidth="1"/>
    <col min="5893" max="5893" width="5.6640625" style="2" customWidth="1"/>
    <col min="5894" max="5894" width="51.6640625" style="2" customWidth="1"/>
    <col min="5895" max="5895" width="10.33203125" style="2" customWidth="1"/>
    <col min="5896" max="5896" width="7.109375" style="2" customWidth="1"/>
    <col min="5897" max="5897" width="6.6640625" style="2" customWidth="1"/>
    <col min="5898" max="5898" width="8.33203125" style="2" customWidth="1"/>
    <col min="5899" max="5899" width="7" style="2" customWidth="1"/>
    <col min="5900" max="5904" width="0" style="2" hidden="1" customWidth="1"/>
    <col min="5905" max="6147" width="9.109375" style="2"/>
    <col min="6148" max="6148" width="4.33203125" style="2" customWidth="1"/>
    <col min="6149" max="6149" width="5.6640625" style="2" customWidth="1"/>
    <col min="6150" max="6150" width="51.6640625" style="2" customWidth="1"/>
    <col min="6151" max="6151" width="10.33203125" style="2" customWidth="1"/>
    <col min="6152" max="6152" width="7.109375" style="2" customWidth="1"/>
    <col min="6153" max="6153" width="6.6640625" style="2" customWidth="1"/>
    <col min="6154" max="6154" width="8.33203125" style="2" customWidth="1"/>
    <col min="6155" max="6155" width="7" style="2" customWidth="1"/>
    <col min="6156" max="6160" width="0" style="2" hidden="1" customWidth="1"/>
    <col min="6161" max="6403" width="9.109375" style="2"/>
    <col min="6404" max="6404" width="4.33203125" style="2" customWidth="1"/>
    <col min="6405" max="6405" width="5.6640625" style="2" customWidth="1"/>
    <col min="6406" max="6406" width="51.6640625" style="2" customWidth="1"/>
    <col min="6407" max="6407" width="10.33203125" style="2" customWidth="1"/>
    <col min="6408" max="6408" width="7.109375" style="2" customWidth="1"/>
    <col min="6409" max="6409" width="6.6640625" style="2" customWidth="1"/>
    <col min="6410" max="6410" width="8.33203125" style="2" customWidth="1"/>
    <col min="6411" max="6411" width="7" style="2" customWidth="1"/>
    <col min="6412" max="6416" width="0" style="2" hidden="1" customWidth="1"/>
    <col min="6417" max="6659" width="9.109375" style="2"/>
    <col min="6660" max="6660" width="4.33203125" style="2" customWidth="1"/>
    <col min="6661" max="6661" width="5.6640625" style="2" customWidth="1"/>
    <col min="6662" max="6662" width="51.6640625" style="2" customWidth="1"/>
    <col min="6663" max="6663" width="10.33203125" style="2" customWidth="1"/>
    <col min="6664" max="6664" width="7.109375" style="2" customWidth="1"/>
    <col min="6665" max="6665" width="6.6640625" style="2" customWidth="1"/>
    <col min="6666" max="6666" width="8.33203125" style="2" customWidth="1"/>
    <col min="6667" max="6667" width="7" style="2" customWidth="1"/>
    <col min="6668" max="6672" width="0" style="2" hidden="1" customWidth="1"/>
    <col min="6673" max="6915" width="9.109375" style="2"/>
    <col min="6916" max="6916" width="4.33203125" style="2" customWidth="1"/>
    <col min="6917" max="6917" width="5.6640625" style="2" customWidth="1"/>
    <col min="6918" max="6918" width="51.6640625" style="2" customWidth="1"/>
    <col min="6919" max="6919" width="10.33203125" style="2" customWidth="1"/>
    <col min="6920" max="6920" width="7.109375" style="2" customWidth="1"/>
    <col min="6921" max="6921" width="6.6640625" style="2" customWidth="1"/>
    <col min="6922" max="6922" width="8.33203125" style="2" customWidth="1"/>
    <col min="6923" max="6923" width="7" style="2" customWidth="1"/>
    <col min="6924" max="6928" width="0" style="2" hidden="1" customWidth="1"/>
    <col min="6929" max="7171" width="9.109375" style="2"/>
    <col min="7172" max="7172" width="4.33203125" style="2" customWidth="1"/>
    <col min="7173" max="7173" width="5.6640625" style="2" customWidth="1"/>
    <col min="7174" max="7174" width="51.6640625" style="2" customWidth="1"/>
    <col min="7175" max="7175" width="10.33203125" style="2" customWidth="1"/>
    <col min="7176" max="7176" width="7.109375" style="2" customWidth="1"/>
    <col min="7177" max="7177" width="6.6640625" style="2" customWidth="1"/>
    <col min="7178" max="7178" width="8.33203125" style="2" customWidth="1"/>
    <col min="7179" max="7179" width="7" style="2" customWidth="1"/>
    <col min="7180" max="7184" width="0" style="2" hidden="1" customWidth="1"/>
    <col min="7185" max="7427" width="9.109375" style="2"/>
    <col min="7428" max="7428" width="4.33203125" style="2" customWidth="1"/>
    <col min="7429" max="7429" width="5.6640625" style="2" customWidth="1"/>
    <col min="7430" max="7430" width="51.6640625" style="2" customWidth="1"/>
    <col min="7431" max="7431" width="10.33203125" style="2" customWidth="1"/>
    <col min="7432" max="7432" width="7.109375" style="2" customWidth="1"/>
    <col min="7433" max="7433" width="6.6640625" style="2" customWidth="1"/>
    <col min="7434" max="7434" width="8.33203125" style="2" customWidth="1"/>
    <col min="7435" max="7435" width="7" style="2" customWidth="1"/>
    <col min="7436" max="7440" width="0" style="2" hidden="1" customWidth="1"/>
    <col min="7441" max="7683" width="9.109375" style="2"/>
    <col min="7684" max="7684" width="4.33203125" style="2" customWidth="1"/>
    <col min="7685" max="7685" width="5.6640625" style="2" customWidth="1"/>
    <col min="7686" max="7686" width="51.6640625" style="2" customWidth="1"/>
    <col min="7687" max="7687" width="10.33203125" style="2" customWidth="1"/>
    <col min="7688" max="7688" width="7.109375" style="2" customWidth="1"/>
    <col min="7689" max="7689" width="6.6640625" style="2" customWidth="1"/>
    <col min="7690" max="7690" width="8.33203125" style="2" customWidth="1"/>
    <col min="7691" max="7691" width="7" style="2" customWidth="1"/>
    <col min="7692" max="7696" width="0" style="2" hidden="1" customWidth="1"/>
    <col min="7697" max="7939" width="9.109375" style="2"/>
    <col min="7940" max="7940" width="4.33203125" style="2" customWidth="1"/>
    <col min="7941" max="7941" width="5.6640625" style="2" customWidth="1"/>
    <col min="7942" max="7942" width="51.6640625" style="2" customWidth="1"/>
    <col min="7943" max="7943" width="10.33203125" style="2" customWidth="1"/>
    <col min="7944" max="7944" width="7.109375" style="2" customWidth="1"/>
    <col min="7945" max="7945" width="6.6640625" style="2" customWidth="1"/>
    <col min="7946" max="7946" width="8.33203125" style="2" customWidth="1"/>
    <col min="7947" max="7947" width="7" style="2" customWidth="1"/>
    <col min="7948" max="7952" width="0" style="2" hidden="1" customWidth="1"/>
    <col min="7953" max="8195" width="9.109375" style="2"/>
    <col min="8196" max="8196" width="4.33203125" style="2" customWidth="1"/>
    <col min="8197" max="8197" width="5.6640625" style="2" customWidth="1"/>
    <col min="8198" max="8198" width="51.6640625" style="2" customWidth="1"/>
    <col min="8199" max="8199" width="10.33203125" style="2" customWidth="1"/>
    <col min="8200" max="8200" width="7.109375" style="2" customWidth="1"/>
    <col min="8201" max="8201" width="6.6640625" style="2" customWidth="1"/>
    <col min="8202" max="8202" width="8.33203125" style="2" customWidth="1"/>
    <col min="8203" max="8203" width="7" style="2" customWidth="1"/>
    <col min="8204" max="8208" width="0" style="2" hidden="1" customWidth="1"/>
    <col min="8209" max="8451" width="9.109375" style="2"/>
    <col min="8452" max="8452" width="4.33203125" style="2" customWidth="1"/>
    <col min="8453" max="8453" width="5.6640625" style="2" customWidth="1"/>
    <col min="8454" max="8454" width="51.6640625" style="2" customWidth="1"/>
    <col min="8455" max="8455" width="10.33203125" style="2" customWidth="1"/>
    <col min="8456" max="8456" width="7.109375" style="2" customWidth="1"/>
    <col min="8457" max="8457" width="6.6640625" style="2" customWidth="1"/>
    <col min="8458" max="8458" width="8.33203125" style="2" customWidth="1"/>
    <col min="8459" max="8459" width="7" style="2" customWidth="1"/>
    <col min="8460" max="8464" width="0" style="2" hidden="1" customWidth="1"/>
    <col min="8465" max="8707" width="9.109375" style="2"/>
    <col min="8708" max="8708" width="4.33203125" style="2" customWidth="1"/>
    <col min="8709" max="8709" width="5.6640625" style="2" customWidth="1"/>
    <col min="8710" max="8710" width="51.6640625" style="2" customWidth="1"/>
    <col min="8711" max="8711" width="10.33203125" style="2" customWidth="1"/>
    <col min="8712" max="8712" width="7.109375" style="2" customWidth="1"/>
    <col min="8713" max="8713" width="6.6640625" style="2" customWidth="1"/>
    <col min="8714" max="8714" width="8.33203125" style="2" customWidth="1"/>
    <col min="8715" max="8715" width="7" style="2" customWidth="1"/>
    <col min="8716" max="8720" width="0" style="2" hidden="1" customWidth="1"/>
    <col min="8721" max="8963" width="9.109375" style="2"/>
    <col min="8964" max="8964" width="4.33203125" style="2" customWidth="1"/>
    <col min="8965" max="8965" width="5.6640625" style="2" customWidth="1"/>
    <col min="8966" max="8966" width="51.6640625" style="2" customWidth="1"/>
    <col min="8967" max="8967" width="10.33203125" style="2" customWidth="1"/>
    <col min="8968" max="8968" width="7.109375" style="2" customWidth="1"/>
    <col min="8969" max="8969" width="6.6640625" style="2" customWidth="1"/>
    <col min="8970" max="8970" width="8.33203125" style="2" customWidth="1"/>
    <col min="8971" max="8971" width="7" style="2" customWidth="1"/>
    <col min="8972" max="8976" width="0" style="2" hidden="1" customWidth="1"/>
    <col min="8977" max="9219" width="9.109375" style="2"/>
    <col min="9220" max="9220" width="4.33203125" style="2" customWidth="1"/>
    <col min="9221" max="9221" width="5.6640625" style="2" customWidth="1"/>
    <col min="9222" max="9222" width="51.6640625" style="2" customWidth="1"/>
    <col min="9223" max="9223" width="10.33203125" style="2" customWidth="1"/>
    <col min="9224" max="9224" width="7.109375" style="2" customWidth="1"/>
    <col min="9225" max="9225" width="6.6640625" style="2" customWidth="1"/>
    <col min="9226" max="9226" width="8.33203125" style="2" customWidth="1"/>
    <col min="9227" max="9227" width="7" style="2" customWidth="1"/>
    <col min="9228" max="9232" width="0" style="2" hidden="1" customWidth="1"/>
    <col min="9233" max="9475" width="9.109375" style="2"/>
    <col min="9476" max="9476" width="4.33203125" style="2" customWidth="1"/>
    <col min="9477" max="9477" width="5.6640625" style="2" customWidth="1"/>
    <col min="9478" max="9478" width="51.6640625" style="2" customWidth="1"/>
    <col min="9479" max="9479" width="10.33203125" style="2" customWidth="1"/>
    <col min="9480" max="9480" width="7.109375" style="2" customWidth="1"/>
    <col min="9481" max="9481" width="6.6640625" style="2" customWidth="1"/>
    <col min="9482" max="9482" width="8.33203125" style="2" customWidth="1"/>
    <col min="9483" max="9483" width="7" style="2" customWidth="1"/>
    <col min="9484" max="9488" width="0" style="2" hidden="1" customWidth="1"/>
    <col min="9489" max="9731" width="9.109375" style="2"/>
    <col min="9732" max="9732" width="4.33203125" style="2" customWidth="1"/>
    <col min="9733" max="9733" width="5.6640625" style="2" customWidth="1"/>
    <col min="9734" max="9734" width="51.6640625" style="2" customWidth="1"/>
    <col min="9735" max="9735" width="10.33203125" style="2" customWidth="1"/>
    <col min="9736" max="9736" width="7.109375" style="2" customWidth="1"/>
    <col min="9737" max="9737" width="6.6640625" style="2" customWidth="1"/>
    <col min="9738" max="9738" width="8.33203125" style="2" customWidth="1"/>
    <col min="9739" max="9739" width="7" style="2" customWidth="1"/>
    <col min="9740" max="9744" width="0" style="2" hidden="1" customWidth="1"/>
    <col min="9745" max="9987" width="9.109375" style="2"/>
    <col min="9988" max="9988" width="4.33203125" style="2" customWidth="1"/>
    <col min="9989" max="9989" width="5.6640625" style="2" customWidth="1"/>
    <col min="9990" max="9990" width="51.6640625" style="2" customWidth="1"/>
    <col min="9991" max="9991" width="10.33203125" style="2" customWidth="1"/>
    <col min="9992" max="9992" width="7.109375" style="2" customWidth="1"/>
    <col min="9993" max="9993" width="6.6640625" style="2" customWidth="1"/>
    <col min="9994" max="9994" width="8.33203125" style="2" customWidth="1"/>
    <col min="9995" max="9995" width="7" style="2" customWidth="1"/>
    <col min="9996" max="10000" width="0" style="2" hidden="1" customWidth="1"/>
    <col min="10001" max="10243" width="9.109375" style="2"/>
    <col min="10244" max="10244" width="4.33203125" style="2" customWidth="1"/>
    <col min="10245" max="10245" width="5.6640625" style="2" customWidth="1"/>
    <col min="10246" max="10246" width="51.6640625" style="2" customWidth="1"/>
    <col min="10247" max="10247" width="10.33203125" style="2" customWidth="1"/>
    <col min="10248" max="10248" width="7.109375" style="2" customWidth="1"/>
    <col min="10249" max="10249" width="6.6640625" style="2" customWidth="1"/>
    <col min="10250" max="10250" width="8.33203125" style="2" customWidth="1"/>
    <col min="10251" max="10251" width="7" style="2" customWidth="1"/>
    <col min="10252" max="10256" width="0" style="2" hidden="1" customWidth="1"/>
    <col min="10257" max="10499" width="9.109375" style="2"/>
    <col min="10500" max="10500" width="4.33203125" style="2" customWidth="1"/>
    <col min="10501" max="10501" width="5.6640625" style="2" customWidth="1"/>
    <col min="10502" max="10502" width="51.6640625" style="2" customWidth="1"/>
    <col min="10503" max="10503" width="10.33203125" style="2" customWidth="1"/>
    <col min="10504" max="10504" width="7.109375" style="2" customWidth="1"/>
    <col min="10505" max="10505" width="6.6640625" style="2" customWidth="1"/>
    <col min="10506" max="10506" width="8.33203125" style="2" customWidth="1"/>
    <col min="10507" max="10507" width="7" style="2" customWidth="1"/>
    <col min="10508" max="10512" width="0" style="2" hidden="1" customWidth="1"/>
    <col min="10513" max="10755" width="9.109375" style="2"/>
    <col min="10756" max="10756" width="4.33203125" style="2" customWidth="1"/>
    <col min="10757" max="10757" width="5.6640625" style="2" customWidth="1"/>
    <col min="10758" max="10758" width="51.6640625" style="2" customWidth="1"/>
    <col min="10759" max="10759" width="10.33203125" style="2" customWidth="1"/>
    <col min="10760" max="10760" width="7.109375" style="2" customWidth="1"/>
    <col min="10761" max="10761" width="6.6640625" style="2" customWidth="1"/>
    <col min="10762" max="10762" width="8.33203125" style="2" customWidth="1"/>
    <col min="10763" max="10763" width="7" style="2" customWidth="1"/>
    <col min="10764" max="10768" width="0" style="2" hidden="1" customWidth="1"/>
    <col min="10769" max="11011" width="9.109375" style="2"/>
    <col min="11012" max="11012" width="4.33203125" style="2" customWidth="1"/>
    <col min="11013" max="11013" width="5.6640625" style="2" customWidth="1"/>
    <col min="11014" max="11014" width="51.6640625" style="2" customWidth="1"/>
    <col min="11015" max="11015" width="10.33203125" style="2" customWidth="1"/>
    <col min="11016" max="11016" width="7.109375" style="2" customWidth="1"/>
    <col min="11017" max="11017" width="6.6640625" style="2" customWidth="1"/>
    <col min="11018" max="11018" width="8.33203125" style="2" customWidth="1"/>
    <col min="11019" max="11019" width="7" style="2" customWidth="1"/>
    <col min="11020" max="11024" width="0" style="2" hidden="1" customWidth="1"/>
    <col min="11025" max="11267" width="9.109375" style="2"/>
    <col min="11268" max="11268" width="4.33203125" style="2" customWidth="1"/>
    <col min="11269" max="11269" width="5.6640625" style="2" customWidth="1"/>
    <col min="11270" max="11270" width="51.6640625" style="2" customWidth="1"/>
    <col min="11271" max="11271" width="10.33203125" style="2" customWidth="1"/>
    <col min="11272" max="11272" width="7.109375" style="2" customWidth="1"/>
    <col min="11273" max="11273" width="6.6640625" style="2" customWidth="1"/>
    <col min="11274" max="11274" width="8.33203125" style="2" customWidth="1"/>
    <col min="11275" max="11275" width="7" style="2" customWidth="1"/>
    <col min="11276" max="11280" width="0" style="2" hidden="1" customWidth="1"/>
    <col min="11281" max="11523" width="9.109375" style="2"/>
    <col min="11524" max="11524" width="4.33203125" style="2" customWidth="1"/>
    <col min="11525" max="11525" width="5.6640625" style="2" customWidth="1"/>
    <col min="11526" max="11526" width="51.6640625" style="2" customWidth="1"/>
    <col min="11527" max="11527" width="10.33203125" style="2" customWidth="1"/>
    <col min="11528" max="11528" width="7.109375" style="2" customWidth="1"/>
    <col min="11529" max="11529" width="6.6640625" style="2" customWidth="1"/>
    <col min="11530" max="11530" width="8.33203125" style="2" customWidth="1"/>
    <col min="11531" max="11531" width="7" style="2" customWidth="1"/>
    <col min="11532" max="11536" width="0" style="2" hidden="1" customWidth="1"/>
    <col min="11537" max="11779" width="9.109375" style="2"/>
    <col min="11780" max="11780" width="4.33203125" style="2" customWidth="1"/>
    <col min="11781" max="11781" width="5.6640625" style="2" customWidth="1"/>
    <col min="11782" max="11782" width="51.6640625" style="2" customWidth="1"/>
    <col min="11783" max="11783" width="10.33203125" style="2" customWidth="1"/>
    <col min="11784" max="11784" width="7.109375" style="2" customWidth="1"/>
    <col min="11785" max="11785" width="6.6640625" style="2" customWidth="1"/>
    <col min="11786" max="11786" width="8.33203125" style="2" customWidth="1"/>
    <col min="11787" max="11787" width="7" style="2" customWidth="1"/>
    <col min="11788" max="11792" width="0" style="2" hidden="1" customWidth="1"/>
    <col min="11793" max="12035" width="9.109375" style="2"/>
    <col min="12036" max="12036" width="4.33203125" style="2" customWidth="1"/>
    <col min="12037" max="12037" width="5.6640625" style="2" customWidth="1"/>
    <col min="12038" max="12038" width="51.6640625" style="2" customWidth="1"/>
    <col min="12039" max="12039" width="10.33203125" style="2" customWidth="1"/>
    <col min="12040" max="12040" width="7.109375" style="2" customWidth="1"/>
    <col min="12041" max="12041" width="6.6640625" style="2" customWidth="1"/>
    <col min="12042" max="12042" width="8.33203125" style="2" customWidth="1"/>
    <col min="12043" max="12043" width="7" style="2" customWidth="1"/>
    <col min="12044" max="12048" width="0" style="2" hidden="1" customWidth="1"/>
    <col min="12049" max="12291" width="9.109375" style="2"/>
    <col min="12292" max="12292" width="4.33203125" style="2" customWidth="1"/>
    <col min="12293" max="12293" width="5.6640625" style="2" customWidth="1"/>
    <col min="12294" max="12294" width="51.6640625" style="2" customWidth="1"/>
    <col min="12295" max="12295" width="10.33203125" style="2" customWidth="1"/>
    <col min="12296" max="12296" width="7.109375" style="2" customWidth="1"/>
    <col min="12297" max="12297" width="6.6640625" style="2" customWidth="1"/>
    <col min="12298" max="12298" width="8.33203125" style="2" customWidth="1"/>
    <col min="12299" max="12299" width="7" style="2" customWidth="1"/>
    <col min="12300" max="12304" width="0" style="2" hidden="1" customWidth="1"/>
    <col min="12305" max="12547" width="9.109375" style="2"/>
    <col min="12548" max="12548" width="4.33203125" style="2" customWidth="1"/>
    <col min="12549" max="12549" width="5.6640625" style="2" customWidth="1"/>
    <col min="12550" max="12550" width="51.6640625" style="2" customWidth="1"/>
    <col min="12551" max="12551" width="10.33203125" style="2" customWidth="1"/>
    <col min="12552" max="12552" width="7.109375" style="2" customWidth="1"/>
    <col min="12553" max="12553" width="6.6640625" style="2" customWidth="1"/>
    <col min="12554" max="12554" width="8.33203125" style="2" customWidth="1"/>
    <col min="12555" max="12555" width="7" style="2" customWidth="1"/>
    <col min="12556" max="12560" width="0" style="2" hidden="1" customWidth="1"/>
    <col min="12561" max="12803" width="9.109375" style="2"/>
    <col min="12804" max="12804" width="4.33203125" style="2" customWidth="1"/>
    <col min="12805" max="12805" width="5.6640625" style="2" customWidth="1"/>
    <col min="12806" max="12806" width="51.6640625" style="2" customWidth="1"/>
    <col min="12807" max="12807" width="10.33203125" style="2" customWidth="1"/>
    <col min="12808" max="12808" width="7.109375" style="2" customWidth="1"/>
    <col min="12809" max="12809" width="6.6640625" style="2" customWidth="1"/>
    <col min="12810" max="12810" width="8.33203125" style="2" customWidth="1"/>
    <col min="12811" max="12811" width="7" style="2" customWidth="1"/>
    <col min="12812" max="12816" width="0" style="2" hidden="1" customWidth="1"/>
    <col min="12817" max="13059" width="9.109375" style="2"/>
    <col min="13060" max="13060" width="4.33203125" style="2" customWidth="1"/>
    <col min="13061" max="13061" width="5.6640625" style="2" customWidth="1"/>
    <col min="13062" max="13062" width="51.6640625" style="2" customWidth="1"/>
    <col min="13063" max="13063" width="10.33203125" style="2" customWidth="1"/>
    <col min="13064" max="13064" width="7.109375" style="2" customWidth="1"/>
    <col min="13065" max="13065" width="6.6640625" style="2" customWidth="1"/>
    <col min="13066" max="13066" width="8.33203125" style="2" customWidth="1"/>
    <col min="13067" max="13067" width="7" style="2" customWidth="1"/>
    <col min="13068" max="13072" width="0" style="2" hidden="1" customWidth="1"/>
    <col min="13073" max="13315" width="9.109375" style="2"/>
    <col min="13316" max="13316" width="4.33203125" style="2" customWidth="1"/>
    <col min="13317" max="13317" width="5.6640625" style="2" customWidth="1"/>
    <col min="13318" max="13318" width="51.6640625" style="2" customWidth="1"/>
    <col min="13319" max="13319" width="10.33203125" style="2" customWidth="1"/>
    <col min="13320" max="13320" width="7.109375" style="2" customWidth="1"/>
    <col min="13321" max="13321" width="6.6640625" style="2" customWidth="1"/>
    <col min="13322" max="13322" width="8.33203125" style="2" customWidth="1"/>
    <col min="13323" max="13323" width="7" style="2" customWidth="1"/>
    <col min="13324" max="13328" width="0" style="2" hidden="1" customWidth="1"/>
    <col min="13329" max="13571" width="9.109375" style="2"/>
    <col min="13572" max="13572" width="4.33203125" style="2" customWidth="1"/>
    <col min="13573" max="13573" width="5.6640625" style="2" customWidth="1"/>
    <col min="13574" max="13574" width="51.6640625" style="2" customWidth="1"/>
    <col min="13575" max="13575" width="10.33203125" style="2" customWidth="1"/>
    <col min="13576" max="13576" width="7.109375" style="2" customWidth="1"/>
    <col min="13577" max="13577" width="6.6640625" style="2" customWidth="1"/>
    <col min="13578" max="13578" width="8.33203125" style="2" customWidth="1"/>
    <col min="13579" max="13579" width="7" style="2" customWidth="1"/>
    <col min="13580" max="13584" width="0" style="2" hidden="1" customWidth="1"/>
    <col min="13585" max="13827" width="9.109375" style="2"/>
    <col min="13828" max="13828" width="4.33203125" style="2" customWidth="1"/>
    <col min="13829" max="13829" width="5.6640625" style="2" customWidth="1"/>
    <col min="13830" max="13830" width="51.6640625" style="2" customWidth="1"/>
    <col min="13831" max="13831" width="10.33203125" style="2" customWidth="1"/>
    <col min="13832" max="13832" width="7.109375" style="2" customWidth="1"/>
    <col min="13833" max="13833" width="6.6640625" style="2" customWidth="1"/>
    <col min="13834" max="13834" width="8.33203125" style="2" customWidth="1"/>
    <col min="13835" max="13835" width="7" style="2" customWidth="1"/>
    <col min="13836" max="13840" width="0" style="2" hidden="1" customWidth="1"/>
    <col min="13841" max="14083" width="9.109375" style="2"/>
    <col min="14084" max="14084" width="4.33203125" style="2" customWidth="1"/>
    <col min="14085" max="14085" width="5.6640625" style="2" customWidth="1"/>
    <col min="14086" max="14086" width="51.6640625" style="2" customWidth="1"/>
    <col min="14087" max="14087" width="10.33203125" style="2" customWidth="1"/>
    <col min="14088" max="14088" width="7.109375" style="2" customWidth="1"/>
    <col min="14089" max="14089" width="6.6640625" style="2" customWidth="1"/>
    <col min="14090" max="14090" width="8.33203125" style="2" customWidth="1"/>
    <col min="14091" max="14091" width="7" style="2" customWidth="1"/>
    <col min="14092" max="14096" width="0" style="2" hidden="1" customWidth="1"/>
    <col min="14097" max="14339" width="9.109375" style="2"/>
    <col min="14340" max="14340" width="4.33203125" style="2" customWidth="1"/>
    <col min="14341" max="14341" width="5.6640625" style="2" customWidth="1"/>
    <col min="14342" max="14342" width="51.6640625" style="2" customWidth="1"/>
    <col min="14343" max="14343" width="10.33203125" style="2" customWidth="1"/>
    <col min="14344" max="14344" width="7.109375" style="2" customWidth="1"/>
    <col min="14345" max="14345" width="6.6640625" style="2" customWidth="1"/>
    <col min="14346" max="14346" width="8.33203125" style="2" customWidth="1"/>
    <col min="14347" max="14347" width="7" style="2" customWidth="1"/>
    <col min="14348" max="14352" width="0" style="2" hidden="1" customWidth="1"/>
    <col min="14353" max="14595" width="9.109375" style="2"/>
    <col min="14596" max="14596" width="4.33203125" style="2" customWidth="1"/>
    <col min="14597" max="14597" width="5.6640625" style="2" customWidth="1"/>
    <col min="14598" max="14598" width="51.6640625" style="2" customWidth="1"/>
    <col min="14599" max="14599" width="10.33203125" style="2" customWidth="1"/>
    <col min="14600" max="14600" width="7.109375" style="2" customWidth="1"/>
    <col min="14601" max="14601" width="6.6640625" style="2" customWidth="1"/>
    <col min="14602" max="14602" width="8.33203125" style="2" customWidth="1"/>
    <col min="14603" max="14603" width="7" style="2" customWidth="1"/>
    <col min="14604" max="14608" width="0" style="2" hidden="1" customWidth="1"/>
    <col min="14609" max="14851" width="9.109375" style="2"/>
    <col min="14852" max="14852" width="4.33203125" style="2" customWidth="1"/>
    <col min="14853" max="14853" width="5.6640625" style="2" customWidth="1"/>
    <col min="14854" max="14854" width="51.6640625" style="2" customWidth="1"/>
    <col min="14855" max="14855" width="10.33203125" style="2" customWidth="1"/>
    <col min="14856" max="14856" width="7.109375" style="2" customWidth="1"/>
    <col min="14857" max="14857" width="6.6640625" style="2" customWidth="1"/>
    <col min="14858" max="14858" width="8.33203125" style="2" customWidth="1"/>
    <col min="14859" max="14859" width="7" style="2" customWidth="1"/>
    <col min="14860" max="14864" width="0" style="2" hidden="1" customWidth="1"/>
    <col min="14865" max="15107" width="9.109375" style="2"/>
    <col min="15108" max="15108" width="4.33203125" style="2" customWidth="1"/>
    <col min="15109" max="15109" width="5.6640625" style="2" customWidth="1"/>
    <col min="15110" max="15110" width="51.6640625" style="2" customWidth="1"/>
    <col min="15111" max="15111" width="10.33203125" style="2" customWidth="1"/>
    <col min="15112" max="15112" width="7.109375" style="2" customWidth="1"/>
    <col min="15113" max="15113" width="6.6640625" style="2" customWidth="1"/>
    <col min="15114" max="15114" width="8.33203125" style="2" customWidth="1"/>
    <col min="15115" max="15115" width="7" style="2" customWidth="1"/>
    <col min="15116" max="15120" width="0" style="2" hidden="1" customWidth="1"/>
    <col min="15121" max="15363" width="9.109375" style="2"/>
    <col min="15364" max="15364" width="4.33203125" style="2" customWidth="1"/>
    <col min="15365" max="15365" width="5.6640625" style="2" customWidth="1"/>
    <col min="15366" max="15366" width="51.6640625" style="2" customWidth="1"/>
    <col min="15367" max="15367" width="10.33203125" style="2" customWidth="1"/>
    <col min="15368" max="15368" width="7.109375" style="2" customWidth="1"/>
    <col min="15369" max="15369" width="6.6640625" style="2" customWidth="1"/>
    <col min="15370" max="15370" width="8.33203125" style="2" customWidth="1"/>
    <col min="15371" max="15371" width="7" style="2" customWidth="1"/>
    <col min="15372" max="15376" width="0" style="2" hidden="1" customWidth="1"/>
    <col min="15377" max="15619" width="9.109375" style="2"/>
    <col min="15620" max="15620" width="4.33203125" style="2" customWidth="1"/>
    <col min="15621" max="15621" width="5.6640625" style="2" customWidth="1"/>
    <col min="15622" max="15622" width="51.6640625" style="2" customWidth="1"/>
    <col min="15623" max="15623" width="10.33203125" style="2" customWidth="1"/>
    <col min="15624" max="15624" width="7.109375" style="2" customWidth="1"/>
    <col min="15625" max="15625" width="6.6640625" style="2" customWidth="1"/>
    <col min="15626" max="15626" width="8.33203125" style="2" customWidth="1"/>
    <col min="15627" max="15627" width="7" style="2" customWidth="1"/>
    <col min="15628" max="15632" width="0" style="2" hidden="1" customWidth="1"/>
    <col min="15633" max="15875" width="9.109375" style="2"/>
    <col min="15876" max="15876" width="4.33203125" style="2" customWidth="1"/>
    <col min="15877" max="15877" width="5.6640625" style="2" customWidth="1"/>
    <col min="15878" max="15878" width="51.6640625" style="2" customWidth="1"/>
    <col min="15879" max="15879" width="10.33203125" style="2" customWidth="1"/>
    <col min="15880" max="15880" width="7.109375" style="2" customWidth="1"/>
    <col min="15881" max="15881" width="6.6640625" style="2" customWidth="1"/>
    <col min="15882" max="15882" width="8.33203125" style="2" customWidth="1"/>
    <col min="15883" max="15883" width="7" style="2" customWidth="1"/>
    <col min="15884" max="15888" width="0" style="2" hidden="1" customWidth="1"/>
    <col min="15889" max="16131" width="9.109375" style="2"/>
    <col min="16132" max="16132" width="4.33203125" style="2" customWidth="1"/>
    <col min="16133" max="16133" width="5.6640625" style="2" customWidth="1"/>
    <col min="16134" max="16134" width="51.6640625" style="2" customWidth="1"/>
    <col min="16135" max="16135" width="10.33203125" style="2" customWidth="1"/>
    <col min="16136" max="16136" width="7.109375" style="2" customWidth="1"/>
    <col min="16137" max="16137" width="6.6640625" style="2" customWidth="1"/>
    <col min="16138" max="16138" width="8.33203125" style="2" customWidth="1"/>
    <col min="16139" max="16139" width="7" style="2" customWidth="1"/>
    <col min="16140" max="16144" width="0" style="2" hidden="1" customWidth="1"/>
    <col min="16145" max="16384" width="9.109375" style="2"/>
  </cols>
  <sheetData>
    <row r="1" spans="1:20" ht="15" customHeight="1" x14ac:dyDescent="0.3">
      <c r="C1" s="306" t="s">
        <v>790</v>
      </c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</row>
    <row r="2" spans="1:20" ht="15.6" x14ac:dyDescent="0.3">
      <c r="C2" s="306" t="s">
        <v>791</v>
      </c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</row>
    <row r="3" spans="1:20" ht="15.6" x14ac:dyDescent="0.25">
      <c r="C3" s="114"/>
      <c r="D3" s="115"/>
      <c r="E3" s="114"/>
      <c r="F3" s="114"/>
      <c r="G3" s="114"/>
      <c r="H3" s="114"/>
      <c r="I3" s="307" t="s">
        <v>792</v>
      </c>
      <c r="J3" s="307"/>
      <c r="K3" s="307"/>
      <c r="L3" s="307"/>
      <c r="M3" s="307"/>
      <c r="N3" s="307"/>
      <c r="O3" s="307"/>
      <c r="P3" s="307"/>
      <c r="Q3" s="307"/>
    </row>
    <row r="4" spans="1:20" ht="15.6" x14ac:dyDescent="0.25">
      <c r="C4" s="114"/>
      <c r="D4" s="115"/>
      <c r="E4" s="114"/>
      <c r="F4" s="114"/>
      <c r="G4" s="114"/>
      <c r="H4" s="114"/>
      <c r="I4" s="277"/>
      <c r="J4" s="277"/>
      <c r="K4" s="277"/>
      <c r="L4" s="277"/>
      <c r="M4" s="277"/>
      <c r="N4" s="277"/>
      <c r="O4" s="277"/>
      <c r="P4" s="277"/>
      <c r="Q4" s="277"/>
    </row>
    <row r="5" spans="1:20" ht="20.25" customHeight="1" x14ac:dyDescent="0.25">
      <c r="A5" s="321" t="s">
        <v>482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spans="1:20" x14ac:dyDescent="0.25">
      <c r="K6" s="309" t="s">
        <v>1</v>
      </c>
      <c r="L6" s="309"/>
      <c r="M6" s="309"/>
      <c r="N6" s="309"/>
      <c r="O6" s="309"/>
      <c r="P6" s="309"/>
      <c r="Q6" s="309"/>
    </row>
    <row r="7" spans="1:20" ht="13.2" customHeight="1" x14ac:dyDescent="0.25">
      <c r="A7" s="297" t="s">
        <v>466</v>
      </c>
      <c r="B7" s="297" t="s">
        <v>467</v>
      </c>
      <c r="C7" s="297" t="s">
        <v>4</v>
      </c>
      <c r="D7" s="297" t="s">
        <v>5</v>
      </c>
      <c r="E7" s="314" t="s">
        <v>6</v>
      </c>
      <c r="F7" s="316"/>
      <c r="G7" s="314" t="s">
        <v>7</v>
      </c>
      <c r="H7" s="325"/>
      <c r="I7" s="325"/>
      <c r="J7" s="325"/>
      <c r="K7" s="325"/>
      <c r="L7" s="325"/>
      <c r="M7" s="325"/>
      <c r="N7" s="325"/>
      <c r="O7" s="325"/>
      <c r="P7" s="325"/>
      <c r="Q7" s="316"/>
    </row>
    <row r="8" spans="1:20" ht="13.2" customHeight="1" x14ac:dyDescent="0.25">
      <c r="A8" s="298"/>
      <c r="B8" s="298"/>
      <c r="C8" s="298"/>
      <c r="D8" s="298"/>
      <c r="E8" s="315"/>
      <c r="F8" s="317"/>
      <c r="G8" s="310" t="s">
        <v>8</v>
      </c>
      <c r="H8" s="322"/>
      <c r="I8" s="322"/>
      <c r="J8" s="311"/>
      <c r="K8" s="314" t="s">
        <v>9</v>
      </c>
      <c r="L8" s="325"/>
      <c r="M8" s="325"/>
      <c r="N8" s="325"/>
      <c r="O8" s="325"/>
      <c r="P8" s="325"/>
      <c r="Q8" s="316"/>
    </row>
    <row r="9" spans="1:20" ht="21" customHeight="1" x14ac:dyDescent="0.25">
      <c r="A9" s="298"/>
      <c r="B9" s="298"/>
      <c r="C9" s="298"/>
      <c r="D9" s="298"/>
      <c r="E9" s="297" t="s">
        <v>10</v>
      </c>
      <c r="F9" s="297" t="s">
        <v>11</v>
      </c>
      <c r="G9" s="310" t="s">
        <v>12</v>
      </c>
      <c r="H9" s="311"/>
      <c r="I9" s="312" t="s">
        <v>13</v>
      </c>
      <c r="J9" s="313"/>
      <c r="K9" s="297" t="s">
        <v>10</v>
      </c>
      <c r="L9" s="297" t="s">
        <v>11</v>
      </c>
      <c r="Q9" s="323" t="s">
        <v>11</v>
      </c>
    </row>
    <row r="10" spans="1:20" ht="18.600000000000001" customHeight="1" x14ac:dyDescent="0.25">
      <c r="A10" s="299"/>
      <c r="B10" s="299"/>
      <c r="C10" s="299"/>
      <c r="D10" s="299"/>
      <c r="E10" s="299"/>
      <c r="F10" s="299"/>
      <c r="G10" s="7" t="s">
        <v>10</v>
      </c>
      <c r="H10" s="7" t="s">
        <v>11</v>
      </c>
      <c r="I10" s="7" t="s">
        <v>10</v>
      </c>
      <c r="J10" s="7" t="s">
        <v>11</v>
      </c>
      <c r="K10" s="299"/>
      <c r="L10" s="299"/>
      <c r="Q10" s="324"/>
    </row>
    <row r="11" spans="1:20" s="116" customFormat="1" ht="15" customHeight="1" x14ac:dyDescent="0.25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7">
        <v>11</v>
      </c>
      <c r="Q11" s="10">
        <v>12</v>
      </c>
    </row>
    <row r="12" spans="1:20" ht="20.100000000000001" customHeight="1" x14ac:dyDescent="0.25">
      <c r="A12" s="11">
        <v>1</v>
      </c>
      <c r="B12" s="231" t="s">
        <v>15</v>
      </c>
      <c r="C12" s="12" t="s">
        <v>16</v>
      </c>
      <c r="D12" s="98"/>
      <c r="E12" s="100">
        <f t="shared" ref="E12:E59" si="0">+G12+K12</f>
        <v>86.4</v>
      </c>
      <c r="F12" s="100">
        <f>+H12+Q12</f>
        <v>53.899999999999991</v>
      </c>
      <c r="G12" s="100">
        <f>SUM(G13:G39)</f>
        <v>81.400000000000006</v>
      </c>
      <c r="H12" s="100">
        <f>SUM(H13:H39)</f>
        <v>51.599999999999994</v>
      </c>
      <c r="I12" s="100">
        <f>SUM(I13:I39)</f>
        <v>3.5</v>
      </c>
      <c r="J12" s="100">
        <f>SUM(J13:J39)</f>
        <v>3.5</v>
      </c>
      <c r="K12" s="100">
        <f>SUM(K13:K39)</f>
        <v>5</v>
      </c>
      <c r="L12" s="100">
        <f t="shared" ref="L12:Q12" si="1">SUM(L13:L39)</f>
        <v>3.7</v>
      </c>
      <c r="M12" s="100">
        <f t="shared" si="1"/>
        <v>-1.9</v>
      </c>
      <c r="N12" s="100">
        <f t="shared" si="1"/>
        <v>13.3</v>
      </c>
      <c r="O12" s="100">
        <f t="shared" si="1"/>
        <v>5.6</v>
      </c>
      <c r="P12" s="100">
        <f t="shared" si="1"/>
        <v>-15.2</v>
      </c>
      <c r="Q12" s="100">
        <f t="shared" si="1"/>
        <v>2.2999999999999998</v>
      </c>
      <c r="R12" s="14"/>
      <c r="S12" s="14"/>
      <c r="T12" s="14"/>
    </row>
    <row r="13" spans="1:20" ht="12.6" customHeight="1" x14ac:dyDescent="0.25">
      <c r="A13" s="11">
        <v>2</v>
      </c>
      <c r="B13" s="231"/>
      <c r="C13" s="101" t="s">
        <v>17</v>
      </c>
      <c r="D13" s="232" t="s">
        <v>20</v>
      </c>
      <c r="E13" s="102">
        <f t="shared" si="0"/>
        <v>0.8</v>
      </c>
      <c r="F13" s="102">
        <f t="shared" ref="F13:F60" si="2">+H13+Q13</f>
        <v>0.3</v>
      </c>
      <c r="G13" s="102">
        <v>0.8</v>
      </c>
      <c r="H13" s="102">
        <v>0.3</v>
      </c>
      <c r="I13" s="108"/>
      <c r="J13" s="108"/>
      <c r="K13" s="108"/>
      <c r="L13" s="14">
        <f t="shared" ref="L13:M59" si="3">+M13+O13</f>
        <v>0</v>
      </c>
      <c r="M13" s="14">
        <f t="shared" si="3"/>
        <v>0</v>
      </c>
      <c r="N13" s="14"/>
      <c r="O13" s="14"/>
      <c r="Q13" s="19"/>
      <c r="R13" s="14"/>
      <c r="S13" s="14"/>
      <c r="T13" s="14"/>
    </row>
    <row r="14" spans="1:20" ht="12.6" customHeight="1" x14ac:dyDescent="0.25">
      <c r="A14" s="11">
        <v>3</v>
      </c>
      <c r="B14" s="231"/>
      <c r="C14" s="101" t="s">
        <v>19</v>
      </c>
      <c r="D14" s="232" t="s">
        <v>20</v>
      </c>
      <c r="E14" s="102">
        <f t="shared" si="0"/>
        <v>1.3</v>
      </c>
      <c r="F14" s="102">
        <f t="shared" si="2"/>
        <v>0.5</v>
      </c>
      <c r="G14" s="102">
        <v>1.3</v>
      </c>
      <c r="H14" s="102">
        <v>0.5</v>
      </c>
      <c r="I14" s="108"/>
      <c r="J14" s="108"/>
      <c r="K14" s="108"/>
      <c r="L14" s="14">
        <f t="shared" si="3"/>
        <v>0</v>
      </c>
      <c r="M14" s="14">
        <f t="shared" si="3"/>
        <v>0</v>
      </c>
      <c r="N14" s="14"/>
      <c r="O14" s="14"/>
      <c r="Q14" s="19"/>
      <c r="R14" s="14"/>
      <c r="S14" s="14"/>
      <c r="T14" s="14"/>
    </row>
    <row r="15" spans="1:20" ht="12.6" customHeight="1" x14ac:dyDescent="0.25">
      <c r="A15" s="11">
        <v>4</v>
      </c>
      <c r="B15" s="98"/>
      <c r="C15" s="101" t="s">
        <v>21</v>
      </c>
      <c r="D15" s="232" t="s">
        <v>20</v>
      </c>
      <c r="E15" s="102">
        <f t="shared" si="0"/>
        <v>0.99999999999999989</v>
      </c>
      <c r="F15" s="102">
        <f t="shared" si="2"/>
        <v>0.9</v>
      </c>
      <c r="G15" s="102">
        <f>1.9-0.9</f>
        <v>0.99999999999999989</v>
      </c>
      <c r="H15" s="102">
        <v>0.9</v>
      </c>
      <c r="I15" s="102"/>
      <c r="J15" s="102"/>
      <c r="K15" s="102"/>
      <c r="L15" s="14">
        <f t="shared" si="3"/>
        <v>0</v>
      </c>
      <c r="M15" s="14">
        <f t="shared" si="3"/>
        <v>0</v>
      </c>
      <c r="N15" s="14"/>
      <c r="O15" s="14"/>
      <c r="Q15" s="19"/>
      <c r="R15" s="14"/>
      <c r="S15" s="14"/>
      <c r="T15" s="14"/>
    </row>
    <row r="16" spans="1:20" ht="12.6" customHeight="1" x14ac:dyDescent="0.25">
      <c r="A16" s="11">
        <v>5</v>
      </c>
      <c r="B16" s="98"/>
      <c r="C16" s="101" t="s">
        <v>22</v>
      </c>
      <c r="D16" s="232" t="s">
        <v>20</v>
      </c>
      <c r="E16" s="102">
        <f t="shared" si="0"/>
        <v>1.2000000000000002</v>
      </c>
      <c r="F16" s="102">
        <f t="shared" si="2"/>
        <v>0.9</v>
      </c>
      <c r="G16" s="102">
        <f>3.1-1.9</f>
        <v>1.2000000000000002</v>
      </c>
      <c r="H16" s="102">
        <v>0.9</v>
      </c>
      <c r="I16" s="102"/>
      <c r="J16" s="102"/>
      <c r="K16" s="102"/>
      <c r="L16" s="14">
        <f t="shared" si="3"/>
        <v>0</v>
      </c>
      <c r="M16" s="14">
        <f t="shared" si="3"/>
        <v>0</v>
      </c>
      <c r="N16" s="14"/>
      <c r="O16" s="14"/>
      <c r="Q16" s="19"/>
      <c r="R16" s="14"/>
      <c r="S16" s="14"/>
      <c r="T16" s="14"/>
    </row>
    <row r="17" spans="1:20" ht="12.6" customHeight="1" x14ac:dyDescent="0.25">
      <c r="A17" s="11">
        <v>6</v>
      </c>
      <c r="B17" s="98"/>
      <c r="C17" s="101" t="s">
        <v>23</v>
      </c>
      <c r="D17" s="232" t="s">
        <v>20</v>
      </c>
      <c r="E17" s="102">
        <f t="shared" si="0"/>
        <v>1.0999999999999999</v>
      </c>
      <c r="F17" s="102">
        <f t="shared" si="2"/>
        <v>0.7</v>
      </c>
      <c r="G17" s="102">
        <f>2.4-1.3</f>
        <v>1.0999999999999999</v>
      </c>
      <c r="H17" s="102">
        <v>0.7</v>
      </c>
      <c r="I17" s="108"/>
      <c r="J17" s="108"/>
      <c r="K17" s="108"/>
      <c r="L17" s="14">
        <f t="shared" si="3"/>
        <v>0</v>
      </c>
      <c r="M17" s="14">
        <f t="shared" si="3"/>
        <v>0</v>
      </c>
      <c r="N17" s="14"/>
      <c r="O17" s="14"/>
      <c r="Q17" s="19"/>
      <c r="R17" s="14"/>
      <c r="S17" s="14"/>
      <c r="T17" s="14"/>
    </row>
    <row r="18" spans="1:20" ht="12.6" customHeight="1" x14ac:dyDescent="0.25">
      <c r="A18" s="11">
        <v>7</v>
      </c>
      <c r="B18" s="40"/>
      <c r="C18" s="101" t="s">
        <v>24</v>
      </c>
      <c r="D18" s="232" t="s">
        <v>20</v>
      </c>
      <c r="E18" s="102">
        <f t="shared" si="0"/>
        <v>2.6</v>
      </c>
      <c r="F18" s="102">
        <f t="shared" si="2"/>
        <v>0.9</v>
      </c>
      <c r="G18" s="102">
        <v>2.6</v>
      </c>
      <c r="H18" s="102">
        <f>0.9</f>
        <v>0.9</v>
      </c>
      <c r="I18" s="102"/>
      <c r="J18" s="102"/>
      <c r="K18" s="102"/>
      <c r="L18" s="14">
        <f t="shared" si="3"/>
        <v>0</v>
      </c>
      <c r="M18" s="14">
        <f t="shared" si="3"/>
        <v>0</v>
      </c>
      <c r="N18" s="14"/>
      <c r="O18" s="14"/>
      <c r="Q18" s="19"/>
      <c r="R18" s="14"/>
      <c r="S18" s="14"/>
      <c r="T18" s="14"/>
    </row>
    <row r="19" spans="1:20" ht="12.6" customHeight="1" x14ac:dyDescent="0.25">
      <c r="A19" s="11">
        <v>8</v>
      </c>
      <c r="B19" s="40"/>
      <c r="C19" s="101" t="s">
        <v>25</v>
      </c>
      <c r="D19" s="232" t="s">
        <v>20</v>
      </c>
      <c r="E19" s="102">
        <f t="shared" si="0"/>
        <v>1.7</v>
      </c>
      <c r="F19" s="102">
        <f t="shared" si="2"/>
        <v>0.6</v>
      </c>
      <c r="G19" s="102">
        <v>1.7</v>
      </c>
      <c r="H19" s="102">
        <v>0.6</v>
      </c>
      <c r="I19" s="102"/>
      <c r="J19" s="102"/>
      <c r="K19" s="102"/>
      <c r="L19" s="14">
        <f t="shared" si="3"/>
        <v>0</v>
      </c>
      <c r="M19" s="14">
        <f t="shared" si="3"/>
        <v>0</v>
      </c>
      <c r="N19" s="14"/>
      <c r="O19" s="14"/>
      <c r="Q19" s="19"/>
      <c r="R19" s="14"/>
      <c r="S19" s="14"/>
      <c r="T19" s="14"/>
    </row>
    <row r="20" spans="1:20" ht="12.6" customHeight="1" x14ac:dyDescent="0.25">
      <c r="A20" s="11">
        <v>9</v>
      </c>
      <c r="B20" s="40"/>
      <c r="C20" s="20" t="s">
        <v>26</v>
      </c>
      <c r="D20" s="232" t="s">
        <v>27</v>
      </c>
      <c r="E20" s="102">
        <f t="shared" si="0"/>
        <v>0.2</v>
      </c>
      <c r="F20" s="102">
        <f t="shared" si="2"/>
        <v>0.1</v>
      </c>
      <c r="G20" s="102">
        <v>0.2</v>
      </c>
      <c r="H20" s="102">
        <v>0.1</v>
      </c>
      <c r="I20" s="102"/>
      <c r="J20" s="102"/>
      <c r="K20" s="102"/>
      <c r="L20" s="14">
        <f t="shared" si="3"/>
        <v>0</v>
      </c>
      <c r="M20" s="14">
        <f t="shared" si="3"/>
        <v>0</v>
      </c>
      <c r="N20" s="14"/>
      <c r="O20" s="14"/>
      <c r="Q20" s="19"/>
      <c r="R20" s="14"/>
      <c r="S20" s="14"/>
      <c r="T20" s="14"/>
    </row>
    <row r="21" spans="1:20" ht="12.6" customHeight="1" x14ac:dyDescent="0.25">
      <c r="A21" s="11">
        <v>10</v>
      </c>
      <c r="B21" s="40"/>
      <c r="C21" s="101" t="s">
        <v>28</v>
      </c>
      <c r="D21" s="232" t="s">
        <v>29</v>
      </c>
      <c r="E21" s="102">
        <f>+G21+K21</f>
        <v>8.5</v>
      </c>
      <c r="F21" s="102">
        <f t="shared" si="2"/>
        <v>5.4</v>
      </c>
      <c r="G21" s="102">
        <v>3.5</v>
      </c>
      <c r="H21" s="102">
        <f>3+0.1</f>
        <v>3.1</v>
      </c>
      <c r="I21" s="102"/>
      <c r="J21" s="102"/>
      <c r="K21" s="102">
        <v>5</v>
      </c>
      <c r="L21" s="14">
        <f t="shared" si="3"/>
        <v>0</v>
      </c>
      <c r="M21" s="14">
        <f t="shared" si="3"/>
        <v>0</v>
      </c>
      <c r="N21" s="14">
        <v>5</v>
      </c>
      <c r="O21" s="14"/>
      <c r="P21" s="2">
        <v>-5</v>
      </c>
      <c r="Q21" s="19">
        <v>2.2999999999999998</v>
      </c>
      <c r="R21" s="14"/>
      <c r="S21" s="14"/>
      <c r="T21" s="14"/>
    </row>
    <row r="22" spans="1:20" ht="12.6" customHeight="1" x14ac:dyDescent="0.25">
      <c r="A22" s="11">
        <v>11</v>
      </c>
      <c r="B22" s="40"/>
      <c r="C22" s="101" t="s">
        <v>30</v>
      </c>
      <c r="D22" s="232" t="s">
        <v>29</v>
      </c>
      <c r="E22" s="102">
        <f>+G22+K22</f>
        <v>9.9999999999999978E-2</v>
      </c>
      <c r="F22" s="102">
        <f t="shared" si="2"/>
        <v>0</v>
      </c>
      <c r="G22" s="102">
        <f>0.3-0.2</f>
        <v>9.9999999999999978E-2</v>
      </c>
      <c r="H22" s="102">
        <v>0</v>
      </c>
      <c r="I22" s="102"/>
      <c r="J22" s="102"/>
      <c r="K22" s="102"/>
      <c r="L22" s="14">
        <f t="shared" si="3"/>
        <v>-0.7</v>
      </c>
      <c r="M22" s="14">
        <f t="shared" si="3"/>
        <v>-0.7</v>
      </c>
      <c r="N22" s="14">
        <v>-0.7</v>
      </c>
      <c r="O22" s="14"/>
      <c r="Q22" s="19"/>
      <c r="R22" s="14"/>
      <c r="S22" s="14"/>
      <c r="T22" s="14"/>
    </row>
    <row r="23" spans="1:20" ht="12.6" customHeight="1" x14ac:dyDescent="0.25">
      <c r="A23" s="11">
        <v>12</v>
      </c>
      <c r="B23" s="40"/>
      <c r="C23" s="103" t="s">
        <v>32</v>
      </c>
      <c r="D23" s="232" t="s">
        <v>29</v>
      </c>
      <c r="E23" s="102">
        <f>+G23+K23</f>
        <v>0.7</v>
      </c>
      <c r="F23" s="102">
        <f t="shared" si="2"/>
        <v>0.7</v>
      </c>
      <c r="G23" s="102">
        <f>0.9-0.2</f>
        <v>0.7</v>
      </c>
      <c r="H23" s="102">
        <v>0.7</v>
      </c>
      <c r="I23" s="102"/>
      <c r="J23" s="102"/>
      <c r="K23" s="102"/>
      <c r="L23" s="14">
        <f t="shared" si="3"/>
        <v>-0.2</v>
      </c>
      <c r="M23" s="14">
        <f t="shared" si="3"/>
        <v>-0.2</v>
      </c>
      <c r="N23" s="14">
        <v>-0.2</v>
      </c>
      <c r="O23" s="14"/>
      <c r="Q23" s="19"/>
      <c r="R23" s="14"/>
      <c r="S23" s="14"/>
      <c r="T23" s="14"/>
    </row>
    <row r="24" spans="1:20" ht="12.6" customHeight="1" x14ac:dyDescent="0.25">
      <c r="A24" s="11">
        <v>13</v>
      </c>
      <c r="B24" s="40"/>
      <c r="C24" s="103" t="s">
        <v>33</v>
      </c>
      <c r="D24" s="232" t="s">
        <v>29</v>
      </c>
      <c r="E24" s="102">
        <f>+G24+K24</f>
        <v>0.2</v>
      </c>
      <c r="F24" s="102">
        <f t="shared" si="2"/>
        <v>0.1</v>
      </c>
      <c r="G24" s="102">
        <v>0.2</v>
      </c>
      <c r="H24" s="102">
        <v>0.1</v>
      </c>
      <c r="I24" s="102"/>
      <c r="J24" s="102"/>
      <c r="K24" s="102"/>
      <c r="L24" s="14">
        <f t="shared" si="3"/>
        <v>-0.2</v>
      </c>
      <c r="M24" s="14">
        <f t="shared" si="3"/>
        <v>-0.2</v>
      </c>
      <c r="N24" s="14">
        <v>-0.2</v>
      </c>
      <c r="O24" s="14"/>
      <c r="Q24" s="19"/>
      <c r="R24" s="14"/>
      <c r="S24" s="14"/>
      <c r="T24" s="14"/>
    </row>
    <row r="25" spans="1:20" ht="12.6" customHeight="1" x14ac:dyDescent="0.25">
      <c r="A25" s="11">
        <v>14</v>
      </c>
      <c r="B25" s="40"/>
      <c r="C25" s="103" t="s">
        <v>34</v>
      </c>
      <c r="D25" s="232" t="s">
        <v>29</v>
      </c>
      <c r="E25" s="102">
        <f t="shared" si="0"/>
        <v>0.2</v>
      </c>
      <c r="F25" s="102">
        <f t="shared" si="2"/>
        <v>0</v>
      </c>
      <c r="G25" s="102">
        <v>0.2</v>
      </c>
      <c r="H25" s="102">
        <v>0</v>
      </c>
      <c r="I25" s="102"/>
      <c r="J25" s="102"/>
      <c r="K25" s="102"/>
      <c r="L25" s="14">
        <f t="shared" si="3"/>
        <v>0</v>
      </c>
      <c r="M25" s="14">
        <f t="shared" si="3"/>
        <v>0</v>
      </c>
      <c r="N25" s="14"/>
      <c r="O25" s="14"/>
      <c r="Q25" s="19"/>
      <c r="R25" s="14"/>
      <c r="S25" s="14"/>
      <c r="T25" s="14"/>
    </row>
    <row r="26" spans="1:20" ht="12.6" customHeight="1" x14ac:dyDescent="0.25">
      <c r="A26" s="11">
        <v>15</v>
      </c>
      <c r="B26" s="40"/>
      <c r="C26" s="101" t="s">
        <v>35</v>
      </c>
      <c r="D26" s="232" t="s">
        <v>29</v>
      </c>
      <c r="E26" s="102">
        <f>+G26+K26</f>
        <v>0.3</v>
      </c>
      <c r="F26" s="102">
        <f t="shared" si="2"/>
        <v>0</v>
      </c>
      <c r="G26" s="102">
        <f>0.6-0.3</f>
        <v>0.3</v>
      </c>
      <c r="H26" s="102">
        <v>0</v>
      </c>
      <c r="I26" s="102"/>
      <c r="J26" s="102"/>
      <c r="K26" s="102"/>
      <c r="L26" s="14">
        <f t="shared" si="3"/>
        <v>-0.3</v>
      </c>
      <c r="M26" s="14">
        <f t="shared" si="3"/>
        <v>-0.3</v>
      </c>
      <c r="N26" s="14">
        <v>-0.3</v>
      </c>
      <c r="O26" s="14"/>
      <c r="Q26" s="19"/>
      <c r="R26" s="14"/>
      <c r="S26" s="14"/>
      <c r="T26" s="14"/>
    </row>
    <row r="27" spans="1:20" ht="12.6" customHeight="1" x14ac:dyDescent="0.25">
      <c r="A27" s="11">
        <v>16</v>
      </c>
      <c r="B27" s="40"/>
      <c r="C27" s="103" t="s">
        <v>36</v>
      </c>
      <c r="D27" s="233" t="s">
        <v>469</v>
      </c>
      <c r="E27" s="102">
        <f t="shared" si="0"/>
        <v>2.7</v>
      </c>
      <c r="F27" s="102">
        <f t="shared" si="2"/>
        <v>2.2000000000000002</v>
      </c>
      <c r="G27" s="102">
        <v>2.7</v>
      </c>
      <c r="H27" s="102">
        <v>2.2000000000000002</v>
      </c>
      <c r="I27" s="102"/>
      <c r="J27" s="102"/>
      <c r="K27" s="102"/>
      <c r="L27" s="14">
        <f t="shared" si="3"/>
        <v>0</v>
      </c>
      <c r="M27" s="14">
        <f t="shared" si="3"/>
        <v>0</v>
      </c>
      <c r="N27" s="14"/>
      <c r="O27" s="14"/>
      <c r="Q27" s="19"/>
      <c r="R27" s="14"/>
      <c r="S27" s="14"/>
      <c r="T27" s="14"/>
    </row>
    <row r="28" spans="1:20" ht="12.6" customHeight="1" x14ac:dyDescent="0.25">
      <c r="A28" s="11">
        <v>17</v>
      </c>
      <c r="B28" s="40"/>
      <c r="C28" s="101" t="s">
        <v>483</v>
      </c>
      <c r="D28" s="233" t="s">
        <v>469</v>
      </c>
      <c r="E28" s="102">
        <f t="shared" si="0"/>
        <v>0.1</v>
      </c>
      <c r="F28" s="102">
        <f t="shared" si="2"/>
        <v>0</v>
      </c>
      <c r="G28" s="102">
        <v>0.1</v>
      </c>
      <c r="H28" s="102">
        <v>0</v>
      </c>
      <c r="I28" s="102"/>
      <c r="J28" s="102"/>
      <c r="K28" s="102"/>
      <c r="L28" s="14">
        <f t="shared" si="3"/>
        <v>0</v>
      </c>
      <c r="M28" s="14">
        <f t="shared" si="3"/>
        <v>0</v>
      </c>
      <c r="N28" s="14"/>
      <c r="O28" s="14"/>
      <c r="Q28" s="19"/>
      <c r="R28" s="14"/>
      <c r="S28" s="14"/>
      <c r="T28" s="14"/>
    </row>
    <row r="29" spans="1:20" ht="12.6" customHeight="1" x14ac:dyDescent="0.25">
      <c r="A29" s="11">
        <v>18</v>
      </c>
      <c r="B29" s="40"/>
      <c r="C29" s="103" t="s">
        <v>39</v>
      </c>
      <c r="D29" s="233" t="s">
        <v>469</v>
      </c>
      <c r="E29" s="102">
        <f t="shared" si="0"/>
        <v>3</v>
      </c>
      <c r="F29" s="102">
        <f t="shared" si="2"/>
        <v>2.2999999999999998</v>
      </c>
      <c r="G29" s="102">
        <v>3</v>
      </c>
      <c r="H29" s="102">
        <v>2.2999999999999998</v>
      </c>
      <c r="I29" s="102"/>
      <c r="J29" s="102"/>
      <c r="K29" s="102"/>
      <c r="L29" s="14">
        <f t="shared" si="3"/>
        <v>0.49999999999999994</v>
      </c>
      <c r="M29" s="14">
        <f t="shared" si="3"/>
        <v>0.49999999999999994</v>
      </c>
      <c r="N29" s="14">
        <v>0.7</v>
      </c>
      <c r="O29" s="14"/>
      <c r="P29" s="2">
        <v>-0.2</v>
      </c>
      <c r="Q29" s="19"/>
      <c r="R29" s="14"/>
      <c r="S29" s="14"/>
      <c r="T29" s="14"/>
    </row>
    <row r="30" spans="1:20" ht="12.6" customHeight="1" x14ac:dyDescent="0.25">
      <c r="A30" s="11">
        <v>19</v>
      </c>
      <c r="B30" s="40"/>
      <c r="C30" s="103" t="s">
        <v>40</v>
      </c>
      <c r="D30" s="233" t="s">
        <v>469</v>
      </c>
      <c r="E30" s="102">
        <f t="shared" si="0"/>
        <v>9.9999999999999978E-2</v>
      </c>
      <c r="F30" s="102">
        <f t="shared" si="2"/>
        <v>0</v>
      </c>
      <c r="G30" s="102">
        <f>0.3-0.2</f>
        <v>9.9999999999999978E-2</v>
      </c>
      <c r="H30" s="102">
        <v>0</v>
      </c>
      <c r="I30" s="102"/>
      <c r="J30" s="102"/>
      <c r="K30" s="102"/>
      <c r="L30" s="14">
        <f t="shared" si="3"/>
        <v>0</v>
      </c>
      <c r="M30" s="14">
        <f t="shared" si="3"/>
        <v>0</v>
      </c>
      <c r="N30" s="14"/>
      <c r="O30" s="14"/>
      <c r="Q30" s="19"/>
      <c r="R30" s="14"/>
      <c r="S30" s="14"/>
      <c r="T30" s="14"/>
    </row>
    <row r="31" spans="1:20" ht="12.6" customHeight="1" x14ac:dyDescent="0.25">
      <c r="A31" s="11">
        <v>20</v>
      </c>
      <c r="B31" s="40"/>
      <c r="C31" s="103" t="s">
        <v>41</v>
      </c>
      <c r="D31" s="233" t="s">
        <v>469</v>
      </c>
      <c r="E31" s="102">
        <f t="shared" si="0"/>
        <v>1.7</v>
      </c>
      <c r="F31" s="102">
        <f t="shared" si="2"/>
        <v>0.5</v>
      </c>
      <c r="G31" s="102">
        <v>1.7</v>
      </c>
      <c r="H31" s="102">
        <v>0.5</v>
      </c>
      <c r="I31" s="102"/>
      <c r="J31" s="102"/>
      <c r="K31" s="102"/>
      <c r="L31" s="14">
        <f t="shared" si="3"/>
        <v>-0.4</v>
      </c>
      <c r="M31" s="14">
        <f t="shared" si="3"/>
        <v>0</v>
      </c>
      <c r="N31" s="14"/>
      <c r="O31" s="14">
        <v>-0.4</v>
      </c>
      <c r="Q31" s="19"/>
      <c r="R31" s="14"/>
      <c r="S31" s="14"/>
      <c r="T31" s="14"/>
    </row>
    <row r="32" spans="1:20" ht="12.6" customHeight="1" x14ac:dyDescent="0.25">
      <c r="A32" s="11">
        <v>21</v>
      </c>
      <c r="B32" s="40"/>
      <c r="C32" s="20" t="s">
        <v>470</v>
      </c>
      <c r="D32" s="233" t="s">
        <v>469</v>
      </c>
      <c r="E32" s="102">
        <f t="shared" si="0"/>
        <v>0.1</v>
      </c>
      <c r="F32" s="102">
        <f t="shared" si="2"/>
        <v>0</v>
      </c>
      <c r="G32" s="102">
        <v>0.1</v>
      </c>
      <c r="H32" s="117">
        <f>0</f>
        <v>0</v>
      </c>
      <c r="I32" s="102"/>
      <c r="J32" s="102"/>
      <c r="K32" s="102"/>
      <c r="L32" s="14">
        <f t="shared" si="3"/>
        <v>0</v>
      </c>
      <c r="M32" s="14">
        <f t="shared" si="3"/>
        <v>0</v>
      </c>
      <c r="N32" s="14"/>
      <c r="O32" s="14"/>
      <c r="Q32" s="19"/>
      <c r="R32" s="14"/>
      <c r="S32" s="14"/>
      <c r="T32" s="14"/>
    </row>
    <row r="33" spans="1:20" ht="12.6" customHeight="1" x14ac:dyDescent="0.25">
      <c r="A33" s="11">
        <v>22</v>
      </c>
      <c r="B33" s="40"/>
      <c r="C33" s="20" t="s">
        <v>43</v>
      </c>
      <c r="D33" s="233" t="s">
        <v>469</v>
      </c>
      <c r="E33" s="102">
        <f t="shared" si="0"/>
        <v>0.1</v>
      </c>
      <c r="F33" s="102">
        <f t="shared" si="2"/>
        <v>0</v>
      </c>
      <c r="G33" s="102">
        <v>0.1</v>
      </c>
      <c r="H33" s="102">
        <v>0</v>
      </c>
      <c r="I33" s="102"/>
      <c r="J33" s="102"/>
      <c r="K33" s="102"/>
      <c r="L33" s="14">
        <f t="shared" si="3"/>
        <v>0</v>
      </c>
      <c r="M33" s="14">
        <f t="shared" si="3"/>
        <v>0</v>
      </c>
      <c r="N33" s="14"/>
      <c r="O33" s="14"/>
      <c r="Q33" s="19"/>
      <c r="R33" s="14"/>
      <c r="S33" s="14"/>
      <c r="T33" s="14"/>
    </row>
    <row r="34" spans="1:20" ht="12.6" customHeight="1" x14ac:dyDescent="0.25">
      <c r="A34" s="11">
        <v>23</v>
      </c>
      <c r="B34" s="40"/>
      <c r="C34" s="20" t="s">
        <v>44</v>
      </c>
      <c r="D34" s="233" t="s">
        <v>469</v>
      </c>
      <c r="E34" s="102">
        <f t="shared" si="0"/>
        <v>0.1</v>
      </c>
      <c r="F34" s="102">
        <f t="shared" si="2"/>
        <v>0</v>
      </c>
      <c r="G34" s="102">
        <v>0.1</v>
      </c>
      <c r="H34" s="102">
        <f>0</f>
        <v>0</v>
      </c>
      <c r="I34" s="102"/>
      <c r="J34" s="102"/>
      <c r="K34" s="102"/>
      <c r="L34" s="14">
        <f t="shared" si="3"/>
        <v>0</v>
      </c>
      <c r="M34" s="14">
        <f t="shared" si="3"/>
        <v>0</v>
      </c>
      <c r="N34" s="14"/>
      <c r="O34" s="14"/>
      <c r="Q34" s="19"/>
      <c r="R34" s="14"/>
      <c r="S34" s="14"/>
      <c r="T34" s="14"/>
    </row>
    <row r="35" spans="1:20" ht="12.6" customHeight="1" x14ac:dyDescent="0.25">
      <c r="A35" s="11">
        <v>24</v>
      </c>
      <c r="B35" s="40"/>
      <c r="C35" s="103" t="s">
        <v>45</v>
      </c>
      <c r="D35" s="232" t="s">
        <v>29</v>
      </c>
      <c r="E35" s="102">
        <f t="shared" si="0"/>
        <v>0.2</v>
      </c>
      <c r="F35" s="102">
        <f t="shared" si="2"/>
        <v>0</v>
      </c>
      <c r="G35" s="102">
        <v>0.2</v>
      </c>
      <c r="H35" s="102">
        <v>0</v>
      </c>
      <c r="I35" s="102"/>
      <c r="J35" s="102"/>
      <c r="K35" s="102"/>
      <c r="L35" s="14">
        <f t="shared" si="3"/>
        <v>0</v>
      </c>
      <c r="M35" s="14">
        <f t="shared" si="3"/>
        <v>0</v>
      </c>
      <c r="N35" s="14"/>
      <c r="O35" s="14"/>
      <c r="Q35" s="19"/>
      <c r="R35" s="14"/>
      <c r="S35" s="14"/>
      <c r="T35" s="14"/>
    </row>
    <row r="36" spans="1:20" ht="12.6" customHeight="1" x14ac:dyDescent="0.25">
      <c r="A36" s="11">
        <v>25</v>
      </c>
      <c r="B36" s="40"/>
      <c r="C36" s="118" t="s">
        <v>51</v>
      </c>
      <c r="D36" s="232" t="s">
        <v>49</v>
      </c>
      <c r="E36" s="102">
        <f t="shared" si="0"/>
        <v>0.2</v>
      </c>
      <c r="F36" s="102">
        <f t="shared" si="2"/>
        <v>0.2</v>
      </c>
      <c r="G36" s="102">
        <v>0.2</v>
      </c>
      <c r="H36" s="102">
        <v>0.2</v>
      </c>
      <c r="I36" s="102"/>
      <c r="J36" s="102"/>
      <c r="K36" s="102"/>
      <c r="L36" s="14">
        <f t="shared" si="3"/>
        <v>0</v>
      </c>
      <c r="M36" s="14">
        <f t="shared" si="3"/>
        <v>0</v>
      </c>
      <c r="N36" s="14"/>
      <c r="O36" s="14"/>
      <c r="Q36" s="19"/>
      <c r="R36" s="14"/>
      <c r="S36" s="14"/>
      <c r="T36" s="14"/>
    </row>
    <row r="37" spans="1:20" ht="12.6" customHeight="1" x14ac:dyDescent="0.25">
      <c r="A37" s="11">
        <v>26</v>
      </c>
      <c r="B37" s="40"/>
      <c r="C37" s="101" t="s">
        <v>52</v>
      </c>
      <c r="D37" s="232" t="s">
        <v>49</v>
      </c>
      <c r="E37" s="102">
        <f t="shared" si="0"/>
        <v>5.9</v>
      </c>
      <c r="F37" s="102">
        <f t="shared" si="2"/>
        <v>5.1999999999999993</v>
      </c>
      <c r="G37" s="102">
        <v>5.9</v>
      </c>
      <c r="H37" s="102">
        <f>5.1+0.1</f>
        <v>5.1999999999999993</v>
      </c>
      <c r="I37" s="102">
        <v>3.5</v>
      </c>
      <c r="J37" s="102">
        <v>3.5</v>
      </c>
      <c r="K37" s="102"/>
      <c r="L37" s="14">
        <f t="shared" si="3"/>
        <v>0.7</v>
      </c>
      <c r="M37" s="14">
        <f t="shared" si="3"/>
        <v>0.7</v>
      </c>
      <c r="N37" s="14">
        <v>0.7</v>
      </c>
      <c r="O37" s="14"/>
      <c r="Q37" s="19"/>
      <c r="R37" s="14"/>
      <c r="S37" s="14"/>
      <c r="T37" s="14"/>
    </row>
    <row r="38" spans="1:20" ht="12.6" customHeight="1" x14ac:dyDescent="0.25">
      <c r="A38" s="11">
        <v>27</v>
      </c>
      <c r="B38" s="40"/>
      <c r="C38" s="101" t="s">
        <v>53</v>
      </c>
      <c r="D38" s="232" t="s">
        <v>49</v>
      </c>
      <c r="E38" s="102">
        <f t="shared" si="0"/>
        <v>51.4</v>
      </c>
      <c r="F38" s="102">
        <f t="shared" si="2"/>
        <v>31.9</v>
      </c>
      <c r="G38" s="102">
        <v>51.4</v>
      </c>
      <c r="H38" s="102">
        <v>31.9</v>
      </c>
      <c r="I38" s="102"/>
      <c r="J38" s="102"/>
      <c r="K38" s="102"/>
      <c r="L38" s="14">
        <f t="shared" si="3"/>
        <v>6</v>
      </c>
      <c r="M38" s="14">
        <f t="shared" si="3"/>
        <v>0</v>
      </c>
      <c r="N38" s="14">
        <v>10</v>
      </c>
      <c r="O38" s="14">
        <v>6</v>
      </c>
      <c r="P38" s="2">
        <v>-10</v>
      </c>
      <c r="Q38" s="19"/>
      <c r="R38" s="14"/>
      <c r="S38" s="14"/>
      <c r="T38" s="14"/>
    </row>
    <row r="39" spans="1:20" ht="12.6" customHeight="1" x14ac:dyDescent="0.25">
      <c r="A39" s="11">
        <v>28</v>
      </c>
      <c r="B39" s="40"/>
      <c r="C39" s="16" t="s">
        <v>471</v>
      </c>
      <c r="D39" s="232" t="s">
        <v>472</v>
      </c>
      <c r="E39" s="102">
        <f t="shared" si="0"/>
        <v>0.9</v>
      </c>
      <c r="F39" s="102">
        <f t="shared" si="2"/>
        <v>0.5</v>
      </c>
      <c r="G39" s="102">
        <v>0.9</v>
      </c>
      <c r="H39" s="102">
        <v>0.5</v>
      </c>
      <c r="I39" s="102"/>
      <c r="J39" s="102"/>
      <c r="K39" s="102"/>
      <c r="L39" s="14">
        <f t="shared" si="3"/>
        <v>-1.7</v>
      </c>
      <c r="M39" s="14">
        <f t="shared" si="3"/>
        <v>-1.7</v>
      </c>
      <c r="N39" s="14">
        <v>-1.7</v>
      </c>
      <c r="O39" s="14"/>
      <c r="Q39" s="19"/>
      <c r="R39" s="14"/>
      <c r="S39" s="14"/>
      <c r="T39" s="14"/>
    </row>
    <row r="40" spans="1:20" ht="15" customHeight="1" x14ac:dyDescent="0.25">
      <c r="A40" s="11">
        <v>29</v>
      </c>
      <c r="B40" s="231" t="s">
        <v>228</v>
      </c>
      <c r="C40" s="42" t="s">
        <v>229</v>
      </c>
      <c r="D40" s="232"/>
      <c r="E40" s="100">
        <f t="shared" si="0"/>
        <v>18.5</v>
      </c>
      <c r="F40" s="100">
        <f t="shared" si="2"/>
        <v>15.1</v>
      </c>
      <c r="G40" s="100">
        <f>SUM(G41:G46)</f>
        <v>18.5</v>
      </c>
      <c r="H40" s="100">
        <f>SUM(H41:H46)</f>
        <v>15.1</v>
      </c>
      <c r="I40" s="100">
        <f>SUM(I41:I46)</f>
        <v>0</v>
      </c>
      <c r="J40" s="100">
        <f>SUM(J41:J46)</f>
        <v>0</v>
      </c>
      <c r="K40" s="100">
        <f>SUM(K41:K46)</f>
        <v>0</v>
      </c>
      <c r="L40" s="100">
        <f t="shared" ref="L40:Q40" si="4">SUM(L41:L46)</f>
        <v>-0.6</v>
      </c>
      <c r="M40" s="100">
        <f t="shared" si="4"/>
        <v>-0.6</v>
      </c>
      <c r="N40" s="100">
        <f t="shared" si="4"/>
        <v>-0.6</v>
      </c>
      <c r="O40" s="100">
        <f t="shared" si="4"/>
        <v>0</v>
      </c>
      <c r="P40" s="100">
        <f t="shared" si="4"/>
        <v>0</v>
      </c>
      <c r="Q40" s="100">
        <f t="shared" si="4"/>
        <v>0</v>
      </c>
      <c r="R40" s="14"/>
      <c r="S40" s="14"/>
      <c r="T40" s="14"/>
    </row>
    <row r="41" spans="1:20" ht="12.6" customHeight="1" x14ac:dyDescent="0.25">
      <c r="A41" s="11">
        <v>30</v>
      </c>
      <c r="B41" s="40"/>
      <c r="C41" s="16" t="s">
        <v>230</v>
      </c>
      <c r="D41" s="232" t="s">
        <v>231</v>
      </c>
      <c r="E41" s="102">
        <f t="shared" si="0"/>
        <v>13</v>
      </c>
      <c r="F41" s="102">
        <f t="shared" si="2"/>
        <v>10.199999999999999</v>
      </c>
      <c r="G41" s="102">
        <f>15-2</f>
        <v>13</v>
      </c>
      <c r="H41" s="102">
        <f>10.1+0.1</f>
        <v>10.199999999999999</v>
      </c>
      <c r="I41" s="102"/>
      <c r="J41" s="102"/>
      <c r="K41" s="102"/>
      <c r="L41" s="14">
        <f t="shared" si="3"/>
        <v>0</v>
      </c>
      <c r="M41" s="14">
        <f t="shared" si="3"/>
        <v>0</v>
      </c>
      <c r="N41" s="14"/>
      <c r="O41" s="14"/>
      <c r="Q41" s="19"/>
      <c r="R41" s="14"/>
      <c r="S41" s="14"/>
      <c r="T41" s="14"/>
    </row>
    <row r="42" spans="1:20" ht="12.6" customHeight="1" x14ac:dyDescent="0.25">
      <c r="A42" s="11">
        <v>31</v>
      </c>
      <c r="B42" s="40"/>
      <c r="C42" s="50" t="s">
        <v>232</v>
      </c>
      <c r="D42" s="232" t="s">
        <v>231</v>
      </c>
      <c r="E42" s="102">
        <f t="shared" si="0"/>
        <v>1.1000000000000001</v>
      </c>
      <c r="F42" s="102">
        <f t="shared" si="2"/>
        <v>0.8</v>
      </c>
      <c r="G42" s="102">
        <f>2-0.9</f>
        <v>1.1000000000000001</v>
      </c>
      <c r="H42" s="102">
        <f>0.8</f>
        <v>0.8</v>
      </c>
      <c r="I42" s="102"/>
      <c r="J42" s="102"/>
      <c r="K42" s="102"/>
      <c r="L42" s="14">
        <f t="shared" si="3"/>
        <v>-0.9</v>
      </c>
      <c r="M42" s="14">
        <f t="shared" si="3"/>
        <v>-0.9</v>
      </c>
      <c r="N42" s="14">
        <v>-0.9</v>
      </c>
      <c r="O42" s="14"/>
      <c r="Q42" s="19"/>
      <c r="R42" s="14"/>
      <c r="S42" s="14"/>
      <c r="T42" s="14"/>
    </row>
    <row r="43" spans="1:20" ht="12.6" customHeight="1" x14ac:dyDescent="0.25">
      <c r="A43" s="11">
        <v>32</v>
      </c>
      <c r="B43" s="40"/>
      <c r="C43" s="16" t="s">
        <v>233</v>
      </c>
      <c r="D43" s="232" t="s">
        <v>231</v>
      </c>
      <c r="E43" s="102">
        <f t="shared" si="0"/>
        <v>0.5</v>
      </c>
      <c r="F43" s="102">
        <f t="shared" si="2"/>
        <v>0.5</v>
      </c>
      <c r="G43" s="102">
        <f>0.9-0.4</f>
        <v>0.5</v>
      </c>
      <c r="H43" s="102">
        <v>0.5</v>
      </c>
      <c r="I43" s="102"/>
      <c r="J43" s="102"/>
      <c r="K43" s="102"/>
      <c r="L43" s="14">
        <f t="shared" si="3"/>
        <v>0</v>
      </c>
      <c r="M43" s="14">
        <f t="shared" si="3"/>
        <v>0</v>
      </c>
      <c r="N43" s="14"/>
      <c r="O43" s="14"/>
      <c r="Q43" s="19"/>
      <c r="R43" s="14"/>
      <c r="S43" s="14"/>
      <c r="T43" s="14"/>
    </row>
    <row r="44" spans="1:20" ht="12.6" customHeight="1" x14ac:dyDescent="0.25">
      <c r="A44" s="11">
        <v>33</v>
      </c>
      <c r="B44" s="40"/>
      <c r="C44" s="16" t="s">
        <v>235</v>
      </c>
      <c r="D44" s="232" t="s">
        <v>231</v>
      </c>
      <c r="E44" s="102">
        <f t="shared" si="0"/>
        <v>0.1</v>
      </c>
      <c r="F44" s="102">
        <f t="shared" si="2"/>
        <v>0</v>
      </c>
      <c r="G44" s="102">
        <v>0.1</v>
      </c>
      <c r="H44" s="102">
        <v>0</v>
      </c>
      <c r="I44" s="102"/>
      <c r="J44" s="102"/>
      <c r="K44" s="102"/>
      <c r="L44" s="14">
        <f t="shared" si="3"/>
        <v>-0.3</v>
      </c>
      <c r="M44" s="14">
        <f t="shared" si="3"/>
        <v>-0.3</v>
      </c>
      <c r="N44" s="14">
        <v>-0.3</v>
      </c>
      <c r="O44" s="14"/>
      <c r="Q44" s="19"/>
      <c r="R44" s="14"/>
      <c r="S44" s="14"/>
      <c r="T44" s="14"/>
    </row>
    <row r="45" spans="1:20" ht="26.4" customHeight="1" x14ac:dyDescent="0.25">
      <c r="A45" s="11">
        <v>34</v>
      </c>
      <c r="B45" s="40"/>
      <c r="C45" s="103" t="s">
        <v>237</v>
      </c>
      <c r="D45" s="232" t="s">
        <v>238</v>
      </c>
      <c r="E45" s="102">
        <f t="shared" si="0"/>
        <v>3.3</v>
      </c>
      <c r="F45" s="102">
        <f t="shared" si="2"/>
        <v>3.1</v>
      </c>
      <c r="G45" s="102">
        <f>1.3+2</f>
        <v>3.3</v>
      </c>
      <c r="H45" s="102">
        <f>3+0.1</f>
        <v>3.1</v>
      </c>
      <c r="I45" s="102"/>
      <c r="J45" s="102"/>
      <c r="K45" s="102"/>
      <c r="L45" s="14">
        <f t="shared" si="3"/>
        <v>0.6</v>
      </c>
      <c r="M45" s="14">
        <f t="shared" si="3"/>
        <v>0.6</v>
      </c>
      <c r="N45" s="14">
        <v>0.6</v>
      </c>
      <c r="O45" s="14"/>
      <c r="Q45" s="19"/>
      <c r="R45" s="14"/>
      <c r="S45" s="14"/>
      <c r="T45" s="14"/>
    </row>
    <row r="46" spans="1:20" ht="12.6" customHeight="1" x14ac:dyDescent="0.25">
      <c r="A46" s="11">
        <v>35</v>
      </c>
      <c r="B46" s="40"/>
      <c r="C46" s="16" t="s">
        <v>239</v>
      </c>
      <c r="D46" s="232" t="s">
        <v>240</v>
      </c>
      <c r="E46" s="102">
        <f t="shared" si="0"/>
        <v>0.5</v>
      </c>
      <c r="F46" s="102">
        <f t="shared" si="2"/>
        <v>0.5</v>
      </c>
      <c r="G46" s="102">
        <v>0.5</v>
      </c>
      <c r="H46" s="102">
        <v>0.5</v>
      </c>
      <c r="I46" s="102"/>
      <c r="J46" s="102"/>
      <c r="K46" s="102"/>
      <c r="L46" s="14">
        <f t="shared" si="3"/>
        <v>0</v>
      </c>
      <c r="M46" s="14">
        <f t="shared" si="3"/>
        <v>0</v>
      </c>
      <c r="N46" s="14"/>
      <c r="O46" s="14"/>
      <c r="Q46" s="19"/>
      <c r="R46" s="14"/>
      <c r="S46" s="14"/>
      <c r="T46" s="14"/>
    </row>
    <row r="47" spans="1:20" ht="15" customHeight="1" x14ac:dyDescent="0.25">
      <c r="A47" s="11">
        <v>36</v>
      </c>
      <c r="B47" s="231" t="s">
        <v>431</v>
      </c>
      <c r="C47" s="42" t="s">
        <v>432</v>
      </c>
      <c r="D47" s="232"/>
      <c r="E47" s="100">
        <f t="shared" si="0"/>
        <v>51.999999999999993</v>
      </c>
      <c r="F47" s="100">
        <f t="shared" si="2"/>
        <v>34.299999999999997</v>
      </c>
      <c r="G47" s="100">
        <f>SUM(G48:G59)</f>
        <v>51.999999999999993</v>
      </c>
      <c r="H47" s="100">
        <f>SUM(H48:H59)</f>
        <v>34.299999999999997</v>
      </c>
      <c r="I47" s="100">
        <f>SUM(I48:I59)</f>
        <v>0</v>
      </c>
      <c r="J47" s="100">
        <f>SUM(J48:J59)</f>
        <v>0</v>
      </c>
      <c r="K47" s="100">
        <f>SUM(K48:K59)</f>
        <v>0</v>
      </c>
      <c r="L47" s="100">
        <f t="shared" ref="L47:Q47" si="5">SUM(L48:L59)</f>
        <v>0.5</v>
      </c>
      <c r="M47" s="100">
        <f t="shared" si="5"/>
        <v>0.5</v>
      </c>
      <c r="N47" s="100">
        <f t="shared" si="5"/>
        <v>0.5</v>
      </c>
      <c r="O47" s="100">
        <f t="shared" si="5"/>
        <v>0</v>
      </c>
      <c r="P47" s="100">
        <f t="shared" si="5"/>
        <v>0</v>
      </c>
      <c r="Q47" s="100">
        <f t="shared" si="5"/>
        <v>0</v>
      </c>
      <c r="R47" s="14"/>
      <c r="S47" s="14"/>
      <c r="T47" s="14"/>
    </row>
    <row r="48" spans="1:20" ht="12.6" customHeight="1" x14ac:dyDescent="0.25">
      <c r="A48" s="11">
        <v>37</v>
      </c>
      <c r="B48" s="40"/>
      <c r="C48" s="29" t="s">
        <v>60</v>
      </c>
      <c r="D48" s="52" t="s">
        <v>480</v>
      </c>
      <c r="E48" s="102">
        <f t="shared" si="0"/>
        <v>23.7</v>
      </c>
      <c r="F48" s="102">
        <f t="shared" si="2"/>
        <v>14.6</v>
      </c>
      <c r="G48" s="102">
        <v>23.7</v>
      </c>
      <c r="H48" s="102">
        <v>14.6</v>
      </c>
      <c r="I48" s="102"/>
      <c r="J48" s="102"/>
      <c r="K48" s="102"/>
      <c r="L48" s="14">
        <f t="shared" si="3"/>
        <v>0</v>
      </c>
      <c r="M48" s="14">
        <f t="shared" si="3"/>
        <v>0</v>
      </c>
      <c r="N48" s="14"/>
      <c r="O48" s="14"/>
      <c r="Q48" s="19"/>
      <c r="R48" s="14"/>
      <c r="S48" s="14"/>
      <c r="T48" s="14"/>
    </row>
    <row r="49" spans="1:20" ht="24.9" customHeight="1" x14ac:dyDescent="0.25">
      <c r="A49" s="11">
        <v>38</v>
      </c>
      <c r="B49" s="40"/>
      <c r="C49" s="105" t="s">
        <v>191</v>
      </c>
      <c r="D49" s="52" t="s">
        <v>479</v>
      </c>
      <c r="E49" s="102">
        <f>+G49+K49</f>
        <v>5.2</v>
      </c>
      <c r="F49" s="102">
        <f t="shared" si="2"/>
        <v>5.1999999999999993</v>
      </c>
      <c r="G49" s="102">
        <f>6.7-1.5</f>
        <v>5.2</v>
      </c>
      <c r="H49" s="102">
        <f>5.1+0.1</f>
        <v>5.1999999999999993</v>
      </c>
      <c r="I49" s="102"/>
      <c r="J49" s="102"/>
      <c r="K49" s="102"/>
      <c r="L49" s="14">
        <f t="shared" si="3"/>
        <v>0</v>
      </c>
      <c r="M49" s="14">
        <f t="shared" si="3"/>
        <v>0</v>
      </c>
      <c r="N49" s="14"/>
      <c r="O49" s="14"/>
      <c r="Q49" s="19"/>
      <c r="R49" s="14"/>
      <c r="S49" s="14"/>
      <c r="T49" s="14"/>
    </row>
    <row r="50" spans="1:20" ht="12.6" customHeight="1" x14ac:dyDescent="0.25">
      <c r="A50" s="11">
        <v>39</v>
      </c>
      <c r="B50" s="40"/>
      <c r="C50" s="20" t="s">
        <v>193</v>
      </c>
      <c r="D50" s="52" t="s">
        <v>480</v>
      </c>
      <c r="E50" s="102">
        <f t="shared" si="0"/>
        <v>2.1</v>
      </c>
      <c r="F50" s="102">
        <f t="shared" si="2"/>
        <v>1.5</v>
      </c>
      <c r="G50" s="102">
        <v>2.1</v>
      </c>
      <c r="H50" s="102">
        <f>1.5</f>
        <v>1.5</v>
      </c>
      <c r="I50" s="102"/>
      <c r="J50" s="102"/>
      <c r="K50" s="102"/>
      <c r="L50" s="14">
        <f t="shared" si="3"/>
        <v>0</v>
      </c>
      <c r="M50" s="14">
        <f t="shared" si="3"/>
        <v>0</v>
      </c>
      <c r="N50" s="14"/>
      <c r="O50" s="14"/>
      <c r="Q50" s="19"/>
      <c r="R50" s="14"/>
      <c r="S50" s="14"/>
      <c r="T50" s="14"/>
    </row>
    <row r="51" spans="1:20" ht="12.6" customHeight="1" x14ac:dyDescent="0.25">
      <c r="A51" s="11">
        <v>40</v>
      </c>
      <c r="B51" s="40"/>
      <c r="C51" s="20" t="s">
        <v>195</v>
      </c>
      <c r="D51" s="52" t="s">
        <v>480</v>
      </c>
      <c r="E51" s="102">
        <f t="shared" si="0"/>
        <v>1.5</v>
      </c>
      <c r="F51" s="102">
        <f t="shared" si="2"/>
        <v>1.3</v>
      </c>
      <c r="G51" s="102">
        <v>1.5</v>
      </c>
      <c r="H51" s="102">
        <v>1.3</v>
      </c>
      <c r="I51" s="102"/>
      <c r="J51" s="102"/>
      <c r="K51" s="102"/>
      <c r="L51" s="14">
        <f t="shared" si="3"/>
        <v>0</v>
      </c>
      <c r="M51" s="14">
        <f t="shared" si="3"/>
        <v>0</v>
      </c>
      <c r="N51" s="14"/>
      <c r="O51" s="14"/>
      <c r="Q51" s="19"/>
      <c r="R51" s="14"/>
      <c r="S51" s="14"/>
      <c r="T51" s="14"/>
    </row>
    <row r="52" spans="1:20" ht="12.6" customHeight="1" x14ac:dyDescent="0.25">
      <c r="A52" s="11">
        <v>41</v>
      </c>
      <c r="B52" s="40"/>
      <c r="C52" s="20" t="s">
        <v>196</v>
      </c>
      <c r="D52" s="52" t="s">
        <v>480</v>
      </c>
      <c r="E52" s="102">
        <f>+G52+K52</f>
        <v>8.6999999999999993</v>
      </c>
      <c r="F52" s="102">
        <f t="shared" si="2"/>
        <v>6</v>
      </c>
      <c r="G52" s="102">
        <v>8.6999999999999993</v>
      </c>
      <c r="H52" s="102">
        <f>5.9+0.1</f>
        <v>6</v>
      </c>
      <c r="I52" s="102"/>
      <c r="J52" s="102"/>
      <c r="K52" s="102"/>
      <c r="L52" s="14">
        <f t="shared" si="3"/>
        <v>0.5</v>
      </c>
      <c r="M52" s="14">
        <f t="shared" si="3"/>
        <v>0.5</v>
      </c>
      <c r="N52" s="14">
        <v>0.5</v>
      </c>
      <c r="O52" s="14"/>
      <c r="Q52" s="19"/>
      <c r="R52" s="14"/>
      <c r="S52" s="14"/>
      <c r="T52" s="14"/>
    </row>
    <row r="53" spans="1:20" ht="12.6" customHeight="1" x14ac:dyDescent="0.25">
      <c r="A53" s="11">
        <v>42</v>
      </c>
      <c r="B53" s="52"/>
      <c r="C53" s="119" t="s">
        <v>197</v>
      </c>
      <c r="D53" s="52" t="s">
        <v>480</v>
      </c>
      <c r="E53" s="120">
        <f t="shared" si="0"/>
        <v>2.2999999999999998</v>
      </c>
      <c r="F53" s="102">
        <f t="shared" si="2"/>
        <v>0.8</v>
      </c>
      <c r="G53" s="120">
        <v>2.2999999999999998</v>
      </c>
      <c r="H53" s="120">
        <v>0.8</v>
      </c>
      <c r="I53" s="120"/>
      <c r="J53" s="120"/>
      <c r="K53" s="120"/>
      <c r="L53" s="14">
        <f t="shared" si="3"/>
        <v>0</v>
      </c>
      <c r="M53" s="14">
        <f t="shared" si="3"/>
        <v>0</v>
      </c>
      <c r="N53" s="14"/>
      <c r="O53" s="14"/>
      <c r="Q53" s="19"/>
      <c r="R53" s="14"/>
      <c r="S53" s="14"/>
      <c r="T53" s="14"/>
    </row>
    <row r="54" spans="1:20" ht="12.6" customHeight="1" x14ac:dyDescent="0.25">
      <c r="A54" s="11">
        <v>43</v>
      </c>
      <c r="B54" s="40"/>
      <c r="C54" s="20" t="s">
        <v>198</v>
      </c>
      <c r="D54" s="52" t="s">
        <v>480</v>
      </c>
      <c r="E54" s="102">
        <f t="shared" si="0"/>
        <v>1.5</v>
      </c>
      <c r="F54" s="102">
        <f t="shared" si="2"/>
        <v>1.2</v>
      </c>
      <c r="G54" s="102">
        <v>1.5</v>
      </c>
      <c r="H54" s="102">
        <v>1.2</v>
      </c>
      <c r="I54" s="102"/>
      <c r="J54" s="102"/>
      <c r="K54" s="102"/>
      <c r="L54" s="14">
        <f t="shared" si="3"/>
        <v>0</v>
      </c>
      <c r="M54" s="14">
        <f t="shared" si="3"/>
        <v>0</v>
      </c>
      <c r="N54" s="14"/>
      <c r="O54" s="14"/>
      <c r="Q54" s="19"/>
      <c r="R54" s="14"/>
      <c r="S54" s="14"/>
      <c r="T54" s="14"/>
    </row>
    <row r="55" spans="1:20" ht="12.6" customHeight="1" x14ac:dyDescent="0.25">
      <c r="A55" s="11">
        <v>44</v>
      </c>
      <c r="B55" s="40"/>
      <c r="C55" s="29" t="s">
        <v>199</v>
      </c>
      <c r="D55" s="52" t="s">
        <v>480</v>
      </c>
      <c r="E55" s="102">
        <f t="shared" si="0"/>
        <v>1.5</v>
      </c>
      <c r="F55" s="102">
        <f t="shared" si="2"/>
        <v>0.3</v>
      </c>
      <c r="G55" s="102">
        <v>1.5</v>
      </c>
      <c r="H55" s="102">
        <v>0.3</v>
      </c>
      <c r="I55" s="102"/>
      <c r="J55" s="102"/>
      <c r="K55" s="102"/>
      <c r="L55" s="14">
        <f t="shared" si="3"/>
        <v>0</v>
      </c>
      <c r="M55" s="14">
        <f t="shared" si="3"/>
        <v>0</v>
      </c>
      <c r="N55" s="14"/>
      <c r="O55" s="14"/>
      <c r="Q55" s="19"/>
      <c r="R55" s="14"/>
      <c r="S55" s="14"/>
      <c r="T55" s="14"/>
    </row>
    <row r="56" spans="1:20" ht="12.6" customHeight="1" x14ac:dyDescent="0.25">
      <c r="A56" s="11">
        <v>45</v>
      </c>
      <c r="B56" s="40"/>
      <c r="C56" s="20" t="s">
        <v>200</v>
      </c>
      <c r="D56" s="52" t="s">
        <v>480</v>
      </c>
      <c r="E56" s="102">
        <f>+G56+K56</f>
        <v>1.5</v>
      </c>
      <c r="F56" s="102">
        <f t="shared" si="2"/>
        <v>0.6</v>
      </c>
      <c r="G56" s="102">
        <v>1.5</v>
      </c>
      <c r="H56" s="102">
        <v>0.6</v>
      </c>
      <c r="I56" s="102"/>
      <c r="J56" s="102"/>
      <c r="K56" s="102"/>
      <c r="L56" s="14">
        <f t="shared" si="3"/>
        <v>0</v>
      </c>
      <c r="M56" s="14">
        <f t="shared" si="3"/>
        <v>0</v>
      </c>
      <c r="N56" s="14"/>
      <c r="O56" s="14"/>
      <c r="Q56" s="19"/>
      <c r="R56" s="14"/>
      <c r="S56" s="14"/>
      <c r="T56" s="14"/>
    </row>
    <row r="57" spans="1:20" ht="12.6" customHeight="1" x14ac:dyDescent="0.25">
      <c r="A57" s="11">
        <v>46</v>
      </c>
      <c r="B57" s="40"/>
      <c r="C57" s="20" t="s">
        <v>201</v>
      </c>
      <c r="D57" s="52" t="s">
        <v>480</v>
      </c>
      <c r="E57" s="102">
        <f t="shared" si="0"/>
        <v>1.4</v>
      </c>
      <c r="F57" s="102">
        <f t="shared" si="2"/>
        <v>1.3</v>
      </c>
      <c r="G57" s="102">
        <f>0.5+0.9</f>
        <v>1.4</v>
      </c>
      <c r="H57" s="102">
        <v>1.3</v>
      </c>
      <c r="I57" s="102"/>
      <c r="J57" s="102"/>
      <c r="K57" s="102"/>
      <c r="L57" s="14">
        <f t="shared" si="3"/>
        <v>0</v>
      </c>
      <c r="M57" s="14">
        <f t="shared" si="3"/>
        <v>0</v>
      </c>
      <c r="N57" s="14"/>
      <c r="O57" s="14"/>
      <c r="Q57" s="19"/>
      <c r="R57" s="14"/>
      <c r="S57" s="14"/>
      <c r="T57" s="14"/>
    </row>
    <row r="58" spans="1:20" ht="12.6" customHeight="1" x14ac:dyDescent="0.25">
      <c r="A58" s="11">
        <v>47</v>
      </c>
      <c r="B58" s="40"/>
      <c r="C58" s="29" t="s">
        <v>202</v>
      </c>
      <c r="D58" s="52" t="s">
        <v>480</v>
      </c>
      <c r="E58" s="102">
        <f t="shared" si="0"/>
        <v>2.2999999999999998</v>
      </c>
      <c r="F58" s="102">
        <f t="shared" si="2"/>
        <v>1.5</v>
      </c>
      <c r="G58" s="102">
        <v>2.2999999999999998</v>
      </c>
      <c r="H58" s="102">
        <v>1.5</v>
      </c>
      <c r="I58" s="102"/>
      <c r="J58" s="102"/>
      <c r="K58" s="102"/>
      <c r="L58" s="14">
        <f t="shared" si="3"/>
        <v>0</v>
      </c>
      <c r="M58" s="14">
        <f t="shared" si="3"/>
        <v>0</v>
      </c>
      <c r="N58" s="14"/>
      <c r="O58" s="14"/>
      <c r="Q58" s="19"/>
      <c r="R58" s="14"/>
      <c r="S58" s="14"/>
      <c r="T58" s="14"/>
    </row>
    <row r="59" spans="1:20" ht="12.6" customHeight="1" x14ac:dyDescent="0.25">
      <c r="A59" s="11">
        <v>48</v>
      </c>
      <c r="B59" s="40"/>
      <c r="C59" s="20" t="s">
        <v>203</v>
      </c>
      <c r="D59" s="52" t="s">
        <v>480</v>
      </c>
      <c r="E59" s="102">
        <f t="shared" si="0"/>
        <v>0.3</v>
      </c>
      <c r="F59" s="102">
        <f t="shared" si="2"/>
        <v>0</v>
      </c>
      <c r="G59" s="102">
        <v>0.3</v>
      </c>
      <c r="H59" s="102">
        <v>0</v>
      </c>
      <c r="I59" s="102"/>
      <c r="J59" s="102"/>
      <c r="K59" s="102"/>
      <c r="L59" s="14">
        <f t="shared" si="3"/>
        <v>0</v>
      </c>
      <c r="M59" s="14">
        <f t="shared" si="3"/>
        <v>0</v>
      </c>
      <c r="N59" s="14"/>
      <c r="O59" s="14"/>
      <c r="Q59" s="19"/>
      <c r="R59" s="14"/>
      <c r="S59" s="14"/>
      <c r="T59" s="14"/>
    </row>
    <row r="60" spans="1:20" ht="12.6" customHeight="1" x14ac:dyDescent="0.25">
      <c r="A60" s="11">
        <v>49</v>
      </c>
      <c r="B60" s="40"/>
      <c r="C60" s="109" t="s">
        <v>463</v>
      </c>
      <c r="D60" s="40"/>
      <c r="E60" s="100">
        <f>+G60+K60</f>
        <v>156.9</v>
      </c>
      <c r="F60" s="100">
        <f t="shared" si="2"/>
        <v>103.29999999999998</v>
      </c>
      <c r="G60" s="100">
        <f>+G12+G40+G47</f>
        <v>151.9</v>
      </c>
      <c r="H60" s="100">
        <f>+H12+H40+H47</f>
        <v>100.99999999999999</v>
      </c>
      <c r="I60" s="100">
        <f>+I12+I40+I47</f>
        <v>3.5</v>
      </c>
      <c r="J60" s="100">
        <f>+J12+J40+J47</f>
        <v>3.5</v>
      </c>
      <c r="K60" s="100">
        <f>+K12+K40+K47</f>
        <v>5</v>
      </c>
      <c r="L60" s="100">
        <f t="shared" ref="L60:Q60" si="6">+L12+L40+L47</f>
        <v>3.6</v>
      </c>
      <c r="M60" s="100">
        <f t="shared" si="6"/>
        <v>-2</v>
      </c>
      <c r="N60" s="100">
        <f t="shared" si="6"/>
        <v>13.200000000000001</v>
      </c>
      <c r="O60" s="100">
        <f t="shared" si="6"/>
        <v>5.6</v>
      </c>
      <c r="P60" s="100">
        <f t="shared" si="6"/>
        <v>-15.2</v>
      </c>
      <c r="Q60" s="100">
        <f t="shared" si="6"/>
        <v>2.2999999999999998</v>
      </c>
      <c r="R60" s="14"/>
      <c r="S60" s="14"/>
      <c r="T60" s="14"/>
    </row>
    <row r="61" spans="1:20" x14ac:dyDescent="0.25">
      <c r="C61" s="4" t="s">
        <v>484</v>
      </c>
      <c r="E61" s="88"/>
      <c r="F61" s="88"/>
      <c r="G61" s="88"/>
      <c r="H61" s="88"/>
      <c r="I61" s="88"/>
      <c r="J61" s="88"/>
      <c r="K61" s="88"/>
    </row>
    <row r="62" spans="1:20" x14ac:dyDescent="0.25">
      <c r="E62" s="88"/>
      <c r="F62" s="88"/>
      <c r="G62" s="88"/>
      <c r="H62" s="88"/>
      <c r="I62" s="88"/>
      <c r="J62" s="88"/>
      <c r="K62" s="88"/>
    </row>
    <row r="63" spans="1:20" hidden="1" x14ac:dyDescent="0.25">
      <c r="E63" s="88">
        <f>+G63+K63</f>
        <v>153.4</v>
      </c>
      <c r="F63" s="88"/>
      <c r="G63" s="88">
        <v>136.4</v>
      </c>
      <c r="H63" s="88"/>
      <c r="I63" s="88">
        <v>0.4</v>
      </c>
      <c r="J63" s="88"/>
      <c r="K63" s="88">
        <v>17</v>
      </c>
    </row>
    <row r="64" spans="1:20" hidden="1" x14ac:dyDescent="0.25">
      <c r="E64" s="88">
        <f>+G64+K64</f>
        <v>3.5</v>
      </c>
      <c r="F64" s="88"/>
      <c r="G64" s="88">
        <f>+G60-G63</f>
        <v>15.5</v>
      </c>
      <c r="H64" s="88"/>
      <c r="I64" s="88">
        <f>+I60-I63</f>
        <v>3.1</v>
      </c>
      <c r="J64" s="88"/>
      <c r="K64" s="88">
        <f>+K60-K63</f>
        <v>-12</v>
      </c>
    </row>
    <row r="65" spans="5:16" x14ac:dyDescent="0.25">
      <c r="E65" s="78"/>
      <c r="F65" s="78"/>
      <c r="I65" s="88"/>
      <c r="J65" s="88"/>
      <c r="M65" s="121"/>
    </row>
    <row r="66" spans="5:16" x14ac:dyDescent="0.25"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</sheetData>
  <mergeCells count="20">
    <mergeCell ref="A7:A10"/>
    <mergeCell ref="B7:B10"/>
    <mergeCell ref="C7:C10"/>
    <mergeCell ref="D7:D10"/>
    <mergeCell ref="E7:F8"/>
    <mergeCell ref="C1:Q1"/>
    <mergeCell ref="C2:Q2"/>
    <mergeCell ref="I3:Q3"/>
    <mergeCell ref="A5:K5"/>
    <mergeCell ref="K6:Q6"/>
    <mergeCell ref="G7:Q7"/>
    <mergeCell ref="G8:J8"/>
    <mergeCell ref="K8:Q8"/>
    <mergeCell ref="E9:E10"/>
    <mergeCell ref="F9:F10"/>
    <mergeCell ref="G9:H9"/>
    <mergeCell ref="I9:J9"/>
    <mergeCell ref="K9:K10"/>
    <mergeCell ref="L9:L10"/>
    <mergeCell ref="Q9:Q10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workbookViewId="0">
      <selection activeCell="C1" sqref="C1:L2"/>
    </sheetView>
  </sheetViews>
  <sheetFormatPr defaultColWidth="9.109375" defaultRowHeight="13.2" x14ac:dyDescent="0.25"/>
  <cols>
    <col min="1" max="1" width="4.44140625" style="4" customWidth="1"/>
    <col min="2" max="2" width="4.33203125" style="1" customWidth="1"/>
    <col min="3" max="3" width="45.6640625" style="4" customWidth="1"/>
    <col min="4" max="4" width="10.109375" style="1" customWidth="1"/>
    <col min="5" max="6" width="8.109375" style="132" customWidth="1"/>
    <col min="7" max="8" width="8" style="132" customWidth="1"/>
    <col min="9" max="10" width="8.88671875" style="132" customWidth="1"/>
    <col min="11" max="11" width="6.88671875" style="132" customWidth="1"/>
    <col min="12" max="16" width="9.109375" style="2" customWidth="1"/>
    <col min="17" max="259" width="9.109375" style="2"/>
    <col min="260" max="260" width="4.44140625" style="2" customWidth="1"/>
    <col min="261" max="261" width="4.33203125" style="2" customWidth="1"/>
    <col min="262" max="262" width="45.6640625" style="2" customWidth="1"/>
    <col min="263" max="263" width="10.109375" style="2" customWidth="1"/>
    <col min="264" max="264" width="8.109375" style="2" customWidth="1"/>
    <col min="265" max="265" width="8" style="2" customWidth="1"/>
    <col min="266" max="266" width="8.88671875" style="2" customWidth="1"/>
    <col min="267" max="267" width="6.88671875" style="2" customWidth="1"/>
    <col min="268" max="272" width="9.109375" style="2" customWidth="1"/>
    <col min="273" max="515" width="9.109375" style="2"/>
    <col min="516" max="516" width="4.44140625" style="2" customWidth="1"/>
    <col min="517" max="517" width="4.33203125" style="2" customWidth="1"/>
    <col min="518" max="518" width="45.6640625" style="2" customWidth="1"/>
    <col min="519" max="519" width="10.109375" style="2" customWidth="1"/>
    <col min="520" max="520" width="8.109375" style="2" customWidth="1"/>
    <col min="521" max="521" width="8" style="2" customWidth="1"/>
    <col min="522" max="522" width="8.88671875" style="2" customWidth="1"/>
    <col min="523" max="523" width="6.88671875" style="2" customWidth="1"/>
    <col min="524" max="528" width="9.109375" style="2" customWidth="1"/>
    <col min="529" max="771" width="9.109375" style="2"/>
    <col min="772" max="772" width="4.44140625" style="2" customWidth="1"/>
    <col min="773" max="773" width="4.33203125" style="2" customWidth="1"/>
    <col min="774" max="774" width="45.6640625" style="2" customWidth="1"/>
    <col min="775" max="775" width="10.109375" style="2" customWidth="1"/>
    <col min="776" max="776" width="8.109375" style="2" customWidth="1"/>
    <col min="777" max="777" width="8" style="2" customWidth="1"/>
    <col min="778" max="778" width="8.88671875" style="2" customWidth="1"/>
    <col min="779" max="779" width="6.88671875" style="2" customWidth="1"/>
    <col min="780" max="784" width="9.109375" style="2" customWidth="1"/>
    <col min="785" max="1027" width="9.109375" style="2"/>
    <col min="1028" max="1028" width="4.44140625" style="2" customWidth="1"/>
    <col min="1029" max="1029" width="4.33203125" style="2" customWidth="1"/>
    <col min="1030" max="1030" width="45.6640625" style="2" customWidth="1"/>
    <col min="1031" max="1031" width="10.109375" style="2" customWidth="1"/>
    <col min="1032" max="1032" width="8.109375" style="2" customWidth="1"/>
    <col min="1033" max="1033" width="8" style="2" customWidth="1"/>
    <col min="1034" max="1034" width="8.88671875" style="2" customWidth="1"/>
    <col min="1035" max="1035" width="6.88671875" style="2" customWidth="1"/>
    <col min="1036" max="1040" width="9.109375" style="2" customWidth="1"/>
    <col min="1041" max="1283" width="9.109375" style="2"/>
    <col min="1284" max="1284" width="4.44140625" style="2" customWidth="1"/>
    <col min="1285" max="1285" width="4.33203125" style="2" customWidth="1"/>
    <col min="1286" max="1286" width="45.6640625" style="2" customWidth="1"/>
    <col min="1287" max="1287" width="10.109375" style="2" customWidth="1"/>
    <col min="1288" max="1288" width="8.109375" style="2" customWidth="1"/>
    <col min="1289" max="1289" width="8" style="2" customWidth="1"/>
    <col min="1290" max="1290" width="8.88671875" style="2" customWidth="1"/>
    <col min="1291" max="1291" width="6.88671875" style="2" customWidth="1"/>
    <col min="1292" max="1296" width="9.109375" style="2" customWidth="1"/>
    <col min="1297" max="1539" width="9.109375" style="2"/>
    <col min="1540" max="1540" width="4.44140625" style="2" customWidth="1"/>
    <col min="1541" max="1541" width="4.33203125" style="2" customWidth="1"/>
    <col min="1542" max="1542" width="45.6640625" style="2" customWidth="1"/>
    <col min="1543" max="1543" width="10.109375" style="2" customWidth="1"/>
    <col min="1544" max="1544" width="8.109375" style="2" customWidth="1"/>
    <col min="1545" max="1545" width="8" style="2" customWidth="1"/>
    <col min="1546" max="1546" width="8.88671875" style="2" customWidth="1"/>
    <col min="1547" max="1547" width="6.88671875" style="2" customWidth="1"/>
    <col min="1548" max="1552" width="9.109375" style="2" customWidth="1"/>
    <col min="1553" max="1795" width="9.109375" style="2"/>
    <col min="1796" max="1796" width="4.44140625" style="2" customWidth="1"/>
    <col min="1797" max="1797" width="4.33203125" style="2" customWidth="1"/>
    <col min="1798" max="1798" width="45.6640625" style="2" customWidth="1"/>
    <col min="1799" max="1799" width="10.109375" style="2" customWidth="1"/>
    <col min="1800" max="1800" width="8.109375" style="2" customWidth="1"/>
    <col min="1801" max="1801" width="8" style="2" customWidth="1"/>
    <col min="1802" max="1802" width="8.88671875" style="2" customWidth="1"/>
    <col min="1803" max="1803" width="6.88671875" style="2" customWidth="1"/>
    <col min="1804" max="1808" width="9.109375" style="2" customWidth="1"/>
    <col min="1809" max="2051" width="9.109375" style="2"/>
    <col min="2052" max="2052" width="4.44140625" style="2" customWidth="1"/>
    <col min="2053" max="2053" width="4.33203125" style="2" customWidth="1"/>
    <col min="2054" max="2054" width="45.6640625" style="2" customWidth="1"/>
    <col min="2055" max="2055" width="10.109375" style="2" customWidth="1"/>
    <col min="2056" max="2056" width="8.109375" style="2" customWidth="1"/>
    <col min="2057" max="2057" width="8" style="2" customWidth="1"/>
    <col min="2058" max="2058" width="8.88671875" style="2" customWidth="1"/>
    <col min="2059" max="2059" width="6.88671875" style="2" customWidth="1"/>
    <col min="2060" max="2064" width="9.109375" style="2" customWidth="1"/>
    <col min="2065" max="2307" width="9.109375" style="2"/>
    <col min="2308" max="2308" width="4.44140625" style="2" customWidth="1"/>
    <col min="2309" max="2309" width="4.33203125" style="2" customWidth="1"/>
    <col min="2310" max="2310" width="45.6640625" style="2" customWidth="1"/>
    <col min="2311" max="2311" width="10.109375" style="2" customWidth="1"/>
    <col min="2312" max="2312" width="8.109375" style="2" customWidth="1"/>
    <col min="2313" max="2313" width="8" style="2" customWidth="1"/>
    <col min="2314" max="2314" width="8.88671875" style="2" customWidth="1"/>
    <col min="2315" max="2315" width="6.88671875" style="2" customWidth="1"/>
    <col min="2316" max="2320" width="9.109375" style="2" customWidth="1"/>
    <col min="2321" max="2563" width="9.109375" style="2"/>
    <col min="2564" max="2564" width="4.44140625" style="2" customWidth="1"/>
    <col min="2565" max="2565" width="4.33203125" style="2" customWidth="1"/>
    <col min="2566" max="2566" width="45.6640625" style="2" customWidth="1"/>
    <col min="2567" max="2567" width="10.109375" style="2" customWidth="1"/>
    <col min="2568" max="2568" width="8.109375" style="2" customWidth="1"/>
    <col min="2569" max="2569" width="8" style="2" customWidth="1"/>
    <col min="2570" max="2570" width="8.88671875" style="2" customWidth="1"/>
    <col min="2571" max="2571" width="6.88671875" style="2" customWidth="1"/>
    <col min="2572" max="2576" width="9.109375" style="2" customWidth="1"/>
    <col min="2577" max="2819" width="9.109375" style="2"/>
    <col min="2820" max="2820" width="4.44140625" style="2" customWidth="1"/>
    <col min="2821" max="2821" width="4.33203125" style="2" customWidth="1"/>
    <col min="2822" max="2822" width="45.6640625" style="2" customWidth="1"/>
    <col min="2823" max="2823" width="10.109375" style="2" customWidth="1"/>
    <col min="2824" max="2824" width="8.109375" style="2" customWidth="1"/>
    <col min="2825" max="2825" width="8" style="2" customWidth="1"/>
    <col min="2826" max="2826" width="8.88671875" style="2" customWidth="1"/>
    <col min="2827" max="2827" width="6.88671875" style="2" customWidth="1"/>
    <col min="2828" max="2832" width="9.109375" style="2" customWidth="1"/>
    <col min="2833" max="3075" width="9.109375" style="2"/>
    <col min="3076" max="3076" width="4.44140625" style="2" customWidth="1"/>
    <col min="3077" max="3077" width="4.33203125" style="2" customWidth="1"/>
    <col min="3078" max="3078" width="45.6640625" style="2" customWidth="1"/>
    <col min="3079" max="3079" width="10.109375" style="2" customWidth="1"/>
    <col min="3080" max="3080" width="8.109375" style="2" customWidth="1"/>
    <col min="3081" max="3081" width="8" style="2" customWidth="1"/>
    <col min="3082" max="3082" width="8.88671875" style="2" customWidth="1"/>
    <col min="3083" max="3083" width="6.88671875" style="2" customWidth="1"/>
    <col min="3084" max="3088" width="9.109375" style="2" customWidth="1"/>
    <col min="3089" max="3331" width="9.109375" style="2"/>
    <col min="3332" max="3332" width="4.44140625" style="2" customWidth="1"/>
    <col min="3333" max="3333" width="4.33203125" style="2" customWidth="1"/>
    <col min="3334" max="3334" width="45.6640625" style="2" customWidth="1"/>
    <col min="3335" max="3335" width="10.109375" style="2" customWidth="1"/>
    <col min="3336" max="3336" width="8.109375" style="2" customWidth="1"/>
    <col min="3337" max="3337" width="8" style="2" customWidth="1"/>
    <col min="3338" max="3338" width="8.88671875" style="2" customWidth="1"/>
    <col min="3339" max="3339" width="6.88671875" style="2" customWidth="1"/>
    <col min="3340" max="3344" width="9.109375" style="2" customWidth="1"/>
    <col min="3345" max="3587" width="9.109375" style="2"/>
    <col min="3588" max="3588" width="4.44140625" style="2" customWidth="1"/>
    <col min="3589" max="3589" width="4.33203125" style="2" customWidth="1"/>
    <col min="3590" max="3590" width="45.6640625" style="2" customWidth="1"/>
    <col min="3591" max="3591" width="10.109375" style="2" customWidth="1"/>
    <col min="3592" max="3592" width="8.109375" style="2" customWidth="1"/>
    <col min="3593" max="3593" width="8" style="2" customWidth="1"/>
    <col min="3594" max="3594" width="8.88671875" style="2" customWidth="1"/>
    <col min="3595" max="3595" width="6.88671875" style="2" customWidth="1"/>
    <col min="3596" max="3600" width="9.109375" style="2" customWidth="1"/>
    <col min="3601" max="3843" width="9.109375" style="2"/>
    <col min="3844" max="3844" width="4.44140625" style="2" customWidth="1"/>
    <col min="3845" max="3845" width="4.33203125" style="2" customWidth="1"/>
    <col min="3846" max="3846" width="45.6640625" style="2" customWidth="1"/>
    <col min="3847" max="3847" width="10.109375" style="2" customWidth="1"/>
    <col min="3848" max="3848" width="8.109375" style="2" customWidth="1"/>
    <col min="3849" max="3849" width="8" style="2" customWidth="1"/>
    <col min="3850" max="3850" width="8.88671875" style="2" customWidth="1"/>
    <col min="3851" max="3851" width="6.88671875" style="2" customWidth="1"/>
    <col min="3852" max="3856" width="9.109375" style="2" customWidth="1"/>
    <col min="3857" max="4099" width="9.109375" style="2"/>
    <col min="4100" max="4100" width="4.44140625" style="2" customWidth="1"/>
    <col min="4101" max="4101" width="4.33203125" style="2" customWidth="1"/>
    <col min="4102" max="4102" width="45.6640625" style="2" customWidth="1"/>
    <col min="4103" max="4103" width="10.109375" style="2" customWidth="1"/>
    <col min="4104" max="4104" width="8.109375" style="2" customWidth="1"/>
    <col min="4105" max="4105" width="8" style="2" customWidth="1"/>
    <col min="4106" max="4106" width="8.88671875" style="2" customWidth="1"/>
    <col min="4107" max="4107" width="6.88671875" style="2" customWidth="1"/>
    <col min="4108" max="4112" width="9.109375" style="2" customWidth="1"/>
    <col min="4113" max="4355" width="9.109375" style="2"/>
    <col min="4356" max="4356" width="4.44140625" style="2" customWidth="1"/>
    <col min="4357" max="4357" width="4.33203125" style="2" customWidth="1"/>
    <col min="4358" max="4358" width="45.6640625" style="2" customWidth="1"/>
    <col min="4359" max="4359" width="10.109375" style="2" customWidth="1"/>
    <col min="4360" max="4360" width="8.109375" style="2" customWidth="1"/>
    <col min="4361" max="4361" width="8" style="2" customWidth="1"/>
    <col min="4362" max="4362" width="8.88671875" style="2" customWidth="1"/>
    <col min="4363" max="4363" width="6.88671875" style="2" customWidth="1"/>
    <col min="4364" max="4368" width="9.109375" style="2" customWidth="1"/>
    <col min="4369" max="4611" width="9.109375" style="2"/>
    <col min="4612" max="4612" width="4.44140625" style="2" customWidth="1"/>
    <col min="4613" max="4613" width="4.33203125" style="2" customWidth="1"/>
    <col min="4614" max="4614" width="45.6640625" style="2" customWidth="1"/>
    <col min="4615" max="4615" width="10.109375" style="2" customWidth="1"/>
    <col min="4616" max="4616" width="8.109375" style="2" customWidth="1"/>
    <col min="4617" max="4617" width="8" style="2" customWidth="1"/>
    <col min="4618" max="4618" width="8.88671875" style="2" customWidth="1"/>
    <col min="4619" max="4619" width="6.88671875" style="2" customWidth="1"/>
    <col min="4620" max="4624" width="9.109375" style="2" customWidth="1"/>
    <col min="4625" max="4867" width="9.109375" style="2"/>
    <col min="4868" max="4868" width="4.44140625" style="2" customWidth="1"/>
    <col min="4869" max="4869" width="4.33203125" style="2" customWidth="1"/>
    <col min="4870" max="4870" width="45.6640625" style="2" customWidth="1"/>
    <col min="4871" max="4871" width="10.109375" style="2" customWidth="1"/>
    <col min="4872" max="4872" width="8.109375" style="2" customWidth="1"/>
    <col min="4873" max="4873" width="8" style="2" customWidth="1"/>
    <col min="4874" max="4874" width="8.88671875" style="2" customWidth="1"/>
    <col min="4875" max="4875" width="6.88671875" style="2" customWidth="1"/>
    <col min="4876" max="4880" width="9.109375" style="2" customWidth="1"/>
    <col min="4881" max="5123" width="9.109375" style="2"/>
    <col min="5124" max="5124" width="4.44140625" style="2" customWidth="1"/>
    <col min="5125" max="5125" width="4.33203125" style="2" customWidth="1"/>
    <col min="5126" max="5126" width="45.6640625" style="2" customWidth="1"/>
    <col min="5127" max="5127" width="10.109375" style="2" customWidth="1"/>
    <col min="5128" max="5128" width="8.109375" style="2" customWidth="1"/>
    <col min="5129" max="5129" width="8" style="2" customWidth="1"/>
    <col min="5130" max="5130" width="8.88671875" style="2" customWidth="1"/>
    <col min="5131" max="5131" width="6.88671875" style="2" customWidth="1"/>
    <col min="5132" max="5136" width="9.109375" style="2" customWidth="1"/>
    <col min="5137" max="5379" width="9.109375" style="2"/>
    <col min="5380" max="5380" width="4.44140625" style="2" customWidth="1"/>
    <col min="5381" max="5381" width="4.33203125" style="2" customWidth="1"/>
    <col min="5382" max="5382" width="45.6640625" style="2" customWidth="1"/>
    <col min="5383" max="5383" width="10.109375" style="2" customWidth="1"/>
    <col min="5384" max="5384" width="8.109375" style="2" customWidth="1"/>
    <col min="5385" max="5385" width="8" style="2" customWidth="1"/>
    <col min="5386" max="5386" width="8.88671875" style="2" customWidth="1"/>
    <col min="5387" max="5387" width="6.88671875" style="2" customWidth="1"/>
    <col min="5388" max="5392" width="9.109375" style="2" customWidth="1"/>
    <col min="5393" max="5635" width="9.109375" style="2"/>
    <col min="5636" max="5636" width="4.44140625" style="2" customWidth="1"/>
    <col min="5637" max="5637" width="4.33203125" style="2" customWidth="1"/>
    <col min="5638" max="5638" width="45.6640625" style="2" customWidth="1"/>
    <col min="5639" max="5639" width="10.109375" style="2" customWidth="1"/>
    <col min="5640" max="5640" width="8.109375" style="2" customWidth="1"/>
    <col min="5641" max="5641" width="8" style="2" customWidth="1"/>
    <col min="5642" max="5642" width="8.88671875" style="2" customWidth="1"/>
    <col min="5643" max="5643" width="6.88671875" style="2" customWidth="1"/>
    <col min="5644" max="5648" width="9.109375" style="2" customWidth="1"/>
    <col min="5649" max="5891" width="9.109375" style="2"/>
    <col min="5892" max="5892" width="4.44140625" style="2" customWidth="1"/>
    <col min="5893" max="5893" width="4.33203125" style="2" customWidth="1"/>
    <col min="5894" max="5894" width="45.6640625" style="2" customWidth="1"/>
    <col min="5895" max="5895" width="10.109375" style="2" customWidth="1"/>
    <col min="5896" max="5896" width="8.109375" style="2" customWidth="1"/>
    <col min="5897" max="5897" width="8" style="2" customWidth="1"/>
    <col min="5898" max="5898" width="8.88671875" style="2" customWidth="1"/>
    <col min="5899" max="5899" width="6.88671875" style="2" customWidth="1"/>
    <col min="5900" max="5904" width="9.109375" style="2" customWidth="1"/>
    <col min="5905" max="6147" width="9.109375" style="2"/>
    <col min="6148" max="6148" width="4.44140625" style="2" customWidth="1"/>
    <col min="6149" max="6149" width="4.33203125" style="2" customWidth="1"/>
    <col min="6150" max="6150" width="45.6640625" style="2" customWidth="1"/>
    <col min="6151" max="6151" width="10.109375" style="2" customWidth="1"/>
    <col min="6152" max="6152" width="8.109375" style="2" customWidth="1"/>
    <col min="6153" max="6153" width="8" style="2" customWidth="1"/>
    <col min="6154" max="6154" width="8.88671875" style="2" customWidth="1"/>
    <col min="6155" max="6155" width="6.88671875" style="2" customWidth="1"/>
    <col min="6156" max="6160" width="9.109375" style="2" customWidth="1"/>
    <col min="6161" max="6403" width="9.109375" style="2"/>
    <col min="6404" max="6404" width="4.44140625" style="2" customWidth="1"/>
    <col min="6405" max="6405" width="4.33203125" style="2" customWidth="1"/>
    <col min="6406" max="6406" width="45.6640625" style="2" customWidth="1"/>
    <col min="6407" max="6407" width="10.109375" style="2" customWidth="1"/>
    <col min="6408" max="6408" width="8.109375" style="2" customWidth="1"/>
    <col min="6409" max="6409" width="8" style="2" customWidth="1"/>
    <col min="6410" max="6410" width="8.88671875" style="2" customWidth="1"/>
    <col min="6411" max="6411" width="6.88671875" style="2" customWidth="1"/>
    <col min="6412" max="6416" width="9.109375" style="2" customWidth="1"/>
    <col min="6417" max="6659" width="9.109375" style="2"/>
    <col min="6660" max="6660" width="4.44140625" style="2" customWidth="1"/>
    <col min="6661" max="6661" width="4.33203125" style="2" customWidth="1"/>
    <col min="6662" max="6662" width="45.6640625" style="2" customWidth="1"/>
    <col min="6663" max="6663" width="10.109375" style="2" customWidth="1"/>
    <col min="6664" max="6664" width="8.109375" style="2" customWidth="1"/>
    <col min="6665" max="6665" width="8" style="2" customWidth="1"/>
    <col min="6666" max="6666" width="8.88671875" style="2" customWidth="1"/>
    <col min="6667" max="6667" width="6.88671875" style="2" customWidth="1"/>
    <col min="6668" max="6672" width="9.109375" style="2" customWidth="1"/>
    <col min="6673" max="6915" width="9.109375" style="2"/>
    <col min="6916" max="6916" width="4.44140625" style="2" customWidth="1"/>
    <col min="6917" max="6917" width="4.33203125" style="2" customWidth="1"/>
    <col min="6918" max="6918" width="45.6640625" style="2" customWidth="1"/>
    <col min="6919" max="6919" width="10.109375" style="2" customWidth="1"/>
    <col min="6920" max="6920" width="8.109375" style="2" customWidth="1"/>
    <col min="6921" max="6921" width="8" style="2" customWidth="1"/>
    <col min="6922" max="6922" width="8.88671875" style="2" customWidth="1"/>
    <col min="6923" max="6923" width="6.88671875" style="2" customWidth="1"/>
    <col min="6924" max="6928" width="9.109375" style="2" customWidth="1"/>
    <col min="6929" max="7171" width="9.109375" style="2"/>
    <col min="7172" max="7172" width="4.44140625" style="2" customWidth="1"/>
    <col min="7173" max="7173" width="4.33203125" style="2" customWidth="1"/>
    <col min="7174" max="7174" width="45.6640625" style="2" customWidth="1"/>
    <col min="7175" max="7175" width="10.109375" style="2" customWidth="1"/>
    <col min="7176" max="7176" width="8.109375" style="2" customWidth="1"/>
    <col min="7177" max="7177" width="8" style="2" customWidth="1"/>
    <col min="7178" max="7178" width="8.88671875" style="2" customWidth="1"/>
    <col min="7179" max="7179" width="6.88671875" style="2" customWidth="1"/>
    <col min="7180" max="7184" width="9.109375" style="2" customWidth="1"/>
    <col min="7185" max="7427" width="9.109375" style="2"/>
    <col min="7428" max="7428" width="4.44140625" style="2" customWidth="1"/>
    <col min="7429" max="7429" width="4.33203125" style="2" customWidth="1"/>
    <col min="7430" max="7430" width="45.6640625" style="2" customWidth="1"/>
    <col min="7431" max="7431" width="10.109375" style="2" customWidth="1"/>
    <col min="7432" max="7432" width="8.109375" style="2" customWidth="1"/>
    <col min="7433" max="7433" width="8" style="2" customWidth="1"/>
    <col min="7434" max="7434" width="8.88671875" style="2" customWidth="1"/>
    <col min="7435" max="7435" width="6.88671875" style="2" customWidth="1"/>
    <col min="7436" max="7440" width="9.109375" style="2" customWidth="1"/>
    <col min="7441" max="7683" width="9.109375" style="2"/>
    <col min="7684" max="7684" width="4.44140625" style="2" customWidth="1"/>
    <col min="7685" max="7685" width="4.33203125" style="2" customWidth="1"/>
    <col min="7686" max="7686" width="45.6640625" style="2" customWidth="1"/>
    <col min="7687" max="7687" width="10.109375" style="2" customWidth="1"/>
    <col min="7688" max="7688" width="8.109375" style="2" customWidth="1"/>
    <col min="7689" max="7689" width="8" style="2" customWidth="1"/>
    <col min="7690" max="7690" width="8.88671875" style="2" customWidth="1"/>
    <col min="7691" max="7691" width="6.88671875" style="2" customWidth="1"/>
    <col min="7692" max="7696" width="9.109375" style="2" customWidth="1"/>
    <col min="7697" max="7939" width="9.109375" style="2"/>
    <col min="7940" max="7940" width="4.44140625" style="2" customWidth="1"/>
    <col min="7941" max="7941" width="4.33203125" style="2" customWidth="1"/>
    <col min="7942" max="7942" width="45.6640625" style="2" customWidth="1"/>
    <col min="7943" max="7943" width="10.109375" style="2" customWidth="1"/>
    <col min="7944" max="7944" width="8.109375" style="2" customWidth="1"/>
    <col min="7945" max="7945" width="8" style="2" customWidth="1"/>
    <col min="7946" max="7946" width="8.88671875" style="2" customWidth="1"/>
    <col min="7947" max="7947" width="6.88671875" style="2" customWidth="1"/>
    <col min="7948" max="7952" width="9.109375" style="2" customWidth="1"/>
    <col min="7953" max="8195" width="9.109375" style="2"/>
    <col min="8196" max="8196" width="4.44140625" style="2" customWidth="1"/>
    <col min="8197" max="8197" width="4.33203125" style="2" customWidth="1"/>
    <col min="8198" max="8198" width="45.6640625" style="2" customWidth="1"/>
    <col min="8199" max="8199" width="10.109375" style="2" customWidth="1"/>
    <col min="8200" max="8200" width="8.109375" style="2" customWidth="1"/>
    <col min="8201" max="8201" width="8" style="2" customWidth="1"/>
    <col min="8202" max="8202" width="8.88671875" style="2" customWidth="1"/>
    <col min="8203" max="8203" width="6.88671875" style="2" customWidth="1"/>
    <col min="8204" max="8208" width="9.109375" style="2" customWidth="1"/>
    <col min="8209" max="8451" width="9.109375" style="2"/>
    <col min="8452" max="8452" width="4.44140625" style="2" customWidth="1"/>
    <col min="8453" max="8453" width="4.33203125" style="2" customWidth="1"/>
    <col min="8454" max="8454" width="45.6640625" style="2" customWidth="1"/>
    <col min="8455" max="8455" width="10.109375" style="2" customWidth="1"/>
    <col min="8456" max="8456" width="8.109375" style="2" customWidth="1"/>
    <col min="8457" max="8457" width="8" style="2" customWidth="1"/>
    <col min="8458" max="8458" width="8.88671875" style="2" customWidth="1"/>
    <col min="8459" max="8459" width="6.88671875" style="2" customWidth="1"/>
    <col min="8460" max="8464" width="9.109375" style="2" customWidth="1"/>
    <col min="8465" max="8707" width="9.109375" style="2"/>
    <col min="8708" max="8708" width="4.44140625" style="2" customWidth="1"/>
    <col min="8709" max="8709" width="4.33203125" style="2" customWidth="1"/>
    <col min="8710" max="8710" width="45.6640625" style="2" customWidth="1"/>
    <col min="8711" max="8711" width="10.109375" style="2" customWidth="1"/>
    <col min="8712" max="8712" width="8.109375" style="2" customWidth="1"/>
    <col min="8713" max="8713" width="8" style="2" customWidth="1"/>
    <col min="8714" max="8714" width="8.88671875" style="2" customWidth="1"/>
    <col min="8715" max="8715" width="6.88671875" style="2" customWidth="1"/>
    <col min="8716" max="8720" width="9.109375" style="2" customWidth="1"/>
    <col min="8721" max="8963" width="9.109375" style="2"/>
    <col min="8964" max="8964" width="4.44140625" style="2" customWidth="1"/>
    <col min="8965" max="8965" width="4.33203125" style="2" customWidth="1"/>
    <col min="8966" max="8966" width="45.6640625" style="2" customWidth="1"/>
    <col min="8967" max="8967" width="10.109375" style="2" customWidth="1"/>
    <col min="8968" max="8968" width="8.109375" style="2" customWidth="1"/>
    <col min="8969" max="8969" width="8" style="2" customWidth="1"/>
    <col min="8970" max="8970" width="8.88671875" style="2" customWidth="1"/>
    <col min="8971" max="8971" width="6.88671875" style="2" customWidth="1"/>
    <col min="8972" max="8976" width="9.109375" style="2" customWidth="1"/>
    <col min="8977" max="9219" width="9.109375" style="2"/>
    <col min="9220" max="9220" width="4.44140625" style="2" customWidth="1"/>
    <col min="9221" max="9221" width="4.33203125" style="2" customWidth="1"/>
    <col min="9222" max="9222" width="45.6640625" style="2" customWidth="1"/>
    <col min="9223" max="9223" width="10.109375" style="2" customWidth="1"/>
    <col min="9224" max="9224" width="8.109375" style="2" customWidth="1"/>
    <col min="9225" max="9225" width="8" style="2" customWidth="1"/>
    <col min="9226" max="9226" width="8.88671875" style="2" customWidth="1"/>
    <col min="9227" max="9227" width="6.88671875" style="2" customWidth="1"/>
    <col min="9228" max="9232" width="9.109375" style="2" customWidth="1"/>
    <col min="9233" max="9475" width="9.109375" style="2"/>
    <col min="9476" max="9476" width="4.44140625" style="2" customWidth="1"/>
    <col min="9477" max="9477" width="4.33203125" style="2" customWidth="1"/>
    <col min="9478" max="9478" width="45.6640625" style="2" customWidth="1"/>
    <col min="9479" max="9479" width="10.109375" style="2" customWidth="1"/>
    <col min="9480" max="9480" width="8.109375" style="2" customWidth="1"/>
    <col min="9481" max="9481" width="8" style="2" customWidth="1"/>
    <col min="9482" max="9482" width="8.88671875" style="2" customWidth="1"/>
    <col min="9483" max="9483" width="6.88671875" style="2" customWidth="1"/>
    <col min="9484" max="9488" width="9.109375" style="2" customWidth="1"/>
    <col min="9489" max="9731" width="9.109375" style="2"/>
    <col min="9732" max="9732" width="4.44140625" style="2" customWidth="1"/>
    <col min="9733" max="9733" width="4.33203125" style="2" customWidth="1"/>
    <col min="9734" max="9734" width="45.6640625" style="2" customWidth="1"/>
    <col min="9735" max="9735" width="10.109375" style="2" customWidth="1"/>
    <col min="9736" max="9736" width="8.109375" style="2" customWidth="1"/>
    <col min="9737" max="9737" width="8" style="2" customWidth="1"/>
    <col min="9738" max="9738" width="8.88671875" style="2" customWidth="1"/>
    <col min="9739" max="9739" width="6.88671875" style="2" customWidth="1"/>
    <col min="9740" max="9744" width="9.109375" style="2" customWidth="1"/>
    <col min="9745" max="9987" width="9.109375" style="2"/>
    <col min="9988" max="9988" width="4.44140625" style="2" customWidth="1"/>
    <col min="9989" max="9989" width="4.33203125" style="2" customWidth="1"/>
    <col min="9990" max="9990" width="45.6640625" style="2" customWidth="1"/>
    <col min="9991" max="9991" width="10.109375" style="2" customWidth="1"/>
    <col min="9992" max="9992" width="8.109375" style="2" customWidth="1"/>
    <col min="9993" max="9993" width="8" style="2" customWidth="1"/>
    <col min="9994" max="9994" width="8.88671875" style="2" customWidth="1"/>
    <col min="9995" max="9995" width="6.88671875" style="2" customWidth="1"/>
    <col min="9996" max="10000" width="9.109375" style="2" customWidth="1"/>
    <col min="10001" max="10243" width="9.109375" style="2"/>
    <col min="10244" max="10244" width="4.44140625" style="2" customWidth="1"/>
    <col min="10245" max="10245" width="4.33203125" style="2" customWidth="1"/>
    <col min="10246" max="10246" width="45.6640625" style="2" customWidth="1"/>
    <col min="10247" max="10247" width="10.109375" style="2" customWidth="1"/>
    <col min="10248" max="10248" width="8.109375" style="2" customWidth="1"/>
    <col min="10249" max="10249" width="8" style="2" customWidth="1"/>
    <col min="10250" max="10250" width="8.88671875" style="2" customWidth="1"/>
    <col min="10251" max="10251" width="6.88671875" style="2" customWidth="1"/>
    <col min="10252" max="10256" width="9.109375" style="2" customWidth="1"/>
    <col min="10257" max="10499" width="9.109375" style="2"/>
    <col min="10500" max="10500" width="4.44140625" style="2" customWidth="1"/>
    <col min="10501" max="10501" width="4.33203125" style="2" customWidth="1"/>
    <col min="10502" max="10502" width="45.6640625" style="2" customWidth="1"/>
    <col min="10503" max="10503" width="10.109375" style="2" customWidth="1"/>
    <col min="10504" max="10504" width="8.109375" style="2" customWidth="1"/>
    <col min="10505" max="10505" width="8" style="2" customWidth="1"/>
    <col min="10506" max="10506" width="8.88671875" style="2" customWidth="1"/>
    <col min="10507" max="10507" width="6.88671875" style="2" customWidth="1"/>
    <col min="10508" max="10512" width="9.109375" style="2" customWidth="1"/>
    <col min="10513" max="10755" width="9.109375" style="2"/>
    <col min="10756" max="10756" width="4.44140625" style="2" customWidth="1"/>
    <col min="10757" max="10757" width="4.33203125" style="2" customWidth="1"/>
    <col min="10758" max="10758" width="45.6640625" style="2" customWidth="1"/>
    <col min="10759" max="10759" width="10.109375" style="2" customWidth="1"/>
    <col min="10760" max="10760" width="8.109375" style="2" customWidth="1"/>
    <col min="10761" max="10761" width="8" style="2" customWidth="1"/>
    <col min="10762" max="10762" width="8.88671875" style="2" customWidth="1"/>
    <col min="10763" max="10763" width="6.88671875" style="2" customWidth="1"/>
    <col min="10764" max="10768" width="9.109375" style="2" customWidth="1"/>
    <col min="10769" max="11011" width="9.109375" style="2"/>
    <col min="11012" max="11012" width="4.44140625" style="2" customWidth="1"/>
    <col min="11013" max="11013" width="4.33203125" style="2" customWidth="1"/>
    <col min="11014" max="11014" width="45.6640625" style="2" customWidth="1"/>
    <col min="11015" max="11015" width="10.109375" style="2" customWidth="1"/>
    <col min="11016" max="11016" width="8.109375" style="2" customWidth="1"/>
    <col min="11017" max="11017" width="8" style="2" customWidth="1"/>
    <col min="11018" max="11018" width="8.88671875" style="2" customWidth="1"/>
    <col min="11019" max="11019" width="6.88671875" style="2" customWidth="1"/>
    <col min="11020" max="11024" width="9.109375" style="2" customWidth="1"/>
    <col min="11025" max="11267" width="9.109375" style="2"/>
    <col min="11268" max="11268" width="4.44140625" style="2" customWidth="1"/>
    <col min="11269" max="11269" width="4.33203125" style="2" customWidth="1"/>
    <col min="11270" max="11270" width="45.6640625" style="2" customWidth="1"/>
    <col min="11271" max="11271" width="10.109375" style="2" customWidth="1"/>
    <col min="11272" max="11272" width="8.109375" style="2" customWidth="1"/>
    <col min="11273" max="11273" width="8" style="2" customWidth="1"/>
    <col min="11274" max="11274" width="8.88671875" style="2" customWidth="1"/>
    <col min="11275" max="11275" width="6.88671875" style="2" customWidth="1"/>
    <col min="11276" max="11280" width="9.109375" style="2" customWidth="1"/>
    <col min="11281" max="11523" width="9.109375" style="2"/>
    <col min="11524" max="11524" width="4.44140625" style="2" customWidth="1"/>
    <col min="11525" max="11525" width="4.33203125" style="2" customWidth="1"/>
    <col min="11526" max="11526" width="45.6640625" style="2" customWidth="1"/>
    <col min="11527" max="11527" width="10.109375" style="2" customWidth="1"/>
    <col min="11528" max="11528" width="8.109375" style="2" customWidth="1"/>
    <col min="11529" max="11529" width="8" style="2" customWidth="1"/>
    <col min="11530" max="11530" width="8.88671875" style="2" customWidth="1"/>
    <col min="11531" max="11531" width="6.88671875" style="2" customWidth="1"/>
    <col min="11532" max="11536" width="9.109375" style="2" customWidth="1"/>
    <col min="11537" max="11779" width="9.109375" style="2"/>
    <col min="11780" max="11780" width="4.44140625" style="2" customWidth="1"/>
    <col min="11781" max="11781" width="4.33203125" style="2" customWidth="1"/>
    <col min="11782" max="11782" width="45.6640625" style="2" customWidth="1"/>
    <col min="11783" max="11783" width="10.109375" style="2" customWidth="1"/>
    <col min="11784" max="11784" width="8.109375" style="2" customWidth="1"/>
    <col min="11785" max="11785" width="8" style="2" customWidth="1"/>
    <col min="11786" max="11786" width="8.88671875" style="2" customWidth="1"/>
    <col min="11787" max="11787" width="6.88671875" style="2" customWidth="1"/>
    <col min="11788" max="11792" width="9.109375" style="2" customWidth="1"/>
    <col min="11793" max="12035" width="9.109375" style="2"/>
    <col min="12036" max="12036" width="4.44140625" style="2" customWidth="1"/>
    <col min="12037" max="12037" width="4.33203125" style="2" customWidth="1"/>
    <col min="12038" max="12038" width="45.6640625" style="2" customWidth="1"/>
    <col min="12039" max="12039" width="10.109375" style="2" customWidth="1"/>
    <col min="12040" max="12040" width="8.109375" style="2" customWidth="1"/>
    <col min="12041" max="12041" width="8" style="2" customWidth="1"/>
    <col min="12042" max="12042" width="8.88671875" style="2" customWidth="1"/>
    <col min="12043" max="12043" width="6.88671875" style="2" customWidth="1"/>
    <col min="12044" max="12048" width="9.109375" style="2" customWidth="1"/>
    <col min="12049" max="12291" width="9.109375" style="2"/>
    <col min="12292" max="12292" width="4.44140625" style="2" customWidth="1"/>
    <col min="12293" max="12293" width="4.33203125" style="2" customWidth="1"/>
    <col min="12294" max="12294" width="45.6640625" style="2" customWidth="1"/>
    <col min="12295" max="12295" width="10.109375" style="2" customWidth="1"/>
    <col min="12296" max="12296" width="8.109375" style="2" customWidth="1"/>
    <col min="12297" max="12297" width="8" style="2" customWidth="1"/>
    <col min="12298" max="12298" width="8.88671875" style="2" customWidth="1"/>
    <col min="12299" max="12299" width="6.88671875" style="2" customWidth="1"/>
    <col min="12300" max="12304" width="9.109375" style="2" customWidth="1"/>
    <col min="12305" max="12547" width="9.109375" style="2"/>
    <col min="12548" max="12548" width="4.44140625" style="2" customWidth="1"/>
    <col min="12549" max="12549" width="4.33203125" style="2" customWidth="1"/>
    <col min="12550" max="12550" width="45.6640625" style="2" customWidth="1"/>
    <col min="12551" max="12551" width="10.109375" style="2" customWidth="1"/>
    <col min="12552" max="12552" width="8.109375" style="2" customWidth="1"/>
    <col min="12553" max="12553" width="8" style="2" customWidth="1"/>
    <col min="12554" max="12554" width="8.88671875" style="2" customWidth="1"/>
    <col min="12555" max="12555" width="6.88671875" style="2" customWidth="1"/>
    <col min="12556" max="12560" width="9.109375" style="2" customWidth="1"/>
    <col min="12561" max="12803" width="9.109375" style="2"/>
    <col min="12804" max="12804" width="4.44140625" style="2" customWidth="1"/>
    <col min="12805" max="12805" width="4.33203125" style="2" customWidth="1"/>
    <col min="12806" max="12806" width="45.6640625" style="2" customWidth="1"/>
    <col min="12807" max="12807" width="10.109375" style="2" customWidth="1"/>
    <col min="12808" max="12808" width="8.109375" style="2" customWidth="1"/>
    <col min="12809" max="12809" width="8" style="2" customWidth="1"/>
    <col min="12810" max="12810" width="8.88671875" style="2" customWidth="1"/>
    <col min="12811" max="12811" width="6.88671875" style="2" customWidth="1"/>
    <col min="12812" max="12816" width="9.109375" style="2" customWidth="1"/>
    <col min="12817" max="13059" width="9.109375" style="2"/>
    <col min="13060" max="13060" width="4.44140625" style="2" customWidth="1"/>
    <col min="13061" max="13061" width="4.33203125" style="2" customWidth="1"/>
    <col min="13062" max="13062" width="45.6640625" style="2" customWidth="1"/>
    <col min="13063" max="13063" width="10.109375" style="2" customWidth="1"/>
    <col min="13064" max="13064" width="8.109375" style="2" customWidth="1"/>
    <col min="13065" max="13065" width="8" style="2" customWidth="1"/>
    <col min="13066" max="13066" width="8.88671875" style="2" customWidth="1"/>
    <col min="13067" max="13067" width="6.88671875" style="2" customWidth="1"/>
    <col min="13068" max="13072" width="9.109375" style="2" customWidth="1"/>
    <col min="13073" max="13315" width="9.109375" style="2"/>
    <col min="13316" max="13316" width="4.44140625" style="2" customWidth="1"/>
    <col min="13317" max="13317" width="4.33203125" style="2" customWidth="1"/>
    <col min="13318" max="13318" width="45.6640625" style="2" customWidth="1"/>
    <col min="13319" max="13319" width="10.109375" style="2" customWidth="1"/>
    <col min="13320" max="13320" width="8.109375" style="2" customWidth="1"/>
    <col min="13321" max="13321" width="8" style="2" customWidth="1"/>
    <col min="13322" max="13322" width="8.88671875" style="2" customWidth="1"/>
    <col min="13323" max="13323" width="6.88671875" style="2" customWidth="1"/>
    <col min="13324" max="13328" width="9.109375" style="2" customWidth="1"/>
    <col min="13329" max="13571" width="9.109375" style="2"/>
    <col min="13572" max="13572" width="4.44140625" style="2" customWidth="1"/>
    <col min="13573" max="13573" width="4.33203125" style="2" customWidth="1"/>
    <col min="13574" max="13574" width="45.6640625" style="2" customWidth="1"/>
    <col min="13575" max="13575" width="10.109375" style="2" customWidth="1"/>
    <col min="13576" max="13576" width="8.109375" style="2" customWidth="1"/>
    <col min="13577" max="13577" width="8" style="2" customWidth="1"/>
    <col min="13578" max="13578" width="8.88671875" style="2" customWidth="1"/>
    <col min="13579" max="13579" width="6.88671875" style="2" customWidth="1"/>
    <col min="13580" max="13584" width="9.109375" style="2" customWidth="1"/>
    <col min="13585" max="13827" width="9.109375" style="2"/>
    <col min="13828" max="13828" width="4.44140625" style="2" customWidth="1"/>
    <col min="13829" max="13829" width="4.33203125" style="2" customWidth="1"/>
    <col min="13830" max="13830" width="45.6640625" style="2" customWidth="1"/>
    <col min="13831" max="13831" width="10.109375" style="2" customWidth="1"/>
    <col min="13832" max="13832" width="8.109375" style="2" customWidth="1"/>
    <col min="13833" max="13833" width="8" style="2" customWidth="1"/>
    <col min="13834" max="13834" width="8.88671875" style="2" customWidth="1"/>
    <col min="13835" max="13835" width="6.88671875" style="2" customWidth="1"/>
    <col min="13836" max="13840" width="9.109375" style="2" customWidth="1"/>
    <col min="13841" max="14083" width="9.109375" style="2"/>
    <col min="14084" max="14084" width="4.44140625" style="2" customWidth="1"/>
    <col min="14085" max="14085" width="4.33203125" style="2" customWidth="1"/>
    <col min="14086" max="14086" width="45.6640625" style="2" customWidth="1"/>
    <col min="14087" max="14087" width="10.109375" style="2" customWidth="1"/>
    <col min="14088" max="14088" width="8.109375" style="2" customWidth="1"/>
    <col min="14089" max="14089" width="8" style="2" customWidth="1"/>
    <col min="14090" max="14090" width="8.88671875" style="2" customWidth="1"/>
    <col min="14091" max="14091" width="6.88671875" style="2" customWidth="1"/>
    <col min="14092" max="14096" width="9.109375" style="2" customWidth="1"/>
    <col min="14097" max="14339" width="9.109375" style="2"/>
    <col min="14340" max="14340" width="4.44140625" style="2" customWidth="1"/>
    <col min="14341" max="14341" width="4.33203125" style="2" customWidth="1"/>
    <col min="14342" max="14342" width="45.6640625" style="2" customWidth="1"/>
    <col min="14343" max="14343" width="10.109375" style="2" customWidth="1"/>
    <col min="14344" max="14344" width="8.109375" style="2" customWidth="1"/>
    <col min="14345" max="14345" width="8" style="2" customWidth="1"/>
    <col min="14346" max="14346" width="8.88671875" style="2" customWidth="1"/>
    <col min="14347" max="14347" width="6.88671875" style="2" customWidth="1"/>
    <col min="14348" max="14352" width="9.109375" style="2" customWidth="1"/>
    <col min="14353" max="14595" width="9.109375" style="2"/>
    <col min="14596" max="14596" width="4.44140625" style="2" customWidth="1"/>
    <col min="14597" max="14597" width="4.33203125" style="2" customWidth="1"/>
    <col min="14598" max="14598" width="45.6640625" style="2" customWidth="1"/>
    <col min="14599" max="14599" width="10.109375" style="2" customWidth="1"/>
    <col min="14600" max="14600" width="8.109375" style="2" customWidth="1"/>
    <col min="14601" max="14601" width="8" style="2" customWidth="1"/>
    <col min="14602" max="14602" width="8.88671875" style="2" customWidth="1"/>
    <col min="14603" max="14603" width="6.88671875" style="2" customWidth="1"/>
    <col min="14604" max="14608" width="9.109375" style="2" customWidth="1"/>
    <col min="14609" max="14851" width="9.109375" style="2"/>
    <col min="14852" max="14852" width="4.44140625" style="2" customWidth="1"/>
    <col min="14853" max="14853" width="4.33203125" style="2" customWidth="1"/>
    <col min="14854" max="14854" width="45.6640625" style="2" customWidth="1"/>
    <col min="14855" max="14855" width="10.109375" style="2" customWidth="1"/>
    <col min="14856" max="14856" width="8.109375" style="2" customWidth="1"/>
    <col min="14857" max="14857" width="8" style="2" customWidth="1"/>
    <col min="14858" max="14858" width="8.88671875" style="2" customWidth="1"/>
    <col min="14859" max="14859" width="6.88671875" style="2" customWidth="1"/>
    <col min="14860" max="14864" width="9.109375" style="2" customWidth="1"/>
    <col min="14865" max="15107" width="9.109375" style="2"/>
    <col min="15108" max="15108" width="4.44140625" style="2" customWidth="1"/>
    <col min="15109" max="15109" width="4.33203125" style="2" customWidth="1"/>
    <col min="15110" max="15110" width="45.6640625" style="2" customWidth="1"/>
    <col min="15111" max="15111" width="10.109375" style="2" customWidth="1"/>
    <col min="15112" max="15112" width="8.109375" style="2" customWidth="1"/>
    <col min="15113" max="15113" width="8" style="2" customWidth="1"/>
    <col min="15114" max="15114" width="8.88671875" style="2" customWidth="1"/>
    <col min="15115" max="15115" width="6.88671875" style="2" customWidth="1"/>
    <col min="15116" max="15120" width="9.109375" style="2" customWidth="1"/>
    <col min="15121" max="15363" width="9.109375" style="2"/>
    <col min="15364" max="15364" width="4.44140625" style="2" customWidth="1"/>
    <col min="15365" max="15365" width="4.33203125" style="2" customWidth="1"/>
    <col min="15366" max="15366" width="45.6640625" style="2" customWidth="1"/>
    <col min="15367" max="15367" width="10.109375" style="2" customWidth="1"/>
    <col min="15368" max="15368" width="8.109375" style="2" customWidth="1"/>
    <col min="15369" max="15369" width="8" style="2" customWidth="1"/>
    <col min="15370" max="15370" width="8.88671875" style="2" customWidth="1"/>
    <col min="15371" max="15371" width="6.88671875" style="2" customWidth="1"/>
    <col min="15372" max="15376" width="9.109375" style="2" customWidth="1"/>
    <col min="15377" max="15619" width="9.109375" style="2"/>
    <col min="15620" max="15620" width="4.44140625" style="2" customWidth="1"/>
    <col min="15621" max="15621" width="4.33203125" style="2" customWidth="1"/>
    <col min="15622" max="15622" width="45.6640625" style="2" customWidth="1"/>
    <col min="15623" max="15623" width="10.109375" style="2" customWidth="1"/>
    <col min="15624" max="15624" width="8.109375" style="2" customWidth="1"/>
    <col min="15625" max="15625" width="8" style="2" customWidth="1"/>
    <col min="15626" max="15626" width="8.88671875" style="2" customWidth="1"/>
    <col min="15627" max="15627" width="6.88671875" style="2" customWidth="1"/>
    <col min="15628" max="15632" width="9.109375" style="2" customWidth="1"/>
    <col min="15633" max="15875" width="9.109375" style="2"/>
    <col min="15876" max="15876" width="4.44140625" style="2" customWidth="1"/>
    <col min="15877" max="15877" width="4.33203125" style="2" customWidth="1"/>
    <col min="15878" max="15878" width="45.6640625" style="2" customWidth="1"/>
    <col min="15879" max="15879" width="10.109375" style="2" customWidth="1"/>
    <col min="15880" max="15880" width="8.109375" style="2" customWidth="1"/>
    <col min="15881" max="15881" width="8" style="2" customWidth="1"/>
    <col min="15882" max="15882" width="8.88671875" style="2" customWidth="1"/>
    <col min="15883" max="15883" width="6.88671875" style="2" customWidth="1"/>
    <col min="15884" max="15888" width="9.109375" style="2" customWidth="1"/>
    <col min="15889" max="16131" width="9.109375" style="2"/>
    <col min="16132" max="16132" width="4.44140625" style="2" customWidth="1"/>
    <col min="16133" max="16133" width="4.33203125" style="2" customWidth="1"/>
    <col min="16134" max="16134" width="45.6640625" style="2" customWidth="1"/>
    <col min="16135" max="16135" width="10.109375" style="2" customWidth="1"/>
    <col min="16136" max="16136" width="8.109375" style="2" customWidth="1"/>
    <col min="16137" max="16137" width="8" style="2" customWidth="1"/>
    <col min="16138" max="16138" width="8.88671875" style="2" customWidth="1"/>
    <col min="16139" max="16139" width="6.88671875" style="2" customWidth="1"/>
    <col min="16140" max="16144" width="9.109375" style="2" customWidth="1"/>
    <col min="16145" max="16384" width="9.109375" style="2"/>
  </cols>
  <sheetData>
    <row r="1" spans="1:20" ht="15.75" customHeight="1" x14ac:dyDescent="0.3">
      <c r="C1" s="306" t="s">
        <v>794</v>
      </c>
      <c r="D1" s="306"/>
      <c r="E1" s="306"/>
      <c r="F1" s="306"/>
      <c r="G1" s="306"/>
      <c r="H1" s="306"/>
      <c r="I1" s="306"/>
      <c r="J1" s="306"/>
      <c r="K1" s="306"/>
      <c r="L1" s="306"/>
      <c r="M1" s="278"/>
      <c r="N1" s="278"/>
      <c r="O1" s="278"/>
      <c r="P1" s="278"/>
      <c r="Q1" s="278"/>
    </row>
    <row r="2" spans="1:20" ht="15.75" customHeight="1" x14ac:dyDescent="0.3">
      <c r="C2" s="306" t="s">
        <v>795</v>
      </c>
      <c r="D2" s="306"/>
      <c r="E2" s="306"/>
      <c r="F2" s="306"/>
      <c r="G2" s="306"/>
      <c r="H2" s="306"/>
      <c r="I2" s="306"/>
      <c r="J2" s="306"/>
      <c r="K2" s="306"/>
      <c r="L2" s="306"/>
      <c r="M2" s="278"/>
      <c r="N2" s="278"/>
      <c r="O2" s="278"/>
      <c r="P2" s="278"/>
      <c r="Q2" s="278"/>
    </row>
    <row r="3" spans="1:20" ht="15.6" x14ac:dyDescent="0.25">
      <c r="E3" s="5"/>
      <c r="F3" s="5"/>
      <c r="G3" s="5"/>
      <c r="H3" s="5"/>
      <c r="I3" s="307" t="s">
        <v>793</v>
      </c>
      <c r="J3" s="307"/>
      <c r="K3" s="307"/>
      <c r="L3" s="307"/>
    </row>
    <row r="4" spans="1:20" ht="15.6" x14ac:dyDescent="0.25">
      <c r="E4" s="5"/>
      <c r="F4" s="5"/>
      <c r="G4" s="5"/>
      <c r="H4" s="5"/>
      <c r="I4" s="5"/>
      <c r="J4" s="5"/>
      <c r="K4" s="5"/>
    </row>
    <row r="5" spans="1:20" ht="18" customHeight="1" x14ac:dyDescent="0.25">
      <c r="B5" s="321" t="s">
        <v>486</v>
      </c>
      <c r="C5" s="321"/>
      <c r="D5" s="321"/>
      <c r="E5" s="321"/>
      <c r="F5" s="321"/>
      <c r="G5" s="321"/>
      <c r="H5" s="321"/>
      <c r="I5" s="321"/>
      <c r="J5" s="321"/>
      <c r="K5" s="321"/>
    </row>
    <row r="6" spans="1:20" ht="18" customHeight="1" x14ac:dyDescent="0.25">
      <c r="K6" s="309" t="s">
        <v>1</v>
      </c>
      <c r="L6" s="309"/>
    </row>
    <row r="7" spans="1:20" ht="12.75" customHeight="1" x14ac:dyDescent="0.25">
      <c r="A7" s="297" t="s">
        <v>466</v>
      </c>
      <c r="B7" s="297" t="s">
        <v>467</v>
      </c>
      <c r="C7" s="297" t="s">
        <v>4</v>
      </c>
      <c r="D7" s="297" t="s">
        <v>5</v>
      </c>
      <c r="E7" s="314" t="s">
        <v>6</v>
      </c>
      <c r="F7" s="316"/>
      <c r="G7" s="310" t="s">
        <v>7</v>
      </c>
      <c r="H7" s="322"/>
      <c r="I7" s="322"/>
      <c r="J7" s="322"/>
      <c r="K7" s="322"/>
      <c r="L7" s="311"/>
    </row>
    <row r="8" spans="1:20" ht="12.75" customHeight="1" x14ac:dyDescent="0.25">
      <c r="A8" s="298"/>
      <c r="B8" s="298"/>
      <c r="C8" s="298"/>
      <c r="D8" s="298"/>
      <c r="E8" s="315"/>
      <c r="F8" s="317"/>
      <c r="G8" s="310" t="s">
        <v>8</v>
      </c>
      <c r="H8" s="322"/>
      <c r="I8" s="322"/>
      <c r="J8" s="311"/>
      <c r="K8" s="310" t="s">
        <v>9</v>
      </c>
      <c r="L8" s="311"/>
    </row>
    <row r="9" spans="1:20" ht="21" customHeight="1" x14ac:dyDescent="0.25">
      <c r="A9" s="298"/>
      <c r="B9" s="298"/>
      <c r="C9" s="298"/>
      <c r="D9" s="298"/>
      <c r="E9" s="297" t="s">
        <v>10</v>
      </c>
      <c r="F9" s="297" t="s">
        <v>11</v>
      </c>
      <c r="G9" s="310" t="s">
        <v>12</v>
      </c>
      <c r="H9" s="311"/>
      <c r="I9" s="312" t="s">
        <v>13</v>
      </c>
      <c r="J9" s="313"/>
      <c r="K9" s="297" t="s">
        <v>10</v>
      </c>
      <c r="L9" s="323" t="s">
        <v>11</v>
      </c>
    </row>
    <row r="10" spans="1:20" ht="19.95" customHeight="1" x14ac:dyDescent="0.25">
      <c r="A10" s="299"/>
      <c r="B10" s="299"/>
      <c r="C10" s="299"/>
      <c r="D10" s="299"/>
      <c r="E10" s="299"/>
      <c r="F10" s="299"/>
      <c r="G10" s="122" t="s">
        <v>10</v>
      </c>
      <c r="H10" s="123" t="s">
        <v>487</v>
      </c>
      <c r="I10" s="124" t="s">
        <v>10</v>
      </c>
      <c r="J10" s="124" t="s">
        <v>487</v>
      </c>
      <c r="K10" s="299"/>
      <c r="L10" s="324"/>
    </row>
    <row r="11" spans="1:20" x14ac:dyDescent="0.25">
      <c r="A11" s="7">
        <v>1</v>
      </c>
      <c r="B11" s="7">
        <v>2</v>
      </c>
      <c r="C11" s="124">
        <v>3</v>
      </c>
      <c r="D11" s="125">
        <v>4</v>
      </c>
      <c r="E11" s="7">
        <v>5</v>
      </c>
      <c r="F11" s="7">
        <v>6</v>
      </c>
      <c r="G11" s="7">
        <v>7</v>
      </c>
      <c r="H11" s="124">
        <v>8</v>
      </c>
      <c r="I11" s="124">
        <v>9</v>
      </c>
      <c r="J11" s="124">
        <v>10</v>
      </c>
      <c r="K11" s="7">
        <v>11</v>
      </c>
      <c r="L11" s="10">
        <v>12</v>
      </c>
    </row>
    <row r="12" spans="1:20" ht="20.100000000000001" customHeight="1" x14ac:dyDescent="0.25">
      <c r="A12" s="11">
        <v>1</v>
      </c>
      <c r="B12" s="231" t="s">
        <v>15</v>
      </c>
      <c r="C12" s="126" t="s">
        <v>16</v>
      </c>
      <c r="D12" s="98"/>
      <c r="E12" s="43">
        <f>+G12+K12</f>
        <v>743.19999999999993</v>
      </c>
      <c r="F12" s="43">
        <f>+H12+L12</f>
        <v>582.29999999999995</v>
      </c>
      <c r="G12" s="43">
        <f t="shared" ref="G12:L12" si="0">SUM(G13:G39)</f>
        <v>729.09999999999991</v>
      </c>
      <c r="H12" s="43">
        <f t="shared" si="0"/>
        <v>568.29999999999995</v>
      </c>
      <c r="I12" s="43">
        <f t="shared" si="0"/>
        <v>43.5</v>
      </c>
      <c r="J12" s="43">
        <f t="shared" si="0"/>
        <v>37.299999999999997</v>
      </c>
      <c r="K12" s="43">
        <f t="shared" si="0"/>
        <v>14.1</v>
      </c>
      <c r="L12" s="43">
        <f t="shared" si="0"/>
        <v>14</v>
      </c>
      <c r="M12" s="14"/>
      <c r="N12" s="14"/>
      <c r="O12" s="14"/>
      <c r="Q12" s="14"/>
      <c r="R12" s="14"/>
      <c r="S12" s="14"/>
      <c r="T12" s="14"/>
    </row>
    <row r="13" spans="1:20" ht="12.6" customHeight="1" x14ac:dyDescent="0.25">
      <c r="A13" s="11">
        <v>2</v>
      </c>
      <c r="B13" s="40"/>
      <c r="C13" s="101" t="s">
        <v>17</v>
      </c>
      <c r="D13" s="232" t="s">
        <v>20</v>
      </c>
      <c r="E13" s="18">
        <f>+G13+K13</f>
        <v>38</v>
      </c>
      <c r="F13" s="18">
        <f t="shared" ref="F13:F45" si="1">+H13+L13</f>
        <v>35.1</v>
      </c>
      <c r="G13" s="18">
        <f>48-10</f>
        <v>38</v>
      </c>
      <c r="H13" s="18">
        <v>35.1</v>
      </c>
      <c r="I13" s="18"/>
      <c r="J13" s="18"/>
      <c r="K13" s="18"/>
      <c r="L13" s="19"/>
      <c r="M13" s="14"/>
      <c r="N13" s="14"/>
      <c r="O13" s="14"/>
      <c r="Q13" s="14"/>
      <c r="R13" s="14"/>
      <c r="S13" s="14"/>
      <c r="T13" s="14"/>
    </row>
    <row r="14" spans="1:20" ht="12.6" customHeight="1" x14ac:dyDescent="0.25">
      <c r="A14" s="11">
        <v>3</v>
      </c>
      <c r="B14" s="40"/>
      <c r="C14" s="101" t="s">
        <v>19</v>
      </c>
      <c r="D14" s="232" t="s">
        <v>20</v>
      </c>
      <c r="E14" s="18">
        <f>+G14+K14</f>
        <v>50.8</v>
      </c>
      <c r="F14" s="18">
        <f t="shared" si="1"/>
        <v>37.6</v>
      </c>
      <c r="G14" s="18">
        <v>47.8</v>
      </c>
      <c r="H14" s="18">
        <v>34.6</v>
      </c>
      <c r="I14" s="18"/>
      <c r="J14" s="18"/>
      <c r="K14" s="18">
        <v>3</v>
      </c>
      <c r="L14" s="19">
        <v>3</v>
      </c>
      <c r="M14" s="14"/>
      <c r="N14" s="14"/>
      <c r="O14" s="14"/>
      <c r="Q14" s="14"/>
      <c r="R14" s="14"/>
      <c r="S14" s="14"/>
      <c r="T14" s="14"/>
    </row>
    <row r="15" spans="1:20" ht="12.6" customHeight="1" x14ac:dyDescent="0.25">
      <c r="A15" s="11">
        <v>4</v>
      </c>
      <c r="B15" s="40"/>
      <c r="C15" s="101" t="s">
        <v>21</v>
      </c>
      <c r="D15" s="232" t="s">
        <v>20</v>
      </c>
      <c r="E15" s="18">
        <f>+G15+K15</f>
        <v>52</v>
      </c>
      <c r="F15" s="18">
        <f t="shared" si="1"/>
        <v>41.8</v>
      </c>
      <c r="G15" s="18">
        <f>62-10</f>
        <v>52</v>
      </c>
      <c r="H15" s="18">
        <v>41.8</v>
      </c>
      <c r="I15" s="18"/>
      <c r="J15" s="18"/>
      <c r="K15" s="18"/>
      <c r="L15" s="19"/>
      <c r="M15" s="14"/>
      <c r="N15" s="14"/>
      <c r="O15" s="14"/>
      <c r="Q15" s="14"/>
      <c r="R15" s="14"/>
      <c r="S15" s="14"/>
      <c r="T15" s="14"/>
    </row>
    <row r="16" spans="1:20" ht="12.6" customHeight="1" x14ac:dyDescent="0.25">
      <c r="A16" s="11">
        <v>5</v>
      </c>
      <c r="B16" s="40"/>
      <c r="C16" s="101" t="s">
        <v>22</v>
      </c>
      <c r="D16" s="232" t="s">
        <v>20</v>
      </c>
      <c r="E16" s="18">
        <f>+G16+K16</f>
        <v>55</v>
      </c>
      <c r="F16" s="18">
        <f t="shared" si="1"/>
        <v>47.2</v>
      </c>
      <c r="G16" s="18">
        <f>59.1-4.1</f>
        <v>55</v>
      </c>
      <c r="H16" s="18">
        <v>47.2</v>
      </c>
      <c r="I16" s="18"/>
      <c r="J16" s="18"/>
      <c r="K16" s="18"/>
      <c r="L16" s="19"/>
      <c r="M16" s="14"/>
      <c r="N16" s="14"/>
      <c r="O16" s="14"/>
      <c r="Q16" s="14"/>
      <c r="R16" s="14"/>
      <c r="S16" s="14"/>
      <c r="T16" s="14"/>
    </row>
    <row r="17" spans="1:20" ht="12.6" customHeight="1" x14ac:dyDescent="0.25">
      <c r="A17" s="11">
        <v>6</v>
      </c>
      <c r="B17" s="40"/>
      <c r="C17" s="101" t="s">
        <v>23</v>
      </c>
      <c r="D17" s="232" t="s">
        <v>20</v>
      </c>
      <c r="E17" s="18">
        <f t="shared" ref="E17:E44" si="2">+G17+K17</f>
        <v>53</v>
      </c>
      <c r="F17" s="18">
        <f t="shared" si="1"/>
        <v>46.7</v>
      </c>
      <c r="G17" s="18">
        <f>68.3-15.3</f>
        <v>53</v>
      </c>
      <c r="H17" s="18">
        <v>46.7</v>
      </c>
      <c r="I17" s="18"/>
      <c r="J17" s="18"/>
      <c r="K17" s="18"/>
      <c r="L17" s="19"/>
      <c r="M17" s="14"/>
      <c r="N17" s="14"/>
      <c r="O17" s="14"/>
      <c r="Q17" s="14"/>
      <c r="R17" s="14"/>
      <c r="S17" s="14"/>
      <c r="T17" s="14"/>
    </row>
    <row r="18" spans="1:20" ht="12.6" customHeight="1" x14ac:dyDescent="0.25">
      <c r="A18" s="11">
        <v>7</v>
      </c>
      <c r="B18" s="40"/>
      <c r="C18" s="101" t="s">
        <v>24</v>
      </c>
      <c r="D18" s="232" t="s">
        <v>20</v>
      </c>
      <c r="E18" s="18">
        <f t="shared" si="2"/>
        <v>32.9</v>
      </c>
      <c r="F18" s="18">
        <f t="shared" si="1"/>
        <v>30</v>
      </c>
      <c r="G18" s="18">
        <v>32.9</v>
      </c>
      <c r="H18" s="18">
        <v>30</v>
      </c>
      <c r="I18" s="18"/>
      <c r="J18" s="18"/>
      <c r="K18" s="18"/>
      <c r="L18" s="19"/>
      <c r="M18" s="14"/>
      <c r="N18" s="14"/>
      <c r="O18" s="14"/>
      <c r="Q18" s="14"/>
      <c r="R18" s="14"/>
      <c r="S18" s="14"/>
      <c r="T18" s="14"/>
    </row>
    <row r="19" spans="1:20" ht="12.6" customHeight="1" x14ac:dyDescent="0.25">
      <c r="A19" s="11">
        <v>8</v>
      </c>
      <c r="B19" s="40"/>
      <c r="C19" s="101" t="s">
        <v>25</v>
      </c>
      <c r="D19" s="232" t="s">
        <v>20</v>
      </c>
      <c r="E19" s="18">
        <f t="shared" si="2"/>
        <v>58.1</v>
      </c>
      <c r="F19" s="18">
        <f t="shared" si="1"/>
        <v>34.1</v>
      </c>
      <c r="G19" s="18">
        <v>58.1</v>
      </c>
      <c r="H19" s="18">
        <v>34.1</v>
      </c>
      <c r="I19" s="18"/>
      <c r="J19" s="18"/>
      <c r="K19" s="18"/>
      <c r="L19" s="19"/>
      <c r="M19" s="14"/>
      <c r="N19" s="14"/>
      <c r="O19" s="14"/>
      <c r="Q19" s="14"/>
      <c r="R19" s="14"/>
      <c r="S19" s="14"/>
      <c r="T19" s="14"/>
    </row>
    <row r="20" spans="1:20" ht="12.6" customHeight="1" x14ac:dyDescent="0.25">
      <c r="A20" s="11">
        <v>9</v>
      </c>
      <c r="B20" s="40"/>
      <c r="C20" s="20" t="s">
        <v>26</v>
      </c>
      <c r="D20" s="232" t="s">
        <v>27</v>
      </c>
      <c r="E20" s="18">
        <f t="shared" si="2"/>
        <v>44.1</v>
      </c>
      <c r="F20" s="18">
        <f t="shared" si="1"/>
        <v>26</v>
      </c>
      <c r="G20" s="18">
        <v>44.1</v>
      </c>
      <c r="H20" s="18">
        <v>26</v>
      </c>
      <c r="I20" s="18"/>
      <c r="J20" s="18"/>
      <c r="K20" s="18"/>
      <c r="L20" s="19"/>
      <c r="M20" s="14"/>
      <c r="N20" s="14"/>
      <c r="O20" s="14"/>
      <c r="Q20" s="14"/>
      <c r="R20" s="14"/>
      <c r="S20" s="14"/>
      <c r="T20" s="14"/>
    </row>
    <row r="21" spans="1:20" ht="12.6" customHeight="1" x14ac:dyDescent="0.25">
      <c r="A21" s="11">
        <v>10</v>
      </c>
      <c r="B21" s="40"/>
      <c r="C21" s="101" t="s">
        <v>30</v>
      </c>
      <c r="D21" s="40" t="s">
        <v>49</v>
      </c>
      <c r="E21" s="18">
        <f t="shared" si="2"/>
        <v>6.1999999999999993</v>
      </c>
      <c r="F21" s="18">
        <f t="shared" si="1"/>
        <v>6</v>
      </c>
      <c r="G21" s="18">
        <f>9.2-3</f>
        <v>6.1999999999999993</v>
      </c>
      <c r="H21" s="18">
        <v>6</v>
      </c>
      <c r="I21" s="18"/>
      <c r="J21" s="18"/>
      <c r="K21" s="18"/>
      <c r="L21" s="19"/>
      <c r="M21" s="14"/>
      <c r="N21" s="14"/>
      <c r="O21" s="14"/>
      <c r="Q21" s="14"/>
      <c r="R21" s="14"/>
      <c r="S21" s="14"/>
      <c r="T21" s="14"/>
    </row>
    <row r="22" spans="1:20" ht="12.6" customHeight="1" x14ac:dyDescent="0.25">
      <c r="A22" s="11">
        <v>11</v>
      </c>
      <c r="B22" s="40"/>
      <c r="C22" s="103" t="s">
        <v>32</v>
      </c>
      <c r="D22" s="232" t="s">
        <v>29</v>
      </c>
      <c r="E22" s="18">
        <f>+G22+K22</f>
        <v>22</v>
      </c>
      <c r="F22" s="18">
        <f t="shared" si="1"/>
        <v>21.1</v>
      </c>
      <c r="G22" s="41">
        <f>25.3-3.3</f>
        <v>22</v>
      </c>
      <c r="H22" s="41">
        <v>21.1</v>
      </c>
      <c r="I22" s="41"/>
      <c r="J22" s="41"/>
      <c r="K22" s="41"/>
      <c r="L22" s="19"/>
      <c r="M22" s="14"/>
      <c r="N22" s="14"/>
      <c r="O22" s="14"/>
      <c r="Q22" s="14"/>
      <c r="R22" s="14"/>
      <c r="S22" s="14"/>
      <c r="T22" s="14"/>
    </row>
    <row r="23" spans="1:20" ht="12.6" customHeight="1" x14ac:dyDescent="0.25">
      <c r="A23" s="11">
        <v>12</v>
      </c>
      <c r="B23" s="40"/>
      <c r="C23" s="103" t="s">
        <v>33</v>
      </c>
      <c r="D23" s="232" t="s">
        <v>29</v>
      </c>
      <c r="E23" s="18">
        <f>+G23+K23</f>
        <v>1</v>
      </c>
      <c r="F23" s="18">
        <f t="shared" si="1"/>
        <v>0.7</v>
      </c>
      <c r="G23" s="41">
        <f>1.5-0.5</f>
        <v>1</v>
      </c>
      <c r="H23" s="41">
        <v>0.7</v>
      </c>
      <c r="I23" s="41"/>
      <c r="J23" s="41"/>
      <c r="K23" s="41"/>
      <c r="L23" s="19"/>
      <c r="M23" s="14"/>
      <c r="N23" s="14"/>
      <c r="O23" s="14"/>
      <c r="Q23" s="14"/>
      <c r="R23" s="14"/>
      <c r="S23" s="14"/>
      <c r="T23" s="14"/>
    </row>
    <row r="24" spans="1:20" ht="12.6" customHeight="1" x14ac:dyDescent="0.25">
      <c r="A24" s="11">
        <v>13</v>
      </c>
      <c r="B24" s="40"/>
      <c r="C24" s="103" t="s">
        <v>34</v>
      </c>
      <c r="D24" s="232" t="s">
        <v>29</v>
      </c>
      <c r="E24" s="18">
        <f>+G24+K24</f>
        <v>11.399999999999999</v>
      </c>
      <c r="F24" s="18">
        <f t="shared" si="1"/>
        <v>7.2</v>
      </c>
      <c r="G24" s="41">
        <f>14.7-3.3</f>
        <v>11.399999999999999</v>
      </c>
      <c r="H24" s="41">
        <v>7.2</v>
      </c>
      <c r="I24" s="41"/>
      <c r="J24" s="41"/>
      <c r="K24" s="41"/>
      <c r="L24" s="19"/>
      <c r="M24" s="14"/>
      <c r="N24" s="14"/>
      <c r="O24" s="14"/>
      <c r="Q24" s="14"/>
      <c r="R24" s="14"/>
      <c r="S24" s="14"/>
      <c r="T24" s="14"/>
    </row>
    <row r="25" spans="1:20" ht="12.6" customHeight="1" x14ac:dyDescent="0.25">
      <c r="A25" s="11">
        <v>14</v>
      </c>
      <c r="B25" s="40"/>
      <c r="C25" s="101" t="s">
        <v>35</v>
      </c>
      <c r="D25" s="232" t="s">
        <v>29</v>
      </c>
      <c r="E25" s="18">
        <f>+G25+K25</f>
        <v>2.2999999999999998</v>
      </c>
      <c r="F25" s="18">
        <f t="shared" si="1"/>
        <v>0.3</v>
      </c>
      <c r="G25" s="18">
        <f>3.3-1</f>
        <v>2.2999999999999998</v>
      </c>
      <c r="H25" s="18">
        <v>0.3</v>
      </c>
      <c r="I25" s="18"/>
      <c r="J25" s="18"/>
      <c r="K25" s="18"/>
      <c r="L25" s="19"/>
      <c r="M25" s="14"/>
      <c r="N25" s="14"/>
      <c r="O25" s="14"/>
      <c r="Q25" s="14"/>
      <c r="R25" s="14"/>
      <c r="S25" s="14"/>
      <c r="T25" s="14"/>
    </row>
    <row r="26" spans="1:20" ht="27" customHeight="1" x14ac:dyDescent="0.25">
      <c r="A26" s="11">
        <v>15</v>
      </c>
      <c r="B26" s="40"/>
      <c r="C26" s="103" t="s">
        <v>36</v>
      </c>
      <c r="D26" s="233" t="s">
        <v>469</v>
      </c>
      <c r="E26" s="18">
        <f t="shared" si="2"/>
        <v>3.4000000000000004</v>
      </c>
      <c r="F26" s="18">
        <f t="shared" si="1"/>
        <v>2.4</v>
      </c>
      <c r="G26" s="18">
        <f>4.9-1.5</f>
        <v>3.4000000000000004</v>
      </c>
      <c r="H26" s="18">
        <v>2.4</v>
      </c>
      <c r="I26" s="18"/>
      <c r="J26" s="18"/>
      <c r="K26" s="18"/>
      <c r="L26" s="19"/>
      <c r="M26" s="14"/>
      <c r="N26" s="14"/>
      <c r="O26" s="14"/>
      <c r="Q26" s="14"/>
      <c r="R26" s="14"/>
      <c r="S26" s="14"/>
      <c r="T26" s="14"/>
    </row>
    <row r="27" spans="1:20" ht="12.6" customHeight="1" x14ac:dyDescent="0.25">
      <c r="A27" s="11">
        <v>16</v>
      </c>
      <c r="B27" s="40"/>
      <c r="C27" s="101" t="s">
        <v>38</v>
      </c>
      <c r="D27" s="233" t="s">
        <v>469</v>
      </c>
      <c r="E27" s="18">
        <f t="shared" si="2"/>
        <v>1.5</v>
      </c>
      <c r="F27" s="18">
        <f t="shared" si="1"/>
        <v>1</v>
      </c>
      <c r="G27" s="18">
        <f>3.5-2</f>
        <v>1.5</v>
      </c>
      <c r="H27" s="18">
        <v>1</v>
      </c>
      <c r="I27" s="18"/>
      <c r="J27" s="18"/>
      <c r="K27" s="18"/>
      <c r="L27" s="19"/>
      <c r="M27" s="14"/>
      <c r="N27" s="14"/>
      <c r="O27" s="14"/>
      <c r="Q27" s="14"/>
      <c r="R27" s="14"/>
      <c r="S27" s="14"/>
      <c r="T27" s="14"/>
    </row>
    <row r="28" spans="1:20" ht="12.6" customHeight="1" x14ac:dyDescent="0.25">
      <c r="A28" s="11">
        <v>17</v>
      </c>
      <c r="B28" s="40"/>
      <c r="C28" s="103" t="s">
        <v>39</v>
      </c>
      <c r="D28" s="232" t="s">
        <v>37</v>
      </c>
      <c r="E28" s="18">
        <f t="shared" si="2"/>
        <v>3.9000000000000004</v>
      </c>
      <c r="F28" s="18">
        <f t="shared" si="1"/>
        <v>3.4</v>
      </c>
      <c r="G28" s="18">
        <f>6.4-2.5</f>
        <v>3.9000000000000004</v>
      </c>
      <c r="H28" s="18">
        <v>3.4</v>
      </c>
      <c r="I28" s="18"/>
      <c r="J28" s="18"/>
      <c r="K28" s="18"/>
      <c r="L28" s="19"/>
      <c r="M28" s="14"/>
      <c r="N28" s="14"/>
      <c r="O28" s="14"/>
      <c r="Q28" s="14"/>
      <c r="R28" s="14"/>
      <c r="S28" s="14"/>
      <c r="T28" s="14"/>
    </row>
    <row r="29" spans="1:20" ht="12.6" customHeight="1" x14ac:dyDescent="0.25">
      <c r="A29" s="11">
        <v>18</v>
      </c>
      <c r="B29" s="40"/>
      <c r="C29" s="103" t="s">
        <v>40</v>
      </c>
      <c r="D29" s="232" t="s">
        <v>37</v>
      </c>
      <c r="E29" s="18">
        <f t="shared" si="2"/>
        <v>0.59999999999999987</v>
      </c>
      <c r="F29" s="18">
        <f t="shared" si="1"/>
        <v>0.3</v>
      </c>
      <c r="G29" s="18">
        <f>1.9-1.3</f>
        <v>0.59999999999999987</v>
      </c>
      <c r="H29" s="18">
        <v>0.3</v>
      </c>
      <c r="I29" s="18"/>
      <c r="J29" s="18"/>
      <c r="K29" s="18"/>
      <c r="L29" s="19"/>
      <c r="M29" s="14"/>
      <c r="N29" s="14"/>
      <c r="O29" s="14"/>
      <c r="Q29" s="14"/>
      <c r="R29" s="14"/>
      <c r="S29" s="14"/>
      <c r="T29" s="14"/>
    </row>
    <row r="30" spans="1:20" ht="12.6" customHeight="1" x14ac:dyDescent="0.25">
      <c r="A30" s="11">
        <v>19</v>
      </c>
      <c r="B30" s="40"/>
      <c r="C30" s="127" t="s">
        <v>41</v>
      </c>
      <c r="D30" s="40" t="s">
        <v>37</v>
      </c>
      <c r="E30" s="18">
        <f t="shared" si="2"/>
        <v>39.200000000000003</v>
      </c>
      <c r="F30" s="18">
        <f t="shared" si="1"/>
        <v>35.799999999999997</v>
      </c>
      <c r="G30" s="41">
        <f>47.2-8</f>
        <v>39.200000000000003</v>
      </c>
      <c r="H30" s="41">
        <v>35.799999999999997</v>
      </c>
      <c r="I30" s="41"/>
      <c r="J30" s="41"/>
      <c r="K30" s="41"/>
      <c r="L30" s="19"/>
      <c r="M30" s="14"/>
      <c r="N30" s="14"/>
      <c r="O30" s="14"/>
      <c r="Q30" s="14"/>
      <c r="R30" s="14"/>
      <c r="S30" s="14"/>
      <c r="T30" s="14"/>
    </row>
    <row r="31" spans="1:20" ht="12.6" customHeight="1" x14ac:dyDescent="0.25">
      <c r="A31" s="11">
        <v>20</v>
      </c>
      <c r="B31" s="40"/>
      <c r="C31" s="20" t="s">
        <v>43</v>
      </c>
      <c r="D31" s="232" t="s">
        <v>37</v>
      </c>
      <c r="E31" s="18">
        <f t="shared" si="2"/>
        <v>1</v>
      </c>
      <c r="F31" s="18">
        <f t="shared" si="1"/>
        <v>0.6</v>
      </c>
      <c r="G31" s="41">
        <f>1.5-0.5</f>
        <v>1</v>
      </c>
      <c r="H31" s="41">
        <v>0.6</v>
      </c>
      <c r="I31" s="41"/>
      <c r="J31" s="41"/>
      <c r="K31" s="41"/>
      <c r="L31" s="19"/>
      <c r="M31" s="14"/>
      <c r="N31" s="14"/>
      <c r="O31" s="14"/>
      <c r="Q31" s="14"/>
      <c r="R31" s="14"/>
      <c r="S31" s="14"/>
      <c r="T31" s="14"/>
    </row>
    <row r="32" spans="1:20" ht="12.6" customHeight="1" x14ac:dyDescent="0.25">
      <c r="A32" s="11">
        <v>21</v>
      </c>
      <c r="B32" s="40"/>
      <c r="C32" s="103" t="s">
        <v>45</v>
      </c>
      <c r="D32" s="40" t="s">
        <v>49</v>
      </c>
      <c r="E32" s="18">
        <f t="shared" si="2"/>
        <v>37</v>
      </c>
      <c r="F32" s="18">
        <f t="shared" si="1"/>
        <v>21.7</v>
      </c>
      <c r="G32" s="41">
        <v>37</v>
      </c>
      <c r="H32" s="41">
        <v>21.7</v>
      </c>
      <c r="I32" s="41">
        <f>12.1+0.9</f>
        <v>13</v>
      </c>
      <c r="J32" s="41">
        <v>7.8</v>
      </c>
      <c r="K32" s="41"/>
      <c r="L32" s="19"/>
      <c r="M32" s="14"/>
      <c r="N32" s="14"/>
      <c r="O32" s="14"/>
      <c r="Q32" s="14"/>
      <c r="R32" s="14"/>
      <c r="S32" s="14"/>
      <c r="T32" s="14"/>
    </row>
    <row r="33" spans="1:20" ht="12.6" customHeight="1" x14ac:dyDescent="0.25">
      <c r="A33" s="11">
        <v>22</v>
      </c>
      <c r="B33" s="40"/>
      <c r="C33" s="101" t="s">
        <v>47</v>
      </c>
      <c r="D33" s="232" t="s">
        <v>37</v>
      </c>
      <c r="E33" s="18">
        <f t="shared" si="2"/>
        <v>5</v>
      </c>
      <c r="F33" s="18">
        <f t="shared" si="1"/>
        <v>3.3</v>
      </c>
      <c r="G33" s="41">
        <v>5</v>
      </c>
      <c r="H33" s="41">
        <v>3.3</v>
      </c>
      <c r="I33" s="41"/>
      <c r="J33" s="41"/>
      <c r="K33" s="41"/>
      <c r="L33" s="19"/>
      <c r="M33" s="14"/>
      <c r="N33" s="14"/>
      <c r="O33" s="14"/>
      <c r="Q33" s="14"/>
      <c r="R33" s="14"/>
      <c r="S33" s="14"/>
      <c r="T33" s="14"/>
    </row>
    <row r="34" spans="1:20" ht="12.6" customHeight="1" x14ac:dyDescent="0.25">
      <c r="A34" s="11">
        <v>23</v>
      </c>
      <c r="B34" s="40"/>
      <c r="C34" s="128" t="s">
        <v>48</v>
      </c>
      <c r="D34" s="40" t="s">
        <v>49</v>
      </c>
      <c r="E34" s="18">
        <f t="shared" si="2"/>
        <v>55.5</v>
      </c>
      <c r="F34" s="18">
        <f t="shared" si="1"/>
        <v>31.299999999999997</v>
      </c>
      <c r="G34" s="41">
        <f>51.5-3.6</f>
        <v>47.9</v>
      </c>
      <c r="H34" s="41">
        <v>23.7</v>
      </c>
      <c r="I34" s="41">
        <v>3.9</v>
      </c>
      <c r="J34" s="41">
        <v>3.8</v>
      </c>
      <c r="K34" s="41">
        <f>4+3.6</f>
        <v>7.6</v>
      </c>
      <c r="L34" s="19">
        <v>7.6</v>
      </c>
      <c r="M34" s="14"/>
      <c r="N34" s="14"/>
      <c r="O34" s="14"/>
      <c r="Q34" s="14"/>
      <c r="R34" s="14"/>
      <c r="S34" s="14"/>
      <c r="T34" s="14"/>
    </row>
    <row r="35" spans="1:20" ht="12.6" customHeight="1" x14ac:dyDescent="0.25">
      <c r="A35" s="11">
        <v>24</v>
      </c>
      <c r="B35" s="40"/>
      <c r="C35" s="128" t="s">
        <v>51</v>
      </c>
      <c r="D35" s="40" t="s">
        <v>49</v>
      </c>
      <c r="E35" s="18">
        <f t="shared" si="2"/>
        <v>73.400000000000006</v>
      </c>
      <c r="F35" s="18">
        <f t="shared" si="1"/>
        <v>68.2</v>
      </c>
      <c r="G35" s="41">
        <v>71.400000000000006</v>
      </c>
      <c r="H35" s="41">
        <v>66.2</v>
      </c>
      <c r="I35" s="41"/>
      <c r="J35" s="41"/>
      <c r="K35" s="41">
        <v>2</v>
      </c>
      <c r="L35" s="19">
        <v>2</v>
      </c>
      <c r="M35" s="14"/>
      <c r="N35" s="14"/>
      <c r="O35" s="14"/>
      <c r="Q35" s="14"/>
      <c r="R35" s="14"/>
      <c r="S35" s="14"/>
      <c r="T35" s="14"/>
    </row>
    <row r="36" spans="1:20" ht="12.6" customHeight="1" x14ac:dyDescent="0.25">
      <c r="A36" s="11">
        <v>25</v>
      </c>
      <c r="B36" s="40"/>
      <c r="C36" s="128" t="s">
        <v>52</v>
      </c>
      <c r="D36" s="40" t="s">
        <v>49</v>
      </c>
      <c r="E36" s="18">
        <f t="shared" si="2"/>
        <v>59.4</v>
      </c>
      <c r="F36" s="18">
        <f t="shared" si="1"/>
        <v>54.1</v>
      </c>
      <c r="G36" s="41">
        <f>55.8+3.6</f>
        <v>59.4</v>
      </c>
      <c r="H36" s="41">
        <v>54.1</v>
      </c>
      <c r="I36" s="41">
        <v>26.6</v>
      </c>
      <c r="J36" s="41">
        <v>25.7</v>
      </c>
      <c r="K36" s="41"/>
      <c r="L36" s="19"/>
      <c r="M36" s="14"/>
      <c r="N36" s="14"/>
      <c r="O36" s="14"/>
      <c r="Q36" s="14"/>
      <c r="R36" s="14"/>
      <c r="S36" s="14"/>
      <c r="T36" s="14"/>
    </row>
    <row r="37" spans="1:20" ht="12.6" customHeight="1" x14ac:dyDescent="0.25">
      <c r="A37" s="11">
        <v>26</v>
      </c>
      <c r="B37" s="40"/>
      <c r="C37" s="101" t="s">
        <v>53</v>
      </c>
      <c r="D37" s="40" t="s">
        <v>49</v>
      </c>
      <c r="E37" s="18">
        <f t="shared" si="2"/>
        <v>15.5</v>
      </c>
      <c r="F37" s="18">
        <f t="shared" si="1"/>
        <v>7.6</v>
      </c>
      <c r="G37" s="41">
        <v>15.5</v>
      </c>
      <c r="H37" s="41">
        <v>7.6</v>
      </c>
      <c r="I37" s="41"/>
      <c r="J37" s="41"/>
      <c r="K37" s="41"/>
      <c r="L37" s="19"/>
      <c r="M37" s="14"/>
      <c r="N37" s="14"/>
      <c r="O37" s="14"/>
      <c r="Q37" s="14"/>
      <c r="R37" s="14"/>
      <c r="S37" s="14"/>
      <c r="T37" s="14"/>
    </row>
    <row r="38" spans="1:20" ht="12.6" customHeight="1" x14ac:dyDescent="0.25">
      <c r="A38" s="11">
        <v>27</v>
      </c>
      <c r="B38" s="40"/>
      <c r="C38" s="128" t="s">
        <v>56</v>
      </c>
      <c r="D38" s="232" t="s">
        <v>20</v>
      </c>
      <c r="E38" s="18">
        <f>+G38+K38</f>
        <v>12.5</v>
      </c>
      <c r="F38" s="18">
        <f t="shared" si="1"/>
        <v>10.700000000000001</v>
      </c>
      <c r="G38" s="41">
        <f>16-5</f>
        <v>11</v>
      </c>
      <c r="H38" s="41">
        <v>9.3000000000000007</v>
      </c>
      <c r="I38" s="41"/>
      <c r="J38" s="41"/>
      <c r="K38" s="41">
        <f>2.5-1</f>
        <v>1.5</v>
      </c>
      <c r="L38" s="19">
        <v>1.4</v>
      </c>
      <c r="M38" s="14"/>
      <c r="N38" s="14"/>
      <c r="O38" s="14"/>
      <c r="Q38" s="14"/>
      <c r="R38" s="14"/>
      <c r="S38" s="14"/>
      <c r="T38" s="14"/>
    </row>
    <row r="39" spans="1:20" ht="12.6" customHeight="1" x14ac:dyDescent="0.25">
      <c r="A39" s="11">
        <v>28</v>
      </c>
      <c r="B39" s="40"/>
      <c r="C39" s="128" t="s">
        <v>488</v>
      </c>
      <c r="D39" s="232" t="s">
        <v>20</v>
      </c>
      <c r="E39" s="18">
        <f t="shared" si="2"/>
        <v>8.5</v>
      </c>
      <c r="F39" s="18">
        <f t="shared" si="1"/>
        <v>8.1</v>
      </c>
      <c r="G39" s="41">
        <f>10.5-2</f>
        <v>8.5</v>
      </c>
      <c r="H39" s="41">
        <v>8.1</v>
      </c>
      <c r="I39" s="41"/>
      <c r="J39" s="41"/>
      <c r="K39" s="41"/>
      <c r="L39" s="19"/>
      <c r="M39" s="14"/>
      <c r="N39" s="14"/>
      <c r="O39" s="14"/>
      <c r="Q39" s="14"/>
      <c r="R39" s="14"/>
      <c r="S39" s="14"/>
      <c r="T39" s="14"/>
    </row>
    <row r="40" spans="1:20" ht="20.100000000000001" customHeight="1" x14ac:dyDescent="0.25">
      <c r="A40" s="11">
        <v>29</v>
      </c>
      <c r="B40" s="231" t="s">
        <v>141</v>
      </c>
      <c r="C40" s="129" t="s">
        <v>142</v>
      </c>
      <c r="D40" s="40"/>
      <c r="E40" s="43">
        <f>+G40+K40</f>
        <v>632.6</v>
      </c>
      <c r="F40" s="43">
        <f t="shared" si="1"/>
        <v>587.79999999999995</v>
      </c>
      <c r="G40" s="43">
        <f t="shared" ref="G40:L40" si="3">SUM(G41:G44)</f>
        <v>619.6</v>
      </c>
      <c r="H40" s="43">
        <f t="shared" si="3"/>
        <v>575.19999999999993</v>
      </c>
      <c r="I40" s="43">
        <f t="shared" si="3"/>
        <v>323.39999999999998</v>
      </c>
      <c r="J40" s="43">
        <f t="shared" si="3"/>
        <v>300.20000000000005</v>
      </c>
      <c r="K40" s="43">
        <f t="shared" si="3"/>
        <v>13</v>
      </c>
      <c r="L40" s="43">
        <f t="shared" si="3"/>
        <v>12.6</v>
      </c>
      <c r="M40" s="14"/>
      <c r="N40" s="14"/>
      <c r="O40" s="14"/>
      <c r="Q40" s="14"/>
      <c r="R40" s="14"/>
      <c r="S40" s="14"/>
      <c r="T40" s="14"/>
    </row>
    <row r="41" spans="1:20" ht="12.6" customHeight="1" x14ac:dyDescent="0.25">
      <c r="A41" s="11">
        <v>30</v>
      </c>
      <c r="B41" s="40"/>
      <c r="C41" s="128" t="s">
        <v>147</v>
      </c>
      <c r="D41" s="40" t="s">
        <v>148</v>
      </c>
      <c r="E41" s="18">
        <f t="shared" si="2"/>
        <v>256.10000000000002</v>
      </c>
      <c r="F41" s="18">
        <f t="shared" si="1"/>
        <v>238.20000000000002</v>
      </c>
      <c r="G41" s="18">
        <f>234.1+18</f>
        <v>252.1</v>
      </c>
      <c r="H41" s="18">
        <v>234.3</v>
      </c>
      <c r="I41" s="18">
        <f>150.4+8</f>
        <v>158.4</v>
      </c>
      <c r="J41" s="18">
        <v>144.30000000000001</v>
      </c>
      <c r="K41" s="18">
        <v>4</v>
      </c>
      <c r="L41" s="19">
        <v>3.9</v>
      </c>
      <c r="M41" s="14"/>
      <c r="N41" s="14"/>
      <c r="O41" s="14"/>
      <c r="Q41" s="14"/>
      <c r="R41" s="14"/>
      <c r="S41" s="14"/>
      <c r="T41" s="14"/>
    </row>
    <row r="42" spans="1:20" ht="12.6" customHeight="1" x14ac:dyDescent="0.25">
      <c r="A42" s="11">
        <v>31</v>
      </c>
      <c r="B42" s="40"/>
      <c r="C42" s="128" t="s">
        <v>56</v>
      </c>
      <c r="D42" s="52" t="s">
        <v>148</v>
      </c>
      <c r="E42" s="18">
        <f>+G42+K42</f>
        <v>181.3</v>
      </c>
      <c r="F42" s="18">
        <f t="shared" si="1"/>
        <v>175.5</v>
      </c>
      <c r="G42" s="18">
        <f>186.5+1.8-7</f>
        <v>181.3</v>
      </c>
      <c r="H42" s="18">
        <f>175.6-0.1</f>
        <v>175.5</v>
      </c>
      <c r="I42" s="18">
        <v>100</v>
      </c>
      <c r="J42" s="18">
        <v>94.4</v>
      </c>
      <c r="K42" s="18"/>
      <c r="L42" s="19"/>
      <c r="M42" s="14"/>
      <c r="N42" s="14"/>
      <c r="O42" s="14"/>
      <c r="Q42" s="14"/>
      <c r="R42" s="14"/>
      <c r="S42" s="14"/>
      <c r="T42" s="14"/>
    </row>
    <row r="43" spans="1:20" ht="12.6" customHeight="1" x14ac:dyDescent="0.25">
      <c r="A43" s="11">
        <v>32</v>
      </c>
      <c r="B43" s="40"/>
      <c r="C43" s="128" t="s">
        <v>488</v>
      </c>
      <c r="D43" s="52" t="s">
        <v>148</v>
      </c>
      <c r="E43" s="18">
        <f t="shared" si="2"/>
        <v>173</v>
      </c>
      <c r="F43" s="18">
        <f t="shared" si="1"/>
        <v>164.2</v>
      </c>
      <c r="G43" s="18">
        <f>160+4</f>
        <v>164</v>
      </c>
      <c r="H43" s="18">
        <f>155.4+0.1</f>
        <v>155.5</v>
      </c>
      <c r="I43" s="18">
        <v>65</v>
      </c>
      <c r="J43" s="18">
        <v>61.5</v>
      </c>
      <c r="K43" s="18">
        <f>5+4</f>
        <v>9</v>
      </c>
      <c r="L43" s="19">
        <v>8.6999999999999993</v>
      </c>
      <c r="M43" s="14"/>
      <c r="N43" s="14"/>
      <c r="O43" s="14"/>
      <c r="Q43" s="14"/>
      <c r="R43" s="14"/>
      <c r="S43" s="14"/>
      <c r="T43" s="14"/>
    </row>
    <row r="44" spans="1:20" ht="12.6" customHeight="1" x14ac:dyDescent="0.25">
      <c r="A44" s="11">
        <v>33</v>
      </c>
      <c r="B44" s="40"/>
      <c r="C44" s="16" t="s">
        <v>150</v>
      </c>
      <c r="D44" s="52" t="s">
        <v>151</v>
      </c>
      <c r="E44" s="18">
        <f t="shared" si="2"/>
        <v>22.2</v>
      </c>
      <c r="F44" s="18">
        <f t="shared" si="1"/>
        <v>9.9</v>
      </c>
      <c r="G44" s="18">
        <v>22.2</v>
      </c>
      <c r="H44" s="18">
        <v>9.9</v>
      </c>
      <c r="I44" s="18"/>
      <c r="J44" s="18"/>
      <c r="K44" s="18"/>
      <c r="L44" s="19"/>
      <c r="M44" s="14"/>
      <c r="N44" s="14"/>
      <c r="O44" s="14"/>
      <c r="Q44" s="14"/>
      <c r="R44" s="14"/>
      <c r="S44" s="14"/>
      <c r="T44" s="14"/>
    </row>
    <row r="45" spans="1:20" ht="12.6" customHeight="1" x14ac:dyDescent="0.25">
      <c r="A45" s="11">
        <v>34</v>
      </c>
      <c r="B45" s="40"/>
      <c r="C45" s="130" t="s">
        <v>463</v>
      </c>
      <c r="D45" s="40"/>
      <c r="E45" s="43">
        <f>+G45+K45</f>
        <v>1375.7999999999997</v>
      </c>
      <c r="F45" s="43">
        <f t="shared" si="1"/>
        <v>1170.0999999999999</v>
      </c>
      <c r="G45" s="43">
        <f t="shared" ref="G45:L45" si="4">+G12+G40</f>
        <v>1348.6999999999998</v>
      </c>
      <c r="H45" s="43">
        <f t="shared" si="4"/>
        <v>1143.5</v>
      </c>
      <c r="I45" s="43">
        <f t="shared" si="4"/>
        <v>366.9</v>
      </c>
      <c r="J45" s="43">
        <f t="shared" si="4"/>
        <v>337.50000000000006</v>
      </c>
      <c r="K45" s="43">
        <f t="shared" si="4"/>
        <v>27.1</v>
      </c>
      <c r="L45" s="43">
        <f t="shared" si="4"/>
        <v>26.6</v>
      </c>
      <c r="M45" s="14"/>
      <c r="N45" s="14"/>
      <c r="O45" s="14"/>
      <c r="P45" s="14"/>
      <c r="Q45" s="14"/>
      <c r="R45" s="14"/>
      <c r="S45" s="14"/>
      <c r="T45" s="14"/>
    </row>
    <row r="46" spans="1:20" x14ac:dyDescent="0.25">
      <c r="E46" s="110"/>
      <c r="F46" s="110"/>
      <c r="G46" s="110"/>
      <c r="H46" s="110"/>
      <c r="I46" s="110"/>
      <c r="J46" s="110"/>
      <c r="K46" s="110"/>
    </row>
    <row r="47" spans="1:20" x14ac:dyDescent="0.25">
      <c r="C47" s="4" t="s">
        <v>489</v>
      </c>
      <c r="M47" s="14"/>
    </row>
    <row r="48" spans="1:20" x14ac:dyDescent="0.25">
      <c r="E48" s="88"/>
      <c r="F48" s="88"/>
      <c r="G48" s="110"/>
      <c r="H48" s="110"/>
      <c r="I48" s="110"/>
      <c r="J48" s="110"/>
      <c r="K48" s="110"/>
    </row>
    <row r="49" spans="5:11" x14ac:dyDescent="0.25">
      <c r="E49" s="88"/>
      <c r="F49" s="88"/>
      <c r="G49" s="110"/>
      <c r="H49" s="110"/>
      <c r="I49" s="110"/>
      <c r="J49" s="110"/>
      <c r="K49" s="110"/>
    </row>
    <row r="50" spans="5:11" x14ac:dyDescent="0.25">
      <c r="E50" s="88"/>
      <c r="F50" s="88"/>
      <c r="G50" s="110"/>
      <c r="H50" s="110"/>
      <c r="I50" s="110"/>
      <c r="J50" s="110"/>
      <c r="K50" s="110"/>
    </row>
  </sheetData>
  <mergeCells count="19">
    <mergeCell ref="A7:A10"/>
    <mergeCell ref="B7:B10"/>
    <mergeCell ref="C7:C10"/>
    <mergeCell ref="D7:D10"/>
    <mergeCell ref="E7:F8"/>
    <mergeCell ref="C1:L1"/>
    <mergeCell ref="C2:L2"/>
    <mergeCell ref="I3:L3"/>
    <mergeCell ref="B5:K5"/>
    <mergeCell ref="K6:L6"/>
    <mergeCell ref="G7:L7"/>
    <mergeCell ref="G8:J8"/>
    <mergeCell ref="K8:L8"/>
    <mergeCell ref="E9:E10"/>
    <mergeCell ref="F9:F10"/>
    <mergeCell ref="G9:H9"/>
    <mergeCell ref="I9:J9"/>
    <mergeCell ref="K9:K10"/>
    <mergeCell ref="L9:L10"/>
  </mergeCells>
  <pageMargins left="0.31496062992125984" right="0.35433070866141736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8"/>
  <sheetViews>
    <sheetView workbookViewId="0">
      <selection activeCell="P13" sqref="P13"/>
    </sheetView>
  </sheetViews>
  <sheetFormatPr defaultColWidth="9.109375" defaultRowHeight="13.2" x14ac:dyDescent="0.25"/>
  <cols>
    <col min="1" max="1" width="5.44140625" style="4" customWidth="1"/>
    <col min="2" max="2" width="5" style="116" customWidth="1"/>
    <col min="3" max="3" width="45.5546875" style="4" customWidth="1"/>
    <col min="4" max="4" width="10.44140625" style="3" customWidth="1"/>
    <col min="5" max="6" width="8.44140625" style="4" customWidth="1"/>
    <col min="7" max="8" width="8.109375" style="4" customWidth="1"/>
    <col min="9" max="11" width="8.44140625" style="4" customWidth="1"/>
    <col min="12" max="12" width="9.5546875" style="131" customWidth="1"/>
    <col min="13" max="18" width="9.109375" style="2" customWidth="1"/>
    <col min="19" max="259" width="9.109375" style="2"/>
    <col min="260" max="260" width="5.44140625" style="2" customWidth="1"/>
    <col min="261" max="261" width="5" style="2" customWidth="1"/>
    <col min="262" max="262" width="45.5546875" style="2" customWidth="1"/>
    <col min="263" max="263" width="10.44140625" style="2" customWidth="1"/>
    <col min="264" max="264" width="8.44140625" style="2" customWidth="1"/>
    <col min="265" max="265" width="8.109375" style="2" customWidth="1"/>
    <col min="266" max="267" width="8.44140625" style="2" customWidth="1"/>
    <col min="268" max="268" width="9.5546875" style="2" customWidth="1"/>
    <col min="269" max="274" width="9.109375" style="2" customWidth="1"/>
    <col min="275" max="515" width="9.109375" style="2"/>
    <col min="516" max="516" width="5.44140625" style="2" customWidth="1"/>
    <col min="517" max="517" width="5" style="2" customWidth="1"/>
    <col min="518" max="518" width="45.5546875" style="2" customWidth="1"/>
    <col min="519" max="519" width="10.44140625" style="2" customWidth="1"/>
    <col min="520" max="520" width="8.44140625" style="2" customWidth="1"/>
    <col min="521" max="521" width="8.109375" style="2" customWidth="1"/>
    <col min="522" max="523" width="8.44140625" style="2" customWidth="1"/>
    <col min="524" max="524" width="9.5546875" style="2" customWidth="1"/>
    <col min="525" max="530" width="9.109375" style="2" customWidth="1"/>
    <col min="531" max="771" width="9.109375" style="2"/>
    <col min="772" max="772" width="5.44140625" style="2" customWidth="1"/>
    <col min="773" max="773" width="5" style="2" customWidth="1"/>
    <col min="774" max="774" width="45.5546875" style="2" customWidth="1"/>
    <col min="775" max="775" width="10.44140625" style="2" customWidth="1"/>
    <col min="776" max="776" width="8.44140625" style="2" customWidth="1"/>
    <col min="777" max="777" width="8.109375" style="2" customWidth="1"/>
    <col min="778" max="779" width="8.44140625" style="2" customWidth="1"/>
    <col min="780" max="780" width="9.5546875" style="2" customWidth="1"/>
    <col min="781" max="786" width="9.109375" style="2" customWidth="1"/>
    <col min="787" max="1027" width="9.109375" style="2"/>
    <col min="1028" max="1028" width="5.44140625" style="2" customWidth="1"/>
    <col min="1029" max="1029" width="5" style="2" customWidth="1"/>
    <col min="1030" max="1030" width="45.5546875" style="2" customWidth="1"/>
    <col min="1031" max="1031" width="10.44140625" style="2" customWidth="1"/>
    <col min="1032" max="1032" width="8.44140625" style="2" customWidth="1"/>
    <col min="1033" max="1033" width="8.109375" style="2" customWidth="1"/>
    <col min="1034" max="1035" width="8.44140625" style="2" customWidth="1"/>
    <col min="1036" max="1036" width="9.5546875" style="2" customWidth="1"/>
    <col min="1037" max="1042" width="9.109375" style="2" customWidth="1"/>
    <col min="1043" max="1283" width="9.109375" style="2"/>
    <col min="1284" max="1284" width="5.44140625" style="2" customWidth="1"/>
    <col min="1285" max="1285" width="5" style="2" customWidth="1"/>
    <col min="1286" max="1286" width="45.5546875" style="2" customWidth="1"/>
    <col min="1287" max="1287" width="10.44140625" style="2" customWidth="1"/>
    <col min="1288" max="1288" width="8.44140625" style="2" customWidth="1"/>
    <col min="1289" max="1289" width="8.109375" style="2" customWidth="1"/>
    <col min="1290" max="1291" width="8.44140625" style="2" customWidth="1"/>
    <col min="1292" max="1292" width="9.5546875" style="2" customWidth="1"/>
    <col min="1293" max="1298" width="9.109375" style="2" customWidth="1"/>
    <col min="1299" max="1539" width="9.109375" style="2"/>
    <col min="1540" max="1540" width="5.44140625" style="2" customWidth="1"/>
    <col min="1541" max="1541" width="5" style="2" customWidth="1"/>
    <col min="1542" max="1542" width="45.5546875" style="2" customWidth="1"/>
    <col min="1543" max="1543" width="10.44140625" style="2" customWidth="1"/>
    <col min="1544" max="1544" width="8.44140625" style="2" customWidth="1"/>
    <col min="1545" max="1545" width="8.109375" style="2" customWidth="1"/>
    <col min="1546" max="1547" width="8.44140625" style="2" customWidth="1"/>
    <col min="1548" max="1548" width="9.5546875" style="2" customWidth="1"/>
    <col min="1549" max="1554" width="9.109375" style="2" customWidth="1"/>
    <col min="1555" max="1795" width="9.109375" style="2"/>
    <col min="1796" max="1796" width="5.44140625" style="2" customWidth="1"/>
    <col min="1797" max="1797" width="5" style="2" customWidth="1"/>
    <col min="1798" max="1798" width="45.5546875" style="2" customWidth="1"/>
    <col min="1799" max="1799" width="10.44140625" style="2" customWidth="1"/>
    <col min="1800" max="1800" width="8.44140625" style="2" customWidth="1"/>
    <col min="1801" max="1801" width="8.109375" style="2" customWidth="1"/>
    <col min="1802" max="1803" width="8.44140625" style="2" customWidth="1"/>
    <col min="1804" max="1804" width="9.5546875" style="2" customWidth="1"/>
    <col min="1805" max="1810" width="9.109375" style="2" customWidth="1"/>
    <col min="1811" max="2051" width="9.109375" style="2"/>
    <col min="2052" max="2052" width="5.44140625" style="2" customWidth="1"/>
    <col min="2053" max="2053" width="5" style="2" customWidth="1"/>
    <col min="2054" max="2054" width="45.5546875" style="2" customWidth="1"/>
    <col min="2055" max="2055" width="10.44140625" style="2" customWidth="1"/>
    <col min="2056" max="2056" width="8.44140625" style="2" customWidth="1"/>
    <col min="2057" max="2057" width="8.109375" style="2" customWidth="1"/>
    <col min="2058" max="2059" width="8.44140625" style="2" customWidth="1"/>
    <col min="2060" max="2060" width="9.5546875" style="2" customWidth="1"/>
    <col min="2061" max="2066" width="9.109375" style="2" customWidth="1"/>
    <col min="2067" max="2307" width="9.109375" style="2"/>
    <col min="2308" max="2308" width="5.44140625" style="2" customWidth="1"/>
    <col min="2309" max="2309" width="5" style="2" customWidth="1"/>
    <col min="2310" max="2310" width="45.5546875" style="2" customWidth="1"/>
    <col min="2311" max="2311" width="10.44140625" style="2" customWidth="1"/>
    <col min="2312" max="2312" width="8.44140625" style="2" customWidth="1"/>
    <col min="2313" max="2313" width="8.109375" style="2" customWidth="1"/>
    <col min="2314" max="2315" width="8.44140625" style="2" customWidth="1"/>
    <col min="2316" max="2316" width="9.5546875" style="2" customWidth="1"/>
    <col min="2317" max="2322" width="9.109375" style="2" customWidth="1"/>
    <col min="2323" max="2563" width="9.109375" style="2"/>
    <col min="2564" max="2564" width="5.44140625" style="2" customWidth="1"/>
    <col min="2565" max="2565" width="5" style="2" customWidth="1"/>
    <col min="2566" max="2566" width="45.5546875" style="2" customWidth="1"/>
    <col min="2567" max="2567" width="10.44140625" style="2" customWidth="1"/>
    <col min="2568" max="2568" width="8.44140625" style="2" customWidth="1"/>
    <col min="2569" max="2569" width="8.109375" style="2" customWidth="1"/>
    <col min="2570" max="2571" width="8.44140625" style="2" customWidth="1"/>
    <col min="2572" max="2572" width="9.5546875" style="2" customWidth="1"/>
    <col min="2573" max="2578" width="9.109375" style="2" customWidth="1"/>
    <col min="2579" max="2819" width="9.109375" style="2"/>
    <col min="2820" max="2820" width="5.44140625" style="2" customWidth="1"/>
    <col min="2821" max="2821" width="5" style="2" customWidth="1"/>
    <col min="2822" max="2822" width="45.5546875" style="2" customWidth="1"/>
    <col min="2823" max="2823" width="10.44140625" style="2" customWidth="1"/>
    <col min="2824" max="2824" width="8.44140625" style="2" customWidth="1"/>
    <col min="2825" max="2825" width="8.109375" style="2" customWidth="1"/>
    <col min="2826" max="2827" width="8.44140625" style="2" customWidth="1"/>
    <col min="2828" max="2828" width="9.5546875" style="2" customWidth="1"/>
    <col min="2829" max="2834" width="9.109375" style="2" customWidth="1"/>
    <col min="2835" max="3075" width="9.109375" style="2"/>
    <col min="3076" max="3076" width="5.44140625" style="2" customWidth="1"/>
    <col min="3077" max="3077" width="5" style="2" customWidth="1"/>
    <col min="3078" max="3078" width="45.5546875" style="2" customWidth="1"/>
    <col min="3079" max="3079" width="10.44140625" style="2" customWidth="1"/>
    <col min="3080" max="3080" width="8.44140625" style="2" customWidth="1"/>
    <col min="3081" max="3081" width="8.109375" style="2" customWidth="1"/>
    <col min="3082" max="3083" width="8.44140625" style="2" customWidth="1"/>
    <col min="3084" max="3084" width="9.5546875" style="2" customWidth="1"/>
    <col min="3085" max="3090" width="9.109375" style="2" customWidth="1"/>
    <col min="3091" max="3331" width="9.109375" style="2"/>
    <col min="3332" max="3332" width="5.44140625" style="2" customWidth="1"/>
    <col min="3333" max="3333" width="5" style="2" customWidth="1"/>
    <col min="3334" max="3334" width="45.5546875" style="2" customWidth="1"/>
    <col min="3335" max="3335" width="10.44140625" style="2" customWidth="1"/>
    <col min="3336" max="3336" width="8.44140625" style="2" customWidth="1"/>
    <col min="3337" max="3337" width="8.109375" style="2" customWidth="1"/>
    <col min="3338" max="3339" width="8.44140625" style="2" customWidth="1"/>
    <col min="3340" max="3340" width="9.5546875" style="2" customWidth="1"/>
    <col min="3341" max="3346" width="9.109375" style="2" customWidth="1"/>
    <col min="3347" max="3587" width="9.109375" style="2"/>
    <col min="3588" max="3588" width="5.44140625" style="2" customWidth="1"/>
    <col min="3589" max="3589" width="5" style="2" customWidth="1"/>
    <col min="3590" max="3590" width="45.5546875" style="2" customWidth="1"/>
    <col min="3591" max="3591" width="10.44140625" style="2" customWidth="1"/>
    <col min="3592" max="3592" width="8.44140625" style="2" customWidth="1"/>
    <col min="3593" max="3593" width="8.109375" style="2" customWidth="1"/>
    <col min="3594" max="3595" width="8.44140625" style="2" customWidth="1"/>
    <col min="3596" max="3596" width="9.5546875" style="2" customWidth="1"/>
    <col min="3597" max="3602" width="9.109375" style="2" customWidth="1"/>
    <col min="3603" max="3843" width="9.109375" style="2"/>
    <col min="3844" max="3844" width="5.44140625" style="2" customWidth="1"/>
    <col min="3845" max="3845" width="5" style="2" customWidth="1"/>
    <col min="3846" max="3846" width="45.5546875" style="2" customWidth="1"/>
    <col min="3847" max="3847" width="10.44140625" style="2" customWidth="1"/>
    <col min="3848" max="3848" width="8.44140625" style="2" customWidth="1"/>
    <col min="3849" max="3849" width="8.109375" style="2" customWidth="1"/>
    <col min="3850" max="3851" width="8.44140625" style="2" customWidth="1"/>
    <col min="3852" max="3852" width="9.5546875" style="2" customWidth="1"/>
    <col min="3853" max="3858" width="9.109375" style="2" customWidth="1"/>
    <col min="3859" max="4099" width="9.109375" style="2"/>
    <col min="4100" max="4100" width="5.44140625" style="2" customWidth="1"/>
    <col min="4101" max="4101" width="5" style="2" customWidth="1"/>
    <col min="4102" max="4102" width="45.5546875" style="2" customWidth="1"/>
    <col min="4103" max="4103" width="10.44140625" style="2" customWidth="1"/>
    <col min="4104" max="4104" width="8.44140625" style="2" customWidth="1"/>
    <col min="4105" max="4105" width="8.109375" style="2" customWidth="1"/>
    <col min="4106" max="4107" width="8.44140625" style="2" customWidth="1"/>
    <col min="4108" max="4108" width="9.5546875" style="2" customWidth="1"/>
    <col min="4109" max="4114" width="9.109375" style="2" customWidth="1"/>
    <col min="4115" max="4355" width="9.109375" style="2"/>
    <col min="4356" max="4356" width="5.44140625" style="2" customWidth="1"/>
    <col min="4357" max="4357" width="5" style="2" customWidth="1"/>
    <col min="4358" max="4358" width="45.5546875" style="2" customWidth="1"/>
    <col min="4359" max="4359" width="10.44140625" style="2" customWidth="1"/>
    <col min="4360" max="4360" width="8.44140625" style="2" customWidth="1"/>
    <col min="4361" max="4361" width="8.109375" style="2" customWidth="1"/>
    <col min="4362" max="4363" width="8.44140625" style="2" customWidth="1"/>
    <col min="4364" max="4364" width="9.5546875" style="2" customWidth="1"/>
    <col min="4365" max="4370" width="9.109375" style="2" customWidth="1"/>
    <col min="4371" max="4611" width="9.109375" style="2"/>
    <col min="4612" max="4612" width="5.44140625" style="2" customWidth="1"/>
    <col min="4613" max="4613" width="5" style="2" customWidth="1"/>
    <col min="4614" max="4614" width="45.5546875" style="2" customWidth="1"/>
    <col min="4615" max="4615" width="10.44140625" style="2" customWidth="1"/>
    <col min="4616" max="4616" width="8.44140625" style="2" customWidth="1"/>
    <col min="4617" max="4617" width="8.109375" style="2" customWidth="1"/>
    <col min="4618" max="4619" width="8.44140625" style="2" customWidth="1"/>
    <col min="4620" max="4620" width="9.5546875" style="2" customWidth="1"/>
    <col min="4621" max="4626" width="9.109375" style="2" customWidth="1"/>
    <col min="4627" max="4867" width="9.109375" style="2"/>
    <col min="4868" max="4868" width="5.44140625" style="2" customWidth="1"/>
    <col min="4869" max="4869" width="5" style="2" customWidth="1"/>
    <col min="4870" max="4870" width="45.5546875" style="2" customWidth="1"/>
    <col min="4871" max="4871" width="10.44140625" style="2" customWidth="1"/>
    <col min="4872" max="4872" width="8.44140625" style="2" customWidth="1"/>
    <col min="4873" max="4873" width="8.109375" style="2" customWidth="1"/>
    <col min="4874" max="4875" width="8.44140625" style="2" customWidth="1"/>
    <col min="4876" max="4876" width="9.5546875" style="2" customWidth="1"/>
    <col min="4877" max="4882" width="9.109375" style="2" customWidth="1"/>
    <col min="4883" max="5123" width="9.109375" style="2"/>
    <col min="5124" max="5124" width="5.44140625" style="2" customWidth="1"/>
    <col min="5125" max="5125" width="5" style="2" customWidth="1"/>
    <col min="5126" max="5126" width="45.5546875" style="2" customWidth="1"/>
    <col min="5127" max="5127" width="10.44140625" style="2" customWidth="1"/>
    <col min="5128" max="5128" width="8.44140625" style="2" customWidth="1"/>
    <col min="5129" max="5129" width="8.109375" style="2" customWidth="1"/>
    <col min="5130" max="5131" width="8.44140625" style="2" customWidth="1"/>
    <col min="5132" max="5132" width="9.5546875" style="2" customWidth="1"/>
    <col min="5133" max="5138" width="9.109375" style="2" customWidth="1"/>
    <col min="5139" max="5379" width="9.109375" style="2"/>
    <col min="5380" max="5380" width="5.44140625" style="2" customWidth="1"/>
    <col min="5381" max="5381" width="5" style="2" customWidth="1"/>
    <col min="5382" max="5382" width="45.5546875" style="2" customWidth="1"/>
    <col min="5383" max="5383" width="10.44140625" style="2" customWidth="1"/>
    <col min="5384" max="5384" width="8.44140625" style="2" customWidth="1"/>
    <col min="5385" max="5385" width="8.109375" style="2" customWidth="1"/>
    <col min="5386" max="5387" width="8.44140625" style="2" customWidth="1"/>
    <col min="5388" max="5388" width="9.5546875" style="2" customWidth="1"/>
    <col min="5389" max="5394" width="9.109375" style="2" customWidth="1"/>
    <col min="5395" max="5635" width="9.109375" style="2"/>
    <col min="5636" max="5636" width="5.44140625" style="2" customWidth="1"/>
    <col min="5637" max="5637" width="5" style="2" customWidth="1"/>
    <col min="5638" max="5638" width="45.5546875" style="2" customWidth="1"/>
    <col min="5639" max="5639" width="10.44140625" style="2" customWidth="1"/>
    <col min="5640" max="5640" width="8.44140625" style="2" customWidth="1"/>
    <col min="5641" max="5641" width="8.109375" style="2" customWidth="1"/>
    <col min="5642" max="5643" width="8.44140625" style="2" customWidth="1"/>
    <col min="5644" max="5644" width="9.5546875" style="2" customWidth="1"/>
    <col min="5645" max="5650" width="9.109375" style="2" customWidth="1"/>
    <col min="5651" max="5891" width="9.109375" style="2"/>
    <col min="5892" max="5892" width="5.44140625" style="2" customWidth="1"/>
    <col min="5893" max="5893" width="5" style="2" customWidth="1"/>
    <col min="5894" max="5894" width="45.5546875" style="2" customWidth="1"/>
    <col min="5895" max="5895" width="10.44140625" style="2" customWidth="1"/>
    <col min="5896" max="5896" width="8.44140625" style="2" customWidth="1"/>
    <col min="5897" max="5897" width="8.109375" style="2" customWidth="1"/>
    <col min="5898" max="5899" width="8.44140625" style="2" customWidth="1"/>
    <col min="5900" max="5900" width="9.5546875" style="2" customWidth="1"/>
    <col min="5901" max="5906" width="9.109375" style="2" customWidth="1"/>
    <col min="5907" max="6147" width="9.109375" style="2"/>
    <col min="6148" max="6148" width="5.44140625" style="2" customWidth="1"/>
    <col min="6149" max="6149" width="5" style="2" customWidth="1"/>
    <col min="6150" max="6150" width="45.5546875" style="2" customWidth="1"/>
    <col min="6151" max="6151" width="10.44140625" style="2" customWidth="1"/>
    <col min="6152" max="6152" width="8.44140625" style="2" customWidth="1"/>
    <col min="6153" max="6153" width="8.109375" style="2" customWidth="1"/>
    <col min="6154" max="6155" width="8.44140625" style="2" customWidth="1"/>
    <col min="6156" max="6156" width="9.5546875" style="2" customWidth="1"/>
    <col min="6157" max="6162" width="9.109375" style="2" customWidth="1"/>
    <col min="6163" max="6403" width="9.109375" style="2"/>
    <col min="6404" max="6404" width="5.44140625" style="2" customWidth="1"/>
    <col min="6405" max="6405" width="5" style="2" customWidth="1"/>
    <col min="6406" max="6406" width="45.5546875" style="2" customWidth="1"/>
    <col min="6407" max="6407" width="10.44140625" style="2" customWidth="1"/>
    <col min="6408" max="6408" width="8.44140625" style="2" customWidth="1"/>
    <col min="6409" max="6409" width="8.109375" style="2" customWidth="1"/>
    <col min="6410" max="6411" width="8.44140625" style="2" customWidth="1"/>
    <col min="6412" max="6412" width="9.5546875" style="2" customWidth="1"/>
    <col min="6413" max="6418" width="9.109375" style="2" customWidth="1"/>
    <col min="6419" max="6659" width="9.109375" style="2"/>
    <col min="6660" max="6660" width="5.44140625" style="2" customWidth="1"/>
    <col min="6661" max="6661" width="5" style="2" customWidth="1"/>
    <col min="6662" max="6662" width="45.5546875" style="2" customWidth="1"/>
    <col min="6663" max="6663" width="10.44140625" style="2" customWidth="1"/>
    <col min="6664" max="6664" width="8.44140625" style="2" customWidth="1"/>
    <col min="6665" max="6665" width="8.109375" style="2" customWidth="1"/>
    <col min="6666" max="6667" width="8.44140625" style="2" customWidth="1"/>
    <col min="6668" max="6668" width="9.5546875" style="2" customWidth="1"/>
    <col min="6669" max="6674" width="9.109375" style="2" customWidth="1"/>
    <col min="6675" max="6915" width="9.109375" style="2"/>
    <col min="6916" max="6916" width="5.44140625" style="2" customWidth="1"/>
    <col min="6917" max="6917" width="5" style="2" customWidth="1"/>
    <col min="6918" max="6918" width="45.5546875" style="2" customWidth="1"/>
    <col min="6919" max="6919" width="10.44140625" style="2" customWidth="1"/>
    <col min="6920" max="6920" width="8.44140625" style="2" customWidth="1"/>
    <col min="6921" max="6921" width="8.109375" style="2" customWidth="1"/>
    <col min="6922" max="6923" width="8.44140625" style="2" customWidth="1"/>
    <col min="6924" max="6924" width="9.5546875" style="2" customWidth="1"/>
    <col min="6925" max="6930" width="9.109375" style="2" customWidth="1"/>
    <col min="6931" max="7171" width="9.109375" style="2"/>
    <col min="7172" max="7172" width="5.44140625" style="2" customWidth="1"/>
    <col min="7173" max="7173" width="5" style="2" customWidth="1"/>
    <col min="7174" max="7174" width="45.5546875" style="2" customWidth="1"/>
    <col min="7175" max="7175" width="10.44140625" style="2" customWidth="1"/>
    <col min="7176" max="7176" width="8.44140625" style="2" customWidth="1"/>
    <col min="7177" max="7177" width="8.109375" style="2" customWidth="1"/>
    <col min="7178" max="7179" width="8.44140625" style="2" customWidth="1"/>
    <col min="7180" max="7180" width="9.5546875" style="2" customWidth="1"/>
    <col min="7181" max="7186" width="9.109375" style="2" customWidth="1"/>
    <col min="7187" max="7427" width="9.109375" style="2"/>
    <col min="7428" max="7428" width="5.44140625" style="2" customWidth="1"/>
    <col min="7429" max="7429" width="5" style="2" customWidth="1"/>
    <col min="7430" max="7430" width="45.5546875" style="2" customWidth="1"/>
    <col min="7431" max="7431" width="10.44140625" style="2" customWidth="1"/>
    <col min="7432" max="7432" width="8.44140625" style="2" customWidth="1"/>
    <col min="7433" max="7433" width="8.109375" style="2" customWidth="1"/>
    <col min="7434" max="7435" width="8.44140625" style="2" customWidth="1"/>
    <col min="7436" max="7436" width="9.5546875" style="2" customWidth="1"/>
    <col min="7437" max="7442" width="9.109375" style="2" customWidth="1"/>
    <col min="7443" max="7683" width="9.109375" style="2"/>
    <col min="7684" max="7684" width="5.44140625" style="2" customWidth="1"/>
    <col min="7685" max="7685" width="5" style="2" customWidth="1"/>
    <col min="7686" max="7686" width="45.5546875" style="2" customWidth="1"/>
    <col min="7687" max="7687" width="10.44140625" style="2" customWidth="1"/>
    <col min="7688" max="7688" width="8.44140625" style="2" customWidth="1"/>
    <col min="7689" max="7689" width="8.109375" style="2" customWidth="1"/>
    <col min="7690" max="7691" width="8.44140625" style="2" customWidth="1"/>
    <col min="7692" max="7692" width="9.5546875" style="2" customWidth="1"/>
    <col min="7693" max="7698" width="9.109375" style="2" customWidth="1"/>
    <col min="7699" max="7939" width="9.109375" style="2"/>
    <col min="7940" max="7940" width="5.44140625" style="2" customWidth="1"/>
    <col min="7941" max="7941" width="5" style="2" customWidth="1"/>
    <col min="7942" max="7942" width="45.5546875" style="2" customWidth="1"/>
    <col min="7943" max="7943" width="10.44140625" style="2" customWidth="1"/>
    <col min="7944" max="7944" width="8.44140625" style="2" customWidth="1"/>
    <col min="7945" max="7945" width="8.109375" style="2" customWidth="1"/>
    <col min="7946" max="7947" width="8.44140625" style="2" customWidth="1"/>
    <col min="7948" max="7948" width="9.5546875" style="2" customWidth="1"/>
    <col min="7949" max="7954" width="9.109375" style="2" customWidth="1"/>
    <col min="7955" max="8195" width="9.109375" style="2"/>
    <col min="8196" max="8196" width="5.44140625" style="2" customWidth="1"/>
    <col min="8197" max="8197" width="5" style="2" customWidth="1"/>
    <col min="8198" max="8198" width="45.5546875" style="2" customWidth="1"/>
    <col min="8199" max="8199" width="10.44140625" style="2" customWidth="1"/>
    <col min="8200" max="8200" width="8.44140625" style="2" customWidth="1"/>
    <col min="8201" max="8201" width="8.109375" style="2" customWidth="1"/>
    <col min="8202" max="8203" width="8.44140625" style="2" customWidth="1"/>
    <col min="8204" max="8204" width="9.5546875" style="2" customWidth="1"/>
    <col min="8205" max="8210" width="9.109375" style="2" customWidth="1"/>
    <col min="8211" max="8451" width="9.109375" style="2"/>
    <col min="8452" max="8452" width="5.44140625" style="2" customWidth="1"/>
    <col min="8453" max="8453" width="5" style="2" customWidth="1"/>
    <col min="8454" max="8454" width="45.5546875" style="2" customWidth="1"/>
    <col min="8455" max="8455" width="10.44140625" style="2" customWidth="1"/>
    <col min="8456" max="8456" width="8.44140625" style="2" customWidth="1"/>
    <col min="8457" max="8457" width="8.109375" style="2" customWidth="1"/>
    <col min="8458" max="8459" width="8.44140625" style="2" customWidth="1"/>
    <col min="8460" max="8460" width="9.5546875" style="2" customWidth="1"/>
    <col min="8461" max="8466" width="9.109375" style="2" customWidth="1"/>
    <col min="8467" max="8707" width="9.109375" style="2"/>
    <col min="8708" max="8708" width="5.44140625" style="2" customWidth="1"/>
    <col min="8709" max="8709" width="5" style="2" customWidth="1"/>
    <col min="8710" max="8710" width="45.5546875" style="2" customWidth="1"/>
    <col min="8711" max="8711" width="10.44140625" style="2" customWidth="1"/>
    <col min="8712" max="8712" width="8.44140625" style="2" customWidth="1"/>
    <col min="8713" max="8713" width="8.109375" style="2" customWidth="1"/>
    <col min="8714" max="8715" width="8.44140625" style="2" customWidth="1"/>
    <col min="8716" max="8716" width="9.5546875" style="2" customWidth="1"/>
    <col min="8717" max="8722" width="9.109375" style="2" customWidth="1"/>
    <col min="8723" max="8963" width="9.109375" style="2"/>
    <col min="8964" max="8964" width="5.44140625" style="2" customWidth="1"/>
    <col min="8965" max="8965" width="5" style="2" customWidth="1"/>
    <col min="8966" max="8966" width="45.5546875" style="2" customWidth="1"/>
    <col min="8967" max="8967" width="10.44140625" style="2" customWidth="1"/>
    <col min="8968" max="8968" width="8.44140625" style="2" customWidth="1"/>
    <col min="8969" max="8969" width="8.109375" style="2" customWidth="1"/>
    <col min="8970" max="8971" width="8.44140625" style="2" customWidth="1"/>
    <col min="8972" max="8972" width="9.5546875" style="2" customWidth="1"/>
    <col min="8973" max="8978" width="9.109375" style="2" customWidth="1"/>
    <col min="8979" max="9219" width="9.109375" style="2"/>
    <col min="9220" max="9220" width="5.44140625" style="2" customWidth="1"/>
    <col min="9221" max="9221" width="5" style="2" customWidth="1"/>
    <col min="9222" max="9222" width="45.5546875" style="2" customWidth="1"/>
    <col min="9223" max="9223" width="10.44140625" style="2" customWidth="1"/>
    <col min="9224" max="9224" width="8.44140625" style="2" customWidth="1"/>
    <col min="9225" max="9225" width="8.109375" style="2" customWidth="1"/>
    <col min="9226" max="9227" width="8.44140625" style="2" customWidth="1"/>
    <col min="9228" max="9228" width="9.5546875" style="2" customWidth="1"/>
    <col min="9229" max="9234" width="9.109375" style="2" customWidth="1"/>
    <col min="9235" max="9475" width="9.109375" style="2"/>
    <col min="9476" max="9476" width="5.44140625" style="2" customWidth="1"/>
    <col min="9477" max="9477" width="5" style="2" customWidth="1"/>
    <col min="9478" max="9478" width="45.5546875" style="2" customWidth="1"/>
    <col min="9479" max="9479" width="10.44140625" style="2" customWidth="1"/>
    <col min="9480" max="9480" width="8.44140625" style="2" customWidth="1"/>
    <col min="9481" max="9481" width="8.109375" style="2" customWidth="1"/>
    <col min="9482" max="9483" width="8.44140625" style="2" customWidth="1"/>
    <col min="9484" max="9484" width="9.5546875" style="2" customWidth="1"/>
    <col min="9485" max="9490" width="9.109375" style="2" customWidth="1"/>
    <col min="9491" max="9731" width="9.109375" style="2"/>
    <col min="9732" max="9732" width="5.44140625" style="2" customWidth="1"/>
    <col min="9733" max="9733" width="5" style="2" customWidth="1"/>
    <col min="9734" max="9734" width="45.5546875" style="2" customWidth="1"/>
    <col min="9735" max="9735" width="10.44140625" style="2" customWidth="1"/>
    <col min="9736" max="9736" width="8.44140625" style="2" customWidth="1"/>
    <col min="9737" max="9737" width="8.109375" style="2" customWidth="1"/>
    <col min="9738" max="9739" width="8.44140625" style="2" customWidth="1"/>
    <col min="9740" max="9740" width="9.5546875" style="2" customWidth="1"/>
    <col min="9741" max="9746" width="9.109375" style="2" customWidth="1"/>
    <col min="9747" max="9987" width="9.109375" style="2"/>
    <col min="9988" max="9988" width="5.44140625" style="2" customWidth="1"/>
    <col min="9989" max="9989" width="5" style="2" customWidth="1"/>
    <col min="9990" max="9990" width="45.5546875" style="2" customWidth="1"/>
    <col min="9991" max="9991" width="10.44140625" style="2" customWidth="1"/>
    <col min="9992" max="9992" width="8.44140625" style="2" customWidth="1"/>
    <col min="9993" max="9993" width="8.109375" style="2" customWidth="1"/>
    <col min="9994" max="9995" width="8.44140625" style="2" customWidth="1"/>
    <col min="9996" max="9996" width="9.5546875" style="2" customWidth="1"/>
    <col min="9997" max="10002" width="9.109375" style="2" customWidth="1"/>
    <col min="10003" max="10243" width="9.109375" style="2"/>
    <col min="10244" max="10244" width="5.44140625" style="2" customWidth="1"/>
    <col min="10245" max="10245" width="5" style="2" customWidth="1"/>
    <col min="10246" max="10246" width="45.5546875" style="2" customWidth="1"/>
    <col min="10247" max="10247" width="10.44140625" style="2" customWidth="1"/>
    <col min="10248" max="10248" width="8.44140625" style="2" customWidth="1"/>
    <col min="10249" max="10249" width="8.109375" style="2" customWidth="1"/>
    <col min="10250" max="10251" width="8.44140625" style="2" customWidth="1"/>
    <col min="10252" max="10252" width="9.5546875" style="2" customWidth="1"/>
    <col min="10253" max="10258" width="9.109375" style="2" customWidth="1"/>
    <col min="10259" max="10499" width="9.109375" style="2"/>
    <col min="10500" max="10500" width="5.44140625" style="2" customWidth="1"/>
    <col min="10501" max="10501" width="5" style="2" customWidth="1"/>
    <col min="10502" max="10502" width="45.5546875" style="2" customWidth="1"/>
    <col min="10503" max="10503" width="10.44140625" style="2" customWidth="1"/>
    <col min="10504" max="10504" width="8.44140625" style="2" customWidth="1"/>
    <col min="10505" max="10505" width="8.109375" style="2" customWidth="1"/>
    <col min="10506" max="10507" width="8.44140625" style="2" customWidth="1"/>
    <col min="10508" max="10508" width="9.5546875" style="2" customWidth="1"/>
    <col min="10509" max="10514" width="9.109375" style="2" customWidth="1"/>
    <col min="10515" max="10755" width="9.109375" style="2"/>
    <col min="10756" max="10756" width="5.44140625" style="2" customWidth="1"/>
    <col min="10757" max="10757" width="5" style="2" customWidth="1"/>
    <col min="10758" max="10758" width="45.5546875" style="2" customWidth="1"/>
    <col min="10759" max="10759" width="10.44140625" style="2" customWidth="1"/>
    <col min="10760" max="10760" width="8.44140625" style="2" customWidth="1"/>
    <col min="10761" max="10761" width="8.109375" style="2" customWidth="1"/>
    <col min="10762" max="10763" width="8.44140625" style="2" customWidth="1"/>
    <col min="10764" max="10764" width="9.5546875" style="2" customWidth="1"/>
    <col min="10765" max="10770" width="9.109375" style="2" customWidth="1"/>
    <col min="10771" max="11011" width="9.109375" style="2"/>
    <col min="11012" max="11012" width="5.44140625" style="2" customWidth="1"/>
    <col min="11013" max="11013" width="5" style="2" customWidth="1"/>
    <col min="11014" max="11014" width="45.5546875" style="2" customWidth="1"/>
    <col min="11015" max="11015" width="10.44140625" style="2" customWidth="1"/>
    <col min="11016" max="11016" width="8.44140625" style="2" customWidth="1"/>
    <col min="11017" max="11017" width="8.109375" style="2" customWidth="1"/>
    <col min="11018" max="11019" width="8.44140625" style="2" customWidth="1"/>
    <col min="11020" max="11020" width="9.5546875" style="2" customWidth="1"/>
    <col min="11021" max="11026" width="9.109375" style="2" customWidth="1"/>
    <col min="11027" max="11267" width="9.109375" style="2"/>
    <col min="11268" max="11268" width="5.44140625" style="2" customWidth="1"/>
    <col min="11269" max="11269" width="5" style="2" customWidth="1"/>
    <col min="11270" max="11270" width="45.5546875" style="2" customWidth="1"/>
    <col min="11271" max="11271" width="10.44140625" style="2" customWidth="1"/>
    <col min="11272" max="11272" width="8.44140625" style="2" customWidth="1"/>
    <col min="11273" max="11273" width="8.109375" style="2" customWidth="1"/>
    <col min="11274" max="11275" width="8.44140625" style="2" customWidth="1"/>
    <col min="11276" max="11276" width="9.5546875" style="2" customWidth="1"/>
    <col min="11277" max="11282" width="9.109375" style="2" customWidth="1"/>
    <col min="11283" max="11523" width="9.109375" style="2"/>
    <col min="11524" max="11524" width="5.44140625" style="2" customWidth="1"/>
    <col min="11525" max="11525" width="5" style="2" customWidth="1"/>
    <col min="11526" max="11526" width="45.5546875" style="2" customWidth="1"/>
    <col min="11527" max="11527" width="10.44140625" style="2" customWidth="1"/>
    <col min="11528" max="11528" width="8.44140625" style="2" customWidth="1"/>
    <col min="11529" max="11529" width="8.109375" style="2" customWidth="1"/>
    <col min="11530" max="11531" width="8.44140625" style="2" customWidth="1"/>
    <col min="11532" max="11532" width="9.5546875" style="2" customWidth="1"/>
    <col min="11533" max="11538" width="9.109375" style="2" customWidth="1"/>
    <col min="11539" max="11779" width="9.109375" style="2"/>
    <col min="11780" max="11780" width="5.44140625" style="2" customWidth="1"/>
    <col min="11781" max="11781" width="5" style="2" customWidth="1"/>
    <col min="11782" max="11782" width="45.5546875" style="2" customWidth="1"/>
    <col min="11783" max="11783" width="10.44140625" style="2" customWidth="1"/>
    <col min="11784" max="11784" width="8.44140625" style="2" customWidth="1"/>
    <col min="11785" max="11785" width="8.109375" style="2" customWidth="1"/>
    <col min="11786" max="11787" width="8.44140625" style="2" customWidth="1"/>
    <col min="11788" max="11788" width="9.5546875" style="2" customWidth="1"/>
    <col min="11789" max="11794" width="9.109375" style="2" customWidth="1"/>
    <col min="11795" max="12035" width="9.109375" style="2"/>
    <col min="12036" max="12036" width="5.44140625" style="2" customWidth="1"/>
    <col min="12037" max="12037" width="5" style="2" customWidth="1"/>
    <col min="12038" max="12038" width="45.5546875" style="2" customWidth="1"/>
    <col min="12039" max="12039" width="10.44140625" style="2" customWidth="1"/>
    <col min="12040" max="12040" width="8.44140625" style="2" customWidth="1"/>
    <col min="12041" max="12041" width="8.109375" style="2" customWidth="1"/>
    <col min="12042" max="12043" width="8.44140625" style="2" customWidth="1"/>
    <col min="12044" max="12044" width="9.5546875" style="2" customWidth="1"/>
    <col min="12045" max="12050" width="9.109375" style="2" customWidth="1"/>
    <col min="12051" max="12291" width="9.109375" style="2"/>
    <col min="12292" max="12292" width="5.44140625" style="2" customWidth="1"/>
    <col min="12293" max="12293" width="5" style="2" customWidth="1"/>
    <col min="12294" max="12294" width="45.5546875" style="2" customWidth="1"/>
    <col min="12295" max="12295" width="10.44140625" style="2" customWidth="1"/>
    <col min="12296" max="12296" width="8.44140625" style="2" customWidth="1"/>
    <col min="12297" max="12297" width="8.109375" style="2" customWidth="1"/>
    <col min="12298" max="12299" width="8.44140625" style="2" customWidth="1"/>
    <col min="12300" max="12300" width="9.5546875" style="2" customWidth="1"/>
    <col min="12301" max="12306" width="9.109375" style="2" customWidth="1"/>
    <col min="12307" max="12547" width="9.109375" style="2"/>
    <col min="12548" max="12548" width="5.44140625" style="2" customWidth="1"/>
    <col min="12549" max="12549" width="5" style="2" customWidth="1"/>
    <col min="12550" max="12550" width="45.5546875" style="2" customWidth="1"/>
    <col min="12551" max="12551" width="10.44140625" style="2" customWidth="1"/>
    <col min="12552" max="12552" width="8.44140625" style="2" customWidth="1"/>
    <col min="12553" max="12553" width="8.109375" style="2" customWidth="1"/>
    <col min="12554" max="12555" width="8.44140625" style="2" customWidth="1"/>
    <col min="12556" max="12556" width="9.5546875" style="2" customWidth="1"/>
    <col min="12557" max="12562" width="9.109375" style="2" customWidth="1"/>
    <col min="12563" max="12803" width="9.109375" style="2"/>
    <col min="12804" max="12804" width="5.44140625" style="2" customWidth="1"/>
    <col min="12805" max="12805" width="5" style="2" customWidth="1"/>
    <col min="12806" max="12806" width="45.5546875" style="2" customWidth="1"/>
    <col min="12807" max="12807" width="10.44140625" style="2" customWidth="1"/>
    <col min="12808" max="12808" width="8.44140625" style="2" customWidth="1"/>
    <col min="12809" max="12809" width="8.109375" style="2" customWidth="1"/>
    <col min="12810" max="12811" width="8.44140625" style="2" customWidth="1"/>
    <col min="12812" max="12812" width="9.5546875" style="2" customWidth="1"/>
    <col min="12813" max="12818" width="9.109375" style="2" customWidth="1"/>
    <col min="12819" max="13059" width="9.109375" style="2"/>
    <col min="13060" max="13060" width="5.44140625" style="2" customWidth="1"/>
    <col min="13061" max="13061" width="5" style="2" customWidth="1"/>
    <col min="13062" max="13062" width="45.5546875" style="2" customWidth="1"/>
    <col min="13063" max="13063" width="10.44140625" style="2" customWidth="1"/>
    <col min="13064" max="13064" width="8.44140625" style="2" customWidth="1"/>
    <col min="13065" max="13065" width="8.109375" style="2" customWidth="1"/>
    <col min="13066" max="13067" width="8.44140625" style="2" customWidth="1"/>
    <col min="13068" max="13068" width="9.5546875" style="2" customWidth="1"/>
    <col min="13069" max="13074" width="9.109375" style="2" customWidth="1"/>
    <col min="13075" max="13315" width="9.109375" style="2"/>
    <col min="13316" max="13316" width="5.44140625" style="2" customWidth="1"/>
    <col min="13317" max="13317" width="5" style="2" customWidth="1"/>
    <col min="13318" max="13318" width="45.5546875" style="2" customWidth="1"/>
    <col min="13319" max="13319" width="10.44140625" style="2" customWidth="1"/>
    <col min="13320" max="13320" width="8.44140625" style="2" customWidth="1"/>
    <col min="13321" max="13321" width="8.109375" style="2" customWidth="1"/>
    <col min="13322" max="13323" width="8.44140625" style="2" customWidth="1"/>
    <col min="13324" max="13324" width="9.5546875" style="2" customWidth="1"/>
    <col min="13325" max="13330" width="9.109375" style="2" customWidth="1"/>
    <col min="13331" max="13571" width="9.109375" style="2"/>
    <col min="13572" max="13572" width="5.44140625" style="2" customWidth="1"/>
    <col min="13573" max="13573" width="5" style="2" customWidth="1"/>
    <col min="13574" max="13574" width="45.5546875" style="2" customWidth="1"/>
    <col min="13575" max="13575" width="10.44140625" style="2" customWidth="1"/>
    <col min="13576" max="13576" width="8.44140625" style="2" customWidth="1"/>
    <col min="13577" max="13577" width="8.109375" style="2" customWidth="1"/>
    <col min="13578" max="13579" width="8.44140625" style="2" customWidth="1"/>
    <col min="13580" max="13580" width="9.5546875" style="2" customWidth="1"/>
    <col min="13581" max="13586" width="9.109375" style="2" customWidth="1"/>
    <col min="13587" max="13827" width="9.109375" style="2"/>
    <col min="13828" max="13828" width="5.44140625" style="2" customWidth="1"/>
    <col min="13829" max="13829" width="5" style="2" customWidth="1"/>
    <col min="13830" max="13830" width="45.5546875" style="2" customWidth="1"/>
    <col min="13831" max="13831" width="10.44140625" style="2" customWidth="1"/>
    <col min="13832" max="13832" width="8.44140625" style="2" customWidth="1"/>
    <col min="13833" max="13833" width="8.109375" style="2" customWidth="1"/>
    <col min="13834" max="13835" width="8.44140625" style="2" customWidth="1"/>
    <col min="13836" max="13836" width="9.5546875" style="2" customWidth="1"/>
    <col min="13837" max="13842" width="9.109375" style="2" customWidth="1"/>
    <col min="13843" max="14083" width="9.109375" style="2"/>
    <col min="14084" max="14084" width="5.44140625" style="2" customWidth="1"/>
    <col min="14085" max="14085" width="5" style="2" customWidth="1"/>
    <col min="14086" max="14086" width="45.5546875" style="2" customWidth="1"/>
    <col min="14087" max="14087" width="10.44140625" style="2" customWidth="1"/>
    <col min="14088" max="14088" width="8.44140625" style="2" customWidth="1"/>
    <col min="14089" max="14089" width="8.109375" style="2" customWidth="1"/>
    <col min="14090" max="14091" width="8.44140625" style="2" customWidth="1"/>
    <col min="14092" max="14092" width="9.5546875" style="2" customWidth="1"/>
    <col min="14093" max="14098" width="9.109375" style="2" customWidth="1"/>
    <col min="14099" max="14339" width="9.109375" style="2"/>
    <col min="14340" max="14340" width="5.44140625" style="2" customWidth="1"/>
    <col min="14341" max="14341" width="5" style="2" customWidth="1"/>
    <col min="14342" max="14342" width="45.5546875" style="2" customWidth="1"/>
    <col min="14343" max="14343" width="10.44140625" style="2" customWidth="1"/>
    <col min="14344" max="14344" width="8.44140625" style="2" customWidth="1"/>
    <col min="14345" max="14345" width="8.109375" style="2" customWidth="1"/>
    <col min="14346" max="14347" width="8.44140625" style="2" customWidth="1"/>
    <col min="14348" max="14348" width="9.5546875" style="2" customWidth="1"/>
    <col min="14349" max="14354" width="9.109375" style="2" customWidth="1"/>
    <col min="14355" max="14595" width="9.109375" style="2"/>
    <col min="14596" max="14596" width="5.44140625" style="2" customWidth="1"/>
    <col min="14597" max="14597" width="5" style="2" customWidth="1"/>
    <col min="14598" max="14598" width="45.5546875" style="2" customWidth="1"/>
    <col min="14599" max="14599" width="10.44140625" style="2" customWidth="1"/>
    <col min="14600" max="14600" width="8.44140625" style="2" customWidth="1"/>
    <col min="14601" max="14601" width="8.109375" style="2" customWidth="1"/>
    <col min="14602" max="14603" width="8.44140625" style="2" customWidth="1"/>
    <col min="14604" max="14604" width="9.5546875" style="2" customWidth="1"/>
    <col min="14605" max="14610" width="9.109375" style="2" customWidth="1"/>
    <col min="14611" max="14851" width="9.109375" style="2"/>
    <col min="14852" max="14852" width="5.44140625" style="2" customWidth="1"/>
    <col min="14853" max="14853" width="5" style="2" customWidth="1"/>
    <col min="14854" max="14854" width="45.5546875" style="2" customWidth="1"/>
    <col min="14855" max="14855" width="10.44140625" style="2" customWidth="1"/>
    <col min="14856" max="14856" width="8.44140625" style="2" customWidth="1"/>
    <col min="14857" max="14857" width="8.109375" style="2" customWidth="1"/>
    <col min="14858" max="14859" width="8.44140625" style="2" customWidth="1"/>
    <col min="14860" max="14860" width="9.5546875" style="2" customWidth="1"/>
    <col min="14861" max="14866" width="9.109375" style="2" customWidth="1"/>
    <col min="14867" max="15107" width="9.109375" style="2"/>
    <col min="15108" max="15108" width="5.44140625" style="2" customWidth="1"/>
    <col min="15109" max="15109" width="5" style="2" customWidth="1"/>
    <col min="15110" max="15110" width="45.5546875" style="2" customWidth="1"/>
    <col min="15111" max="15111" width="10.44140625" style="2" customWidth="1"/>
    <col min="15112" max="15112" width="8.44140625" style="2" customWidth="1"/>
    <col min="15113" max="15113" width="8.109375" style="2" customWidth="1"/>
    <col min="15114" max="15115" width="8.44140625" style="2" customWidth="1"/>
    <col min="15116" max="15116" width="9.5546875" style="2" customWidth="1"/>
    <col min="15117" max="15122" width="9.109375" style="2" customWidth="1"/>
    <col min="15123" max="15363" width="9.109375" style="2"/>
    <col min="15364" max="15364" width="5.44140625" style="2" customWidth="1"/>
    <col min="15365" max="15365" width="5" style="2" customWidth="1"/>
    <col min="15366" max="15366" width="45.5546875" style="2" customWidth="1"/>
    <col min="15367" max="15367" width="10.44140625" style="2" customWidth="1"/>
    <col min="15368" max="15368" width="8.44140625" style="2" customWidth="1"/>
    <col min="15369" max="15369" width="8.109375" style="2" customWidth="1"/>
    <col min="15370" max="15371" width="8.44140625" style="2" customWidth="1"/>
    <col min="15372" max="15372" width="9.5546875" style="2" customWidth="1"/>
    <col min="15373" max="15378" width="9.109375" style="2" customWidth="1"/>
    <col min="15379" max="15619" width="9.109375" style="2"/>
    <col min="15620" max="15620" width="5.44140625" style="2" customWidth="1"/>
    <col min="15621" max="15621" width="5" style="2" customWidth="1"/>
    <col min="15622" max="15622" width="45.5546875" style="2" customWidth="1"/>
    <col min="15623" max="15623" width="10.44140625" style="2" customWidth="1"/>
    <col min="15624" max="15624" width="8.44140625" style="2" customWidth="1"/>
    <col min="15625" max="15625" width="8.109375" style="2" customWidth="1"/>
    <col min="15626" max="15627" width="8.44140625" style="2" customWidth="1"/>
    <col min="15628" max="15628" width="9.5546875" style="2" customWidth="1"/>
    <col min="15629" max="15634" width="9.109375" style="2" customWidth="1"/>
    <col min="15635" max="15875" width="9.109375" style="2"/>
    <col min="15876" max="15876" width="5.44140625" style="2" customWidth="1"/>
    <col min="15877" max="15877" width="5" style="2" customWidth="1"/>
    <col min="15878" max="15878" width="45.5546875" style="2" customWidth="1"/>
    <col min="15879" max="15879" width="10.44140625" style="2" customWidth="1"/>
    <col min="15880" max="15880" width="8.44140625" style="2" customWidth="1"/>
    <col min="15881" max="15881" width="8.109375" style="2" customWidth="1"/>
    <col min="15882" max="15883" width="8.44140625" style="2" customWidth="1"/>
    <col min="15884" max="15884" width="9.5546875" style="2" customWidth="1"/>
    <col min="15885" max="15890" width="9.109375" style="2" customWidth="1"/>
    <col min="15891" max="16131" width="9.109375" style="2"/>
    <col min="16132" max="16132" width="5.44140625" style="2" customWidth="1"/>
    <col min="16133" max="16133" width="5" style="2" customWidth="1"/>
    <col min="16134" max="16134" width="45.5546875" style="2" customWidth="1"/>
    <col min="16135" max="16135" width="10.44140625" style="2" customWidth="1"/>
    <col min="16136" max="16136" width="8.44140625" style="2" customWidth="1"/>
    <col min="16137" max="16137" width="8.109375" style="2" customWidth="1"/>
    <col min="16138" max="16139" width="8.44140625" style="2" customWidth="1"/>
    <col min="16140" max="16140" width="9.5546875" style="2" customWidth="1"/>
    <col min="16141" max="16146" width="9.109375" style="2" customWidth="1"/>
    <col min="16147" max="16384" width="9.109375" style="2"/>
  </cols>
  <sheetData>
    <row r="1" spans="1:22" ht="15.75" customHeight="1" x14ac:dyDescent="0.3">
      <c r="C1" s="306" t="s">
        <v>794</v>
      </c>
      <c r="D1" s="306"/>
      <c r="E1" s="306"/>
      <c r="F1" s="306"/>
      <c r="G1" s="306"/>
      <c r="H1" s="306"/>
      <c r="I1" s="306"/>
      <c r="J1" s="306"/>
      <c r="K1" s="306"/>
      <c r="L1" s="306"/>
    </row>
    <row r="2" spans="1:22" ht="15.75" customHeight="1" x14ac:dyDescent="0.3">
      <c r="C2" s="306" t="s">
        <v>795</v>
      </c>
      <c r="D2" s="306"/>
      <c r="E2" s="306"/>
      <c r="F2" s="306"/>
      <c r="G2" s="306"/>
      <c r="H2" s="306"/>
      <c r="I2" s="306"/>
      <c r="J2" s="306"/>
      <c r="K2" s="306"/>
      <c r="L2" s="306"/>
    </row>
    <row r="3" spans="1:22" ht="15.6" x14ac:dyDescent="0.25">
      <c r="B3" s="3"/>
      <c r="E3" s="307" t="s">
        <v>796</v>
      </c>
      <c r="F3" s="307"/>
      <c r="G3" s="307"/>
      <c r="H3" s="307"/>
      <c r="I3" s="307"/>
      <c r="J3" s="307"/>
      <c r="K3" s="307"/>
      <c r="L3" s="307"/>
    </row>
    <row r="4" spans="1:22" ht="15.6" x14ac:dyDescent="0.25">
      <c r="B4" s="3"/>
      <c r="E4" s="5"/>
      <c r="F4" s="5"/>
      <c r="G4" s="5"/>
      <c r="H4" s="5"/>
      <c r="I4" s="5"/>
      <c r="J4" s="5"/>
      <c r="K4" s="5"/>
      <c r="L4" s="2"/>
    </row>
    <row r="5" spans="1:22" ht="27" customHeight="1" x14ac:dyDescent="0.25">
      <c r="A5" s="308" t="s">
        <v>490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2"/>
    </row>
    <row r="6" spans="1:22" ht="15" customHeight="1" x14ac:dyDescent="0.25">
      <c r="B6" s="3"/>
      <c r="E6" s="132"/>
      <c r="F6" s="132"/>
      <c r="G6" s="132"/>
      <c r="H6" s="132"/>
      <c r="I6" s="309" t="s">
        <v>1</v>
      </c>
      <c r="J6" s="309"/>
      <c r="K6" s="309"/>
      <c r="L6" s="309"/>
    </row>
    <row r="7" spans="1:22" ht="12.75" customHeight="1" x14ac:dyDescent="0.25">
      <c r="A7" s="297" t="s">
        <v>466</v>
      </c>
      <c r="B7" s="300" t="s">
        <v>3</v>
      </c>
      <c r="C7" s="297" t="s">
        <v>4</v>
      </c>
      <c r="D7" s="303" t="s">
        <v>5</v>
      </c>
      <c r="E7" s="314" t="s">
        <v>6</v>
      </c>
      <c r="F7" s="316"/>
      <c r="G7" s="318" t="s">
        <v>7</v>
      </c>
      <c r="H7" s="319"/>
      <c r="I7" s="319"/>
      <c r="J7" s="319"/>
      <c r="K7" s="319"/>
      <c r="L7" s="320"/>
    </row>
    <row r="8" spans="1:22" ht="12.75" customHeight="1" x14ac:dyDescent="0.25">
      <c r="A8" s="298"/>
      <c r="B8" s="301"/>
      <c r="C8" s="298"/>
      <c r="D8" s="304"/>
      <c r="E8" s="315"/>
      <c r="F8" s="317"/>
      <c r="G8" s="318" t="s">
        <v>8</v>
      </c>
      <c r="H8" s="319"/>
      <c r="I8" s="319"/>
      <c r="J8" s="320"/>
      <c r="K8" s="310" t="s">
        <v>9</v>
      </c>
      <c r="L8" s="311"/>
    </row>
    <row r="9" spans="1:22" ht="22.2" customHeight="1" x14ac:dyDescent="0.25">
      <c r="A9" s="298"/>
      <c r="B9" s="301"/>
      <c r="C9" s="298"/>
      <c r="D9" s="304"/>
      <c r="E9" s="297" t="s">
        <v>10</v>
      </c>
      <c r="F9" s="297" t="s">
        <v>11</v>
      </c>
      <c r="G9" s="310" t="s">
        <v>12</v>
      </c>
      <c r="H9" s="311"/>
      <c r="I9" s="312" t="s">
        <v>13</v>
      </c>
      <c r="J9" s="313"/>
      <c r="K9" s="297" t="s">
        <v>10</v>
      </c>
      <c r="L9" s="323" t="s">
        <v>11</v>
      </c>
    </row>
    <row r="10" spans="1:22" ht="21.6" customHeight="1" x14ac:dyDescent="0.25">
      <c r="A10" s="299"/>
      <c r="B10" s="302"/>
      <c r="C10" s="299"/>
      <c r="D10" s="305"/>
      <c r="E10" s="299"/>
      <c r="F10" s="299"/>
      <c r="G10" s="7" t="s">
        <v>491</v>
      </c>
      <c r="H10" s="7" t="s">
        <v>11</v>
      </c>
      <c r="I10" s="7" t="s">
        <v>10</v>
      </c>
      <c r="J10" s="7" t="s">
        <v>487</v>
      </c>
      <c r="K10" s="299"/>
      <c r="L10" s="324"/>
    </row>
    <row r="11" spans="1:22" x14ac:dyDescent="0.25">
      <c r="A11" s="98">
        <v>1</v>
      </c>
      <c r="B11" s="231" t="s">
        <v>14</v>
      </c>
      <c r="C11" s="7">
        <v>3</v>
      </c>
      <c r="D11" s="9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7">
        <v>11</v>
      </c>
      <c r="L11" s="10">
        <v>12</v>
      </c>
    </row>
    <row r="12" spans="1:22" ht="20.100000000000001" customHeight="1" x14ac:dyDescent="0.25">
      <c r="A12" s="11">
        <v>1</v>
      </c>
      <c r="B12" s="231" t="s">
        <v>15</v>
      </c>
      <c r="C12" s="12" t="s">
        <v>16</v>
      </c>
      <c r="D12" s="9"/>
      <c r="E12" s="13">
        <f>+G12+K12</f>
        <v>720.2</v>
      </c>
      <c r="F12" s="13">
        <f t="shared" ref="E12:G53" si="0">+H12+L12</f>
        <v>585.79999999999995</v>
      </c>
      <c r="G12" s="13">
        <f t="shared" ref="G12:L12" si="1">+G13+G15+G17+G19+G23+G24</f>
        <v>335.6</v>
      </c>
      <c r="H12" s="13">
        <f t="shared" si="1"/>
        <v>272.5</v>
      </c>
      <c r="I12" s="13">
        <f t="shared" si="1"/>
        <v>22.4</v>
      </c>
      <c r="J12" s="13">
        <f t="shared" si="1"/>
        <v>19.3</v>
      </c>
      <c r="K12" s="13">
        <f t="shared" si="1"/>
        <v>384.6</v>
      </c>
      <c r="L12" s="13">
        <f t="shared" si="1"/>
        <v>313.3</v>
      </c>
      <c r="N12" s="14"/>
      <c r="O12" s="14"/>
      <c r="P12" s="14"/>
      <c r="Q12" s="14"/>
      <c r="R12" s="14"/>
      <c r="S12" s="14"/>
      <c r="T12" s="14"/>
      <c r="U12" s="14"/>
      <c r="V12" s="14"/>
    </row>
    <row r="13" spans="1:22" ht="13.5" customHeight="1" x14ac:dyDescent="0.25">
      <c r="A13" s="133">
        <v>2</v>
      </c>
      <c r="B13" s="134"/>
      <c r="C13" s="38" t="s">
        <v>492</v>
      </c>
      <c r="D13" s="232" t="s">
        <v>29</v>
      </c>
      <c r="E13" s="17">
        <f t="shared" si="0"/>
        <v>17.8</v>
      </c>
      <c r="F13" s="166">
        <f t="shared" si="0"/>
        <v>14.3</v>
      </c>
      <c r="G13" s="17">
        <f t="shared" ref="G13:L13" si="2">+G14</f>
        <v>2.2999999999999998</v>
      </c>
      <c r="H13" s="17">
        <f t="shared" si="2"/>
        <v>2.2999999999999998</v>
      </c>
      <c r="I13" s="17">
        <f t="shared" si="2"/>
        <v>2.2999999999999998</v>
      </c>
      <c r="J13" s="17">
        <f t="shared" si="2"/>
        <v>2.2999999999999998</v>
      </c>
      <c r="K13" s="17">
        <f t="shared" si="2"/>
        <v>15.5</v>
      </c>
      <c r="L13" s="17">
        <f t="shared" si="2"/>
        <v>12</v>
      </c>
      <c r="O13" s="14"/>
      <c r="P13" s="14"/>
      <c r="Q13" s="14"/>
      <c r="R13" s="14"/>
      <c r="S13" s="14"/>
      <c r="T13" s="14"/>
      <c r="U13" s="14"/>
      <c r="V13" s="14"/>
    </row>
    <row r="14" spans="1:22" ht="13.5" customHeight="1" x14ac:dyDescent="0.25">
      <c r="A14" s="133" t="s">
        <v>493</v>
      </c>
      <c r="B14" s="134"/>
      <c r="C14" s="44" t="s">
        <v>494</v>
      </c>
      <c r="D14" s="232"/>
      <c r="E14" s="17">
        <f t="shared" si="0"/>
        <v>17.8</v>
      </c>
      <c r="F14" s="166">
        <f t="shared" si="0"/>
        <v>14.3</v>
      </c>
      <c r="G14" s="17">
        <v>2.2999999999999998</v>
      </c>
      <c r="H14" s="17">
        <v>2.2999999999999998</v>
      </c>
      <c r="I14" s="17">
        <v>2.2999999999999998</v>
      </c>
      <c r="J14" s="17">
        <v>2.2999999999999998</v>
      </c>
      <c r="K14" s="17">
        <v>15.5</v>
      </c>
      <c r="L14" s="135">
        <v>12</v>
      </c>
      <c r="O14" s="14"/>
      <c r="P14" s="14"/>
      <c r="Q14" s="14"/>
      <c r="R14" s="14"/>
      <c r="S14" s="14"/>
      <c r="T14" s="14"/>
      <c r="U14" s="14"/>
      <c r="V14" s="14"/>
    </row>
    <row r="15" spans="1:22" ht="13.5" customHeight="1" x14ac:dyDescent="0.25">
      <c r="A15" s="133">
        <v>3</v>
      </c>
      <c r="B15" s="134"/>
      <c r="C15" s="38" t="s">
        <v>35</v>
      </c>
      <c r="D15" s="232" t="s">
        <v>29</v>
      </c>
      <c r="E15" s="17">
        <f t="shared" si="0"/>
        <v>15.4</v>
      </c>
      <c r="F15" s="166">
        <f t="shared" si="0"/>
        <v>15.200000000000001</v>
      </c>
      <c r="G15" s="17">
        <f t="shared" ref="G15:L15" si="3">+G16</f>
        <v>10.5</v>
      </c>
      <c r="H15" s="17">
        <f t="shared" si="3"/>
        <v>10.3</v>
      </c>
      <c r="I15" s="17">
        <f t="shared" si="3"/>
        <v>4.9000000000000004</v>
      </c>
      <c r="J15" s="17">
        <f t="shared" si="3"/>
        <v>4.9000000000000004</v>
      </c>
      <c r="K15" s="17">
        <f t="shared" si="3"/>
        <v>4.9000000000000004</v>
      </c>
      <c r="L15" s="17">
        <f t="shared" si="3"/>
        <v>4.9000000000000004</v>
      </c>
      <c r="O15" s="14"/>
      <c r="P15" s="14"/>
      <c r="Q15" s="14"/>
      <c r="R15" s="14"/>
      <c r="S15" s="14"/>
      <c r="T15" s="14"/>
      <c r="U15" s="14"/>
      <c r="V15" s="14"/>
    </row>
    <row r="16" spans="1:22" ht="13.5" customHeight="1" x14ac:dyDescent="0.25">
      <c r="A16" s="133" t="s">
        <v>495</v>
      </c>
      <c r="B16" s="134"/>
      <c r="C16" s="44" t="s">
        <v>494</v>
      </c>
      <c r="D16" s="232"/>
      <c r="E16" s="17">
        <f t="shared" si="0"/>
        <v>15.4</v>
      </c>
      <c r="F16" s="166">
        <f t="shared" si="0"/>
        <v>15.200000000000001</v>
      </c>
      <c r="G16" s="17">
        <v>10.5</v>
      </c>
      <c r="H16" s="17">
        <v>10.3</v>
      </c>
      <c r="I16" s="17">
        <v>4.9000000000000004</v>
      </c>
      <c r="J16" s="17">
        <v>4.9000000000000004</v>
      </c>
      <c r="K16" s="17">
        <v>4.9000000000000004</v>
      </c>
      <c r="L16" s="135">
        <v>4.9000000000000004</v>
      </c>
      <c r="O16" s="14"/>
      <c r="P16" s="14"/>
      <c r="Q16" s="14"/>
      <c r="R16" s="14"/>
      <c r="S16" s="14"/>
      <c r="T16" s="14"/>
      <c r="U16" s="14"/>
      <c r="V16" s="14"/>
    </row>
    <row r="17" spans="1:22" ht="13.5" customHeight="1" x14ac:dyDescent="0.25">
      <c r="A17" s="133">
        <v>4</v>
      </c>
      <c r="B17" s="134"/>
      <c r="C17" s="38" t="s">
        <v>41</v>
      </c>
      <c r="D17" s="232" t="s">
        <v>37</v>
      </c>
      <c r="E17" s="17">
        <f t="shared" si="0"/>
        <v>12.6</v>
      </c>
      <c r="F17" s="166">
        <f t="shared" si="0"/>
        <v>10.8</v>
      </c>
      <c r="G17" s="17">
        <f t="shared" ref="G17:L17" si="4">+G18</f>
        <v>6.3</v>
      </c>
      <c r="H17" s="17">
        <f t="shared" si="4"/>
        <v>4.8</v>
      </c>
      <c r="I17" s="17">
        <f t="shared" si="4"/>
        <v>2.2999999999999998</v>
      </c>
      <c r="J17" s="17">
        <f t="shared" si="4"/>
        <v>2.2999999999999998</v>
      </c>
      <c r="K17" s="17">
        <f t="shared" si="4"/>
        <v>6.3</v>
      </c>
      <c r="L17" s="17">
        <f t="shared" si="4"/>
        <v>6</v>
      </c>
      <c r="O17" s="14"/>
      <c r="P17" s="14"/>
      <c r="Q17" s="14"/>
      <c r="R17" s="14"/>
      <c r="S17" s="14"/>
      <c r="T17" s="14"/>
      <c r="U17" s="14"/>
      <c r="V17" s="14"/>
    </row>
    <row r="18" spans="1:22" ht="13.5" customHeight="1" x14ac:dyDescent="0.25">
      <c r="A18" s="133" t="s">
        <v>496</v>
      </c>
      <c r="B18" s="134"/>
      <c r="C18" s="44" t="s">
        <v>494</v>
      </c>
      <c r="D18" s="232"/>
      <c r="E18" s="17">
        <f t="shared" si="0"/>
        <v>12.6</v>
      </c>
      <c r="F18" s="166">
        <f t="shared" si="0"/>
        <v>10.8</v>
      </c>
      <c r="G18" s="17">
        <v>6.3</v>
      </c>
      <c r="H18" s="17">
        <v>4.8</v>
      </c>
      <c r="I18" s="17">
        <v>2.2999999999999998</v>
      </c>
      <c r="J18" s="17">
        <v>2.2999999999999998</v>
      </c>
      <c r="K18" s="17">
        <v>6.3</v>
      </c>
      <c r="L18" s="135">
        <v>6</v>
      </c>
      <c r="O18" s="14"/>
      <c r="P18" s="14"/>
      <c r="Q18" s="14"/>
      <c r="R18" s="14"/>
      <c r="S18" s="14"/>
      <c r="T18" s="14"/>
      <c r="U18" s="14"/>
      <c r="V18" s="14"/>
    </row>
    <row r="19" spans="1:22" ht="13.5" customHeight="1" x14ac:dyDescent="0.25">
      <c r="A19" s="133">
        <v>5</v>
      </c>
      <c r="B19" s="134"/>
      <c r="C19" s="38" t="s">
        <v>497</v>
      </c>
      <c r="D19" s="232"/>
      <c r="E19" s="17">
        <f t="shared" si="0"/>
        <v>63</v>
      </c>
      <c r="F19" s="166">
        <f t="shared" si="0"/>
        <v>54.900000000000006</v>
      </c>
      <c r="G19" s="17">
        <f t="shared" ref="G19:L19" si="5">SUM(G20:G22)</f>
        <v>55</v>
      </c>
      <c r="H19" s="17">
        <f t="shared" si="5"/>
        <v>52.2</v>
      </c>
      <c r="I19" s="17">
        <f t="shared" si="5"/>
        <v>10</v>
      </c>
      <c r="J19" s="17">
        <f t="shared" si="5"/>
        <v>7.8</v>
      </c>
      <c r="K19" s="17">
        <f t="shared" si="5"/>
        <v>8</v>
      </c>
      <c r="L19" s="17">
        <f t="shared" si="5"/>
        <v>2.7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26.25" customHeight="1" x14ac:dyDescent="0.25">
      <c r="A20" s="133" t="s">
        <v>498</v>
      </c>
      <c r="B20" s="134"/>
      <c r="C20" s="44" t="s">
        <v>499</v>
      </c>
      <c r="D20" s="232" t="s">
        <v>29</v>
      </c>
      <c r="E20" s="17">
        <f t="shared" si="0"/>
        <v>13</v>
      </c>
      <c r="F20" s="166">
        <f t="shared" si="0"/>
        <v>10.1</v>
      </c>
      <c r="G20" s="17">
        <v>10</v>
      </c>
      <c r="H20" s="17">
        <v>8.9</v>
      </c>
      <c r="I20" s="17">
        <v>2.5</v>
      </c>
      <c r="J20" s="17">
        <v>1.8</v>
      </c>
      <c r="K20" s="17">
        <v>3</v>
      </c>
      <c r="L20" s="135">
        <v>1.2</v>
      </c>
      <c r="N20" s="14"/>
      <c r="O20" s="14"/>
      <c r="P20" s="14"/>
      <c r="Q20" s="14"/>
      <c r="R20" s="14"/>
      <c r="S20" s="14"/>
      <c r="T20" s="14"/>
      <c r="U20" s="14"/>
      <c r="V20" s="14"/>
    </row>
    <row r="21" spans="1:22" ht="13.5" customHeight="1" x14ac:dyDescent="0.25">
      <c r="A21" s="133" t="s">
        <v>500</v>
      </c>
      <c r="B21" s="134"/>
      <c r="C21" s="44" t="s">
        <v>501</v>
      </c>
      <c r="D21" s="52" t="s">
        <v>49</v>
      </c>
      <c r="E21" s="17">
        <f t="shared" si="0"/>
        <v>20</v>
      </c>
      <c r="F21" s="166">
        <f t="shared" si="0"/>
        <v>17.2</v>
      </c>
      <c r="G21" s="17">
        <v>17.5</v>
      </c>
      <c r="H21" s="17">
        <v>16.5</v>
      </c>
      <c r="I21" s="17">
        <v>2.5</v>
      </c>
      <c r="J21" s="17">
        <v>1.7</v>
      </c>
      <c r="K21" s="17">
        <v>2.5</v>
      </c>
      <c r="L21" s="135">
        <v>0.7</v>
      </c>
      <c r="N21" s="14"/>
      <c r="O21" s="14"/>
      <c r="P21" s="14"/>
      <c r="Q21" s="14"/>
      <c r="R21" s="14"/>
      <c r="S21" s="14"/>
      <c r="T21" s="14"/>
      <c r="U21" s="14"/>
      <c r="V21" s="14"/>
    </row>
    <row r="22" spans="1:22" ht="13.5" customHeight="1" x14ac:dyDescent="0.25">
      <c r="A22" s="133" t="s">
        <v>502</v>
      </c>
      <c r="B22" s="134"/>
      <c r="C22" s="44" t="s">
        <v>503</v>
      </c>
      <c r="D22" s="52" t="s">
        <v>504</v>
      </c>
      <c r="E22" s="17">
        <f t="shared" si="0"/>
        <v>30</v>
      </c>
      <c r="F22" s="166">
        <f>+H22+L22</f>
        <v>27.6</v>
      </c>
      <c r="G22" s="17">
        <v>27.5</v>
      </c>
      <c r="H22" s="17">
        <v>26.8</v>
      </c>
      <c r="I22" s="17">
        <v>5</v>
      </c>
      <c r="J22" s="17">
        <v>4.3</v>
      </c>
      <c r="K22" s="17">
        <v>2.5</v>
      </c>
      <c r="L22" s="135">
        <v>0.8</v>
      </c>
      <c r="N22" s="14"/>
      <c r="O22" s="14"/>
      <c r="P22" s="14"/>
      <c r="Q22" s="14"/>
      <c r="R22" s="14"/>
      <c r="S22" s="14"/>
      <c r="T22" s="14"/>
      <c r="U22" s="14"/>
      <c r="V22" s="14"/>
    </row>
    <row r="23" spans="1:22" ht="13.5" customHeight="1" x14ac:dyDescent="0.25">
      <c r="A23" s="133">
        <v>6</v>
      </c>
      <c r="B23" s="68"/>
      <c r="C23" s="38" t="s">
        <v>54</v>
      </c>
      <c r="D23" s="26" t="s">
        <v>49</v>
      </c>
      <c r="E23" s="17">
        <f t="shared" si="0"/>
        <v>218</v>
      </c>
      <c r="F23" s="166">
        <f>+H23+L23</f>
        <v>161</v>
      </c>
      <c r="G23" s="17">
        <f>27.7+21.4+37.6+55.8+75.5</f>
        <v>218</v>
      </c>
      <c r="H23" s="17">
        <v>161</v>
      </c>
      <c r="I23" s="17"/>
      <c r="J23" s="17"/>
      <c r="K23" s="17"/>
      <c r="L23" s="135"/>
      <c r="O23" s="14"/>
      <c r="P23" s="14"/>
      <c r="Q23" s="14"/>
      <c r="R23" s="14"/>
      <c r="S23" s="14"/>
      <c r="T23" s="14"/>
      <c r="U23" s="14"/>
      <c r="V23" s="136"/>
    </row>
    <row r="24" spans="1:22" ht="18.75" customHeight="1" x14ac:dyDescent="0.25">
      <c r="A24" s="11">
        <v>7</v>
      </c>
      <c r="B24" s="232"/>
      <c r="C24" s="137" t="s">
        <v>505</v>
      </c>
      <c r="D24" s="232"/>
      <c r="E24" s="17">
        <f>+G24+K24</f>
        <v>393.40000000000003</v>
      </c>
      <c r="F24" s="166">
        <f>+H24+L24</f>
        <v>329.6</v>
      </c>
      <c r="G24" s="17">
        <f t="shared" ref="G24:L24" si="6">+G25+G26+G27+G28</f>
        <v>43.499999999999986</v>
      </c>
      <c r="H24" s="17">
        <f t="shared" si="6"/>
        <v>41.900000000000006</v>
      </c>
      <c r="I24" s="17">
        <f t="shared" si="6"/>
        <v>2.9</v>
      </c>
      <c r="J24" s="17">
        <f t="shared" si="6"/>
        <v>2</v>
      </c>
      <c r="K24" s="17">
        <f t="shared" si="6"/>
        <v>349.90000000000003</v>
      </c>
      <c r="L24" s="17">
        <f t="shared" si="6"/>
        <v>287.7</v>
      </c>
      <c r="O24" s="14"/>
      <c r="P24" s="14"/>
      <c r="Q24" s="14"/>
      <c r="R24" s="14"/>
      <c r="S24" s="14"/>
      <c r="T24" s="70"/>
      <c r="U24" s="14"/>
      <c r="V24" s="136"/>
    </row>
    <row r="25" spans="1:22" ht="27.75" customHeight="1" x14ac:dyDescent="0.25">
      <c r="A25" s="230" t="s">
        <v>506</v>
      </c>
      <c r="B25" s="138"/>
      <c r="C25" s="29" t="s">
        <v>60</v>
      </c>
      <c r="D25" s="52" t="s">
        <v>49</v>
      </c>
      <c r="E25" s="17">
        <f t="shared" si="0"/>
        <v>3</v>
      </c>
      <c r="F25" s="166">
        <f t="shared" si="0"/>
        <v>2</v>
      </c>
      <c r="G25" s="17">
        <f>0.5+0.3+0.5+0.7+1</f>
        <v>3</v>
      </c>
      <c r="H25" s="17">
        <v>2</v>
      </c>
      <c r="I25" s="17">
        <f>0.5+0.3+0.5+0.7+0.9</f>
        <v>2.9</v>
      </c>
      <c r="J25" s="17">
        <v>2</v>
      </c>
      <c r="K25" s="17"/>
      <c r="L25" s="135"/>
      <c r="O25" s="14"/>
      <c r="P25" s="14"/>
      <c r="Q25" s="14"/>
      <c r="R25" s="14"/>
      <c r="S25" s="14"/>
      <c r="T25" s="14"/>
      <c r="U25" s="14"/>
      <c r="V25" s="136"/>
    </row>
    <row r="26" spans="1:22" ht="26.4" x14ac:dyDescent="0.25">
      <c r="A26" s="230" t="s">
        <v>507</v>
      </c>
      <c r="B26" s="138"/>
      <c r="C26" s="38" t="s">
        <v>76</v>
      </c>
      <c r="D26" s="52" t="s">
        <v>20</v>
      </c>
      <c r="E26" s="139">
        <f t="shared" si="0"/>
        <v>128</v>
      </c>
      <c r="F26" s="166">
        <f t="shared" si="0"/>
        <v>127.8</v>
      </c>
      <c r="G26" s="139">
        <f>(57.1+85.7)-133.3+1-0.9</f>
        <v>9.6</v>
      </c>
      <c r="H26" s="139">
        <v>9.5</v>
      </c>
      <c r="I26" s="140"/>
      <c r="J26" s="140"/>
      <c r="K26" s="139">
        <f>133.3+12.7-1-26.6</f>
        <v>118.4</v>
      </c>
      <c r="L26" s="135">
        <v>118.3</v>
      </c>
      <c r="O26" s="14"/>
      <c r="P26" s="14"/>
      <c r="Q26" s="14"/>
      <c r="R26" s="14"/>
      <c r="S26" s="14"/>
      <c r="T26" s="14"/>
      <c r="U26" s="14"/>
      <c r="V26" s="14"/>
    </row>
    <row r="27" spans="1:22" ht="26.4" x14ac:dyDescent="0.25">
      <c r="A27" s="230" t="s">
        <v>508</v>
      </c>
      <c r="B27" s="138"/>
      <c r="C27" s="29" t="s">
        <v>78</v>
      </c>
      <c r="D27" s="52" t="s">
        <v>20</v>
      </c>
      <c r="E27" s="139">
        <f t="shared" si="0"/>
        <v>113.9</v>
      </c>
      <c r="F27" s="166">
        <f t="shared" si="0"/>
        <v>113.39999999999999</v>
      </c>
      <c r="G27" s="139">
        <f>(31+195.5)-219.8+1+1-1</f>
        <v>7.6999999999999886</v>
      </c>
      <c r="H27" s="139">
        <v>7.3</v>
      </c>
      <c r="I27" s="140"/>
      <c r="J27" s="140"/>
      <c r="K27" s="139">
        <f>219.8-1-1-111.6</f>
        <v>106.20000000000002</v>
      </c>
      <c r="L27" s="135">
        <v>106.1</v>
      </c>
      <c r="O27" s="14"/>
      <c r="P27" s="14"/>
      <c r="Q27" s="14"/>
      <c r="R27" s="14"/>
      <c r="S27" s="14"/>
      <c r="T27" s="14"/>
      <c r="U27" s="14"/>
      <c r="V27" s="136"/>
    </row>
    <row r="28" spans="1:22" ht="39.6" x14ac:dyDescent="0.25">
      <c r="A28" s="230" t="s">
        <v>509</v>
      </c>
      <c r="B28" s="232"/>
      <c r="C28" s="38" t="s">
        <v>74</v>
      </c>
      <c r="D28" s="232" t="s">
        <v>37</v>
      </c>
      <c r="E28" s="17">
        <f t="shared" si="0"/>
        <v>148.5</v>
      </c>
      <c r="F28" s="166">
        <f t="shared" si="0"/>
        <v>86.4</v>
      </c>
      <c r="G28" s="17">
        <f>(76.1+72.4)-127.7+2.4</f>
        <v>23.199999999999996</v>
      </c>
      <c r="H28" s="141">
        <f>23.1</f>
        <v>23.1</v>
      </c>
      <c r="I28" s="17"/>
      <c r="J28" s="17"/>
      <c r="K28" s="17">
        <f>127.7-2.4</f>
        <v>125.3</v>
      </c>
      <c r="L28" s="135">
        <v>63.3</v>
      </c>
      <c r="O28" s="14"/>
      <c r="P28" s="14"/>
      <c r="Q28" s="14"/>
      <c r="R28" s="14"/>
      <c r="S28" s="14"/>
      <c r="T28" s="14"/>
      <c r="U28" s="14"/>
      <c r="V28" s="136"/>
    </row>
    <row r="29" spans="1:22" x14ac:dyDescent="0.25">
      <c r="A29" s="230" t="s">
        <v>510</v>
      </c>
      <c r="B29" s="231" t="s">
        <v>93</v>
      </c>
      <c r="C29" s="42" t="s">
        <v>94</v>
      </c>
      <c r="D29" s="232"/>
      <c r="E29" s="142">
        <f t="shared" si="0"/>
        <v>174.7</v>
      </c>
      <c r="F29" s="13">
        <f t="shared" si="0"/>
        <v>161.4</v>
      </c>
      <c r="G29" s="142">
        <f t="shared" ref="G29:L29" si="7">+G30+G32</f>
        <v>73.2</v>
      </c>
      <c r="H29" s="142">
        <f t="shared" si="7"/>
        <v>60.7</v>
      </c>
      <c r="I29" s="142">
        <f t="shared" si="7"/>
        <v>1.7</v>
      </c>
      <c r="J29" s="142">
        <f t="shared" si="7"/>
        <v>1.7</v>
      </c>
      <c r="K29" s="142">
        <f t="shared" si="7"/>
        <v>101.5</v>
      </c>
      <c r="L29" s="142">
        <f t="shared" si="7"/>
        <v>100.7</v>
      </c>
      <c r="O29" s="14"/>
      <c r="P29" s="14"/>
      <c r="Q29" s="14"/>
      <c r="R29" s="14"/>
      <c r="S29" s="14"/>
      <c r="T29" s="14"/>
      <c r="U29" s="14"/>
      <c r="V29" s="136"/>
    </row>
    <row r="30" spans="1:22" ht="26.4" x14ac:dyDescent="0.25">
      <c r="A30" s="230" t="s">
        <v>511</v>
      </c>
      <c r="B30" s="231"/>
      <c r="C30" s="20" t="s">
        <v>95</v>
      </c>
      <c r="D30" s="232"/>
      <c r="E30" s="36">
        <f>+G30+K30</f>
        <v>48.2</v>
      </c>
      <c r="F30" s="166">
        <f t="shared" si="0"/>
        <v>45.300000000000004</v>
      </c>
      <c r="G30" s="36">
        <f t="shared" ref="G30:L30" si="8">+G31</f>
        <v>48.2</v>
      </c>
      <c r="H30" s="36">
        <f t="shared" si="8"/>
        <v>45.300000000000004</v>
      </c>
      <c r="I30" s="36">
        <f t="shared" si="8"/>
        <v>1.7</v>
      </c>
      <c r="J30" s="36">
        <f t="shared" si="8"/>
        <v>1.7</v>
      </c>
      <c r="K30" s="36">
        <f t="shared" si="8"/>
        <v>0</v>
      </c>
      <c r="L30" s="36">
        <f t="shared" si="8"/>
        <v>0</v>
      </c>
      <c r="O30" s="14"/>
      <c r="P30" s="14"/>
      <c r="Q30" s="14"/>
      <c r="R30" s="14"/>
      <c r="S30" s="14"/>
      <c r="T30" s="14"/>
      <c r="U30" s="14"/>
      <c r="V30" s="136"/>
    </row>
    <row r="31" spans="1:22" ht="26.4" x14ac:dyDescent="0.25">
      <c r="A31" s="230" t="s">
        <v>512</v>
      </c>
      <c r="B31" s="231"/>
      <c r="C31" s="44" t="s">
        <v>97</v>
      </c>
      <c r="D31" s="232" t="s">
        <v>98</v>
      </c>
      <c r="E31" s="36">
        <f>+G31+K31</f>
        <v>48.2</v>
      </c>
      <c r="F31" s="166">
        <f t="shared" si="0"/>
        <v>45.300000000000004</v>
      </c>
      <c r="G31" s="36">
        <v>48.2</v>
      </c>
      <c r="H31" s="36">
        <f>45.2+0.1</f>
        <v>45.300000000000004</v>
      </c>
      <c r="I31" s="36">
        <v>1.7</v>
      </c>
      <c r="J31" s="36">
        <v>1.7</v>
      </c>
      <c r="K31" s="36"/>
      <c r="L31" s="19"/>
      <c r="O31" s="14"/>
      <c r="P31" s="14"/>
      <c r="Q31" s="14"/>
      <c r="R31" s="14"/>
      <c r="S31" s="14"/>
      <c r="T31" s="14"/>
      <c r="U31" s="14"/>
      <c r="V31" s="136"/>
    </row>
    <row r="32" spans="1:22" x14ac:dyDescent="0.25">
      <c r="A32" s="230" t="s">
        <v>423</v>
      </c>
      <c r="B32" s="231"/>
      <c r="C32" s="137" t="s">
        <v>505</v>
      </c>
      <c r="D32" s="232"/>
      <c r="E32" s="17">
        <f t="shared" si="0"/>
        <v>126.5</v>
      </c>
      <c r="F32" s="166">
        <f t="shared" si="0"/>
        <v>116.10000000000001</v>
      </c>
      <c r="G32" s="17">
        <f t="shared" ref="G32:L32" si="9">+G33+G34</f>
        <v>25</v>
      </c>
      <c r="H32" s="17">
        <f t="shared" si="9"/>
        <v>15.4</v>
      </c>
      <c r="I32" s="17">
        <f t="shared" si="9"/>
        <v>0</v>
      </c>
      <c r="J32" s="17">
        <f t="shared" si="9"/>
        <v>0</v>
      </c>
      <c r="K32" s="17">
        <f t="shared" si="9"/>
        <v>101.5</v>
      </c>
      <c r="L32" s="17">
        <f t="shared" si="9"/>
        <v>100.7</v>
      </c>
      <c r="O32" s="14"/>
      <c r="P32" s="14"/>
      <c r="Q32" s="14"/>
      <c r="R32" s="14"/>
      <c r="S32" s="14"/>
      <c r="T32" s="14"/>
      <c r="U32" s="14"/>
      <c r="V32" s="136"/>
    </row>
    <row r="33" spans="1:22" ht="26.4" x14ac:dyDescent="0.25">
      <c r="A33" s="230" t="s">
        <v>513</v>
      </c>
      <c r="B33" s="231"/>
      <c r="C33" s="137" t="s">
        <v>514</v>
      </c>
      <c r="D33" s="232" t="s">
        <v>515</v>
      </c>
      <c r="E33" s="17">
        <f t="shared" si="0"/>
        <v>20</v>
      </c>
      <c r="F33" s="166">
        <f t="shared" si="0"/>
        <v>15.4</v>
      </c>
      <c r="G33" s="17">
        <v>20</v>
      </c>
      <c r="H33" s="17">
        <v>15.4</v>
      </c>
      <c r="I33" s="17"/>
      <c r="J33" s="17"/>
      <c r="K33" s="17"/>
      <c r="L33" s="19"/>
      <c r="O33" s="14"/>
      <c r="P33" s="14"/>
      <c r="Q33" s="14"/>
      <c r="R33" s="14"/>
      <c r="S33" s="14"/>
      <c r="T33" s="14"/>
      <c r="U33" s="14"/>
      <c r="V33" s="136"/>
    </row>
    <row r="34" spans="1:22" ht="45" customHeight="1" x14ac:dyDescent="0.25">
      <c r="A34" s="230" t="s">
        <v>516</v>
      </c>
      <c r="B34" s="231"/>
      <c r="C34" s="143" t="s">
        <v>140</v>
      </c>
      <c r="D34" s="232" t="s">
        <v>126</v>
      </c>
      <c r="E34" s="17">
        <f t="shared" si="0"/>
        <v>106.5</v>
      </c>
      <c r="F34" s="166">
        <f t="shared" si="0"/>
        <v>100.7</v>
      </c>
      <c r="G34" s="17">
        <f>128-104-19</f>
        <v>5</v>
      </c>
      <c r="H34" s="17">
        <v>0</v>
      </c>
      <c r="I34" s="17"/>
      <c r="J34" s="17"/>
      <c r="K34" s="17">
        <f>104-2.5</f>
        <v>101.5</v>
      </c>
      <c r="L34" s="135">
        <v>100.7</v>
      </c>
      <c r="O34" s="14"/>
      <c r="P34" s="14"/>
      <c r="Q34" s="14"/>
      <c r="R34" s="14"/>
      <c r="S34" s="14"/>
      <c r="T34" s="14"/>
      <c r="U34" s="14"/>
      <c r="V34" s="136"/>
    </row>
    <row r="35" spans="1:22" ht="15.75" customHeight="1" x14ac:dyDescent="0.25">
      <c r="A35" s="11">
        <v>11</v>
      </c>
      <c r="B35" s="231" t="s">
        <v>141</v>
      </c>
      <c r="C35" s="42" t="s">
        <v>142</v>
      </c>
      <c r="D35" s="232"/>
      <c r="E35" s="142">
        <f>+G35+K35</f>
        <v>610.09999999999991</v>
      </c>
      <c r="F35" s="13">
        <f t="shared" si="0"/>
        <v>523.9</v>
      </c>
      <c r="G35" s="142">
        <f t="shared" ref="G35:L35" si="10">+G36+G38</f>
        <v>384.9</v>
      </c>
      <c r="H35" s="142">
        <f t="shared" si="10"/>
        <v>304.7</v>
      </c>
      <c r="I35" s="142">
        <f t="shared" si="10"/>
        <v>92</v>
      </c>
      <c r="J35" s="142">
        <f t="shared" si="10"/>
        <v>92</v>
      </c>
      <c r="K35" s="142">
        <f t="shared" si="10"/>
        <v>225.2</v>
      </c>
      <c r="L35" s="142">
        <f t="shared" si="10"/>
        <v>219.2</v>
      </c>
      <c r="O35" s="14"/>
      <c r="P35" s="14"/>
      <c r="Q35" s="14"/>
      <c r="R35" s="14"/>
      <c r="S35" s="14"/>
      <c r="T35" s="14"/>
      <c r="U35" s="14"/>
      <c r="V35" s="136"/>
    </row>
    <row r="36" spans="1:22" ht="15.75" customHeight="1" x14ac:dyDescent="0.25">
      <c r="A36" s="11">
        <v>12</v>
      </c>
      <c r="B36" s="231"/>
      <c r="C36" s="16" t="s">
        <v>143</v>
      </c>
      <c r="D36" s="232"/>
      <c r="E36" s="36">
        <f>+G36+K36</f>
        <v>102</v>
      </c>
      <c r="F36" s="166">
        <f t="shared" si="0"/>
        <v>102</v>
      </c>
      <c r="G36" s="36">
        <f t="shared" ref="G36:L36" si="11">+G37</f>
        <v>102</v>
      </c>
      <c r="H36" s="36">
        <f t="shared" si="11"/>
        <v>102</v>
      </c>
      <c r="I36" s="36">
        <f t="shared" si="11"/>
        <v>92</v>
      </c>
      <c r="J36" s="36">
        <f t="shared" si="11"/>
        <v>92</v>
      </c>
      <c r="K36" s="36">
        <f t="shared" si="11"/>
        <v>0</v>
      </c>
      <c r="L36" s="36">
        <f t="shared" si="11"/>
        <v>0</v>
      </c>
      <c r="M36" s="14"/>
      <c r="N36" s="14"/>
      <c r="O36" s="14"/>
      <c r="P36" s="14"/>
      <c r="Q36" s="14"/>
      <c r="R36" s="14"/>
      <c r="S36" s="14"/>
      <c r="T36" s="14"/>
      <c r="U36" s="14"/>
      <c r="V36" s="136"/>
    </row>
    <row r="37" spans="1:22" ht="15.75" customHeight="1" x14ac:dyDescent="0.25">
      <c r="A37" s="11" t="s">
        <v>517</v>
      </c>
      <c r="B37" s="231"/>
      <c r="C37" s="49" t="s">
        <v>146</v>
      </c>
      <c r="D37" s="232" t="s">
        <v>175</v>
      </c>
      <c r="E37" s="36">
        <f>+G37+K37</f>
        <v>102</v>
      </c>
      <c r="F37" s="166">
        <f t="shared" si="0"/>
        <v>102</v>
      </c>
      <c r="G37" s="36">
        <v>102</v>
      </c>
      <c r="H37" s="36">
        <v>102</v>
      </c>
      <c r="I37" s="36">
        <v>92</v>
      </c>
      <c r="J37" s="36">
        <v>92</v>
      </c>
      <c r="K37" s="36"/>
      <c r="L37" s="19"/>
      <c r="O37" s="14"/>
      <c r="P37" s="14"/>
      <c r="Q37" s="14"/>
      <c r="R37" s="14"/>
      <c r="S37" s="14"/>
      <c r="T37" s="14"/>
      <c r="U37" s="14"/>
      <c r="V37" s="136"/>
    </row>
    <row r="38" spans="1:22" ht="15" customHeight="1" x14ac:dyDescent="0.25">
      <c r="A38" s="11">
        <v>13</v>
      </c>
      <c r="B38" s="231"/>
      <c r="C38" s="137" t="s">
        <v>505</v>
      </c>
      <c r="D38" s="232"/>
      <c r="E38" s="17">
        <f t="shared" si="0"/>
        <v>508.09999999999997</v>
      </c>
      <c r="F38" s="166">
        <f t="shared" si="0"/>
        <v>421.9</v>
      </c>
      <c r="G38" s="17">
        <f t="shared" ref="G38:L38" si="12">+G39+G40+G41</f>
        <v>282.89999999999998</v>
      </c>
      <c r="H38" s="17">
        <f t="shared" si="12"/>
        <v>202.7</v>
      </c>
      <c r="I38" s="17">
        <f t="shared" si="12"/>
        <v>0</v>
      </c>
      <c r="J38" s="17">
        <f t="shared" si="12"/>
        <v>0</v>
      </c>
      <c r="K38" s="17">
        <f t="shared" si="12"/>
        <v>225.2</v>
      </c>
      <c r="L38" s="17">
        <f t="shared" si="12"/>
        <v>219.2</v>
      </c>
      <c r="O38" s="14"/>
      <c r="P38" s="14"/>
      <c r="Q38" s="14"/>
      <c r="R38" s="14"/>
      <c r="S38" s="14"/>
      <c r="T38" s="14"/>
      <c r="U38" s="14"/>
      <c r="V38" s="136"/>
    </row>
    <row r="39" spans="1:22" ht="27.75" customHeight="1" x14ac:dyDescent="0.25">
      <c r="A39" s="230" t="s">
        <v>518</v>
      </c>
      <c r="B39" s="232"/>
      <c r="C39" s="38" t="s">
        <v>183</v>
      </c>
      <c r="D39" s="232" t="s">
        <v>149</v>
      </c>
      <c r="E39" s="17">
        <f t="shared" si="0"/>
        <v>118.1</v>
      </c>
      <c r="F39" s="166">
        <f t="shared" si="0"/>
        <v>117.80000000000001</v>
      </c>
      <c r="G39" s="17">
        <f>(28.3+100.7)-81-15-7.5</f>
        <v>25.5</v>
      </c>
      <c r="H39" s="17">
        <v>25.4</v>
      </c>
      <c r="I39" s="17"/>
      <c r="J39" s="17"/>
      <c r="K39" s="17">
        <f>81+15-3.4</f>
        <v>92.6</v>
      </c>
      <c r="L39" s="135">
        <v>92.4</v>
      </c>
      <c r="O39" s="14"/>
      <c r="P39" s="14"/>
      <c r="Q39" s="14"/>
      <c r="R39" s="14"/>
      <c r="S39" s="14"/>
      <c r="T39" s="14"/>
      <c r="U39" s="14"/>
      <c r="V39" s="14"/>
    </row>
    <row r="40" spans="1:22" x14ac:dyDescent="0.25">
      <c r="A40" s="230" t="s">
        <v>519</v>
      </c>
      <c r="B40" s="232"/>
      <c r="C40" s="38" t="s">
        <v>520</v>
      </c>
      <c r="D40" s="232" t="s">
        <v>521</v>
      </c>
      <c r="E40" s="17">
        <f t="shared" si="0"/>
        <v>90</v>
      </c>
      <c r="F40" s="166">
        <f t="shared" si="0"/>
        <v>71.7</v>
      </c>
      <c r="G40" s="17">
        <f>16.3+73.7</f>
        <v>90</v>
      </c>
      <c r="H40" s="17">
        <v>71.7</v>
      </c>
      <c r="I40" s="17"/>
      <c r="J40" s="17"/>
      <c r="K40" s="17"/>
      <c r="L40" s="19"/>
      <c r="O40" s="14"/>
      <c r="P40" s="14"/>
      <c r="Q40" s="14"/>
      <c r="R40" s="14"/>
      <c r="S40" s="14"/>
      <c r="T40" s="14"/>
      <c r="U40" s="14"/>
      <c r="V40" s="14"/>
    </row>
    <row r="41" spans="1:22" ht="26.4" x14ac:dyDescent="0.25">
      <c r="A41" s="230" t="s">
        <v>522</v>
      </c>
      <c r="B41" s="232"/>
      <c r="C41" s="38" t="s">
        <v>190</v>
      </c>
      <c r="D41" s="232" t="s">
        <v>151</v>
      </c>
      <c r="E41" s="17">
        <f t="shared" si="0"/>
        <v>300</v>
      </c>
      <c r="F41" s="166">
        <f t="shared" si="0"/>
        <v>232.39999999999998</v>
      </c>
      <c r="G41" s="17">
        <f>260-113.6+25-4</f>
        <v>167.4</v>
      </c>
      <c r="H41" s="17">
        <f>105.5+0.1</f>
        <v>105.6</v>
      </c>
      <c r="I41" s="17"/>
      <c r="J41" s="17"/>
      <c r="K41" s="17">
        <f>113.6+15+4</f>
        <v>132.6</v>
      </c>
      <c r="L41" s="135">
        <v>126.8</v>
      </c>
      <c r="M41" s="14"/>
      <c r="O41" s="14"/>
      <c r="P41" s="14"/>
      <c r="Q41" s="14"/>
      <c r="R41" s="14"/>
      <c r="S41" s="14"/>
      <c r="T41" s="14"/>
      <c r="U41" s="14"/>
      <c r="V41" s="14"/>
    </row>
    <row r="42" spans="1:22" x14ac:dyDescent="0.25">
      <c r="A42" s="230" t="s">
        <v>523</v>
      </c>
      <c r="B42" s="231" t="s">
        <v>204</v>
      </c>
      <c r="C42" s="42" t="s">
        <v>205</v>
      </c>
      <c r="D42" s="232"/>
      <c r="E42" s="142">
        <f>+G42+K42</f>
        <v>260.5</v>
      </c>
      <c r="F42" s="13">
        <f t="shared" si="0"/>
        <v>210.60000000000002</v>
      </c>
      <c r="G42" s="142">
        <f t="shared" ref="G42:L42" si="13">+G43</f>
        <v>9</v>
      </c>
      <c r="H42" s="142">
        <f t="shared" si="13"/>
        <v>1.3</v>
      </c>
      <c r="I42" s="142">
        <f t="shared" si="13"/>
        <v>0</v>
      </c>
      <c r="J42" s="142">
        <f t="shared" si="13"/>
        <v>0</v>
      </c>
      <c r="K42" s="142">
        <f t="shared" si="13"/>
        <v>251.5</v>
      </c>
      <c r="L42" s="142">
        <f t="shared" si="13"/>
        <v>209.3</v>
      </c>
      <c r="O42" s="14"/>
      <c r="P42" s="14"/>
      <c r="Q42" s="14"/>
      <c r="R42" s="14"/>
      <c r="S42" s="14"/>
      <c r="T42" s="14"/>
      <c r="U42" s="14"/>
      <c r="V42" s="136"/>
    </row>
    <row r="43" spans="1:22" x14ac:dyDescent="0.25">
      <c r="A43" s="230" t="s">
        <v>524</v>
      </c>
      <c r="B43" s="232"/>
      <c r="C43" s="137" t="s">
        <v>505</v>
      </c>
      <c r="D43" s="232"/>
      <c r="E43" s="17">
        <f>+G43+K43</f>
        <v>260.5</v>
      </c>
      <c r="F43" s="166">
        <f t="shared" si="0"/>
        <v>210.60000000000002</v>
      </c>
      <c r="G43" s="17">
        <f t="shared" ref="G43:L43" si="14">+G44+G45</f>
        <v>9</v>
      </c>
      <c r="H43" s="17">
        <f t="shared" si="14"/>
        <v>1.3</v>
      </c>
      <c r="I43" s="17">
        <f t="shared" si="14"/>
        <v>0</v>
      </c>
      <c r="J43" s="17">
        <f t="shared" si="14"/>
        <v>0</v>
      </c>
      <c r="K43" s="17">
        <f t="shared" si="14"/>
        <v>251.5</v>
      </c>
      <c r="L43" s="17">
        <f t="shared" si="14"/>
        <v>209.3</v>
      </c>
      <c r="O43" s="14"/>
      <c r="P43" s="14"/>
      <c r="Q43" s="14"/>
      <c r="R43" s="14"/>
      <c r="S43" s="14"/>
      <c r="T43" s="14"/>
      <c r="U43" s="14"/>
      <c r="V43" s="136"/>
    </row>
    <row r="44" spans="1:22" ht="26.4" x14ac:dyDescent="0.25">
      <c r="A44" s="230" t="s">
        <v>525</v>
      </c>
      <c r="B44" s="232"/>
      <c r="C44" s="38" t="s">
        <v>222</v>
      </c>
      <c r="D44" s="232" t="s">
        <v>49</v>
      </c>
      <c r="E44" s="17">
        <f t="shared" si="0"/>
        <v>241</v>
      </c>
      <c r="F44" s="166">
        <f t="shared" si="0"/>
        <v>210.60000000000002</v>
      </c>
      <c r="G44" s="17">
        <f>(0.1+244.9)-204-14.2-17.8</f>
        <v>9</v>
      </c>
      <c r="H44" s="17">
        <v>1.3</v>
      </c>
      <c r="I44" s="17"/>
      <c r="J44" s="17"/>
      <c r="K44" s="17">
        <f>204+14.2+13.8</f>
        <v>232</v>
      </c>
      <c r="L44" s="17">
        <v>209.3</v>
      </c>
      <c r="O44" s="14"/>
      <c r="P44" s="14"/>
      <c r="Q44" s="14"/>
      <c r="R44" s="14"/>
      <c r="S44" s="14"/>
      <c r="T44" s="14"/>
      <c r="U44" s="14"/>
      <c r="V44" s="136"/>
    </row>
    <row r="45" spans="1:22" ht="45" customHeight="1" x14ac:dyDescent="0.25">
      <c r="A45" s="230" t="s">
        <v>526</v>
      </c>
      <c r="B45" s="232"/>
      <c r="C45" s="20" t="s">
        <v>527</v>
      </c>
      <c r="D45" s="232" t="s">
        <v>528</v>
      </c>
      <c r="E45" s="17">
        <f t="shared" si="0"/>
        <v>19.5</v>
      </c>
      <c r="F45" s="166">
        <f t="shared" si="0"/>
        <v>0</v>
      </c>
      <c r="G45" s="13">
        <f t="shared" si="0"/>
        <v>0</v>
      </c>
      <c r="H45" s="17">
        <v>0</v>
      </c>
      <c r="I45" s="17"/>
      <c r="J45" s="17"/>
      <c r="K45" s="17">
        <v>19.5</v>
      </c>
      <c r="L45" s="135">
        <v>0</v>
      </c>
      <c r="O45" s="14"/>
      <c r="P45" s="14"/>
      <c r="Q45" s="14"/>
      <c r="R45" s="14"/>
      <c r="S45" s="14"/>
      <c r="T45" s="14"/>
      <c r="U45" s="14"/>
      <c r="V45" s="136"/>
    </row>
    <row r="46" spans="1:22" ht="16.5" customHeight="1" x14ac:dyDescent="0.25">
      <c r="A46" s="11">
        <v>16</v>
      </c>
      <c r="B46" s="231" t="s">
        <v>228</v>
      </c>
      <c r="C46" s="42" t="s">
        <v>229</v>
      </c>
      <c r="D46" s="7"/>
      <c r="E46" s="142">
        <f>+G46+K46</f>
        <v>262.2</v>
      </c>
      <c r="F46" s="13">
        <f t="shared" si="0"/>
        <v>222.5</v>
      </c>
      <c r="G46" s="142">
        <f t="shared" ref="G46:L46" si="15">+G47+G49</f>
        <v>65.599999999999994</v>
      </c>
      <c r="H46" s="142">
        <f t="shared" si="15"/>
        <v>30.4</v>
      </c>
      <c r="I46" s="142">
        <f t="shared" si="15"/>
        <v>2.4</v>
      </c>
      <c r="J46" s="142">
        <f t="shared" si="15"/>
        <v>2.4</v>
      </c>
      <c r="K46" s="142">
        <f t="shared" si="15"/>
        <v>196.6</v>
      </c>
      <c r="L46" s="142">
        <f t="shared" si="15"/>
        <v>192.1</v>
      </c>
      <c r="O46" s="14"/>
      <c r="P46" s="14"/>
      <c r="Q46" s="14"/>
      <c r="R46" s="14"/>
      <c r="S46" s="14"/>
      <c r="T46" s="14"/>
      <c r="U46" s="14"/>
      <c r="V46" s="136"/>
    </row>
    <row r="47" spans="1:22" ht="16.5" customHeight="1" x14ac:dyDescent="0.25">
      <c r="A47" s="11">
        <v>17</v>
      </c>
      <c r="B47" s="231"/>
      <c r="C47" s="144" t="s">
        <v>529</v>
      </c>
      <c r="D47" s="7"/>
      <c r="E47" s="36">
        <f>+G47+K47</f>
        <v>16</v>
      </c>
      <c r="F47" s="166">
        <f t="shared" si="0"/>
        <v>15.8</v>
      </c>
      <c r="G47" s="36">
        <f t="shared" ref="G47:L47" si="16">+G48</f>
        <v>12.6</v>
      </c>
      <c r="H47" s="36">
        <f t="shared" si="16"/>
        <v>12.4</v>
      </c>
      <c r="I47" s="36">
        <f t="shared" si="16"/>
        <v>2.4</v>
      </c>
      <c r="J47" s="36">
        <f t="shared" si="16"/>
        <v>2.4</v>
      </c>
      <c r="K47" s="36">
        <f t="shared" si="16"/>
        <v>3.4</v>
      </c>
      <c r="L47" s="145">
        <f t="shared" si="16"/>
        <v>3.4</v>
      </c>
      <c r="O47" s="14"/>
      <c r="P47" s="14"/>
      <c r="Q47" s="14"/>
      <c r="R47" s="14"/>
      <c r="S47" s="14"/>
      <c r="T47" s="14"/>
      <c r="U47" s="14"/>
      <c r="V47" s="136"/>
    </row>
    <row r="48" spans="1:22" ht="16.5" customHeight="1" x14ac:dyDescent="0.25">
      <c r="A48" s="11" t="s">
        <v>530</v>
      </c>
      <c r="B48" s="231"/>
      <c r="C48" s="146" t="s">
        <v>531</v>
      </c>
      <c r="D48" s="233" t="s">
        <v>231</v>
      </c>
      <c r="E48" s="36">
        <f>+G48+K48</f>
        <v>16</v>
      </c>
      <c r="F48" s="166">
        <f t="shared" si="0"/>
        <v>15.8</v>
      </c>
      <c r="G48" s="36">
        <v>12.6</v>
      </c>
      <c r="H48" s="36">
        <v>12.4</v>
      </c>
      <c r="I48" s="36">
        <v>2.4</v>
      </c>
      <c r="J48" s="36">
        <v>2.4</v>
      </c>
      <c r="K48" s="36">
        <v>3.4</v>
      </c>
      <c r="L48" s="135">
        <v>3.4</v>
      </c>
      <c r="O48" s="14"/>
      <c r="P48" s="14"/>
      <c r="Q48" s="14"/>
      <c r="R48" s="14"/>
      <c r="S48" s="14"/>
      <c r="T48" s="14"/>
      <c r="U48" s="14"/>
      <c r="V48" s="136"/>
    </row>
    <row r="49" spans="1:22" ht="15" customHeight="1" x14ac:dyDescent="0.25">
      <c r="A49" s="11">
        <v>18</v>
      </c>
      <c r="B49" s="231"/>
      <c r="C49" s="137" t="s">
        <v>505</v>
      </c>
      <c r="D49" s="232"/>
      <c r="E49" s="17">
        <f>+G49+K49</f>
        <v>246.2</v>
      </c>
      <c r="F49" s="166">
        <f t="shared" si="0"/>
        <v>206.7</v>
      </c>
      <c r="G49" s="17">
        <f>+G50+G51+G52+G53</f>
        <v>53</v>
      </c>
      <c r="H49" s="17">
        <f>+H50+H51+H52+H53</f>
        <v>18</v>
      </c>
      <c r="I49" s="17"/>
      <c r="J49" s="17"/>
      <c r="K49" s="17">
        <f>+K50+K51+K52+K53</f>
        <v>193.2</v>
      </c>
      <c r="L49" s="17">
        <f>+L50+L51+L52+L53</f>
        <v>188.7</v>
      </c>
      <c r="O49" s="14"/>
      <c r="P49" s="14"/>
      <c r="Q49" s="14"/>
      <c r="R49" s="14"/>
      <c r="S49" s="14"/>
      <c r="T49" s="14"/>
      <c r="U49" s="14"/>
      <c r="V49" s="136"/>
    </row>
    <row r="50" spans="1:22" ht="26.4" x14ac:dyDescent="0.25">
      <c r="A50" s="230" t="s">
        <v>532</v>
      </c>
      <c r="B50" s="232"/>
      <c r="C50" s="29" t="s">
        <v>258</v>
      </c>
      <c r="D50" s="233" t="s">
        <v>231</v>
      </c>
      <c r="E50" s="17">
        <f t="shared" si="0"/>
        <v>166</v>
      </c>
      <c r="F50" s="166">
        <f t="shared" si="0"/>
        <v>144.19999999999999</v>
      </c>
      <c r="G50" s="17">
        <f>(33.2+132.8)-126.5</f>
        <v>39.5</v>
      </c>
      <c r="H50" s="17">
        <v>17.7</v>
      </c>
      <c r="I50" s="17"/>
      <c r="J50" s="17"/>
      <c r="K50" s="17">
        <v>126.5</v>
      </c>
      <c r="L50" s="135">
        <v>126.5</v>
      </c>
      <c r="M50" s="14"/>
      <c r="N50" s="14"/>
      <c r="O50" s="14"/>
      <c r="P50" s="14"/>
      <c r="Q50" s="14"/>
      <c r="R50" s="14"/>
      <c r="S50" s="14"/>
      <c r="T50" s="14"/>
      <c r="U50" s="14"/>
      <c r="V50" s="136"/>
    </row>
    <row r="51" spans="1:22" ht="41.25" customHeight="1" x14ac:dyDescent="0.25">
      <c r="A51" s="230" t="s">
        <v>533</v>
      </c>
      <c r="B51" s="232"/>
      <c r="C51" s="29" t="s">
        <v>262</v>
      </c>
      <c r="D51" s="233" t="s">
        <v>231</v>
      </c>
      <c r="E51" s="17">
        <f t="shared" si="0"/>
        <v>4</v>
      </c>
      <c r="F51" s="166">
        <f t="shared" si="0"/>
        <v>0</v>
      </c>
      <c r="G51" s="17"/>
      <c r="H51" s="17"/>
      <c r="I51" s="17"/>
      <c r="J51" s="17"/>
      <c r="K51" s="17">
        <f>10-6</f>
        <v>4</v>
      </c>
      <c r="L51" s="135">
        <v>0</v>
      </c>
      <c r="O51" s="14"/>
      <c r="P51" s="14"/>
      <c r="Q51" s="14"/>
      <c r="R51" s="14"/>
      <c r="S51" s="14"/>
      <c r="T51" s="14"/>
      <c r="U51" s="14"/>
      <c r="V51" s="136"/>
    </row>
    <row r="52" spans="1:22" ht="26.4" x14ac:dyDescent="0.25">
      <c r="A52" s="230" t="s">
        <v>534</v>
      </c>
      <c r="B52" s="232"/>
      <c r="C52" s="29" t="s">
        <v>260</v>
      </c>
      <c r="D52" s="233" t="s">
        <v>231</v>
      </c>
      <c r="E52" s="17">
        <f t="shared" si="0"/>
        <v>25</v>
      </c>
      <c r="F52" s="166">
        <f t="shared" si="0"/>
        <v>24.9</v>
      </c>
      <c r="G52" s="17"/>
      <c r="H52" s="17"/>
      <c r="I52" s="17"/>
      <c r="J52" s="17"/>
      <c r="K52" s="17">
        <v>25</v>
      </c>
      <c r="L52" s="135">
        <v>24.9</v>
      </c>
      <c r="O52" s="14"/>
      <c r="P52" s="14"/>
      <c r="Q52" s="14"/>
      <c r="R52" s="14"/>
      <c r="S52" s="14"/>
      <c r="T52" s="14"/>
      <c r="U52" s="14"/>
      <c r="V52" s="136"/>
    </row>
    <row r="53" spans="1:22" ht="41.25" customHeight="1" x14ac:dyDescent="0.25">
      <c r="A53" s="230" t="s">
        <v>535</v>
      </c>
      <c r="B53" s="232"/>
      <c r="C53" s="29" t="s">
        <v>264</v>
      </c>
      <c r="D53" s="233" t="s">
        <v>231</v>
      </c>
      <c r="E53" s="17">
        <f t="shared" si="0"/>
        <v>51.2</v>
      </c>
      <c r="F53" s="166">
        <f t="shared" si="0"/>
        <v>37.599999999999994</v>
      </c>
      <c r="G53" s="17">
        <f>51.2-31.8-5.9</f>
        <v>13.500000000000002</v>
      </c>
      <c r="H53" s="17">
        <v>0.3</v>
      </c>
      <c r="I53" s="17"/>
      <c r="J53" s="17"/>
      <c r="K53" s="17">
        <f>31.8+5.9</f>
        <v>37.700000000000003</v>
      </c>
      <c r="L53" s="135">
        <v>37.299999999999997</v>
      </c>
      <c r="O53" s="14"/>
      <c r="P53" s="14"/>
      <c r="Q53" s="14"/>
      <c r="R53" s="14"/>
      <c r="S53" s="14"/>
      <c r="T53" s="14"/>
      <c r="U53" s="14"/>
      <c r="V53" s="136"/>
    </row>
    <row r="54" spans="1:22" ht="28.5" customHeight="1" x14ac:dyDescent="0.25">
      <c r="A54" s="11">
        <v>19</v>
      </c>
      <c r="B54" s="231" t="s">
        <v>268</v>
      </c>
      <c r="C54" s="71" t="s">
        <v>269</v>
      </c>
      <c r="D54" s="232"/>
      <c r="E54" s="142">
        <f>+G54+K54</f>
        <v>1978.6</v>
      </c>
      <c r="F54" s="13">
        <f t="shared" ref="F54:F82" si="17">+H54+L54</f>
        <v>1803.8999999999999</v>
      </c>
      <c r="G54" s="142">
        <f t="shared" ref="G54:L54" si="18">+G55+G57</f>
        <v>336.90000000000003</v>
      </c>
      <c r="H54" s="142">
        <f t="shared" si="18"/>
        <v>225.1</v>
      </c>
      <c r="I54" s="142">
        <f t="shared" si="18"/>
        <v>16.899999999999999</v>
      </c>
      <c r="J54" s="142">
        <f t="shared" si="18"/>
        <v>16.399999999999999</v>
      </c>
      <c r="K54" s="142">
        <f t="shared" si="18"/>
        <v>1641.6999999999998</v>
      </c>
      <c r="L54" s="142">
        <f t="shared" si="18"/>
        <v>1578.8</v>
      </c>
      <c r="O54" s="14"/>
      <c r="P54" s="14"/>
      <c r="Q54" s="14"/>
      <c r="R54" s="14"/>
      <c r="S54" s="14"/>
      <c r="T54" s="14"/>
      <c r="U54" s="14"/>
      <c r="V54" s="136"/>
    </row>
    <row r="55" spans="1:22" ht="28.5" customHeight="1" x14ac:dyDescent="0.25">
      <c r="A55" s="11">
        <v>20</v>
      </c>
      <c r="B55" s="231"/>
      <c r="C55" s="50" t="s">
        <v>270</v>
      </c>
      <c r="D55" s="232"/>
      <c r="E55" s="36">
        <f>+G55+K55</f>
        <v>374.6</v>
      </c>
      <c r="F55" s="166">
        <f t="shared" si="17"/>
        <v>225.5</v>
      </c>
      <c r="G55" s="36">
        <f t="shared" ref="G55:L55" si="19">+G56</f>
        <v>301</v>
      </c>
      <c r="H55" s="36">
        <f t="shared" si="19"/>
        <v>198.9</v>
      </c>
      <c r="I55" s="36">
        <f t="shared" si="19"/>
        <v>16.899999999999999</v>
      </c>
      <c r="J55" s="36">
        <f t="shared" si="19"/>
        <v>16.399999999999999</v>
      </c>
      <c r="K55" s="36">
        <f t="shared" si="19"/>
        <v>73.599999999999994</v>
      </c>
      <c r="L55" s="145">
        <f t="shared" si="19"/>
        <v>26.6</v>
      </c>
      <c r="M55" s="14"/>
      <c r="O55" s="14"/>
      <c r="P55" s="14"/>
      <c r="Q55" s="14"/>
      <c r="R55" s="14"/>
      <c r="S55" s="14"/>
      <c r="T55" s="14"/>
      <c r="U55" s="14"/>
      <c r="V55" s="136"/>
    </row>
    <row r="56" spans="1:22" ht="39.6" x14ac:dyDescent="0.25">
      <c r="A56" s="11" t="s">
        <v>536</v>
      </c>
      <c r="B56" s="231"/>
      <c r="C56" s="49" t="s">
        <v>271</v>
      </c>
      <c r="D56" s="232" t="s">
        <v>272</v>
      </c>
      <c r="E56" s="36">
        <f>+G56+K56</f>
        <v>374.6</v>
      </c>
      <c r="F56" s="166">
        <f t="shared" si="17"/>
        <v>225.5</v>
      </c>
      <c r="G56" s="36">
        <v>301</v>
      </c>
      <c r="H56" s="36">
        <v>198.9</v>
      </c>
      <c r="I56" s="36">
        <v>16.899999999999999</v>
      </c>
      <c r="J56" s="36">
        <v>16.399999999999999</v>
      </c>
      <c r="K56" s="36">
        <v>73.599999999999994</v>
      </c>
      <c r="L56" s="135">
        <v>26.6</v>
      </c>
      <c r="O56" s="14"/>
      <c r="P56" s="14"/>
      <c r="Q56" s="14"/>
      <c r="R56" s="14"/>
      <c r="S56" s="14"/>
      <c r="T56" s="14"/>
      <c r="U56" s="14"/>
      <c r="V56" s="136"/>
    </row>
    <row r="57" spans="1:22" ht="16.5" customHeight="1" x14ac:dyDescent="0.25">
      <c r="A57" s="11">
        <v>21</v>
      </c>
      <c r="B57" s="231"/>
      <c r="C57" s="29" t="s">
        <v>505</v>
      </c>
      <c r="D57" s="232"/>
      <c r="E57" s="17">
        <f>+G57+K57</f>
        <v>1604</v>
      </c>
      <c r="F57" s="13">
        <f t="shared" si="17"/>
        <v>1578.4</v>
      </c>
      <c r="G57" s="17">
        <f t="shared" ref="G57:L57" si="20">+G58+G59+G60+G61+G62+G63+G64</f>
        <v>35.90000000000002</v>
      </c>
      <c r="H57" s="17">
        <f t="shared" si="20"/>
        <v>26.2</v>
      </c>
      <c r="I57" s="17">
        <f t="shared" si="20"/>
        <v>0</v>
      </c>
      <c r="J57" s="17">
        <f t="shared" si="20"/>
        <v>0</v>
      </c>
      <c r="K57" s="17">
        <f t="shared" si="20"/>
        <v>1568.1</v>
      </c>
      <c r="L57" s="17">
        <f t="shared" si="20"/>
        <v>1552.2</v>
      </c>
      <c r="O57" s="14"/>
      <c r="P57" s="14"/>
      <c r="Q57" s="14"/>
      <c r="R57" s="14"/>
      <c r="S57" s="14"/>
      <c r="T57" s="14"/>
      <c r="U57" s="14"/>
      <c r="V57" s="136"/>
    </row>
    <row r="58" spans="1:22" ht="42.75" customHeight="1" x14ac:dyDescent="0.25">
      <c r="A58" s="230" t="s">
        <v>537</v>
      </c>
      <c r="B58" s="232"/>
      <c r="C58" s="38" t="s">
        <v>310</v>
      </c>
      <c r="D58" s="232" t="s">
        <v>538</v>
      </c>
      <c r="E58" s="17">
        <f t="shared" ref="E58:E81" si="21">+G58+K58</f>
        <v>40.700000000000003</v>
      </c>
      <c r="F58" s="166">
        <f t="shared" si="17"/>
        <v>32.700000000000003</v>
      </c>
      <c r="G58" s="17">
        <f>(9.1+92.9)-86.4+19.3-10.7</f>
        <v>24.199999999999992</v>
      </c>
      <c r="H58" s="141">
        <f>16.3</f>
        <v>16.3</v>
      </c>
      <c r="I58" s="17"/>
      <c r="J58" s="17"/>
      <c r="K58" s="17">
        <f>86.4-19.3-50.6</f>
        <v>16.500000000000007</v>
      </c>
      <c r="L58" s="135">
        <v>16.399999999999999</v>
      </c>
      <c r="M58" s="1"/>
      <c r="O58" s="14"/>
      <c r="P58" s="14"/>
      <c r="Q58" s="14"/>
      <c r="R58" s="14"/>
      <c r="S58" s="14"/>
      <c r="T58" s="14"/>
      <c r="U58" s="14"/>
      <c r="V58" s="136"/>
    </row>
    <row r="59" spans="1:22" ht="39" customHeight="1" x14ac:dyDescent="0.25">
      <c r="A59" s="230" t="s">
        <v>539</v>
      </c>
      <c r="B59" s="232"/>
      <c r="C59" s="147" t="s">
        <v>540</v>
      </c>
      <c r="D59" s="232" t="s">
        <v>287</v>
      </c>
      <c r="E59" s="17">
        <f t="shared" si="21"/>
        <v>1.7000000000000015</v>
      </c>
      <c r="F59" s="166">
        <f t="shared" si="17"/>
        <v>0.9</v>
      </c>
      <c r="G59" s="17">
        <f>18.1-0.1-16.9</f>
        <v>1.1000000000000014</v>
      </c>
      <c r="H59" s="17">
        <v>0.9</v>
      </c>
      <c r="I59" s="17"/>
      <c r="J59" s="17"/>
      <c r="K59" s="17">
        <f>0.1+0.5</f>
        <v>0.6</v>
      </c>
      <c r="L59" s="135">
        <v>0</v>
      </c>
      <c r="O59" s="14"/>
      <c r="P59" s="14"/>
      <c r="Q59" s="14"/>
      <c r="R59" s="14"/>
      <c r="S59" s="14"/>
      <c r="T59" s="14"/>
      <c r="U59" s="14"/>
      <c r="V59" s="136"/>
    </row>
    <row r="60" spans="1:22" ht="39.6" x14ac:dyDescent="0.25">
      <c r="A60" s="230" t="s">
        <v>541</v>
      </c>
      <c r="B60" s="232"/>
      <c r="C60" s="39" t="s">
        <v>542</v>
      </c>
      <c r="D60" s="232" t="s">
        <v>538</v>
      </c>
      <c r="E60" s="17">
        <f t="shared" si="21"/>
        <v>78.29999999999994</v>
      </c>
      <c r="F60" s="166">
        <f t="shared" si="17"/>
        <v>78.2</v>
      </c>
      <c r="G60" s="17">
        <f>(36.4+343.9)-374.4-1.2</f>
        <v>4.6999999999999771</v>
      </c>
      <c r="H60" s="17">
        <f>4.6+0.1</f>
        <v>4.6999999999999993</v>
      </c>
      <c r="I60" s="17"/>
      <c r="J60" s="17"/>
      <c r="K60" s="17">
        <f>374.4-284.3-16.5</f>
        <v>73.599999999999966</v>
      </c>
      <c r="L60" s="135">
        <v>73.5</v>
      </c>
      <c r="O60" s="14"/>
      <c r="P60" s="14"/>
      <c r="Q60" s="14"/>
      <c r="R60" s="14"/>
      <c r="S60" s="14"/>
      <c r="T60" s="14"/>
      <c r="U60" s="14"/>
      <c r="V60" s="14"/>
    </row>
    <row r="61" spans="1:22" ht="52.8" x14ac:dyDescent="0.25">
      <c r="A61" s="230" t="s">
        <v>543</v>
      </c>
      <c r="B61" s="232"/>
      <c r="C61" s="39" t="s">
        <v>300</v>
      </c>
      <c r="D61" s="148" t="s">
        <v>544</v>
      </c>
      <c r="E61" s="17">
        <f t="shared" si="21"/>
        <v>1328.1000000000001</v>
      </c>
      <c r="F61" s="166">
        <f t="shared" si="17"/>
        <v>1326.5</v>
      </c>
      <c r="G61" s="17">
        <f>(233.2+1219.8)-1445.3-4.6</f>
        <v>3.1000000000000458</v>
      </c>
      <c r="H61" s="17">
        <f>1.4+0.1</f>
        <v>1.5</v>
      </c>
      <c r="I61" s="17"/>
      <c r="J61" s="17"/>
      <c r="K61" s="17">
        <f>1445.3-120.3</f>
        <v>1325</v>
      </c>
      <c r="L61" s="135">
        <v>1325</v>
      </c>
      <c r="O61" s="14"/>
      <c r="P61" s="14"/>
      <c r="Q61" s="14"/>
      <c r="R61" s="14"/>
      <c r="S61" s="14"/>
      <c r="T61" s="14"/>
      <c r="U61" s="14"/>
      <c r="V61" s="136"/>
    </row>
    <row r="62" spans="1:22" ht="26.4" x14ac:dyDescent="0.25">
      <c r="A62" s="230" t="s">
        <v>545</v>
      </c>
      <c r="B62" s="232"/>
      <c r="C62" s="39" t="s">
        <v>302</v>
      </c>
      <c r="D62" s="148" t="s">
        <v>303</v>
      </c>
      <c r="E62" s="17">
        <f t="shared" si="21"/>
        <v>31.1</v>
      </c>
      <c r="F62" s="166">
        <f t="shared" si="17"/>
        <v>31</v>
      </c>
      <c r="G62" s="17">
        <f>(13.9+65.6)-76.3-0.4</f>
        <v>2.8000000000000029</v>
      </c>
      <c r="H62" s="17">
        <v>2.8</v>
      </c>
      <c r="I62" s="17"/>
      <c r="J62" s="17"/>
      <c r="K62" s="17">
        <f>76.3-48</f>
        <v>28.299999999999997</v>
      </c>
      <c r="L62" s="135">
        <v>28.2</v>
      </c>
      <c r="O62" s="14"/>
      <c r="P62" s="14"/>
      <c r="Q62" s="14"/>
      <c r="R62" s="14"/>
      <c r="S62" s="14"/>
      <c r="T62" s="14"/>
      <c r="U62" s="14"/>
      <c r="V62" s="136"/>
    </row>
    <row r="63" spans="1:22" ht="26.4" x14ac:dyDescent="0.25">
      <c r="A63" s="230" t="s">
        <v>546</v>
      </c>
      <c r="B63" s="232"/>
      <c r="C63" s="39" t="s">
        <v>547</v>
      </c>
      <c r="D63" s="148" t="s">
        <v>548</v>
      </c>
      <c r="E63" s="17">
        <f t="shared" si="21"/>
        <v>15</v>
      </c>
      <c r="F63" s="166">
        <f t="shared" si="17"/>
        <v>0</v>
      </c>
      <c r="G63" s="17"/>
      <c r="H63" s="17"/>
      <c r="I63" s="17"/>
      <c r="J63" s="17"/>
      <c r="K63" s="17">
        <v>15</v>
      </c>
      <c r="L63" s="135">
        <v>0</v>
      </c>
      <c r="O63" s="14"/>
      <c r="P63" s="14"/>
      <c r="Q63" s="14"/>
      <c r="R63" s="14"/>
      <c r="S63" s="14"/>
      <c r="T63" s="14"/>
      <c r="U63" s="14"/>
      <c r="V63" s="136"/>
    </row>
    <row r="64" spans="1:22" ht="26.4" x14ac:dyDescent="0.25">
      <c r="A64" s="230" t="s">
        <v>549</v>
      </c>
      <c r="B64" s="232"/>
      <c r="C64" s="39" t="s">
        <v>307</v>
      </c>
      <c r="D64" s="148" t="s">
        <v>308</v>
      </c>
      <c r="E64" s="17">
        <f t="shared" si="21"/>
        <v>109.09999999999998</v>
      </c>
      <c r="F64" s="166">
        <f t="shared" si="17"/>
        <v>109.1</v>
      </c>
      <c r="G64" s="17"/>
      <c r="H64" s="17"/>
      <c r="I64" s="17"/>
      <c r="J64" s="17"/>
      <c r="K64" s="17">
        <f>146.1+7.2-44.2</f>
        <v>109.09999999999998</v>
      </c>
      <c r="L64" s="135">
        <v>109.1</v>
      </c>
      <c r="O64" s="14"/>
      <c r="P64" s="14"/>
      <c r="Q64" s="14"/>
      <c r="R64" s="14"/>
      <c r="S64" s="14"/>
      <c r="T64" s="14"/>
      <c r="U64" s="14"/>
      <c r="V64" s="136"/>
    </row>
    <row r="65" spans="1:22" ht="22.5" customHeight="1" x14ac:dyDescent="0.25">
      <c r="A65" s="11">
        <v>22</v>
      </c>
      <c r="B65" s="231" t="s">
        <v>315</v>
      </c>
      <c r="C65" s="75" t="s">
        <v>316</v>
      </c>
      <c r="D65" s="232"/>
      <c r="E65" s="142">
        <f t="shared" si="21"/>
        <v>3742.2</v>
      </c>
      <c r="F65" s="13">
        <f t="shared" si="17"/>
        <v>3401.2999999999997</v>
      </c>
      <c r="G65" s="142">
        <f t="shared" ref="G65:L65" si="22">+G66</f>
        <v>22.900000000000006</v>
      </c>
      <c r="H65" s="142">
        <f t="shared" si="22"/>
        <v>15.699999999999998</v>
      </c>
      <c r="I65" s="142">
        <f t="shared" si="22"/>
        <v>0</v>
      </c>
      <c r="J65" s="142">
        <f t="shared" si="22"/>
        <v>0</v>
      </c>
      <c r="K65" s="142">
        <f t="shared" si="22"/>
        <v>3719.2999999999997</v>
      </c>
      <c r="L65" s="142">
        <f t="shared" si="22"/>
        <v>3385.6</v>
      </c>
      <c r="O65" s="14"/>
      <c r="P65" s="14"/>
      <c r="Q65" s="14"/>
      <c r="R65" s="14"/>
      <c r="S65" s="14"/>
      <c r="T65" s="14"/>
      <c r="U65" s="14"/>
      <c r="V65" s="136"/>
    </row>
    <row r="66" spans="1:22" x14ac:dyDescent="0.25">
      <c r="A66" s="11">
        <v>23</v>
      </c>
      <c r="B66" s="232"/>
      <c r="C66" s="137" t="s">
        <v>505</v>
      </c>
      <c r="D66" s="233"/>
      <c r="E66" s="17">
        <f t="shared" si="21"/>
        <v>3742.2</v>
      </c>
      <c r="F66" s="166">
        <f t="shared" si="17"/>
        <v>3401.2999999999997</v>
      </c>
      <c r="G66" s="17">
        <f t="shared" ref="G66:L66" si="23">+G67+G68+G69+G70+G71+G72+G73</f>
        <v>22.900000000000006</v>
      </c>
      <c r="H66" s="17">
        <f t="shared" si="23"/>
        <v>15.699999999999998</v>
      </c>
      <c r="I66" s="17">
        <f t="shared" si="23"/>
        <v>0</v>
      </c>
      <c r="J66" s="17">
        <f t="shared" si="23"/>
        <v>0</v>
      </c>
      <c r="K66" s="17">
        <f t="shared" si="23"/>
        <v>3719.2999999999997</v>
      </c>
      <c r="L66" s="17">
        <f t="shared" si="23"/>
        <v>3385.6</v>
      </c>
      <c r="O66" s="14"/>
      <c r="P66" s="14"/>
      <c r="Q66" s="14"/>
      <c r="R66" s="14"/>
      <c r="S66" s="14"/>
      <c r="T66" s="14"/>
      <c r="U66" s="14"/>
      <c r="V66" s="136"/>
    </row>
    <row r="67" spans="1:22" ht="32.25" customHeight="1" x14ac:dyDescent="0.25">
      <c r="A67" s="11" t="s">
        <v>550</v>
      </c>
      <c r="B67" s="232"/>
      <c r="C67" s="137" t="s">
        <v>551</v>
      </c>
      <c r="D67" s="233" t="s">
        <v>358</v>
      </c>
      <c r="E67" s="17">
        <f t="shared" si="21"/>
        <v>14.3</v>
      </c>
      <c r="F67" s="166">
        <f t="shared" si="17"/>
        <v>14.2</v>
      </c>
      <c r="G67" s="17"/>
      <c r="H67" s="17"/>
      <c r="I67" s="17"/>
      <c r="J67" s="17"/>
      <c r="K67" s="17">
        <v>14.3</v>
      </c>
      <c r="L67" s="135">
        <v>14.2</v>
      </c>
      <c r="O67" s="14"/>
      <c r="P67" s="14"/>
      <c r="Q67" s="14"/>
      <c r="R67" s="14"/>
      <c r="S67" s="14"/>
      <c r="T67" s="14"/>
      <c r="U67" s="14"/>
      <c r="V67" s="136"/>
    </row>
    <row r="68" spans="1:22" ht="39.6" x14ac:dyDescent="0.25">
      <c r="A68" s="230" t="s">
        <v>552</v>
      </c>
      <c r="B68" s="232"/>
      <c r="C68" s="149" t="s">
        <v>364</v>
      </c>
      <c r="D68" s="233" t="s">
        <v>553</v>
      </c>
      <c r="E68" s="17">
        <f t="shared" si="21"/>
        <v>242</v>
      </c>
      <c r="F68" s="166">
        <f t="shared" si="17"/>
        <v>241.3</v>
      </c>
      <c r="G68" s="17"/>
      <c r="H68" s="17"/>
      <c r="I68" s="17"/>
      <c r="J68" s="17"/>
      <c r="K68" s="17">
        <f>539-297</f>
        <v>242</v>
      </c>
      <c r="L68" s="135">
        <v>241.3</v>
      </c>
      <c r="O68" s="14"/>
      <c r="P68" s="14"/>
      <c r="Q68" s="14"/>
      <c r="R68" s="14"/>
      <c r="S68" s="14"/>
      <c r="T68" s="14"/>
      <c r="U68" s="14"/>
      <c r="V68" s="136"/>
    </row>
    <row r="69" spans="1:22" ht="26.4" x14ac:dyDescent="0.25">
      <c r="A69" s="11" t="s">
        <v>554</v>
      </c>
      <c r="B69" s="232"/>
      <c r="C69" s="20" t="s">
        <v>383</v>
      </c>
      <c r="D69" s="233" t="s">
        <v>384</v>
      </c>
      <c r="E69" s="17">
        <f t="shared" si="21"/>
        <v>1093.3</v>
      </c>
      <c r="F69" s="166">
        <f t="shared" si="17"/>
        <v>928.09999999999991</v>
      </c>
      <c r="G69" s="17">
        <f>(297.9+297.5)-588.4</f>
        <v>7</v>
      </c>
      <c r="H69" s="17">
        <f>5.7+0.1</f>
        <v>5.8</v>
      </c>
      <c r="I69" s="17"/>
      <c r="J69" s="17"/>
      <c r="K69" s="17">
        <f>588.4+107.9+390</f>
        <v>1086.3</v>
      </c>
      <c r="L69" s="135">
        <v>922.3</v>
      </c>
      <c r="O69" s="14"/>
      <c r="P69" s="14"/>
      <c r="Q69" s="14"/>
      <c r="R69" s="14"/>
      <c r="S69" s="14"/>
      <c r="T69" s="14"/>
      <c r="U69" s="14"/>
      <c r="V69" s="14"/>
    </row>
    <row r="70" spans="1:22" ht="26.4" x14ac:dyDescent="0.25">
      <c r="A70" s="230" t="s">
        <v>555</v>
      </c>
      <c r="B70" s="232"/>
      <c r="C70" s="20" t="s">
        <v>386</v>
      </c>
      <c r="D70" s="233" t="s">
        <v>384</v>
      </c>
      <c r="E70" s="17">
        <f t="shared" si="21"/>
        <v>2150</v>
      </c>
      <c r="F70" s="166">
        <f t="shared" si="17"/>
        <v>1975.3</v>
      </c>
      <c r="G70" s="17">
        <f>(435.1+455.9)-880</f>
        <v>11</v>
      </c>
      <c r="H70" s="17">
        <v>5.0999999999999996</v>
      </c>
      <c r="I70" s="17"/>
      <c r="J70" s="17"/>
      <c r="K70" s="17">
        <f>880+859.6+399.4</f>
        <v>2139</v>
      </c>
      <c r="L70" s="135">
        <v>1970.2</v>
      </c>
      <c r="O70" s="14"/>
      <c r="P70" s="14"/>
      <c r="Q70" s="14"/>
      <c r="R70" s="14"/>
      <c r="S70" s="14"/>
      <c r="T70" s="14"/>
      <c r="U70" s="14"/>
      <c r="V70" s="136"/>
    </row>
    <row r="71" spans="1:22" ht="26.4" x14ac:dyDescent="0.25">
      <c r="A71" s="11" t="s">
        <v>556</v>
      </c>
      <c r="B71" s="232"/>
      <c r="C71" s="20" t="s">
        <v>392</v>
      </c>
      <c r="D71" s="233" t="s">
        <v>384</v>
      </c>
      <c r="E71" s="17">
        <f t="shared" si="21"/>
        <v>26</v>
      </c>
      <c r="F71" s="166">
        <f t="shared" si="17"/>
        <v>25.9</v>
      </c>
      <c r="G71" s="17">
        <f>(2.8+24.5)-24.3-0.2</f>
        <v>2.8</v>
      </c>
      <c r="H71" s="17">
        <v>2.7</v>
      </c>
      <c r="I71" s="17"/>
      <c r="J71" s="17"/>
      <c r="K71" s="17">
        <f>24.3-1.1</f>
        <v>23.2</v>
      </c>
      <c r="L71" s="135">
        <v>23.2</v>
      </c>
      <c r="O71" s="14"/>
      <c r="P71" s="150"/>
      <c r="Q71" s="14"/>
      <c r="R71" s="14"/>
      <c r="S71" s="14"/>
      <c r="T71" s="14"/>
      <c r="U71" s="14"/>
      <c r="V71" s="136"/>
    </row>
    <row r="72" spans="1:22" ht="16.5" customHeight="1" x14ac:dyDescent="0.25">
      <c r="A72" s="230" t="s">
        <v>557</v>
      </c>
      <c r="B72" s="232"/>
      <c r="C72" s="20" t="s">
        <v>558</v>
      </c>
      <c r="D72" s="233" t="s">
        <v>384</v>
      </c>
      <c r="E72" s="17">
        <f t="shared" si="21"/>
        <v>94.100000000000009</v>
      </c>
      <c r="F72" s="166">
        <f t="shared" si="17"/>
        <v>94</v>
      </c>
      <c r="G72" s="17">
        <f>(10.4+84.9)-92.9-0.3</f>
        <v>2.1000000000000059</v>
      </c>
      <c r="H72" s="17">
        <v>2.1</v>
      </c>
      <c r="I72" s="17"/>
      <c r="J72" s="17"/>
      <c r="K72" s="17">
        <f>92.9-0.9</f>
        <v>92</v>
      </c>
      <c r="L72" s="135">
        <v>91.9</v>
      </c>
      <c r="O72" s="14"/>
      <c r="P72" s="14"/>
      <c r="Q72" s="14"/>
      <c r="R72" s="14"/>
      <c r="S72" s="14"/>
      <c r="T72" s="14"/>
      <c r="U72" s="14"/>
      <c r="V72" s="136"/>
    </row>
    <row r="73" spans="1:22" ht="26.4" x14ac:dyDescent="0.25">
      <c r="A73" s="11" t="s">
        <v>559</v>
      </c>
      <c r="B73" s="232"/>
      <c r="C73" s="20" t="s">
        <v>377</v>
      </c>
      <c r="D73" s="148" t="s">
        <v>308</v>
      </c>
      <c r="E73" s="17">
        <f t="shared" si="21"/>
        <v>122.50000000000001</v>
      </c>
      <c r="F73" s="166">
        <f t="shared" si="17"/>
        <v>122.5</v>
      </c>
      <c r="G73" s="17"/>
      <c r="H73" s="17"/>
      <c r="I73" s="17"/>
      <c r="J73" s="17"/>
      <c r="K73" s="17">
        <f>128.3-5.8</f>
        <v>122.50000000000001</v>
      </c>
      <c r="L73" s="135">
        <v>122.5</v>
      </c>
      <c r="O73" s="14"/>
      <c r="P73" s="14"/>
      <c r="Q73" s="14"/>
      <c r="R73" s="14"/>
      <c r="S73" s="14"/>
      <c r="T73" s="14"/>
      <c r="U73" s="14"/>
      <c r="V73" s="136"/>
    </row>
    <row r="74" spans="1:22" ht="17.25" customHeight="1" x14ac:dyDescent="0.25">
      <c r="A74" s="11">
        <v>24</v>
      </c>
      <c r="B74" s="231" t="s">
        <v>393</v>
      </c>
      <c r="C74" s="42" t="s">
        <v>394</v>
      </c>
      <c r="D74" s="232"/>
      <c r="E74" s="142">
        <f t="shared" si="21"/>
        <v>382.9</v>
      </c>
      <c r="F74" s="13">
        <f t="shared" si="17"/>
        <v>361.5</v>
      </c>
      <c r="G74" s="142">
        <f t="shared" ref="G74:L74" si="24">+G75</f>
        <v>32.599999999999987</v>
      </c>
      <c r="H74" s="142">
        <f t="shared" si="24"/>
        <v>22</v>
      </c>
      <c r="I74" s="142">
        <f t="shared" si="24"/>
        <v>0</v>
      </c>
      <c r="J74" s="142">
        <f t="shared" si="24"/>
        <v>0</v>
      </c>
      <c r="K74" s="142">
        <f t="shared" si="24"/>
        <v>350.3</v>
      </c>
      <c r="L74" s="142">
        <f t="shared" si="24"/>
        <v>339.5</v>
      </c>
      <c r="O74" s="14"/>
      <c r="P74" s="14"/>
      <c r="Q74" s="14"/>
      <c r="R74" s="14"/>
      <c r="S74" s="14"/>
      <c r="T74" s="14"/>
      <c r="U74" s="14"/>
      <c r="V74" s="136"/>
    </row>
    <row r="75" spans="1:22" ht="17.25" customHeight="1" x14ac:dyDescent="0.25">
      <c r="A75" s="11">
        <v>25</v>
      </c>
      <c r="B75" s="232"/>
      <c r="C75" s="137" t="s">
        <v>505</v>
      </c>
      <c r="D75" s="232"/>
      <c r="E75" s="17">
        <f t="shared" si="21"/>
        <v>382.9</v>
      </c>
      <c r="F75" s="166">
        <f t="shared" si="17"/>
        <v>361.5</v>
      </c>
      <c r="G75" s="17">
        <f t="shared" ref="G75:L75" si="25">+G76+G77+G78</f>
        <v>32.599999999999987</v>
      </c>
      <c r="H75" s="17">
        <f t="shared" si="25"/>
        <v>22</v>
      </c>
      <c r="I75" s="17">
        <f t="shared" si="25"/>
        <v>0</v>
      </c>
      <c r="J75" s="17">
        <f t="shared" si="25"/>
        <v>0</v>
      </c>
      <c r="K75" s="17">
        <f t="shared" si="25"/>
        <v>350.3</v>
      </c>
      <c r="L75" s="17">
        <f t="shared" si="25"/>
        <v>339.5</v>
      </c>
      <c r="O75" s="14"/>
      <c r="P75" s="14"/>
      <c r="Q75" s="14"/>
      <c r="R75" s="14"/>
      <c r="S75" s="14"/>
      <c r="T75" s="14"/>
      <c r="U75" s="14"/>
      <c r="V75" s="136"/>
    </row>
    <row r="76" spans="1:22" ht="29.25" customHeight="1" x14ac:dyDescent="0.25">
      <c r="A76" s="230" t="s">
        <v>560</v>
      </c>
      <c r="B76" s="232"/>
      <c r="C76" s="149" t="s">
        <v>401</v>
      </c>
      <c r="D76" s="232" t="s">
        <v>402</v>
      </c>
      <c r="E76" s="17">
        <f t="shared" si="21"/>
        <v>280</v>
      </c>
      <c r="F76" s="166">
        <f t="shared" si="17"/>
        <v>268.2</v>
      </c>
      <c r="G76" s="17">
        <f>(301.9+139.3)-437.8</f>
        <v>3.3999999999999773</v>
      </c>
      <c r="H76" s="17">
        <v>1.9</v>
      </c>
      <c r="I76" s="17"/>
      <c r="J76" s="17"/>
      <c r="K76" s="17">
        <f>437.8-161.2</f>
        <v>276.60000000000002</v>
      </c>
      <c r="L76" s="135">
        <v>266.3</v>
      </c>
      <c r="O76" s="14"/>
      <c r="P76" s="14"/>
      <c r="Q76" s="14"/>
      <c r="R76" s="14"/>
      <c r="S76" s="14"/>
      <c r="T76" s="14"/>
      <c r="U76" s="14"/>
      <c r="V76" s="136"/>
    </row>
    <row r="77" spans="1:22" ht="29.25" customHeight="1" x14ac:dyDescent="0.25">
      <c r="A77" s="230" t="s">
        <v>561</v>
      </c>
      <c r="B77" s="232"/>
      <c r="C77" s="149" t="s">
        <v>406</v>
      </c>
      <c r="D77" s="232" t="s">
        <v>396</v>
      </c>
      <c r="E77" s="17">
        <f t="shared" si="21"/>
        <v>28</v>
      </c>
      <c r="F77" s="166">
        <f t="shared" si="17"/>
        <v>19</v>
      </c>
      <c r="G77" s="17">
        <f>12.4+137.6-122</f>
        <v>28</v>
      </c>
      <c r="H77" s="17">
        <v>19</v>
      </c>
      <c r="I77" s="17"/>
      <c r="J77" s="17"/>
      <c r="K77" s="17"/>
      <c r="L77" s="135"/>
      <c r="O77" s="14"/>
      <c r="P77" s="14"/>
      <c r="Q77" s="14"/>
      <c r="R77" s="14"/>
      <c r="S77" s="14"/>
      <c r="T77" s="14"/>
      <c r="U77" s="14"/>
      <c r="V77" s="136"/>
    </row>
    <row r="78" spans="1:22" ht="26.4" x14ac:dyDescent="0.25">
      <c r="A78" s="230" t="s">
        <v>562</v>
      </c>
      <c r="B78" s="151"/>
      <c r="C78" s="35" t="s">
        <v>563</v>
      </c>
      <c r="D78" s="232" t="s">
        <v>396</v>
      </c>
      <c r="E78" s="17">
        <f t="shared" si="21"/>
        <v>74.899999999999991</v>
      </c>
      <c r="F78" s="166">
        <f t="shared" si="17"/>
        <v>74.3</v>
      </c>
      <c r="G78" s="41">
        <f>(35.6+53.6)-83.6-4.4</f>
        <v>1.2000000000000082</v>
      </c>
      <c r="H78" s="41">
        <v>1.1000000000000001</v>
      </c>
      <c r="I78" s="41"/>
      <c r="J78" s="41"/>
      <c r="K78" s="41">
        <f>83.6-9.9</f>
        <v>73.699999999999989</v>
      </c>
      <c r="L78" s="135">
        <v>73.2</v>
      </c>
      <c r="O78" s="14"/>
      <c r="P78" s="14"/>
      <c r="Q78" s="14"/>
      <c r="R78" s="14"/>
      <c r="S78" s="14"/>
      <c r="T78" s="14"/>
      <c r="U78" s="14"/>
      <c r="V78" s="14"/>
    </row>
    <row r="79" spans="1:22" x14ac:dyDescent="0.25">
      <c r="A79" s="152">
        <v>26</v>
      </c>
      <c r="B79" s="231" t="s">
        <v>431</v>
      </c>
      <c r="C79" s="42" t="s">
        <v>432</v>
      </c>
      <c r="D79" s="232"/>
      <c r="E79" s="142">
        <f t="shared" si="21"/>
        <v>265.39999999999998</v>
      </c>
      <c r="F79" s="13">
        <f t="shared" si="17"/>
        <v>253.8</v>
      </c>
      <c r="G79" s="43">
        <f t="shared" ref="G79:L80" si="26">+G80</f>
        <v>265.39999999999998</v>
      </c>
      <c r="H79" s="43">
        <f t="shared" si="26"/>
        <v>253.8</v>
      </c>
      <c r="I79" s="43">
        <f t="shared" si="26"/>
        <v>0</v>
      </c>
      <c r="J79" s="43">
        <f t="shared" si="26"/>
        <v>0</v>
      </c>
      <c r="K79" s="43">
        <f t="shared" si="26"/>
        <v>0</v>
      </c>
      <c r="L79" s="43">
        <f t="shared" si="26"/>
        <v>0</v>
      </c>
      <c r="O79" s="14"/>
      <c r="P79" s="14"/>
      <c r="Q79" s="14"/>
      <c r="R79" s="14"/>
      <c r="S79" s="14"/>
      <c r="T79" s="14"/>
      <c r="U79" s="14"/>
      <c r="V79" s="14"/>
    </row>
    <row r="80" spans="1:22" x14ac:dyDescent="0.25">
      <c r="A80" s="152">
        <v>27</v>
      </c>
      <c r="B80" s="151"/>
      <c r="C80" s="137" t="s">
        <v>505</v>
      </c>
      <c r="D80" s="232"/>
      <c r="E80" s="17">
        <f t="shared" si="21"/>
        <v>265.39999999999998</v>
      </c>
      <c r="F80" s="166">
        <f t="shared" si="17"/>
        <v>253.8</v>
      </c>
      <c r="G80" s="41">
        <f>+G81</f>
        <v>265.39999999999998</v>
      </c>
      <c r="H80" s="41">
        <f>+H81</f>
        <v>253.8</v>
      </c>
      <c r="I80" s="41">
        <f t="shared" si="26"/>
        <v>0</v>
      </c>
      <c r="J80" s="41">
        <f t="shared" si="26"/>
        <v>0</v>
      </c>
      <c r="K80" s="41">
        <f t="shared" si="26"/>
        <v>0</v>
      </c>
      <c r="L80" s="41">
        <f t="shared" si="26"/>
        <v>0</v>
      </c>
      <c r="O80" s="14"/>
      <c r="P80" s="14"/>
      <c r="Q80" s="14"/>
      <c r="R80" s="14"/>
      <c r="S80" s="14"/>
      <c r="T80" s="14"/>
      <c r="U80" s="14"/>
      <c r="V80" s="14"/>
    </row>
    <row r="81" spans="1:22" ht="26.4" x14ac:dyDescent="0.25">
      <c r="A81" s="11" t="s">
        <v>564</v>
      </c>
      <c r="B81" s="151"/>
      <c r="C81" s="153" t="s">
        <v>450</v>
      </c>
      <c r="D81" s="232" t="s">
        <v>328</v>
      </c>
      <c r="E81" s="17">
        <f t="shared" si="21"/>
        <v>265.39999999999998</v>
      </c>
      <c r="F81" s="166">
        <f t="shared" si="17"/>
        <v>253.8</v>
      </c>
      <c r="G81" s="41">
        <f>190.4+60+15</f>
        <v>265.39999999999998</v>
      </c>
      <c r="H81" s="41">
        <v>253.8</v>
      </c>
      <c r="I81" s="41"/>
      <c r="J81" s="41"/>
      <c r="K81" s="41"/>
      <c r="L81" s="19"/>
      <c r="M81" s="14"/>
      <c r="O81" s="14"/>
      <c r="P81" s="14"/>
      <c r="Q81" s="14"/>
      <c r="R81" s="14"/>
      <c r="S81" s="14"/>
      <c r="T81" s="14"/>
      <c r="U81" s="14"/>
      <c r="V81" s="14"/>
    </row>
    <row r="82" spans="1:22" ht="15.75" customHeight="1" x14ac:dyDescent="0.25">
      <c r="A82" s="11">
        <v>28</v>
      </c>
      <c r="B82" s="232"/>
      <c r="C82" s="130" t="s">
        <v>463</v>
      </c>
      <c r="D82" s="232"/>
      <c r="E82" s="43">
        <f>+G82+K82</f>
        <v>8396.7999999999993</v>
      </c>
      <c r="F82" s="13">
        <f t="shared" si="17"/>
        <v>7524.7</v>
      </c>
      <c r="G82" s="43">
        <f t="shared" ref="G82:L82" si="27">+G12+G29+G35+G42+G46+G54+G65+G74+G79</f>
        <v>1526.1</v>
      </c>
      <c r="H82" s="43">
        <f t="shared" si="27"/>
        <v>1186.2</v>
      </c>
      <c r="I82" s="43">
        <f t="shared" si="27"/>
        <v>135.4</v>
      </c>
      <c r="J82" s="43">
        <f t="shared" si="27"/>
        <v>131.80000000000001</v>
      </c>
      <c r="K82" s="43">
        <f t="shared" si="27"/>
        <v>6870.7</v>
      </c>
      <c r="L82" s="43">
        <f t="shared" si="27"/>
        <v>6338.5</v>
      </c>
      <c r="M82" s="14"/>
      <c r="N82" s="14"/>
      <c r="O82" s="14"/>
      <c r="P82" s="14"/>
      <c r="Q82" s="14"/>
      <c r="R82" s="14"/>
      <c r="S82" s="14"/>
      <c r="T82" s="14"/>
      <c r="U82" s="14"/>
      <c r="V82" s="14"/>
    </row>
    <row r="83" spans="1:22" x14ac:dyDescent="0.25">
      <c r="C83" s="4" t="s">
        <v>464</v>
      </c>
      <c r="E83" s="88"/>
      <c r="F83" s="88"/>
      <c r="G83" s="88"/>
      <c r="H83" s="88"/>
      <c r="I83" s="88"/>
      <c r="J83" s="88"/>
      <c r="K83" s="88"/>
      <c r="L83" s="2"/>
    </row>
    <row r="84" spans="1:22" x14ac:dyDescent="0.25">
      <c r="D84" s="1"/>
      <c r="E84" s="88"/>
      <c r="F84" s="88"/>
      <c r="G84" s="88"/>
      <c r="H84" s="88"/>
      <c r="I84" s="88"/>
      <c r="J84" s="88"/>
      <c r="K84" s="88"/>
      <c r="L84" s="2"/>
      <c r="M84" s="14"/>
    </row>
    <row r="85" spans="1:22" x14ac:dyDescent="0.25">
      <c r="C85" s="132"/>
      <c r="D85" s="1"/>
      <c r="E85" s="88"/>
      <c r="F85" s="88"/>
      <c r="G85" s="88"/>
      <c r="H85" s="88"/>
      <c r="I85" s="88"/>
      <c r="J85" s="88"/>
      <c r="K85" s="88"/>
      <c r="L85" s="2"/>
    </row>
    <row r="86" spans="1:22" x14ac:dyDescent="0.25">
      <c r="C86" s="132"/>
      <c r="E86" s="88"/>
      <c r="F86" s="88"/>
      <c r="G86" s="88"/>
      <c r="H86" s="88"/>
      <c r="I86" s="88"/>
      <c r="J86" s="88"/>
      <c r="K86" s="88"/>
      <c r="L86" s="14"/>
      <c r="M86" s="14"/>
    </row>
    <row r="87" spans="1:22" x14ac:dyDescent="0.25">
      <c r="E87" s="154"/>
      <c r="F87" s="154"/>
      <c r="G87" s="88"/>
      <c r="H87" s="88"/>
      <c r="I87" s="88"/>
      <c r="J87" s="88"/>
      <c r="K87" s="88"/>
      <c r="L87" s="14"/>
      <c r="M87" s="14"/>
    </row>
    <row r="88" spans="1:22" x14ac:dyDescent="0.25">
      <c r="C88" s="97"/>
      <c r="E88" s="88"/>
      <c r="F88" s="88"/>
      <c r="G88" s="155"/>
      <c r="H88" s="155"/>
      <c r="L88" s="156"/>
    </row>
    <row r="89" spans="1:22" x14ac:dyDescent="0.25">
      <c r="E89" s="88"/>
      <c r="F89" s="88"/>
      <c r="G89" s="88"/>
      <c r="H89" s="88"/>
      <c r="I89" s="88"/>
      <c r="J89" s="88"/>
      <c r="L89" s="156"/>
    </row>
    <row r="90" spans="1:22" x14ac:dyDescent="0.25">
      <c r="C90" s="132"/>
      <c r="D90" s="1"/>
      <c r="E90" s="88"/>
      <c r="F90" s="88"/>
      <c r="G90" s="88"/>
      <c r="H90" s="88"/>
      <c r="I90" s="88"/>
      <c r="J90" s="88"/>
      <c r="K90" s="88"/>
    </row>
    <row r="91" spans="1:22" x14ac:dyDescent="0.25">
      <c r="C91" s="132"/>
      <c r="D91" s="1"/>
      <c r="E91" s="88"/>
      <c r="F91" s="88"/>
      <c r="G91" s="88"/>
      <c r="H91" s="88"/>
      <c r="I91" s="88"/>
      <c r="J91" s="88"/>
    </row>
    <row r="92" spans="1:22" x14ac:dyDescent="0.25">
      <c r="E92" s="88"/>
      <c r="F92" s="88"/>
      <c r="G92" s="88"/>
      <c r="H92" s="88"/>
      <c r="I92" s="88"/>
      <c r="J92" s="88"/>
      <c r="K92" s="88"/>
    </row>
    <row r="93" spans="1:22" x14ac:dyDescent="0.25">
      <c r="E93" s="88"/>
      <c r="F93" s="88"/>
      <c r="G93" s="88"/>
      <c r="H93" s="88"/>
      <c r="I93" s="88"/>
      <c r="J93" s="88"/>
      <c r="K93" s="88"/>
    </row>
    <row r="94" spans="1:22" x14ac:dyDescent="0.25">
      <c r="E94" s="88"/>
      <c r="F94" s="88"/>
      <c r="I94" s="88"/>
      <c r="J94" s="88"/>
    </row>
    <row r="95" spans="1:22" x14ac:dyDescent="0.25">
      <c r="C95" s="132"/>
      <c r="E95" s="88"/>
      <c r="F95" s="88"/>
      <c r="G95" s="88"/>
      <c r="H95" s="88"/>
      <c r="I95" s="88"/>
      <c r="J95" s="88"/>
      <c r="K95" s="88"/>
    </row>
    <row r="96" spans="1:22" x14ac:dyDescent="0.25">
      <c r="C96" s="132"/>
    </row>
    <row r="97" spans="3:12" x14ac:dyDescent="0.25">
      <c r="C97" s="132"/>
    </row>
    <row r="98" spans="3:12" x14ac:dyDescent="0.25">
      <c r="C98" s="132"/>
      <c r="E98" s="2"/>
      <c r="F98" s="2"/>
    </row>
    <row r="99" spans="3:12" x14ac:dyDescent="0.25">
      <c r="C99" s="132"/>
      <c r="E99" s="2"/>
      <c r="F99" s="2"/>
      <c r="G99" s="88"/>
      <c r="H99" s="88"/>
      <c r="I99" s="88"/>
      <c r="J99" s="88"/>
      <c r="K99" s="88"/>
      <c r="L99" s="156"/>
    </row>
    <row r="100" spans="3:12" x14ac:dyDescent="0.25">
      <c r="C100" s="157"/>
      <c r="D100" s="4"/>
      <c r="E100" s="2"/>
      <c r="F100" s="2"/>
      <c r="G100" s="88"/>
      <c r="H100" s="88"/>
      <c r="I100" s="88"/>
      <c r="J100" s="88"/>
      <c r="K100" s="88"/>
      <c r="L100" s="156"/>
    </row>
    <row r="101" spans="3:12" x14ac:dyDescent="0.25">
      <c r="C101" s="158"/>
      <c r="D101" s="88"/>
      <c r="E101" s="2"/>
      <c r="F101" s="2"/>
    </row>
    <row r="102" spans="3:12" x14ac:dyDescent="0.25">
      <c r="C102" s="132"/>
      <c r="D102" s="88"/>
    </row>
    <row r="103" spans="3:12" x14ac:dyDescent="0.25">
      <c r="C103" s="132"/>
      <c r="D103" s="159"/>
    </row>
    <row r="104" spans="3:12" x14ac:dyDescent="0.25">
      <c r="C104" s="132"/>
      <c r="E104" s="78"/>
      <c r="F104" s="78"/>
    </row>
    <row r="105" spans="3:12" x14ac:dyDescent="0.25">
      <c r="C105" s="132"/>
    </row>
    <row r="106" spans="3:12" x14ac:dyDescent="0.25">
      <c r="D106" s="4"/>
      <c r="E106" s="78"/>
      <c r="F106" s="78"/>
    </row>
    <row r="107" spans="3:12" x14ac:dyDescent="0.25">
      <c r="E107" s="88"/>
      <c r="F107" s="88"/>
    </row>
    <row r="108" spans="3:12" x14ac:dyDescent="0.25">
      <c r="C108" s="132"/>
      <c r="E108" s="88"/>
      <c r="F108" s="88"/>
    </row>
  </sheetData>
  <mergeCells count="19">
    <mergeCell ref="A7:A10"/>
    <mergeCell ref="B7:B10"/>
    <mergeCell ref="C7:C10"/>
    <mergeCell ref="D7:D10"/>
    <mergeCell ref="E7:F8"/>
    <mergeCell ref="C1:L1"/>
    <mergeCell ref="C2:L2"/>
    <mergeCell ref="E3:L3"/>
    <mergeCell ref="A5:K5"/>
    <mergeCell ref="I6:L6"/>
    <mergeCell ref="G7:L7"/>
    <mergeCell ref="G8:J8"/>
    <mergeCell ref="K8:L8"/>
    <mergeCell ref="E9:E10"/>
    <mergeCell ref="F9:F10"/>
    <mergeCell ref="G9:H9"/>
    <mergeCell ref="I9:J9"/>
    <mergeCell ref="K9:K10"/>
    <mergeCell ref="L9:L10"/>
  </mergeCells>
  <pageMargins left="0.31496062992125984" right="0.35433070866141736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0"/>
  <sheetViews>
    <sheetView workbookViewId="0">
      <selection activeCell="V11" sqref="V11"/>
    </sheetView>
  </sheetViews>
  <sheetFormatPr defaultColWidth="9.109375" defaultRowHeight="13.2" x14ac:dyDescent="0.25"/>
  <cols>
    <col min="1" max="1" width="3.88671875" style="4" customWidth="1"/>
    <col min="2" max="2" width="5.6640625" style="3" customWidth="1"/>
    <col min="3" max="3" width="50.33203125" style="97" customWidth="1"/>
    <col min="4" max="4" width="10.6640625" style="160" customWidth="1"/>
    <col min="5" max="6" width="7.5546875" style="132" customWidth="1"/>
    <col min="7" max="10" width="8.109375" style="132" customWidth="1"/>
    <col min="11" max="11" width="6" style="132" customWidth="1"/>
    <col min="12" max="12" width="8.33203125" style="2" hidden="1" customWidth="1"/>
    <col min="13" max="15" width="0" style="2" hidden="1" customWidth="1"/>
    <col min="16" max="259" width="9.109375" style="2"/>
    <col min="260" max="260" width="3.88671875" style="2" customWidth="1"/>
    <col min="261" max="261" width="5.44140625" style="2" customWidth="1"/>
    <col min="262" max="262" width="51.5546875" style="2" customWidth="1"/>
    <col min="263" max="263" width="9.6640625" style="2" customWidth="1"/>
    <col min="264" max="264" width="7.5546875" style="2" customWidth="1"/>
    <col min="265" max="266" width="8.109375" style="2" customWidth="1"/>
    <col min="267" max="267" width="6" style="2" customWidth="1"/>
    <col min="268" max="271" width="0" style="2" hidden="1" customWidth="1"/>
    <col min="272" max="515" width="9.109375" style="2"/>
    <col min="516" max="516" width="3.88671875" style="2" customWidth="1"/>
    <col min="517" max="517" width="5.44140625" style="2" customWidth="1"/>
    <col min="518" max="518" width="51.5546875" style="2" customWidth="1"/>
    <col min="519" max="519" width="9.6640625" style="2" customWidth="1"/>
    <col min="520" max="520" width="7.5546875" style="2" customWidth="1"/>
    <col min="521" max="522" width="8.109375" style="2" customWidth="1"/>
    <col min="523" max="523" width="6" style="2" customWidth="1"/>
    <col min="524" max="527" width="0" style="2" hidden="1" customWidth="1"/>
    <col min="528" max="771" width="9.109375" style="2"/>
    <col min="772" max="772" width="3.88671875" style="2" customWidth="1"/>
    <col min="773" max="773" width="5.44140625" style="2" customWidth="1"/>
    <col min="774" max="774" width="51.5546875" style="2" customWidth="1"/>
    <col min="775" max="775" width="9.6640625" style="2" customWidth="1"/>
    <col min="776" max="776" width="7.5546875" style="2" customWidth="1"/>
    <col min="777" max="778" width="8.109375" style="2" customWidth="1"/>
    <col min="779" max="779" width="6" style="2" customWidth="1"/>
    <col min="780" max="783" width="0" style="2" hidden="1" customWidth="1"/>
    <col min="784" max="1027" width="9.109375" style="2"/>
    <col min="1028" max="1028" width="3.88671875" style="2" customWidth="1"/>
    <col min="1029" max="1029" width="5.44140625" style="2" customWidth="1"/>
    <col min="1030" max="1030" width="51.5546875" style="2" customWidth="1"/>
    <col min="1031" max="1031" width="9.6640625" style="2" customWidth="1"/>
    <col min="1032" max="1032" width="7.5546875" style="2" customWidth="1"/>
    <col min="1033" max="1034" width="8.109375" style="2" customWidth="1"/>
    <col min="1035" max="1035" width="6" style="2" customWidth="1"/>
    <col min="1036" max="1039" width="0" style="2" hidden="1" customWidth="1"/>
    <col min="1040" max="1283" width="9.109375" style="2"/>
    <col min="1284" max="1284" width="3.88671875" style="2" customWidth="1"/>
    <col min="1285" max="1285" width="5.44140625" style="2" customWidth="1"/>
    <col min="1286" max="1286" width="51.5546875" style="2" customWidth="1"/>
    <col min="1287" max="1287" width="9.6640625" style="2" customWidth="1"/>
    <col min="1288" max="1288" width="7.5546875" style="2" customWidth="1"/>
    <col min="1289" max="1290" width="8.109375" style="2" customWidth="1"/>
    <col min="1291" max="1291" width="6" style="2" customWidth="1"/>
    <col min="1292" max="1295" width="0" style="2" hidden="1" customWidth="1"/>
    <col min="1296" max="1539" width="9.109375" style="2"/>
    <col min="1540" max="1540" width="3.88671875" style="2" customWidth="1"/>
    <col min="1541" max="1541" width="5.44140625" style="2" customWidth="1"/>
    <col min="1542" max="1542" width="51.5546875" style="2" customWidth="1"/>
    <col min="1543" max="1543" width="9.6640625" style="2" customWidth="1"/>
    <col min="1544" max="1544" width="7.5546875" style="2" customWidth="1"/>
    <col min="1545" max="1546" width="8.109375" style="2" customWidth="1"/>
    <col min="1547" max="1547" width="6" style="2" customWidth="1"/>
    <col min="1548" max="1551" width="0" style="2" hidden="1" customWidth="1"/>
    <col min="1552" max="1795" width="9.109375" style="2"/>
    <col min="1796" max="1796" width="3.88671875" style="2" customWidth="1"/>
    <col min="1797" max="1797" width="5.44140625" style="2" customWidth="1"/>
    <col min="1798" max="1798" width="51.5546875" style="2" customWidth="1"/>
    <col min="1799" max="1799" width="9.6640625" style="2" customWidth="1"/>
    <col min="1800" max="1800" width="7.5546875" style="2" customWidth="1"/>
    <col min="1801" max="1802" width="8.109375" style="2" customWidth="1"/>
    <col min="1803" max="1803" width="6" style="2" customWidth="1"/>
    <col min="1804" max="1807" width="0" style="2" hidden="1" customWidth="1"/>
    <col min="1808" max="2051" width="9.109375" style="2"/>
    <col min="2052" max="2052" width="3.88671875" style="2" customWidth="1"/>
    <col min="2053" max="2053" width="5.44140625" style="2" customWidth="1"/>
    <col min="2054" max="2054" width="51.5546875" style="2" customWidth="1"/>
    <col min="2055" max="2055" width="9.6640625" style="2" customWidth="1"/>
    <col min="2056" max="2056" width="7.5546875" style="2" customWidth="1"/>
    <col min="2057" max="2058" width="8.109375" style="2" customWidth="1"/>
    <col min="2059" max="2059" width="6" style="2" customWidth="1"/>
    <col min="2060" max="2063" width="0" style="2" hidden="1" customWidth="1"/>
    <col min="2064" max="2307" width="9.109375" style="2"/>
    <col min="2308" max="2308" width="3.88671875" style="2" customWidth="1"/>
    <col min="2309" max="2309" width="5.44140625" style="2" customWidth="1"/>
    <col min="2310" max="2310" width="51.5546875" style="2" customWidth="1"/>
    <col min="2311" max="2311" width="9.6640625" style="2" customWidth="1"/>
    <col min="2312" max="2312" width="7.5546875" style="2" customWidth="1"/>
    <col min="2313" max="2314" width="8.109375" style="2" customWidth="1"/>
    <col min="2315" max="2315" width="6" style="2" customWidth="1"/>
    <col min="2316" max="2319" width="0" style="2" hidden="1" customWidth="1"/>
    <col min="2320" max="2563" width="9.109375" style="2"/>
    <col min="2564" max="2564" width="3.88671875" style="2" customWidth="1"/>
    <col min="2565" max="2565" width="5.44140625" style="2" customWidth="1"/>
    <col min="2566" max="2566" width="51.5546875" style="2" customWidth="1"/>
    <col min="2567" max="2567" width="9.6640625" style="2" customWidth="1"/>
    <col min="2568" max="2568" width="7.5546875" style="2" customWidth="1"/>
    <col min="2569" max="2570" width="8.109375" style="2" customWidth="1"/>
    <col min="2571" max="2571" width="6" style="2" customWidth="1"/>
    <col min="2572" max="2575" width="0" style="2" hidden="1" customWidth="1"/>
    <col min="2576" max="2819" width="9.109375" style="2"/>
    <col min="2820" max="2820" width="3.88671875" style="2" customWidth="1"/>
    <col min="2821" max="2821" width="5.44140625" style="2" customWidth="1"/>
    <col min="2822" max="2822" width="51.5546875" style="2" customWidth="1"/>
    <col min="2823" max="2823" width="9.6640625" style="2" customWidth="1"/>
    <col min="2824" max="2824" width="7.5546875" style="2" customWidth="1"/>
    <col min="2825" max="2826" width="8.109375" style="2" customWidth="1"/>
    <col min="2827" max="2827" width="6" style="2" customWidth="1"/>
    <col min="2828" max="2831" width="0" style="2" hidden="1" customWidth="1"/>
    <col min="2832" max="3075" width="9.109375" style="2"/>
    <col min="3076" max="3076" width="3.88671875" style="2" customWidth="1"/>
    <col min="3077" max="3077" width="5.44140625" style="2" customWidth="1"/>
    <col min="3078" max="3078" width="51.5546875" style="2" customWidth="1"/>
    <col min="3079" max="3079" width="9.6640625" style="2" customWidth="1"/>
    <col min="3080" max="3080" width="7.5546875" style="2" customWidth="1"/>
    <col min="3081" max="3082" width="8.109375" style="2" customWidth="1"/>
    <col min="3083" max="3083" width="6" style="2" customWidth="1"/>
    <col min="3084" max="3087" width="0" style="2" hidden="1" customWidth="1"/>
    <col min="3088" max="3331" width="9.109375" style="2"/>
    <col min="3332" max="3332" width="3.88671875" style="2" customWidth="1"/>
    <col min="3333" max="3333" width="5.44140625" style="2" customWidth="1"/>
    <col min="3334" max="3334" width="51.5546875" style="2" customWidth="1"/>
    <col min="3335" max="3335" width="9.6640625" style="2" customWidth="1"/>
    <col min="3336" max="3336" width="7.5546875" style="2" customWidth="1"/>
    <col min="3337" max="3338" width="8.109375" style="2" customWidth="1"/>
    <col min="3339" max="3339" width="6" style="2" customWidth="1"/>
    <col min="3340" max="3343" width="0" style="2" hidden="1" customWidth="1"/>
    <col min="3344" max="3587" width="9.109375" style="2"/>
    <col min="3588" max="3588" width="3.88671875" style="2" customWidth="1"/>
    <col min="3589" max="3589" width="5.44140625" style="2" customWidth="1"/>
    <col min="3590" max="3590" width="51.5546875" style="2" customWidth="1"/>
    <col min="3591" max="3591" width="9.6640625" style="2" customWidth="1"/>
    <col min="3592" max="3592" width="7.5546875" style="2" customWidth="1"/>
    <col min="3593" max="3594" width="8.109375" style="2" customWidth="1"/>
    <col min="3595" max="3595" width="6" style="2" customWidth="1"/>
    <col min="3596" max="3599" width="0" style="2" hidden="1" customWidth="1"/>
    <col min="3600" max="3843" width="9.109375" style="2"/>
    <col min="3844" max="3844" width="3.88671875" style="2" customWidth="1"/>
    <col min="3845" max="3845" width="5.44140625" style="2" customWidth="1"/>
    <col min="3846" max="3846" width="51.5546875" style="2" customWidth="1"/>
    <col min="3847" max="3847" width="9.6640625" style="2" customWidth="1"/>
    <col min="3848" max="3848" width="7.5546875" style="2" customWidth="1"/>
    <col min="3849" max="3850" width="8.109375" style="2" customWidth="1"/>
    <col min="3851" max="3851" width="6" style="2" customWidth="1"/>
    <col min="3852" max="3855" width="0" style="2" hidden="1" customWidth="1"/>
    <col min="3856" max="4099" width="9.109375" style="2"/>
    <col min="4100" max="4100" width="3.88671875" style="2" customWidth="1"/>
    <col min="4101" max="4101" width="5.44140625" style="2" customWidth="1"/>
    <col min="4102" max="4102" width="51.5546875" style="2" customWidth="1"/>
    <col min="4103" max="4103" width="9.6640625" style="2" customWidth="1"/>
    <col min="4104" max="4104" width="7.5546875" style="2" customWidth="1"/>
    <col min="4105" max="4106" width="8.109375" style="2" customWidth="1"/>
    <col min="4107" max="4107" width="6" style="2" customWidth="1"/>
    <col min="4108" max="4111" width="0" style="2" hidden="1" customWidth="1"/>
    <col min="4112" max="4355" width="9.109375" style="2"/>
    <col min="4356" max="4356" width="3.88671875" style="2" customWidth="1"/>
    <col min="4357" max="4357" width="5.44140625" style="2" customWidth="1"/>
    <col min="4358" max="4358" width="51.5546875" style="2" customWidth="1"/>
    <col min="4359" max="4359" width="9.6640625" style="2" customWidth="1"/>
    <col min="4360" max="4360" width="7.5546875" style="2" customWidth="1"/>
    <col min="4361" max="4362" width="8.109375" style="2" customWidth="1"/>
    <col min="4363" max="4363" width="6" style="2" customWidth="1"/>
    <col min="4364" max="4367" width="0" style="2" hidden="1" customWidth="1"/>
    <col min="4368" max="4611" width="9.109375" style="2"/>
    <col min="4612" max="4612" width="3.88671875" style="2" customWidth="1"/>
    <col min="4613" max="4613" width="5.44140625" style="2" customWidth="1"/>
    <col min="4614" max="4614" width="51.5546875" style="2" customWidth="1"/>
    <col min="4615" max="4615" width="9.6640625" style="2" customWidth="1"/>
    <col min="4616" max="4616" width="7.5546875" style="2" customWidth="1"/>
    <col min="4617" max="4618" width="8.109375" style="2" customWidth="1"/>
    <col min="4619" max="4619" width="6" style="2" customWidth="1"/>
    <col min="4620" max="4623" width="0" style="2" hidden="1" customWidth="1"/>
    <col min="4624" max="4867" width="9.109375" style="2"/>
    <col min="4868" max="4868" width="3.88671875" style="2" customWidth="1"/>
    <col min="4869" max="4869" width="5.44140625" style="2" customWidth="1"/>
    <col min="4870" max="4870" width="51.5546875" style="2" customWidth="1"/>
    <col min="4871" max="4871" width="9.6640625" style="2" customWidth="1"/>
    <col min="4872" max="4872" width="7.5546875" style="2" customWidth="1"/>
    <col min="4873" max="4874" width="8.109375" style="2" customWidth="1"/>
    <col min="4875" max="4875" width="6" style="2" customWidth="1"/>
    <col min="4876" max="4879" width="0" style="2" hidden="1" customWidth="1"/>
    <col min="4880" max="5123" width="9.109375" style="2"/>
    <col min="5124" max="5124" width="3.88671875" style="2" customWidth="1"/>
    <col min="5125" max="5125" width="5.44140625" style="2" customWidth="1"/>
    <col min="5126" max="5126" width="51.5546875" style="2" customWidth="1"/>
    <col min="5127" max="5127" width="9.6640625" style="2" customWidth="1"/>
    <col min="5128" max="5128" width="7.5546875" style="2" customWidth="1"/>
    <col min="5129" max="5130" width="8.109375" style="2" customWidth="1"/>
    <col min="5131" max="5131" width="6" style="2" customWidth="1"/>
    <col min="5132" max="5135" width="0" style="2" hidden="1" customWidth="1"/>
    <col min="5136" max="5379" width="9.109375" style="2"/>
    <col min="5380" max="5380" width="3.88671875" style="2" customWidth="1"/>
    <col min="5381" max="5381" width="5.44140625" style="2" customWidth="1"/>
    <col min="5382" max="5382" width="51.5546875" style="2" customWidth="1"/>
    <col min="5383" max="5383" width="9.6640625" style="2" customWidth="1"/>
    <col min="5384" max="5384" width="7.5546875" style="2" customWidth="1"/>
    <col min="5385" max="5386" width="8.109375" style="2" customWidth="1"/>
    <col min="5387" max="5387" width="6" style="2" customWidth="1"/>
    <col min="5388" max="5391" width="0" style="2" hidden="1" customWidth="1"/>
    <col min="5392" max="5635" width="9.109375" style="2"/>
    <col min="5636" max="5636" width="3.88671875" style="2" customWidth="1"/>
    <col min="5637" max="5637" width="5.44140625" style="2" customWidth="1"/>
    <col min="5638" max="5638" width="51.5546875" style="2" customWidth="1"/>
    <col min="5639" max="5639" width="9.6640625" style="2" customWidth="1"/>
    <col min="5640" max="5640" width="7.5546875" style="2" customWidth="1"/>
    <col min="5641" max="5642" width="8.109375" style="2" customWidth="1"/>
    <col min="5643" max="5643" width="6" style="2" customWidth="1"/>
    <col min="5644" max="5647" width="0" style="2" hidden="1" customWidth="1"/>
    <col min="5648" max="5891" width="9.109375" style="2"/>
    <col min="5892" max="5892" width="3.88671875" style="2" customWidth="1"/>
    <col min="5893" max="5893" width="5.44140625" style="2" customWidth="1"/>
    <col min="5894" max="5894" width="51.5546875" style="2" customWidth="1"/>
    <col min="5895" max="5895" width="9.6640625" style="2" customWidth="1"/>
    <col min="5896" max="5896" width="7.5546875" style="2" customWidth="1"/>
    <col min="5897" max="5898" width="8.109375" style="2" customWidth="1"/>
    <col min="5899" max="5899" width="6" style="2" customWidth="1"/>
    <col min="5900" max="5903" width="0" style="2" hidden="1" customWidth="1"/>
    <col min="5904" max="6147" width="9.109375" style="2"/>
    <col min="6148" max="6148" width="3.88671875" style="2" customWidth="1"/>
    <col min="6149" max="6149" width="5.44140625" style="2" customWidth="1"/>
    <col min="6150" max="6150" width="51.5546875" style="2" customWidth="1"/>
    <col min="6151" max="6151" width="9.6640625" style="2" customWidth="1"/>
    <col min="6152" max="6152" width="7.5546875" style="2" customWidth="1"/>
    <col min="6153" max="6154" width="8.109375" style="2" customWidth="1"/>
    <col min="6155" max="6155" width="6" style="2" customWidth="1"/>
    <col min="6156" max="6159" width="0" style="2" hidden="1" customWidth="1"/>
    <col min="6160" max="6403" width="9.109375" style="2"/>
    <col min="6404" max="6404" width="3.88671875" style="2" customWidth="1"/>
    <col min="6405" max="6405" width="5.44140625" style="2" customWidth="1"/>
    <col min="6406" max="6406" width="51.5546875" style="2" customWidth="1"/>
    <col min="6407" max="6407" width="9.6640625" style="2" customWidth="1"/>
    <col min="6408" max="6408" width="7.5546875" style="2" customWidth="1"/>
    <col min="6409" max="6410" width="8.109375" style="2" customWidth="1"/>
    <col min="6411" max="6411" width="6" style="2" customWidth="1"/>
    <col min="6412" max="6415" width="0" style="2" hidden="1" customWidth="1"/>
    <col min="6416" max="6659" width="9.109375" style="2"/>
    <col min="6660" max="6660" width="3.88671875" style="2" customWidth="1"/>
    <col min="6661" max="6661" width="5.44140625" style="2" customWidth="1"/>
    <col min="6662" max="6662" width="51.5546875" style="2" customWidth="1"/>
    <col min="6663" max="6663" width="9.6640625" style="2" customWidth="1"/>
    <col min="6664" max="6664" width="7.5546875" style="2" customWidth="1"/>
    <col min="6665" max="6666" width="8.109375" style="2" customWidth="1"/>
    <col min="6667" max="6667" width="6" style="2" customWidth="1"/>
    <col min="6668" max="6671" width="0" style="2" hidden="1" customWidth="1"/>
    <col min="6672" max="6915" width="9.109375" style="2"/>
    <col min="6916" max="6916" width="3.88671875" style="2" customWidth="1"/>
    <col min="6917" max="6917" width="5.44140625" style="2" customWidth="1"/>
    <col min="6918" max="6918" width="51.5546875" style="2" customWidth="1"/>
    <col min="6919" max="6919" width="9.6640625" style="2" customWidth="1"/>
    <col min="6920" max="6920" width="7.5546875" style="2" customWidth="1"/>
    <col min="6921" max="6922" width="8.109375" style="2" customWidth="1"/>
    <col min="6923" max="6923" width="6" style="2" customWidth="1"/>
    <col min="6924" max="6927" width="0" style="2" hidden="1" customWidth="1"/>
    <col min="6928" max="7171" width="9.109375" style="2"/>
    <col min="7172" max="7172" width="3.88671875" style="2" customWidth="1"/>
    <col min="7173" max="7173" width="5.44140625" style="2" customWidth="1"/>
    <col min="7174" max="7174" width="51.5546875" style="2" customWidth="1"/>
    <col min="7175" max="7175" width="9.6640625" style="2" customWidth="1"/>
    <col min="7176" max="7176" width="7.5546875" style="2" customWidth="1"/>
    <col min="7177" max="7178" width="8.109375" style="2" customWidth="1"/>
    <col min="7179" max="7179" width="6" style="2" customWidth="1"/>
    <col min="7180" max="7183" width="0" style="2" hidden="1" customWidth="1"/>
    <col min="7184" max="7427" width="9.109375" style="2"/>
    <col min="7428" max="7428" width="3.88671875" style="2" customWidth="1"/>
    <col min="7429" max="7429" width="5.44140625" style="2" customWidth="1"/>
    <col min="7430" max="7430" width="51.5546875" style="2" customWidth="1"/>
    <col min="7431" max="7431" width="9.6640625" style="2" customWidth="1"/>
    <col min="7432" max="7432" width="7.5546875" style="2" customWidth="1"/>
    <col min="7433" max="7434" width="8.109375" style="2" customWidth="1"/>
    <col min="7435" max="7435" width="6" style="2" customWidth="1"/>
    <col min="7436" max="7439" width="0" style="2" hidden="1" customWidth="1"/>
    <col min="7440" max="7683" width="9.109375" style="2"/>
    <col min="7684" max="7684" width="3.88671875" style="2" customWidth="1"/>
    <col min="7685" max="7685" width="5.44140625" style="2" customWidth="1"/>
    <col min="7686" max="7686" width="51.5546875" style="2" customWidth="1"/>
    <col min="7687" max="7687" width="9.6640625" style="2" customWidth="1"/>
    <col min="7688" max="7688" width="7.5546875" style="2" customWidth="1"/>
    <col min="7689" max="7690" width="8.109375" style="2" customWidth="1"/>
    <col min="7691" max="7691" width="6" style="2" customWidth="1"/>
    <col min="7692" max="7695" width="0" style="2" hidden="1" customWidth="1"/>
    <col min="7696" max="7939" width="9.109375" style="2"/>
    <col min="7940" max="7940" width="3.88671875" style="2" customWidth="1"/>
    <col min="7941" max="7941" width="5.44140625" style="2" customWidth="1"/>
    <col min="7942" max="7942" width="51.5546875" style="2" customWidth="1"/>
    <col min="7943" max="7943" width="9.6640625" style="2" customWidth="1"/>
    <col min="7944" max="7944" width="7.5546875" style="2" customWidth="1"/>
    <col min="7945" max="7946" width="8.109375" style="2" customWidth="1"/>
    <col min="7947" max="7947" width="6" style="2" customWidth="1"/>
    <col min="7948" max="7951" width="0" style="2" hidden="1" customWidth="1"/>
    <col min="7952" max="8195" width="9.109375" style="2"/>
    <col min="8196" max="8196" width="3.88671875" style="2" customWidth="1"/>
    <col min="8197" max="8197" width="5.44140625" style="2" customWidth="1"/>
    <col min="8198" max="8198" width="51.5546875" style="2" customWidth="1"/>
    <col min="8199" max="8199" width="9.6640625" style="2" customWidth="1"/>
    <col min="8200" max="8200" width="7.5546875" style="2" customWidth="1"/>
    <col min="8201" max="8202" width="8.109375" style="2" customWidth="1"/>
    <col min="8203" max="8203" width="6" style="2" customWidth="1"/>
    <col min="8204" max="8207" width="0" style="2" hidden="1" customWidth="1"/>
    <col min="8208" max="8451" width="9.109375" style="2"/>
    <col min="8452" max="8452" width="3.88671875" style="2" customWidth="1"/>
    <col min="8453" max="8453" width="5.44140625" style="2" customWidth="1"/>
    <col min="8454" max="8454" width="51.5546875" style="2" customWidth="1"/>
    <col min="8455" max="8455" width="9.6640625" style="2" customWidth="1"/>
    <col min="8456" max="8456" width="7.5546875" style="2" customWidth="1"/>
    <col min="8457" max="8458" width="8.109375" style="2" customWidth="1"/>
    <col min="8459" max="8459" width="6" style="2" customWidth="1"/>
    <col min="8460" max="8463" width="0" style="2" hidden="1" customWidth="1"/>
    <col min="8464" max="8707" width="9.109375" style="2"/>
    <col min="8708" max="8708" width="3.88671875" style="2" customWidth="1"/>
    <col min="8709" max="8709" width="5.44140625" style="2" customWidth="1"/>
    <col min="8710" max="8710" width="51.5546875" style="2" customWidth="1"/>
    <col min="8711" max="8711" width="9.6640625" style="2" customWidth="1"/>
    <col min="8712" max="8712" width="7.5546875" style="2" customWidth="1"/>
    <col min="8713" max="8714" width="8.109375" style="2" customWidth="1"/>
    <col min="8715" max="8715" width="6" style="2" customWidth="1"/>
    <col min="8716" max="8719" width="0" style="2" hidden="1" customWidth="1"/>
    <col min="8720" max="8963" width="9.109375" style="2"/>
    <col min="8964" max="8964" width="3.88671875" style="2" customWidth="1"/>
    <col min="8965" max="8965" width="5.44140625" style="2" customWidth="1"/>
    <col min="8966" max="8966" width="51.5546875" style="2" customWidth="1"/>
    <col min="8967" max="8967" width="9.6640625" style="2" customWidth="1"/>
    <col min="8968" max="8968" width="7.5546875" style="2" customWidth="1"/>
    <col min="8969" max="8970" width="8.109375" style="2" customWidth="1"/>
    <col min="8971" max="8971" width="6" style="2" customWidth="1"/>
    <col min="8972" max="8975" width="0" style="2" hidden="1" customWidth="1"/>
    <col min="8976" max="9219" width="9.109375" style="2"/>
    <col min="9220" max="9220" width="3.88671875" style="2" customWidth="1"/>
    <col min="9221" max="9221" width="5.44140625" style="2" customWidth="1"/>
    <col min="9222" max="9222" width="51.5546875" style="2" customWidth="1"/>
    <col min="9223" max="9223" width="9.6640625" style="2" customWidth="1"/>
    <col min="9224" max="9224" width="7.5546875" style="2" customWidth="1"/>
    <col min="9225" max="9226" width="8.109375" style="2" customWidth="1"/>
    <col min="9227" max="9227" width="6" style="2" customWidth="1"/>
    <col min="9228" max="9231" width="0" style="2" hidden="1" customWidth="1"/>
    <col min="9232" max="9475" width="9.109375" style="2"/>
    <col min="9476" max="9476" width="3.88671875" style="2" customWidth="1"/>
    <col min="9477" max="9477" width="5.44140625" style="2" customWidth="1"/>
    <col min="9478" max="9478" width="51.5546875" style="2" customWidth="1"/>
    <col min="9479" max="9479" width="9.6640625" style="2" customWidth="1"/>
    <col min="9480" max="9480" width="7.5546875" style="2" customWidth="1"/>
    <col min="9481" max="9482" width="8.109375" style="2" customWidth="1"/>
    <col min="9483" max="9483" width="6" style="2" customWidth="1"/>
    <col min="9484" max="9487" width="0" style="2" hidden="1" customWidth="1"/>
    <col min="9488" max="9731" width="9.109375" style="2"/>
    <col min="9732" max="9732" width="3.88671875" style="2" customWidth="1"/>
    <col min="9733" max="9733" width="5.44140625" style="2" customWidth="1"/>
    <col min="9734" max="9734" width="51.5546875" style="2" customWidth="1"/>
    <col min="9735" max="9735" width="9.6640625" style="2" customWidth="1"/>
    <col min="9736" max="9736" width="7.5546875" style="2" customWidth="1"/>
    <col min="9737" max="9738" width="8.109375" style="2" customWidth="1"/>
    <col min="9739" max="9739" width="6" style="2" customWidth="1"/>
    <col min="9740" max="9743" width="0" style="2" hidden="1" customWidth="1"/>
    <col min="9744" max="9987" width="9.109375" style="2"/>
    <col min="9988" max="9988" width="3.88671875" style="2" customWidth="1"/>
    <col min="9989" max="9989" width="5.44140625" style="2" customWidth="1"/>
    <col min="9990" max="9990" width="51.5546875" style="2" customWidth="1"/>
    <col min="9991" max="9991" width="9.6640625" style="2" customWidth="1"/>
    <col min="9992" max="9992" width="7.5546875" style="2" customWidth="1"/>
    <col min="9993" max="9994" width="8.109375" style="2" customWidth="1"/>
    <col min="9995" max="9995" width="6" style="2" customWidth="1"/>
    <col min="9996" max="9999" width="0" style="2" hidden="1" customWidth="1"/>
    <col min="10000" max="10243" width="9.109375" style="2"/>
    <col min="10244" max="10244" width="3.88671875" style="2" customWidth="1"/>
    <col min="10245" max="10245" width="5.44140625" style="2" customWidth="1"/>
    <col min="10246" max="10246" width="51.5546875" style="2" customWidth="1"/>
    <col min="10247" max="10247" width="9.6640625" style="2" customWidth="1"/>
    <col min="10248" max="10248" width="7.5546875" style="2" customWidth="1"/>
    <col min="10249" max="10250" width="8.109375" style="2" customWidth="1"/>
    <col min="10251" max="10251" width="6" style="2" customWidth="1"/>
    <col min="10252" max="10255" width="0" style="2" hidden="1" customWidth="1"/>
    <col min="10256" max="10499" width="9.109375" style="2"/>
    <col min="10500" max="10500" width="3.88671875" style="2" customWidth="1"/>
    <col min="10501" max="10501" width="5.44140625" style="2" customWidth="1"/>
    <col min="10502" max="10502" width="51.5546875" style="2" customWidth="1"/>
    <col min="10503" max="10503" width="9.6640625" style="2" customWidth="1"/>
    <col min="10504" max="10504" width="7.5546875" style="2" customWidth="1"/>
    <col min="10505" max="10506" width="8.109375" style="2" customWidth="1"/>
    <col min="10507" max="10507" width="6" style="2" customWidth="1"/>
    <col min="10508" max="10511" width="0" style="2" hidden="1" customWidth="1"/>
    <col min="10512" max="10755" width="9.109375" style="2"/>
    <col min="10756" max="10756" width="3.88671875" style="2" customWidth="1"/>
    <col min="10757" max="10757" width="5.44140625" style="2" customWidth="1"/>
    <col min="10758" max="10758" width="51.5546875" style="2" customWidth="1"/>
    <col min="10759" max="10759" width="9.6640625" style="2" customWidth="1"/>
    <col min="10760" max="10760" width="7.5546875" style="2" customWidth="1"/>
    <col min="10761" max="10762" width="8.109375" style="2" customWidth="1"/>
    <col min="10763" max="10763" width="6" style="2" customWidth="1"/>
    <col min="10764" max="10767" width="0" style="2" hidden="1" customWidth="1"/>
    <col min="10768" max="11011" width="9.109375" style="2"/>
    <col min="11012" max="11012" width="3.88671875" style="2" customWidth="1"/>
    <col min="11013" max="11013" width="5.44140625" style="2" customWidth="1"/>
    <col min="11014" max="11014" width="51.5546875" style="2" customWidth="1"/>
    <col min="11015" max="11015" width="9.6640625" style="2" customWidth="1"/>
    <col min="11016" max="11016" width="7.5546875" style="2" customWidth="1"/>
    <col min="11017" max="11018" width="8.109375" style="2" customWidth="1"/>
    <col min="11019" max="11019" width="6" style="2" customWidth="1"/>
    <col min="11020" max="11023" width="0" style="2" hidden="1" customWidth="1"/>
    <col min="11024" max="11267" width="9.109375" style="2"/>
    <col min="11268" max="11268" width="3.88671875" style="2" customWidth="1"/>
    <col min="11269" max="11269" width="5.44140625" style="2" customWidth="1"/>
    <col min="11270" max="11270" width="51.5546875" style="2" customWidth="1"/>
    <col min="11271" max="11271" width="9.6640625" style="2" customWidth="1"/>
    <col min="11272" max="11272" width="7.5546875" style="2" customWidth="1"/>
    <col min="11273" max="11274" width="8.109375" style="2" customWidth="1"/>
    <col min="11275" max="11275" width="6" style="2" customWidth="1"/>
    <col min="11276" max="11279" width="0" style="2" hidden="1" customWidth="1"/>
    <col min="11280" max="11523" width="9.109375" style="2"/>
    <col min="11524" max="11524" width="3.88671875" style="2" customWidth="1"/>
    <col min="11525" max="11525" width="5.44140625" style="2" customWidth="1"/>
    <col min="11526" max="11526" width="51.5546875" style="2" customWidth="1"/>
    <col min="11527" max="11527" width="9.6640625" style="2" customWidth="1"/>
    <col min="11528" max="11528" width="7.5546875" style="2" customWidth="1"/>
    <col min="11529" max="11530" width="8.109375" style="2" customWidth="1"/>
    <col min="11531" max="11531" width="6" style="2" customWidth="1"/>
    <col min="11532" max="11535" width="0" style="2" hidden="1" customWidth="1"/>
    <col min="11536" max="11779" width="9.109375" style="2"/>
    <col min="11780" max="11780" width="3.88671875" style="2" customWidth="1"/>
    <col min="11781" max="11781" width="5.44140625" style="2" customWidth="1"/>
    <col min="11782" max="11782" width="51.5546875" style="2" customWidth="1"/>
    <col min="11783" max="11783" width="9.6640625" style="2" customWidth="1"/>
    <col min="11784" max="11784" width="7.5546875" style="2" customWidth="1"/>
    <col min="11785" max="11786" width="8.109375" style="2" customWidth="1"/>
    <col min="11787" max="11787" width="6" style="2" customWidth="1"/>
    <col min="11788" max="11791" width="0" style="2" hidden="1" customWidth="1"/>
    <col min="11792" max="12035" width="9.109375" style="2"/>
    <col min="12036" max="12036" width="3.88671875" style="2" customWidth="1"/>
    <col min="12037" max="12037" width="5.44140625" style="2" customWidth="1"/>
    <col min="12038" max="12038" width="51.5546875" style="2" customWidth="1"/>
    <col min="12039" max="12039" width="9.6640625" style="2" customWidth="1"/>
    <col min="12040" max="12040" width="7.5546875" style="2" customWidth="1"/>
    <col min="12041" max="12042" width="8.109375" style="2" customWidth="1"/>
    <col min="12043" max="12043" width="6" style="2" customWidth="1"/>
    <col min="12044" max="12047" width="0" style="2" hidden="1" customWidth="1"/>
    <col min="12048" max="12291" width="9.109375" style="2"/>
    <col min="12292" max="12292" width="3.88671875" style="2" customWidth="1"/>
    <col min="12293" max="12293" width="5.44140625" style="2" customWidth="1"/>
    <col min="12294" max="12294" width="51.5546875" style="2" customWidth="1"/>
    <col min="12295" max="12295" width="9.6640625" style="2" customWidth="1"/>
    <col min="12296" max="12296" width="7.5546875" style="2" customWidth="1"/>
    <col min="12297" max="12298" width="8.109375" style="2" customWidth="1"/>
    <col min="12299" max="12299" width="6" style="2" customWidth="1"/>
    <col min="12300" max="12303" width="0" style="2" hidden="1" customWidth="1"/>
    <col min="12304" max="12547" width="9.109375" style="2"/>
    <col min="12548" max="12548" width="3.88671875" style="2" customWidth="1"/>
    <col min="12549" max="12549" width="5.44140625" style="2" customWidth="1"/>
    <col min="12550" max="12550" width="51.5546875" style="2" customWidth="1"/>
    <col min="12551" max="12551" width="9.6640625" style="2" customWidth="1"/>
    <col min="12552" max="12552" width="7.5546875" style="2" customWidth="1"/>
    <col min="12553" max="12554" width="8.109375" style="2" customWidth="1"/>
    <col min="12555" max="12555" width="6" style="2" customWidth="1"/>
    <col min="12556" max="12559" width="0" style="2" hidden="1" customWidth="1"/>
    <col min="12560" max="12803" width="9.109375" style="2"/>
    <col min="12804" max="12804" width="3.88671875" style="2" customWidth="1"/>
    <col min="12805" max="12805" width="5.44140625" style="2" customWidth="1"/>
    <col min="12806" max="12806" width="51.5546875" style="2" customWidth="1"/>
    <col min="12807" max="12807" width="9.6640625" style="2" customWidth="1"/>
    <col min="12808" max="12808" width="7.5546875" style="2" customWidth="1"/>
    <col min="12809" max="12810" width="8.109375" style="2" customWidth="1"/>
    <col min="12811" max="12811" width="6" style="2" customWidth="1"/>
    <col min="12812" max="12815" width="0" style="2" hidden="1" customWidth="1"/>
    <col min="12816" max="13059" width="9.109375" style="2"/>
    <col min="13060" max="13060" width="3.88671875" style="2" customWidth="1"/>
    <col min="13061" max="13061" width="5.44140625" style="2" customWidth="1"/>
    <col min="13062" max="13062" width="51.5546875" style="2" customWidth="1"/>
    <col min="13063" max="13063" width="9.6640625" style="2" customWidth="1"/>
    <col min="13064" max="13064" width="7.5546875" style="2" customWidth="1"/>
    <col min="13065" max="13066" width="8.109375" style="2" customWidth="1"/>
    <col min="13067" max="13067" width="6" style="2" customWidth="1"/>
    <col min="13068" max="13071" width="0" style="2" hidden="1" customWidth="1"/>
    <col min="13072" max="13315" width="9.109375" style="2"/>
    <col min="13316" max="13316" width="3.88671875" style="2" customWidth="1"/>
    <col min="13317" max="13317" width="5.44140625" style="2" customWidth="1"/>
    <col min="13318" max="13318" width="51.5546875" style="2" customWidth="1"/>
    <col min="13319" max="13319" width="9.6640625" style="2" customWidth="1"/>
    <col min="13320" max="13320" width="7.5546875" style="2" customWidth="1"/>
    <col min="13321" max="13322" width="8.109375" style="2" customWidth="1"/>
    <col min="13323" max="13323" width="6" style="2" customWidth="1"/>
    <col min="13324" max="13327" width="0" style="2" hidden="1" customWidth="1"/>
    <col min="13328" max="13571" width="9.109375" style="2"/>
    <col min="13572" max="13572" width="3.88671875" style="2" customWidth="1"/>
    <col min="13573" max="13573" width="5.44140625" style="2" customWidth="1"/>
    <col min="13574" max="13574" width="51.5546875" style="2" customWidth="1"/>
    <col min="13575" max="13575" width="9.6640625" style="2" customWidth="1"/>
    <col min="13576" max="13576" width="7.5546875" style="2" customWidth="1"/>
    <col min="13577" max="13578" width="8.109375" style="2" customWidth="1"/>
    <col min="13579" max="13579" width="6" style="2" customWidth="1"/>
    <col min="13580" max="13583" width="0" style="2" hidden="1" customWidth="1"/>
    <col min="13584" max="13827" width="9.109375" style="2"/>
    <col min="13828" max="13828" width="3.88671875" style="2" customWidth="1"/>
    <col min="13829" max="13829" width="5.44140625" style="2" customWidth="1"/>
    <col min="13830" max="13830" width="51.5546875" style="2" customWidth="1"/>
    <col min="13831" max="13831" width="9.6640625" style="2" customWidth="1"/>
    <col min="13832" max="13832" width="7.5546875" style="2" customWidth="1"/>
    <col min="13833" max="13834" width="8.109375" style="2" customWidth="1"/>
    <col min="13835" max="13835" width="6" style="2" customWidth="1"/>
    <col min="13836" max="13839" width="0" style="2" hidden="1" customWidth="1"/>
    <col min="13840" max="14083" width="9.109375" style="2"/>
    <col min="14084" max="14084" width="3.88671875" style="2" customWidth="1"/>
    <col min="14085" max="14085" width="5.44140625" style="2" customWidth="1"/>
    <col min="14086" max="14086" width="51.5546875" style="2" customWidth="1"/>
    <col min="14087" max="14087" width="9.6640625" style="2" customWidth="1"/>
    <col min="14088" max="14088" width="7.5546875" style="2" customWidth="1"/>
    <col min="14089" max="14090" width="8.109375" style="2" customWidth="1"/>
    <col min="14091" max="14091" width="6" style="2" customWidth="1"/>
    <col min="14092" max="14095" width="0" style="2" hidden="1" customWidth="1"/>
    <col min="14096" max="14339" width="9.109375" style="2"/>
    <col min="14340" max="14340" width="3.88671875" style="2" customWidth="1"/>
    <col min="14341" max="14341" width="5.44140625" style="2" customWidth="1"/>
    <col min="14342" max="14342" width="51.5546875" style="2" customWidth="1"/>
    <col min="14343" max="14343" width="9.6640625" style="2" customWidth="1"/>
    <col min="14344" max="14344" width="7.5546875" style="2" customWidth="1"/>
    <col min="14345" max="14346" width="8.109375" style="2" customWidth="1"/>
    <col min="14347" max="14347" width="6" style="2" customWidth="1"/>
    <col min="14348" max="14351" width="0" style="2" hidden="1" customWidth="1"/>
    <col min="14352" max="14595" width="9.109375" style="2"/>
    <col min="14596" max="14596" width="3.88671875" style="2" customWidth="1"/>
    <col min="14597" max="14597" width="5.44140625" style="2" customWidth="1"/>
    <col min="14598" max="14598" width="51.5546875" style="2" customWidth="1"/>
    <col min="14599" max="14599" width="9.6640625" style="2" customWidth="1"/>
    <col min="14600" max="14600" width="7.5546875" style="2" customWidth="1"/>
    <col min="14601" max="14602" width="8.109375" style="2" customWidth="1"/>
    <col min="14603" max="14603" width="6" style="2" customWidth="1"/>
    <col min="14604" max="14607" width="0" style="2" hidden="1" customWidth="1"/>
    <col min="14608" max="14851" width="9.109375" style="2"/>
    <col min="14852" max="14852" width="3.88671875" style="2" customWidth="1"/>
    <col min="14853" max="14853" width="5.44140625" style="2" customWidth="1"/>
    <col min="14854" max="14854" width="51.5546875" style="2" customWidth="1"/>
    <col min="14855" max="14855" width="9.6640625" style="2" customWidth="1"/>
    <col min="14856" max="14856" width="7.5546875" style="2" customWidth="1"/>
    <col min="14857" max="14858" width="8.109375" style="2" customWidth="1"/>
    <col min="14859" max="14859" width="6" style="2" customWidth="1"/>
    <col min="14860" max="14863" width="0" style="2" hidden="1" customWidth="1"/>
    <col min="14864" max="15107" width="9.109375" style="2"/>
    <col min="15108" max="15108" width="3.88671875" style="2" customWidth="1"/>
    <col min="15109" max="15109" width="5.44140625" style="2" customWidth="1"/>
    <col min="15110" max="15110" width="51.5546875" style="2" customWidth="1"/>
    <col min="15111" max="15111" width="9.6640625" style="2" customWidth="1"/>
    <col min="15112" max="15112" width="7.5546875" style="2" customWidth="1"/>
    <col min="15113" max="15114" width="8.109375" style="2" customWidth="1"/>
    <col min="15115" max="15115" width="6" style="2" customWidth="1"/>
    <col min="15116" max="15119" width="0" style="2" hidden="1" customWidth="1"/>
    <col min="15120" max="15363" width="9.109375" style="2"/>
    <col min="15364" max="15364" width="3.88671875" style="2" customWidth="1"/>
    <col min="15365" max="15365" width="5.44140625" style="2" customWidth="1"/>
    <col min="15366" max="15366" width="51.5546875" style="2" customWidth="1"/>
    <col min="15367" max="15367" width="9.6640625" style="2" customWidth="1"/>
    <col min="15368" max="15368" width="7.5546875" style="2" customWidth="1"/>
    <col min="15369" max="15370" width="8.109375" style="2" customWidth="1"/>
    <col min="15371" max="15371" width="6" style="2" customWidth="1"/>
    <col min="15372" max="15375" width="0" style="2" hidden="1" customWidth="1"/>
    <col min="15376" max="15619" width="9.109375" style="2"/>
    <col min="15620" max="15620" width="3.88671875" style="2" customWidth="1"/>
    <col min="15621" max="15621" width="5.44140625" style="2" customWidth="1"/>
    <col min="15622" max="15622" width="51.5546875" style="2" customWidth="1"/>
    <col min="15623" max="15623" width="9.6640625" style="2" customWidth="1"/>
    <col min="15624" max="15624" width="7.5546875" style="2" customWidth="1"/>
    <col min="15625" max="15626" width="8.109375" style="2" customWidth="1"/>
    <col min="15627" max="15627" width="6" style="2" customWidth="1"/>
    <col min="15628" max="15631" width="0" style="2" hidden="1" customWidth="1"/>
    <col min="15632" max="15875" width="9.109375" style="2"/>
    <col min="15876" max="15876" width="3.88671875" style="2" customWidth="1"/>
    <col min="15877" max="15877" width="5.44140625" style="2" customWidth="1"/>
    <col min="15878" max="15878" width="51.5546875" style="2" customWidth="1"/>
    <col min="15879" max="15879" width="9.6640625" style="2" customWidth="1"/>
    <col min="15880" max="15880" width="7.5546875" style="2" customWidth="1"/>
    <col min="15881" max="15882" width="8.109375" style="2" customWidth="1"/>
    <col min="15883" max="15883" width="6" style="2" customWidth="1"/>
    <col min="15884" max="15887" width="0" style="2" hidden="1" customWidth="1"/>
    <col min="15888" max="16131" width="9.109375" style="2"/>
    <col min="16132" max="16132" width="3.88671875" style="2" customWidth="1"/>
    <col min="16133" max="16133" width="5.44140625" style="2" customWidth="1"/>
    <col min="16134" max="16134" width="51.5546875" style="2" customWidth="1"/>
    <col min="16135" max="16135" width="9.6640625" style="2" customWidth="1"/>
    <col min="16136" max="16136" width="7.5546875" style="2" customWidth="1"/>
    <col min="16137" max="16138" width="8.109375" style="2" customWidth="1"/>
    <col min="16139" max="16139" width="6" style="2" customWidth="1"/>
    <col min="16140" max="16143" width="0" style="2" hidden="1" customWidth="1"/>
    <col min="16144" max="16384" width="9.109375" style="2"/>
  </cols>
  <sheetData>
    <row r="1" spans="1:19" ht="15.6" x14ac:dyDescent="0.3">
      <c r="C1" s="306" t="s">
        <v>797</v>
      </c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9" ht="15.6" x14ac:dyDescent="0.3">
      <c r="C2" s="306" t="s">
        <v>798</v>
      </c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</row>
    <row r="3" spans="1:19" ht="15.6" x14ac:dyDescent="0.3">
      <c r="C3" s="113"/>
      <c r="D3" s="113"/>
      <c r="E3" s="307" t="s">
        <v>485</v>
      </c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</row>
    <row r="4" spans="1:19" ht="12" customHeight="1" x14ac:dyDescent="0.25">
      <c r="C4" s="1"/>
      <c r="D4" s="1"/>
      <c r="E4" s="1"/>
      <c r="F4" s="1"/>
      <c r="G4" s="1"/>
      <c r="H4" s="1"/>
      <c r="I4" s="1"/>
      <c r="J4" s="1"/>
      <c r="K4" s="1"/>
    </row>
    <row r="5" spans="1:19" ht="30" customHeight="1" x14ac:dyDescent="0.25">
      <c r="A5" s="308" t="s">
        <v>565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</row>
    <row r="6" spans="1:19" ht="14.4" customHeight="1" x14ac:dyDescent="0.25">
      <c r="J6" s="309" t="s">
        <v>1</v>
      </c>
      <c r="K6" s="309"/>
      <c r="L6" s="309"/>
      <c r="M6" s="309"/>
      <c r="N6" s="309"/>
      <c r="O6" s="309"/>
      <c r="P6" s="309"/>
    </row>
    <row r="7" spans="1:19" ht="15.6" customHeight="1" x14ac:dyDescent="0.25">
      <c r="A7" s="297" t="s">
        <v>466</v>
      </c>
      <c r="B7" s="303" t="s">
        <v>467</v>
      </c>
      <c r="C7" s="297" t="s">
        <v>4</v>
      </c>
      <c r="D7" s="303" t="s">
        <v>566</v>
      </c>
      <c r="E7" s="314" t="s">
        <v>567</v>
      </c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16"/>
    </row>
    <row r="8" spans="1:19" x14ac:dyDescent="0.25">
      <c r="A8" s="298"/>
      <c r="B8" s="304"/>
      <c r="C8" s="298"/>
      <c r="D8" s="304"/>
      <c r="E8" s="314" t="s">
        <v>6</v>
      </c>
      <c r="F8" s="316"/>
      <c r="G8" s="314" t="s">
        <v>7</v>
      </c>
      <c r="H8" s="325"/>
      <c r="I8" s="325"/>
      <c r="J8" s="325"/>
      <c r="K8" s="325"/>
      <c r="L8" s="325"/>
      <c r="M8" s="325"/>
      <c r="N8" s="325"/>
      <c r="O8" s="325"/>
      <c r="P8" s="316"/>
    </row>
    <row r="9" spans="1:19" ht="13.2" customHeight="1" x14ac:dyDescent="0.25">
      <c r="A9" s="298"/>
      <c r="B9" s="304"/>
      <c r="C9" s="298"/>
      <c r="D9" s="304"/>
      <c r="E9" s="315"/>
      <c r="F9" s="317"/>
      <c r="G9" s="310" t="s">
        <v>8</v>
      </c>
      <c r="H9" s="322"/>
      <c r="I9" s="322"/>
      <c r="J9" s="311"/>
      <c r="K9" s="314" t="s">
        <v>9</v>
      </c>
      <c r="L9" s="325"/>
      <c r="M9" s="325"/>
      <c r="N9" s="325"/>
      <c r="O9" s="325"/>
      <c r="P9" s="316"/>
    </row>
    <row r="10" spans="1:19" ht="22.95" customHeight="1" x14ac:dyDescent="0.25">
      <c r="A10" s="298"/>
      <c r="B10" s="304"/>
      <c r="C10" s="298"/>
      <c r="D10" s="304"/>
      <c r="E10" s="297" t="s">
        <v>10</v>
      </c>
      <c r="F10" s="297" t="s">
        <v>487</v>
      </c>
      <c r="G10" s="310" t="s">
        <v>12</v>
      </c>
      <c r="H10" s="311"/>
      <c r="I10" s="312" t="s">
        <v>13</v>
      </c>
      <c r="J10" s="313"/>
      <c r="K10" s="326" t="s">
        <v>10</v>
      </c>
      <c r="L10" s="161"/>
      <c r="M10" s="161"/>
      <c r="N10" s="161"/>
      <c r="O10" s="161"/>
      <c r="P10" s="323" t="s">
        <v>11</v>
      </c>
    </row>
    <row r="11" spans="1:19" ht="18.600000000000001" customHeight="1" x14ac:dyDescent="0.25">
      <c r="A11" s="299"/>
      <c r="B11" s="305"/>
      <c r="C11" s="299"/>
      <c r="D11" s="305"/>
      <c r="E11" s="299"/>
      <c r="F11" s="299"/>
      <c r="G11" s="7" t="s">
        <v>10</v>
      </c>
      <c r="H11" s="7" t="s">
        <v>11</v>
      </c>
      <c r="I11" s="7" t="s">
        <v>10</v>
      </c>
      <c r="J11" s="7" t="s">
        <v>11</v>
      </c>
      <c r="K11" s="327"/>
      <c r="L11" s="161"/>
      <c r="M11" s="161"/>
      <c r="N11" s="161"/>
      <c r="O11" s="161"/>
      <c r="P11" s="324"/>
    </row>
    <row r="12" spans="1:19" s="116" customFormat="1" ht="12" customHeight="1" x14ac:dyDescent="0.25">
      <c r="A12" s="98">
        <v>1</v>
      </c>
      <c r="B12" s="9" t="s">
        <v>14</v>
      </c>
      <c r="C12" s="7">
        <v>3</v>
      </c>
      <c r="D12" s="9" t="s">
        <v>568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P12" s="10">
        <v>12</v>
      </c>
    </row>
    <row r="13" spans="1:19" s="116" customFormat="1" ht="16.2" customHeight="1" x14ac:dyDescent="0.25">
      <c r="A13" s="11">
        <v>1</v>
      </c>
      <c r="B13" s="9" t="s">
        <v>93</v>
      </c>
      <c r="C13" s="12" t="s">
        <v>94</v>
      </c>
      <c r="D13" s="9"/>
      <c r="E13" s="43">
        <f>+G13+K13</f>
        <v>462.90000000000003</v>
      </c>
      <c r="F13" s="43">
        <f>+H13+P13</f>
        <v>462.20000000000005</v>
      </c>
      <c r="G13" s="43">
        <f t="shared" ref="G13:P13" si="0">SUM(G14+G16+G18+G20)</f>
        <v>462.90000000000003</v>
      </c>
      <c r="H13" s="43">
        <f t="shared" si="0"/>
        <v>462.20000000000005</v>
      </c>
      <c r="I13" s="43">
        <f t="shared" si="0"/>
        <v>332.4</v>
      </c>
      <c r="J13" s="43">
        <f t="shared" si="0"/>
        <v>331.7</v>
      </c>
      <c r="K13" s="43">
        <f t="shared" si="0"/>
        <v>0</v>
      </c>
      <c r="L13" s="43">
        <f t="shared" si="0"/>
        <v>0</v>
      </c>
      <c r="M13" s="43">
        <f t="shared" si="0"/>
        <v>0</v>
      </c>
      <c r="N13" s="43">
        <f t="shared" si="0"/>
        <v>0</v>
      </c>
      <c r="O13" s="43">
        <f t="shared" si="0"/>
        <v>0</v>
      </c>
      <c r="P13" s="43">
        <f t="shared" si="0"/>
        <v>0</v>
      </c>
      <c r="Q13" s="162"/>
      <c r="R13" s="162"/>
      <c r="S13" s="162"/>
    </row>
    <row r="14" spans="1:19" s="116" customFormat="1" ht="12.6" customHeight="1" x14ac:dyDescent="0.25">
      <c r="A14" s="11">
        <v>2</v>
      </c>
      <c r="B14" s="233" t="s">
        <v>569</v>
      </c>
      <c r="C14" s="48" t="s">
        <v>570</v>
      </c>
      <c r="D14" s="233" t="s">
        <v>474</v>
      </c>
      <c r="E14" s="163">
        <f>+E15</f>
        <v>267.10000000000002</v>
      </c>
      <c r="F14" s="18">
        <f t="shared" ref="F14:F77" si="1">+H14+P14</f>
        <v>267.10000000000002</v>
      </c>
      <c r="G14" s="163">
        <f>+G15</f>
        <v>267.10000000000002</v>
      </c>
      <c r="H14" s="163">
        <f>+H15</f>
        <v>267.10000000000002</v>
      </c>
      <c r="I14" s="163">
        <f>+I15</f>
        <v>224</v>
      </c>
      <c r="J14" s="163">
        <f>+J15</f>
        <v>224</v>
      </c>
      <c r="K14" s="163"/>
      <c r="L14" s="164">
        <f t="shared" ref="L14:L77" si="2">+M14+O14</f>
        <v>0</v>
      </c>
      <c r="P14" s="165"/>
      <c r="Q14" s="162"/>
      <c r="R14" s="162"/>
      <c r="S14" s="162"/>
    </row>
    <row r="15" spans="1:19" s="116" customFormat="1" ht="12.6" customHeight="1" x14ac:dyDescent="0.25">
      <c r="A15" s="11">
        <v>3</v>
      </c>
      <c r="B15" s="9"/>
      <c r="C15" s="39" t="s">
        <v>473</v>
      </c>
      <c r="D15" s="9"/>
      <c r="E15" s="166">
        <f>+G15+K15</f>
        <v>267.10000000000002</v>
      </c>
      <c r="F15" s="18">
        <f t="shared" si="1"/>
        <v>267.10000000000002</v>
      </c>
      <c r="G15" s="166">
        <v>267.10000000000002</v>
      </c>
      <c r="H15" s="166">
        <v>267.10000000000002</v>
      </c>
      <c r="I15" s="166">
        <v>224</v>
      </c>
      <c r="J15" s="166">
        <v>224</v>
      </c>
      <c r="K15" s="166"/>
      <c r="L15" s="164">
        <f t="shared" si="2"/>
        <v>0</v>
      </c>
      <c r="P15" s="165"/>
      <c r="Q15" s="162"/>
      <c r="R15" s="162"/>
      <c r="S15" s="162"/>
    </row>
    <row r="16" spans="1:19" s="116" customFormat="1" ht="12.6" customHeight="1" x14ac:dyDescent="0.25">
      <c r="A16" s="11">
        <v>4</v>
      </c>
      <c r="B16" s="233" t="s">
        <v>571</v>
      </c>
      <c r="C16" s="48" t="s">
        <v>572</v>
      </c>
      <c r="D16" s="233" t="s">
        <v>474</v>
      </c>
      <c r="E16" s="163">
        <f>+E17</f>
        <v>133.30000000000001</v>
      </c>
      <c r="F16" s="18">
        <f t="shared" si="1"/>
        <v>133.30000000000001</v>
      </c>
      <c r="G16" s="163">
        <f>+G17</f>
        <v>133.30000000000001</v>
      </c>
      <c r="H16" s="163">
        <f>+H17</f>
        <v>133.30000000000001</v>
      </c>
      <c r="I16" s="163">
        <f>+I17</f>
        <v>105.5</v>
      </c>
      <c r="J16" s="163">
        <f>+J17</f>
        <v>105.5</v>
      </c>
      <c r="K16" s="163"/>
      <c r="L16" s="164">
        <f t="shared" si="2"/>
        <v>0</v>
      </c>
      <c r="P16" s="165"/>
      <c r="Q16" s="162"/>
      <c r="R16" s="162"/>
      <c r="S16" s="162"/>
    </row>
    <row r="17" spans="1:19" s="116" customFormat="1" ht="12.6" customHeight="1" x14ac:dyDescent="0.25">
      <c r="A17" s="11">
        <v>5</v>
      </c>
      <c r="B17" s="233"/>
      <c r="C17" s="39" t="s">
        <v>473</v>
      </c>
      <c r="D17" s="9"/>
      <c r="E17" s="166">
        <f>+G17+K17</f>
        <v>133.30000000000001</v>
      </c>
      <c r="F17" s="18">
        <f t="shared" si="1"/>
        <v>133.30000000000001</v>
      </c>
      <c r="G17" s="166">
        <v>133.30000000000001</v>
      </c>
      <c r="H17" s="166">
        <v>133.30000000000001</v>
      </c>
      <c r="I17" s="166">
        <v>105.5</v>
      </c>
      <c r="J17" s="166">
        <v>105.5</v>
      </c>
      <c r="K17" s="166"/>
      <c r="L17" s="164">
        <f t="shared" si="2"/>
        <v>0</v>
      </c>
      <c r="M17" s="131"/>
      <c r="P17" s="165"/>
      <c r="Q17" s="162"/>
      <c r="R17" s="162"/>
      <c r="S17" s="162"/>
    </row>
    <row r="18" spans="1:19" s="116" customFormat="1" ht="12.6" customHeight="1" x14ac:dyDescent="0.25">
      <c r="A18" s="11">
        <v>6</v>
      </c>
      <c r="B18" s="233" t="s">
        <v>573</v>
      </c>
      <c r="C18" s="48" t="s">
        <v>574</v>
      </c>
      <c r="D18" s="233" t="s">
        <v>474</v>
      </c>
      <c r="E18" s="163">
        <f>+G18+K18</f>
        <v>59.6</v>
      </c>
      <c r="F18" s="18">
        <f t="shared" si="1"/>
        <v>59.6</v>
      </c>
      <c r="G18" s="163">
        <f>+G19</f>
        <v>59.6</v>
      </c>
      <c r="H18" s="163">
        <f>+H19</f>
        <v>59.6</v>
      </c>
      <c r="I18" s="163"/>
      <c r="J18" s="163"/>
      <c r="K18" s="163"/>
      <c r="L18" s="164">
        <f t="shared" si="2"/>
        <v>0</v>
      </c>
      <c r="P18" s="165"/>
      <c r="Q18" s="162"/>
      <c r="R18" s="162"/>
      <c r="S18" s="162"/>
    </row>
    <row r="19" spans="1:19" s="116" customFormat="1" ht="12.6" customHeight="1" x14ac:dyDescent="0.25">
      <c r="A19" s="11">
        <v>7</v>
      </c>
      <c r="B19" s="233"/>
      <c r="C19" s="39" t="s">
        <v>473</v>
      </c>
      <c r="D19" s="9"/>
      <c r="E19" s="166">
        <f>+G19+K19</f>
        <v>59.6</v>
      </c>
      <c r="F19" s="18">
        <f t="shared" si="1"/>
        <v>59.6</v>
      </c>
      <c r="G19" s="166">
        <v>59.6</v>
      </c>
      <c r="H19" s="166">
        <v>59.6</v>
      </c>
      <c r="I19" s="166"/>
      <c r="J19" s="166"/>
      <c r="K19" s="166"/>
      <c r="L19" s="164">
        <f t="shared" si="2"/>
        <v>0</v>
      </c>
      <c r="P19" s="165"/>
      <c r="Q19" s="162"/>
      <c r="R19" s="162"/>
      <c r="S19" s="162"/>
    </row>
    <row r="20" spans="1:19" s="116" customFormat="1" ht="12.6" customHeight="1" x14ac:dyDescent="0.25">
      <c r="A20" s="11">
        <v>8</v>
      </c>
      <c r="B20" s="233" t="s">
        <v>575</v>
      </c>
      <c r="C20" s="48" t="s">
        <v>576</v>
      </c>
      <c r="D20" s="233" t="s">
        <v>135</v>
      </c>
      <c r="E20" s="163">
        <f>+E21</f>
        <v>2.9</v>
      </c>
      <c r="F20" s="18">
        <f t="shared" si="1"/>
        <v>2.2000000000000002</v>
      </c>
      <c r="G20" s="163">
        <f>+G21</f>
        <v>2.9</v>
      </c>
      <c r="H20" s="163">
        <f>+H21</f>
        <v>2.2000000000000002</v>
      </c>
      <c r="I20" s="163">
        <f>+I21</f>
        <v>2.9</v>
      </c>
      <c r="J20" s="163">
        <f>+J21</f>
        <v>2.2000000000000002</v>
      </c>
      <c r="K20" s="163"/>
      <c r="L20" s="164">
        <f t="shared" si="2"/>
        <v>0</v>
      </c>
      <c r="P20" s="165"/>
      <c r="Q20" s="162"/>
      <c r="R20" s="162"/>
      <c r="S20" s="162"/>
    </row>
    <row r="21" spans="1:19" s="116" customFormat="1" ht="12.6" customHeight="1" x14ac:dyDescent="0.25">
      <c r="A21" s="11">
        <v>9</v>
      </c>
      <c r="B21" s="9"/>
      <c r="C21" s="119" t="s">
        <v>60</v>
      </c>
      <c r="D21" s="9"/>
      <c r="E21" s="166">
        <f>+G21+K21</f>
        <v>2.9</v>
      </c>
      <c r="F21" s="18">
        <f t="shared" si="1"/>
        <v>2.2000000000000002</v>
      </c>
      <c r="G21" s="166">
        <v>2.9</v>
      </c>
      <c r="H21" s="166">
        <v>2.2000000000000002</v>
      </c>
      <c r="I21" s="166">
        <v>2.9</v>
      </c>
      <c r="J21" s="166">
        <v>2.2000000000000002</v>
      </c>
      <c r="K21" s="166"/>
      <c r="L21" s="164">
        <f t="shared" si="2"/>
        <v>0</v>
      </c>
      <c r="P21" s="165"/>
      <c r="Q21" s="162"/>
      <c r="R21" s="162"/>
      <c r="S21" s="162"/>
    </row>
    <row r="22" spans="1:19" ht="15.6" customHeight="1" x14ac:dyDescent="0.25">
      <c r="A22" s="11">
        <v>10</v>
      </c>
      <c r="B22" s="231" t="s">
        <v>141</v>
      </c>
      <c r="C22" s="42" t="s">
        <v>142</v>
      </c>
      <c r="D22" s="232"/>
      <c r="E22" s="43">
        <f>SUM(E23+E30+E32+E45+E47)</f>
        <v>2245.2000000000003</v>
      </c>
      <c r="F22" s="43">
        <f t="shared" si="1"/>
        <v>2157.6000000000004</v>
      </c>
      <c r="G22" s="43">
        <f t="shared" ref="G22:P22" si="3">SUM(G23+G30+G32+G45+G47)</f>
        <v>2230.4</v>
      </c>
      <c r="H22" s="43">
        <f t="shared" si="3"/>
        <v>2142.8000000000002</v>
      </c>
      <c r="I22" s="43">
        <f t="shared" si="3"/>
        <v>1076.8</v>
      </c>
      <c r="J22" s="43">
        <f t="shared" si="3"/>
        <v>1021.4</v>
      </c>
      <c r="K22" s="43">
        <f t="shared" si="3"/>
        <v>14.8</v>
      </c>
      <c r="L22" s="43">
        <f t="shared" si="3"/>
        <v>40</v>
      </c>
      <c r="M22" s="43">
        <f t="shared" si="3"/>
        <v>37.9</v>
      </c>
      <c r="N22" s="43">
        <f t="shared" si="3"/>
        <v>19.8</v>
      </c>
      <c r="O22" s="43">
        <f t="shared" si="3"/>
        <v>2.1</v>
      </c>
      <c r="P22" s="43">
        <f t="shared" si="3"/>
        <v>14.8</v>
      </c>
      <c r="Q22" s="14"/>
      <c r="R22" s="14"/>
      <c r="S22" s="14"/>
    </row>
    <row r="23" spans="1:19" ht="24.6" customHeight="1" x14ac:dyDescent="0.25">
      <c r="A23" s="11">
        <v>11</v>
      </c>
      <c r="B23" s="232" t="s">
        <v>577</v>
      </c>
      <c r="C23" s="48" t="s">
        <v>578</v>
      </c>
      <c r="D23" s="40" t="s">
        <v>175</v>
      </c>
      <c r="E23" s="167">
        <f>SUM(E24:E28)</f>
        <v>816.6</v>
      </c>
      <c r="F23" s="18">
        <f t="shared" si="1"/>
        <v>814.69999999999993</v>
      </c>
      <c r="G23" s="167">
        <f t="shared" ref="G23:P23" si="4">SUM(G24:G28)</f>
        <v>801.8</v>
      </c>
      <c r="H23" s="167">
        <f t="shared" si="4"/>
        <v>799.9</v>
      </c>
      <c r="I23" s="167">
        <f t="shared" si="4"/>
        <v>483</v>
      </c>
      <c r="J23" s="167">
        <f t="shared" si="4"/>
        <v>483</v>
      </c>
      <c r="K23" s="167">
        <f t="shared" si="4"/>
        <v>14.8</v>
      </c>
      <c r="L23" s="167">
        <f t="shared" si="4"/>
        <v>40</v>
      </c>
      <c r="M23" s="167">
        <f t="shared" si="4"/>
        <v>37.9</v>
      </c>
      <c r="N23" s="167">
        <f t="shared" si="4"/>
        <v>19.8</v>
      </c>
      <c r="O23" s="167">
        <f t="shared" si="4"/>
        <v>2.1</v>
      </c>
      <c r="P23" s="167">
        <f t="shared" si="4"/>
        <v>14.8</v>
      </c>
      <c r="Q23" s="14"/>
      <c r="R23" s="14"/>
      <c r="S23" s="14"/>
    </row>
    <row r="24" spans="1:19" s="172" customFormat="1" ht="12.6" customHeight="1" x14ac:dyDescent="0.25">
      <c r="A24" s="21">
        <v>12</v>
      </c>
      <c r="B24" s="22"/>
      <c r="C24" s="64" t="s">
        <v>143</v>
      </c>
      <c r="D24" s="168"/>
      <c r="E24" s="24">
        <f t="shared" ref="E24:E29" si="5">+G24+K24</f>
        <v>285</v>
      </c>
      <c r="F24" s="18">
        <f t="shared" si="1"/>
        <v>284.89999999999998</v>
      </c>
      <c r="G24" s="24">
        <f>163.5+39.8+66.7+15</f>
        <v>285</v>
      </c>
      <c r="H24" s="24">
        <v>284.89999999999998</v>
      </c>
      <c r="I24" s="24">
        <f>160.5+39.2+65.7+6</f>
        <v>271.39999999999998</v>
      </c>
      <c r="J24" s="24">
        <v>271.39999999999998</v>
      </c>
      <c r="K24" s="24"/>
      <c r="L24" s="169">
        <f t="shared" si="2"/>
        <v>13.1</v>
      </c>
      <c r="M24" s="170">
        <v>13.1</v>
      </c>
      <c r="N24" s="170">
        <v>13.1</v>
      </c>
      <c r="O24" s="170"/>
      <c r="P24" s="171"/>
      <c r="Q24" s="170"/>
      <c r="R24" s="170"/>
      <c r="S24" s="170"/>
    </row>
    <row r="25" spans="1:19" ht="12.6" customHeight="1" x14ac:dyDescent="0.25">
      <c r="A25" s="11">
        <v>13</v>
      </c>
      <c r="B25" s="232"/>
      <c r="C25" s="35" t="s">
        <v>147</v>
      </c>
      <c r="D25" s="40"/>
      <c r="E25" s="18">
        <f t="shared" si="5"/>
        <v>118.7</v>
      </c>
      <c r="F25" s="18">
        <f t="shared" si="1"/>
        <v>118.7</v>
      </c>
      <c r="G25" s="18">
        <f>92.7+9.1+11</f>
        <v>112.8</v>
      </c>
      <c r="H25" s="18">
        <v>112.8</v>
      </c>
      <c r="I25" s="18">
        <f>84+7.5+4.5</f>
        <v>96</v>
      </c>
      <c r="J25" s="18">
        <v>96</v>
      </c>
      <c r="K25" s="18">
        <v>5.9</v>
      </c>
      <c r="L25" s="164">
        <f t="shared" si="2"/>
        <v>3.8</v>
      </c>
      <c r="M25" s="14">
        <v>3.8</v>
      </c>
      <c r="N25" s="14">
        <v>3.2</v>
      </c>
      <c r="O25" s="14"/>
      <c r="P25" s="165">
        <v>5.9</v>
      </c>
      <c r="Q25" s="14"/>
      <c r="R25" s="14"/>
      <c r="S25" s="14"/>
    </row>
    <row r="26" spans="1:19" ht="12.6" customHeight="1" x14ac:dyDescent="0.25">
      <c r="A26" s="11">
        <v>14</v>
      </c>
      <c r="B26" s="232"/>
      <c r="C26" s="35" t="s">
        <v>56</v>
      </c>
      <c r="D26" s="40"/>
      <c r="E26" s="18">
        <f t="shared" si="5"/>
        <v>73</v>
      </c>
      <c r="F26" s="18">
        <f t="shared" si="1"/>
        <v>73</v>
      </c>
      <c r="G26" s="18">
        <f>54.5+7.3+11.2</f>
        <v>73</v>
      </c>
      <c r="H26" s="18">
        <v>73</v>
      </c>
      <c r="I26" s="18">
        <f>36.8+7.2+11</f>
        <v>55</v>
      </c>
      <c r="J26" s="18">
        <v>55</v>
      </c>
      <c r="K26" s="18"/>
      <c r="L26" s="164">
        <f t="shared" si="2"/>
        <v>1.5</v>
      </c>
      <c r="M26" s="14">
        <v>1.5</v>
      </c>
      <c r="N26" s="14">
        <v>1.5</v>
      </c>
      <c r="O26" s="14"/>
      <c r="P26" s="165"/>
      <c r="Q26" s="14"/>
      <c r="R26" s="14"/>
      <c r="S26" s="14"/>
    </row>
    <row r="27" spans="1:19" ht="12.6" customHeight="1" x14ac:dyDescent="0.25">
      <c r="A27" s="11">
        <v>15</v>
      </c>
      <c r="B27" s="232"/>
      <c r="C27" s="35" t="s">
        <v>57</v>
      </c>
      <c r="D27" s="40"/>
      <c r="E27" s="18">
        <f t="shared" si="5"/>
        <v>82.500000000000014</v>
      </c>
      <c r="F27" s="18">
        <f t="shared" si="1"/>
        <v>82.5</v>
      </c>
      <c r="G27" s="18">
        <f>62.7+6.4+4.5</f>
        <v>73.600000000000009</v>
      </c>
      <c r="H27" s="18">
        <v>73.599999999999994</v>
      </c>
      <c r="I27" s="18">
        <f>55+5.6</f>
        <v>60.6</v>
      </c>
      <c r="J27" s="18">
        <v>60.6</v>
      </c>
      <c r="K27" s="18">
        <v>8.9</v>
      </c>
      <c r="L27" s="164">
        <f t="shared" si="2"/>
        <v>5.7</v>
      </c>
      <c r="M27" s="14">
        <v>3.6</v>
      </c>
      <c r="N27" s="14">
        <v>2</v>
      </c>
      <c r="O27" s="14">
        <v>2.1</v>
      </c>
      <c r="P27" s="165">
        <v>8.9</v>
      </c>
      <c r="Q27" s="14"/>
      <c r="R27" s="14"/>
      <c r="S27" s="14"/>
    </row>
    <row r="28" spans="1:19" ht="12.6" customHeight="1" x14ac:dyDescent="0.25">
      <c r="A28" s="283">
        <v>16</v>
      </c>
      <c r="B28" s="285"/>
      <c r="C28" s="119" t="s">
        <v>60</v>
      </c>
      <c r="D28" s="40"/>
      <c r="E28" s="18">
        <f t="shared" si="5"/>
        <v>257.39999999999998</v>
      </c>
      <c r="F28" s="18">
        <f>+H28+P28</f>
        <v>255.6</v>
      </c>
      <c r="G28" s="18">
        <f>180.9+31.5+45</f>
        <v>257.39999999999998</v>
      </c>
      <c r="H28" s="18">
        <v>255.6</v>
      </c>
      <c r="I28" s="18"/>
      <c r="J28" s="18"/>
      <c r="K28" s="18"/>
      <c r="L28" s="164">
        <f t="shared" si="2"/>
        <v>15.9</v>
      </c>
      <c r="M28" s="14">
        <v>15.9</v>
      </c>
      <c r="N28" s="14"/>
      <c r="O28" s="14"/>
      <c r="P28" s="165"/>
      <c r="Q28" s="14"/>
      <c r="R28" s="14"/>
      <c r="S28" s="14"/>
    </row>
    <row r="29" spans="1:19" ht="24.6" customHeight="1" x14ac:dyDescent="0.25">
      <c r="A29" s="284"/>
      <c r="B29" s="286"/>
      <c r="C29" s="29" t="s">
        <v>579</v>
      </c>
      <c r="D29" s="40"/>
      <c r="E29" s="18">
        <f t="shared" si="5"/>
        <v>36</v>
      </c>
      <c r="F29" s="18">
        <f t="shared" si="1"/>
        <v>33.700000000000003</v>
      </c>
      <c r="G29" s="18">
        <v>36</v>
      </c>
      <c r="H29" s="24">
        <v>33.700000000000003</v>
      </c>
      <c r="I29" s="18"/>
      <c r="J29" s="18"/>
      <c r="K29" s="18"/>
      <c r="L29" s="164">
        <f t="shared" si="2"/>
        <v>0</v>
      </c>
      <c r="M29" s="14"/>
      <c r="N29" s="14"/>
      <c r="O29" s="14"/>
      <c r="P29" s="165"/>
      <c r="Q29" s="14"/>
      <c r="R29" s="14"/>
      <c r="S29" s="14"/>
    </row>
    <row r="30" spans="1:19" ht="24.9" customHeight="1" x14ac:dyDescent="0.25">
      <c r="A30" s="11">
        <v>17</v>
      </c>
      <c r="B30" s="232" t="s">
        <v>580</v>
      </c>
      <c r="C30" s="48" t="s">
        <v>581</v>
      </c>
      <c r="D30" s="232" t="s">
        <v>151</v>
      </c>
      <c r="E30" s="167">
        <f>SUM(E31:E31)</f>
        <v>592.70000000000005</v>
      </c>
      <c r="F30" s="18">
        <f t="shared" si="1"/>
        <v>540.5</v>
      </c>
      <c r="G30" s="167">
        <f>SUM(G31:G31)</f>
        <v>592.70000000000005</v>
      </c>
      <c r="H30" s="167">
        <f>SUM(H31:H31)</f>
        <v>540.5</v>
      </c>
      <c r="I30" s="167">
        <f>SUM(I31:I31)</f>
        <v>570</v>
      </c>
      <c r="J30" s="167">
        <f>SUM(J31:J31)</f>
        <v>518.29999999999995</v>
      </c>
      <c r="K30" s="167"/>
      <c r="L30" s="164">
        <f t="shared" si="2"/>
        <v>0</v>
      </c>
      <c r="P30" s="165"/>
      <c r="Q30" s="14"/>
      <c r="R30" s="14"/>
      <c r="S30" s="14"/>
    </row>
    <row r="31" spans="1:19" ht="12.6" customHeight="1" x14ac:dyDescent="0.25">
      <c r="A31" s="11">
        <v>18</v>
      </c>
      <c r="B31" s="232"/>
      <c r="C31" s="29" t="s">
        <v>150</v>
      </c>
      <c r="D31" s="232"/>
      <c r="E31" s="18">
        <f>+G31+K31</f>
        <v>592.70000000000005</v>
      </c>
      <c r="F31" s="18">
        <f t="shared" si="1"/>
        <v>540.5</v>
      </c>
      <c r="G31" s="18">
        <v>592.70000000000005</v>
      </c>
      <c r="H31" s="18">
        <v>540.5</v>
      </c>
      <c r="I31" s="18">
        <v>570</v>
      </c>
      <c r="J31" s="18">
        <v>518.29999999999995</v>
      </c>
      <c r="K31" s="167"/>
      <c r="L31" s="164">
        <f t="shared" si="2"/>
        <v>0</v>
      </c>
      <c r="N31" s="14"/>
      <c r="P31" s="165"/>
      <c r="Q31" s="14"/>
      <c r="R31" s="14"/>
      <c r="S31" s="14"/>
    </row>
    <row r="32" spans="1:19" ht="39.6" customHeight="1" x14ac:dyDescent="0.25">
      <c r="A32" s="11">
        <v>19</v>
      </c>
      <c r="B32" s="232" t="s">
        <v>582</v>
      </c>
      <c r="C32" s="48" t="s">
        <v>583</v>
      </c>
      <c r="D32" s="233" t="s">
        <v>584</v>
      </c>
      <c r="E32" s="167">
        <f>SUM(E33:E44)</f>
        <v>315.2</v>
      </c>
      <c r="F32" s="18">
        <f t="shared" si="1"/>
        <v>292.90000000000003</v>
      </c>
      <c r="G32" s="167">
        <f>SUM(G33:G44)</f>
        <v>315.2</v>
      </c>
      <c r="H32" s="167">
        <f>SUM(H33:H44)</f>
        <v>292.90000000000003</v>
      </c>
      <c r="I32" s="167">
        <f>SUM(I33:I44)</f>
        <v>8.2000000000000011</v>
      </c>
      <c r="J32" s="167">
        <f>SUM(J33:J44)</f>
        <v>7.6</v>
      </c>
      <c r="K32" s="167"/>
      <c r="L32" s="164">
        <f t="shared" si="2"/>
        <v>0</v>
      </c>
      <c r="P32" s="165"/>
      <c r="Q32" s="14"/>
      <c r="R32" s="14"/>
      <c r="S32" s="14"/>
    </row>
    <row r="33" spans="1:22" ht="12.6" customHeight="1" x14ac:dyDescent="0.25">
      <c r="A33" s="21">
        <v>20</v>
      </c>
      <c r="B33" s="22"/>
      <c r="C33" s="173" t="s">
        <v>60</v>
      </c>
      <c r="D33" s="60"/>
      <c r="E33" s="24">
        <f>+G33+K33</f>
        <v>3.9999999999999996</v>
      </c>
      <c r="F33" s="18">
        <f t="shared" si="1"/>
        <v>3.3</v>
      </c>
      <c r="G33" s="24">
        <f>5.8-0.9-0.9</f>
        <v>3.9999999999999996</v>
      </c>
      <c r="H33" s="24">
        <v>3.3</v>
      </c>
      <c r="I33" s="24"/>
      <c r="J33" s="24"/>
      <c r="K33" s="24"/>
      <c r="L33" s="164">
        <f t="shared" si="2"/>
        <v>-1.9</v>
      </c>
      <c r="M33" s="2">
        <v>-1.9</v>
      </c>
      <c r="P33" s="165"/>
      <c r="Q33" s="14"/>
      <c r="R33" s="14"/>
      <c r="S33" s="14"/>
    </row>
    <row r="34" spans="1:22" ht="24.9" customHeight="1" x14ac:dyDescent="0.25">
      <c r="A34" s="21">
        <v>21</v>
      </c>
      <c r="B34" s="22"/>
      <c r="C34" s="23" t="s">
        <v>191</v>
      </c>
      <c r="D34" s="22"/>
      <c r="E34" s="24">
        <f>+G34+K34</f>
        <v>169.70000000000002</v>
      </c>
      <c r="F34" s="18">
        <f t="shared" si="1"/>
        <v>151.9</v>
      </c>
      <c r="G34" s="24">
        <f>153.3-4+2.4+18</f>
        <v>169.70000000000002</v>
      </c>
      <c r="H34" s="24">
        <v>151.9</v>
      </c>
      <c r="I34" s="24">
        <f>4.4-0.2</f>
        <v>4.2</v>
      </c>
      <c r="J34" s="24">
        <v>4.2</v>
      </c>
      <c r="K34" s="24"/>
      <c r="L34" s="164">
        <f t="shared" si="2"/>
        <v>-31.9</v>
      </c>
      <c r="M34" s="2">
        <v>-31.9</v>
      </c>
      <c r="N34" s="2">
        <v>-2.2999999999999998</v>
      </c>
      <c r="P34" s="165"/>
      <c r="Q34" s="14"/>
      <c r="R34" s="14"/>
      <c r="S34" s="14"/>
    </row>
    <row r="35" spans="1:22" ht="12.6" customHeight="1" x14ac:dyDescent="0.25">
      <c r="A35" s="21">
        <v>22</v>
      </c>
      <c r="B35" s="22"/>
      <c r="C35" s="23" t="s">
        <v>193</v>
      </c>
      <c r="D35" s="22"/>
      <c r="E35" s="24">
        <f t="shared" ref="E35:E46" si="6">+G35+K35</f>
        <v>28.9</v>
      </c>
      <c r="F35" s="18">
        <f t="shared" si="1"/>
        <v>27.6</v>
      </c>
      <c r="G35" s="24">
        <f>21.9+4.8+1.5+0.7</f>
        <v>28.9</v>
      </c>
      <c r="H35" s="18">
        <v>27.6</v>
      </c>
      <c r="I35" s="24">
        <f>0.6+0.2</f>
        <v>0.8</v>
      </c>
      <c r="J35" s="24">
        <v>0.8</v>
      </c>
      <c r="K35" s="24"/>
      <c r="L35" s="164">
        <f t="shared" si="2"/>
        <v>1.2</v>
      </c>
      <c r="M35" s="2">
        <v>1.2</v>
      </c>
      <c r="N35" s="2">
        <v>-0.3</v>
      </c>
      <c r="P35" s="165"/>
      <c r="Q35" s="14"/>
      <c r="R35" s="14"/>
      <c r="S35" s="14"/>
    </row>
    <row r="36" spans="1:22" ht="12.6" customHeight="1" x14ac:dyDescent="0.25">
      <c r="A36" s="21">
        <v>23</v>
      </c>
      <c r="B36" s="22"/>
      <c r="C36" s="23" t="s">
        <v>195</v>
      </c>
      <c r="D36" s="22"/>
      <c r="E36" s="24">
        <f t="shared" si="6"/>
        <v>10.699999999999998</v>
      </c>
      <c r="F36" s="18">
        <f t="shared" si="1"/>
        <v>9.6</v>
      </c>
      <c r="G36" s="24">
        <f>8.6+0.7+0.7+0.7</f>
        <v>10.699999999999998</v>
      </c>
      <c r="H36" s="18">
        <f>9.7-0.1</f>
        <v>9.6</v>
      </c>
      <c r="I36" s="24">
        <f>0.2+0.1</f>
        <v>0.30000000000000004</v>
      </c>
      <c r="J36" s="24">
        <v>0.3</v>
      </c>
      <c r="K36" s="24"/>
      <c r="L36" s="164">
        <f t="shared" si="2"/>
        <v>-2.1</v>
      </c>
      <c r="M36" s="2">
        <v>-2.1</v>
      </c>
      <c r="N36" s="2">
        <v>-0.1</v>
      </c>
      <c r="P36" s="165"/>
      <c r="Q36" s="14"/>
      <c r="R36" s="14"/>
      <c r="S36" s="14"/>
    </row>
    <row r="37" spans="1:22" ht="12.6" customHeight="1" x14ac:dyDescent="0.25">
      <c r="A37" s="21">
        <v>24</v>
      </c>
      <c r="B37" s="22"/>
      <c r="C37" s="23" t="s">
        <v>196</v>
      </c>
      <c r="D37" s="22"/>
      <c r="E37" s="24">
        <f>+G37+K37</f>
        <v>16.700000000000003</v>
      </c>
      <c r="F37" s="18">
        <f t="shared" si="1"/>
        <v>15.5</v>
      </c>
      <c r="G37" s="24">
        <f>18.8-2.7+0.6</f>
        <v>16.700000000000003</v>
      </c>
      <c r="H37" s="18">
        <v>15.5</v>
      </c>
      <c r="I37" s="24">
        <v>0.5</v>
      </c>
      <c r="J37" s="24">
        <v>0.2</v>
      </c>
      <c r="K37" s="24"/>
      <c r="L37" s="164">
        <f t="shared" si="2"/>
        <v>-5.8</v>
      </c>
      <c r="M37" s="2">
        <v>-5.8</v>
      </c>
      <c r="N37" s="2">
        <v>-0.3</v>
      </c>
      <c r="P37" s="165"/>
      <c r="Q37" s="14"/>
      <c r="R37" s="14"/>
      <c r="S37" s="14"/>
    </row>
    <row r="38" spans="1:22" ht="12.6" customHeight="1" x14ac:dyDescent="0.25">
      <c r="A38" s="21">
        <v>25</v>
      </c>
      <c r="B38" s="22"/>
      <c r="C38" s="23" t="s">
        <v>197</v>
      </c>
      <c r="D38" s="22"/>
      <c r="E38" s="24">
        <f t="shared" si="6"/>
        <v>12.599999999999998</v>
      </c>
      <c r="F38" s="18">
        <f t="shared" si="1"/>
        <v>12.5</v>
      </c>
      <c r="G38" s="24">
        <f>13.7-1.8+0.7</f>
        <v>12.599999999999998</v>
      </c>
      <c r="H38" s="18">
        <v>12.5</v>
      </c>
      <c r="I38" s="24">
        <v>0.4</v>
      </c>
      <c r="J38" s="24">
        <v>0.3</v>
      </c>
      <c r="K38" s="24"/>
      <c r="L38" s="164">
        <f t="shared" si="2"/>
        <v>-2.4</v>
      </c>
      <c r="M38" s="2">
        <v>-2.4</v>
      </c>
      <c r="N38" s="2">
        <v>-0.2</v>
      </c>
      <c r="P38" s="165"/>
      <c r="Q38" s="14"/>
      <c r="R38" s="14"/>
      <c r="S38" s="14"/>
    </row>
    <row r="39" spans="1:22" ht="12.6" customHeight="1" x14ac:dyDescent="0.25">
      <c r="A39" s="21">
        <v>26</v>
      </c>
      <c r="B39" s="22"/>
      <c r="C39" s="23" t="s">
        <v>198</v>
      </c>
      <c r="D39" s="22"/>
      <c r="E39" s="24">
        <f t="shared" si="6"/>
        <v>20.599999999999998</v>
      </c>
      <c r="F39" s="18">
        <f t="shared" si="1"/>
        <v>20.8</v>
      </c>
      <c r="G39" s="24">
        <f>12.6+5.8+1.2+1</f>
        <v>20.599999999999998</v>
      </c>
      <c r="H39" s="18">
        <v>20.8</v>
      </c>
      <c r="I39" s="24">
        <f>0.4+0.2</f>
        <v>0.60000000000000009</v>
      </c>
      <c r="J39" s="24">
        <v>0.5</v>
      </c>
      <c r="K39" s="24"/>
      <c r="L39" s="164">
        <f t="shared" si="2"/>
        <v>0.6</v>
      </c>
      <c r="M39" s="2">
        <v>0.6</v>
      </c>
      <c r="N39" s="2">
        <v>-0.1</v>
      </c>
      <c r="P39" s="165"/>
      <c r="Q39" s="14"/>
      <c r="R39" s="14"/>
      <c r="S39" s="14"/>
    </row>
    <row r="40" spans="1:22" ht="12.6" customHeight="1" x14ac:dyDescent="0.25">
      <c r="A40" s="21">
        <v>27</v>
      </c>
      <c r="B40" s="22"/>
      <c r="C40" s="64" t="s">
        <v>199</v>
      </c>
      <c r="D40" s="22"/>
      <c r="E40" s="24">
        <f t="shared" si="6"/>
        <v>8.6999999999999993</v>
      </c>
      <c r="F40" s="18">
        <f t="shared" si="1"/>
        <v>8.9</v>
      </c>
      <c r="G40" s="24">
        <f>5.4+2.8+0.5</f>
        <v>8.6999999999999993</v>
      </c>
      <c r="H40" s="18">
        <v>8.9</v>
      </c>
      <c r="I40" s="24">
        <v>0.2</v>
      </c>
      <c r="J40" s="24">
        <v>0.2</v>
      </c>
      <c r="K40" s="174"/>
      <c r="L40" s="164">
        <f t="shared" si="2"/>
        <v>0.2</v>
      </c>
      <c r="M40" s="2">
        <v>0.2</v>
      </c>
      <c r="P40" s="165"/>
      <c r="Q40" s="14"/>
      <c r="R40" s="14"/>
      <c r="S40" s="14"/>
    </row>
    <row r="41" spans="1:22" ht="12.6" customHeight="1" x14ac:dyDescent="0.25">
      <c r="A41" s="21">
        <v>28</v>
      </c>
      <c r="B41" s="22"/>
      <c r="C41" s="23" t="s">
        <v>200</v>
      </c>
      <c r="D41" s="22"/>
      <c r="E41" s="24">
        <f>+G41+K41</f>
        <v>6.8</v>
      </c>
      <c r="F41" s="18">
        <f t="shared" si="1"/>
        <v>6.1</v>
      </c>
      <c r="G41" s="24">
        <v>6.8</v>
      </c>
      <c r="H41" s="18">
        <v>6.1</v>
      </c>
      <c r="I41" s="24">
        <v>0.2</v>
      </c>
      <c r="J41" s="24">
        <v>0.2</v>
      </c>
      <c r="K41" s="24"/>
      <c r="L41" s="164">
        <f t="shared" si="2"/>
        <v>0.8</v>
      </c>
      <c r="M41" s="2">
        <v>0.8</v>
      </c>
      <c r="N41" s="2">
        <v>-0.1</v>
      </c>
      <c r="P41" s="165"/>
      <c r="Q41" s="14"/>
      <c r="R41" s="14"/>
      <c r="S41" s="14"/>
    </row>
    <row r="42" spans="1:22" ht="12.6" customHeight="1" x14ac:dyDescent="0.25">
      <c r="A42" s="21">
        <v>29</v>
      </c>
      <c r="B42" s="22"/>
      <c r="C42" s="23" t="s">
        <v>201</v>
      </c>
      <c r="D42" s="22"/>
      <c r="E42" s="24">
        <f t="shared" si="6"/>
        <v>7.8999999999999986</v>
      </c>
      <c r="F42" s="18">
        <f t="shared" si="1"/>
        <v>7.3000000000000007</v>
      </c>
      <c r="G42" s="24">
        <f>11.7-2.8-1</f>
        <v>7.8999999999999986</v>
      </c>
      <c r="H42" s="18">
        <f>7.4-0.1</f>
        <v>7.3000000000000007</v>
      </c>
      <c r="I42" s="24">
        <f>0.3-0.1</f>
        <v>0.19999999999999998</v>
      </c>
      <c r="J42" s="24">
        <v>0.2</v>
      </c>
      <c r="K42" s="24"/>
      <c r="L42" s="164">
        <f t="shared" si="2"/>
        <v>-1.9</v>
      </c>
      <c r="M42" s="2">
        <v>-1.9</v>
      </c>
      <c r="N42" s="2">
        <v>-0.2</v>
      </c>
      <c r="P42" s="165"/>
      <c r="Q42" s="14"/>
      <c r="R42" s="14"/>
      <c r="S42" s="14"/>
    </row>
    <row r="43" spans="1:22" ht="12.6" customHeight="1" x14ac:dyDescent="0.25">
      <c r="A43" s="21">
        <v>30</v>
      </c>
      <c r="B43" s="22"/>
      <c r="C43" s="23" t="s">
        <v>202</v>
      </c>
      <c r="D43" s="22"/>
      <c r="E43" s="24">
        <f t="shared" si="6"/>
        <v>5.5</v>
      </c>
      <c r="F43" s="18">
        <f t="shared" si="1"/>
        <v>5.4</v>
      </c>
      <c r="G43" s="24">
        <v>5.5</v>
      </c>
      <c r="H43" s="18">
        <v>5.4</v>
      </c>
      <c r="I43" s="24">
        <v>0.2</v>
      </c>
      <c r="J43" s="24">
        <v>0.1</v>
      </c>
      <c r="K43" s="24"/>
      <c r="L43" s="164">
        <f t="shared" si="2"/>
        <v>0.1</v>
      </c>
      <c r="M43" s="2">
        <v>0.1</v>
      </c>
      <c r="P43" s="165"/>
      <c r="Q43" s="14"/>
      <c r="R43" s="14"/>
      <c r="S43" s="14"/>
    </row>
    <row r="44" spans="1:22" ht="12.6" customHeight="1" x14ac:dyDescent="0.25">
      <c r="A44" s="21">
        <v>31</v>
      </c>
      <c r="B44" s="22"/>
      <c r="C44" s="23" t="s">
        <v>203</v>
      </c>
      <c r="D44" s="22"/>
      <c r="E44" s="24">
        <f t="shared" si="6"/>
        <v>23.1</v>
      </c>
      <c r="F44" s="18">
        <f t="shared" si="1"/>
        <v>24</v>
      </c>
      <c r="G44" s="24">
        <f>18+3.1+0.7+1.3</f>
        <v>23.1</v>
      </c>
      <c r="H44" s="18">
        <v>24</v>
      </c>
      <c r="I44" s="24">
        <f>0.5+0.1</f>
        <v>0.6</v>
      </c>
      <c r="J44" s="24">
        <v>0.6</v>
      </c>
      <c r="K44" s="24"/>
      <c r="L44" s="164">
        <f t="shared" si="2"/>
        <v>-4.4000000000000004</v>
      </c>
      <c r="M44" s="2">
        <v>-4.4000000000000004</v>
      </c>
      <c r="N44" s="2">
        <v>-0.3</v>
      </c>
      <c r="P44" s="165"/>
      <c r="Q44" s="14"/>
      <c r="R44" s="14"/>
      <c r="S44" s="14"/>
    </row>
    <row r="45" spans="1:22" ht="26.4" customHeight="1" x14ac:dyDescent="0.25">
      <c r="A45" s="11">
        <v>32</v>
      </c>
      <c r="B45" s="232" t="s">
        <v>585</v>
      </c>
      <c r="C45" s="86" t="s">
        <v>586</v>
      </c>
      <c r="D45" s="232" t="s">
        <v>521</v>
      </c>
      <c r="E45" s="167">
        <f>+E46</f>
        <v>520.30000000000007</v>
      </c>
      <c r="F45" s="18">
        <f t="shared" si="1"/>
        <v>509.1</v>
      </c>
      <c r="G45" s="167">
        <f>+G46</f>
        <v>520.30000000000007</v>
      </c>
      <c r="H45" s="167">
        <f>+H46</f>
        <v>509.1</v>
      </c>
      <c r="I45" s="167">
        <f>+I46</f>
        <v>15.6</v>
      </c>
      <c r="J45" s="167">
        <f>+J46</f>
        <v>12.5</v>
      </c>
      <c r="K45" s="167"/>
      <c r="L45" s="164">
        <f t="shared" si="2"/>
        <v>0</v>
      </c>
      <c r="P45" s="165"/>
      <c r="Q45" s="14"/>
      <c r="R45" s="14"/>
      <c r="S45" s="14"/>
    </row>
    <row r="46" spans="1:22" ht="12.6" customHeight="1" x14ac:dyDescent="0.25">
      <c r="A46" s="11">
        <v>33</v>
      </c>
      <c r="B46" s="232"/>
      <c r="C46" s="119" t="s">
        <v>60</v>
      </c>
      <c r="D46" s="232"/>
      <c r="E46" s="18">
        <f t="shared" si="6"/>
        <v>520.30000000000007</v>
      </c>
      <c r="F46" s="18">
        <f t="shared" si="1"/>
        <v>509.1</v>
      </c>
      <c r="G46" s="18">
        <f>500.1+20.2</f>
        <v>520.30000000000007</v>
      </c>
      <c r="H46" s="18">
        <v>509.1</v>
      </c>
      <c r="I46" s="18">
        <v>15.6</v>
      </c>
      <c r="J46" s="18">
        <v>12.5</v>
      </c>
      <c r="K46" s="18"/>
      <c r="L46" s="164">
        <f t="shared" si="2"/>
        <v>0</v>
      </c>
      <c r="P46" s="165"/>
      <c r="Q46" s="14"/>
      <c r="R46" s="14"/>
      <c r="S46" s="14"/>
      <c r="V46" s="2" t="s">
        <v>759</v>
      </c>
    </row>
    <row r="47" spans="1:22" ht="24.9" customHeight="1" x14ac:dyDescent="0.25">
      <c r="A47" s="11">
        <v>34</v>
      </c>
      <c r="B47" s="232" t="s">
        <v>587</v>
      </c>
      <c r="C47" s="86" t="s">
        <v>588</v>
      </c>
      <c r="D47" s="232" t="s">
        <v>156</v>
      </c>
      <c r="E47" s="167">
        <f>+E48</f>
        <v>0.4</v>
      </c>
      <c r="F47" s="18">
        <f t="shared" si="1"/>
        <v>0.4</v>
      </c>
      <c r="G47" s="167">
        <f>+G48</f>
        <v>0.4</v>
      </c>
      <c r="H47" s="167">
        <f>+H48</f>
        <v>0.4</v>
      </c>
      <c r="I47" s="167">
        <f>+I48</f>
        <v>0</v>
      </c>
      <c r="J47" s="167">
        <f>+J48</f>
        <v>0</v>
      </c>
      <c r="K47" s="167"/>
      <c r="L47" s="164">
        <f t="shared" si="2"/>
        <v>0</v>
      </c>
      <c r="P47" s="165"/>
      <c r="Q47" s="14"/>
      <c r="R47" s="14"/>
      <c r="S47" s="14"/>
    </row>
    <row r="48" spans="1:22" ht="12.6" customHeight="1" x14ac:dyDescent="0.25">
      <c r="A48" s="11">
        <v>35</v>
      </c>
      <c r="B48" s="232"/>
      <c r="C48" s="119" t="s">
        <v>60</v>
      </c>
      <c r="D48" s="232"/>
      <c r="E48" s="18">
        <f>+G48+K48</f>
        <v>0.4</v>
      </c>
      <c r="F48" s="41">
        <f t="shared" si="1"/>
        <v>0.4</v>
      </c>
      <c r="G48" s="18">
        <f>0.1+0.3</f>
        <v>0.4</v>
      </c>
      <c r="H48" s="18">
        <v>0.4</v>
      </c>
      <c r="I48" s="18"/>
      <c r="J48" s="18"/>
      <c r="K48" s="18"/>
      <c r="L48" s="164">
        <f t="shared" si="2"/>
        <v>0</v>
      </c>
      <c r="P48" s="165"/>
      <c r="Q48" s="14"/>
      <c r="R48" s="14"/>
      <c r="S48" s="14"/>
    </row>
    <row r="49" spans="1:19" ht="16.2" customHeight="1" x14ac:dyDescent="0.25">
      <c r="A49" s="11">
        <v>36</v>
      </c>
      <c r="B49" s="231" t="s">
        <v>416</v>
      </c>
      <c r="C49" s="42" t="s">
        <v>417</v>
      </c>
      <c r="D49" s="232"/>
      <c r="E49" s="43">
        <f>+G49+K49</f>
        <v>619.40000000000009</v>
      </c>
      <c r="F49" s="43">
        <f t="shared" si="1"/>
        <v>617.1</v>
      </c>
      <c r="G49" s="43">
        <f t="shared" ref="G49:P49" si="7">+G50+G62+G65</f>
        <v>619.40000000000009</v>
      </c>
      <c r="H49" s="43">
        <f t="shared" si="7"/>
        <v>617.1</v>
      </c>
      <c r="I49" s="43">
        <f t="shared" si="7"/>
        <v>193.39999999999998</v>
      </c>
      <c r="J49" s="43">
        <f t="shared" si="7"/>
        <v>191.59999999999997</v>
      </c>
      <c r="K49" s="43">
        <f t="shared" si="7"/>
        <v>0</v>
      </c>
      <c r="L49" s="43">
        <f t="shared" si="7"/>
        <v>0</v>
      </c>
      <c r="M49" s="43">
        <f t="shared" si="7"/>
        <v>0</v>
      </c>
      <c r="N49" s="43">
        <f t="shared" si="7"/>
        <v>0</v>
      </c>
      <c r="O49" s="43">
        <f t="shared" si="7"/>
        <v>0</v>
      </c>
      <c r="P49" s="43">
        <f t="shared" si="7"/>
        <v>0</v>
      </c>
      <c r="Q49" s="14"/>
      <c r="R49" s="14"/>
      <c r="S49" s="14"/>
    </row>
    <row r="50" spans="1:19" ht="12.6" customHeight="1" x14ac:dyDescent="0.25">
      <c r="A50" s="11">
        <v>37</v>
      </c>
      <c r="B50" s="232" t="s">
        <v>589</v>
      </c>
      <c r="C50" s="86" t="s">
        <v>590</v>
      </c>
      <c r="D50" s="232" t="s">
        <v>591</v>
      </c>
      <c r="E50" s="167">
        <f>SUM(E51:E61)</f>
        <v>201.7</v>
      </c>
      <c r="F50" s="18">
        <f t="shared" si="1"/>
        <v>199.49999999999997</v>
      </c>
      <c r="G50" s="167">
        <f>SUM(G51:G61)</f>
        <v>201.7</v>
      </c>
      <c r="H50" s="167">
        <f>SUM(H51:H61)</f>
        <v>199.49999999999997</v>
      </c>
      <c r="I50" s="167">
        <f>SUM(I51:I61)</f>
        <v>190.2</v>
      </c>
      <c r="J50" s="167">
        <f>SUM(J51:J61)</f>
        <v>188.49999999999997</v>
      </c>
      <c r="K50" s="167"/>
      <c r="L50" s="164">
        <f t="shared" si="2"/>
        <v>0</v>
      </c>
      <c r="P50" s="165"/>
      <c r="Q50" s="14"/>
      <c r="R50" s="14"/>
      <c r="S50" s="14"/>
    </row>
    <row r="51" spans="1:19" ht="12.6" customHeight="1" x14ac:dyDescent="0.25">
      <c r="A51" s="11">
        <v>38</v>
      </c>
      <c r="B51" s="232"/>
      <c r="C51" s="119" t="s">
        <v>60</v>
      </c>
      <c r="D51" s="232"/>
      <c r="E51" s="18">
        <f>+G51+K51</f>
        <v>108.9</v>
      </c>
      <c r="F51" s="18">
        <f t="shared" si="1"/>
        <v>108.5</v>
      </c>
      <c r="G51" s="18">
        <v>108.9</v>
      </c>
      <c r="H51" s="18">
        <f>108.6-0.1</f>
        <v>108.5</v>
      </c>
      <c r="I51" s="18">
        <v>98.7</v>
      </c>
      <c r="J51" s="18">
        <v>98.7</v>
      </c>
      <c r="K51" s="18"/>
      <c r="L51" s="164">
        <f t="shared" si="2"/>
        <v>0</v>
      </c>
      <c r="P51" s="165"/>
      <c r="Q51" s="14"/>
      <c r="R51" s="14"/>
      <c r="S51" s="14"/>
    </row>
    <row r="52" spans="1:19" ht="12.6" customHeight="1" x14ac:dyDescent="0.25">
      <c r="A52" s="11">
        <v>39</v>
      </c>
      <c r="B52" s="232"/>
      <c r="C52" s="20" t="s">
        <v>193</v>
      </c>
      <c r="D52" s="232"/>
      <c r="E52" s="18">
        <f t="shared" ref="E52:E61" si="8">+G52+K52</f>
        <v>9.6</v>
      </c>
      <c r="F52" s="18">
        <f t="shared" si="1"/>
        <v>9.6</v>
      </c>
      <c r="G52" s="18">
        <v>9.6</v>
      </c>
      <c r="H52" s="18">
        <v>9.6</v>
      </c>
      <c r="I52" s="18">
        <v>9.5</v>
      </c>
      <c r="J52" s="18">
        <v>9.5</v>
      </c>
      <c r="K52" s="18"/>
      <c r="L52" s="164">
        <f t="shared" si="2"/>
        <v>0</v>
      </c>
      <c r="P52" s="165"/>
      <c r="Q52" s="14"/>
      <c r="R52" s="14"/>
      <c r="S52" s="14"/>
    </row>
    <row r="53" spans="1:19" ht="12.6" customHeight="1" x14ac:dyDescent="0.25">
      <c r="A53" s="11">
        <v>40</v>
      </c>
      <c r="B53" s="232"/>
      <c r="C53" s="20" t="s">
        <v>195</v>
      </c>
      <c r="D53" s="232"/>
      <c r="E53" s="18">
        <f t="shared" si="8"/>
        <v>7.5</v>
      </c>
      <c r="F53" s="18">
        <f t="shared" si="1"/>
        <v>7.5</v>
      </c>
      <c r="G53" s="18">
        <v>7.5</v>
      </c>
      <c r="H53" s="18">
        <v>7.5</v>
      </c>
      <c r="I53" s="18">
        <v>7.4</v>
      </c>
      <c r="J53" s="18">
        <v>7.4</v>
      </c>
      <c r="K53" s="18"/>
      <c r="L53" s="164">
        <f t="shared" si="2"/>
        <v>0</v>
      </c>
      <c r="P53" s="165"/>
      <c r="Q53" s="14"/>
      <c r="R53" s="14"/>
      <c r="S53" s="14"/>
    </row>
    <row r="54" spans="1:19" ht="12.6" customHeight="1" x14ac:dyDescent="0.25">
      <c r="A54" s="11">
        <v>41</v>
      </c>
      <c r="B54" s="232"/>
      <c r="C54" s="20" t="s">
        <v>196</v>
      </c>
      <c r="D54" s="232"/>
      <c r="E54" s="18">
        <f>+G54+K54</f>
        <v>10.8</v>
      </c>
      <c r="F54" s="18">
        <f t="shared" si="1"/>
        <v>10.199999999999999</v>
      </c>
      <c r="G54" s="18">
        <v>10.8</v>
      </c>
      <c r="H54" s="18">
        <v>10.199999999999999</v>
      </c>
      <c r="I54" s="18">
        <v>10.6</v>
      </c>
      <c r="J54" s="18">
        <v>10.1</v>
      </c>
      <c r="K54" s="18"/>
      <c r="L54" s="164">
        <f t="shared" si="2"/>
        <v>0</v>
      </c>
      <c r="P54" s="165"/>
      <c r="Q54" s="14"/>
      <c r="R54" s="14"/>
      <c r="S54" s="14"/>
    </row>
    <row r="55" spans="1:19" ht="12.6" customHeight="1" x14ac:dyDescent="0.25">
      <c r="A55" s="11">
        <v>42</v>
      </c>
      <c r="B55" s="232"/>
      <c r="C55" s="20" t="s">
        <v>197</v>
      </c>
      <c r="D55" s="232"/>
      <c r="E55" s="18">
        <f t="shared" si="8"/>
        <v>12.9</v>
      </c>
      <c r="F55" s="18">
        <f t="shared" si="1"/>
        <v>12.9</v>
      </c>
      <c r="G55" s="18">
        <v>12.9</v>
      </c>
      <c r="H55" s="18">
        <v>12.9</v>
      </c>
      <c r="I55" s="18">
        <v>12.7</v>
      </c>
      <c r="J55" s="18">
        <v>12.7</v>
      </c>
      <c r="K55" s="18"/>
      <c r="L55" s="164">
        <f t="shared" si="2"/>
        <v>0</v>
      </c>
      <c r="P55" s="165"/>
      <c r="Q55" s="14"/>
      <c r="R55" s="14"/>
      <c r="S55" s="14"/>
    </row>
    <row r="56" spans="1:19" ht="12.6" customHeight="1" x14ac:dyDescent="0.25">
      <c r="A56" s="11">
        <v>43</v>
      </c>
      <c r="B56" s="232"/>
      <c r="C56" s="20" t="s">
        <v>198</v>
      </c>
      <c r="D56" s="232"/>
      <c r="E56" s="18">
        <f t="shared" si="8"/>
        <v>10.8</v>
      </c>
      <c r="F56" s="18">
        <f t="shared" si="1"/>
        <v>10.8</v>
      </c>
      <c r="G56" s="18">
        <v>10.8</v>
      </c>
      <c r="H56" s="18">
        <v>10.8</v>
      </c>
      <c r="I56" s="18">
        <v>10.6</v>
      </c>
      <c r="J56" s="18">
        <v>10.6</v>
      </c>
      <c r="K56" s="18"/>
      <c r="L56" s="164">
        <f t="shared" si="2"/>
        <v>0</v>
      </c>
      <c r="P56" s="165"/>
      <c r="Q56" s="14"/>
      <c r="R56" s="14"/>
      <c r="S56" s="14"/>
    </row>
    <row r="57" spans="1:19" ht="12.6" customHeight="1" x14ac:dyDescent="0.25">
      <c r="A57" s="11">
        <v>44</v>
      </c>
      <c r="B57" s="232"/>
      <c r="C57" s="29" t="s">
        <v>199</v>
      </c>
      <c r="D57" s="232"/>
      <c r="E57" s="18">
        <f t="shared" si="8"/>
        <v>7.6</v>
      </c>
      <c r="F57" s="18">
        <f t="shared" si="1"/>
        <v>6.7</v>
      </c>
      <c r="G57" s="18">
        <v>7.6</v>
      </c>
      <c r="H57" s="18">
        <v>6.7</v>
      </c>
      <c r="I57" s="18">
        <v>7.5</v>
      </c>
      <c r="J57" s="18">
        <v>6.6</v>
      </c>
      <c r="K57" s="18"/>
      <c r="L57" s="164">
        <f t="shared" si="2"/>
        <v>0</v>
      </c>
      <c r="P57" s="165"/>
      <c r="Q57" s="14"/>
      <c r="R57" s="14"/>
      <c r="S57" s="14"/>
    </row>
    <row r="58" spans="1:19" ht="12.6" customHeight="1" x14ac:dyDescent="0.25">
      <c r="A58" s="11">
        <v>45</v>
      </c>
      <c r="B58" s="232"/>
      <c r="C58" s="20" t="s">
        <v>200</v>
      </c>
      <c r="D58" s="232"/>
      <c r="E58" s="18">
        <f>+G58+K58</f>
        <v>6.7</v>
      </c>
      <c r="F58" s="18">
        <f t="shared" si="1"/>
        <v>6.7</v>
      </c>
      <c r="G58" s="18">
        <v>6.7</v>
      </c>
      <c r="H58" s="18">
        <v>6.7</v>
      </c>
      <c r="I58" s="18">
        <v>6.6</v>
      </c>
      <c r="J58" s="18">
        <v>6.6</v>
      </c>
      <c r="K58" s="18"/>
      <c r="L58" s="164">
        <f t="shared" si="2"/>
        <v>0</v>
      </c>
      <c r="P58" s="165"/>
      <c r="Q58" s="14"/>
      <c r="R58" s="14"/>
      <c r="S58" s="14"/>
    </row>
    <row r="59" spans="1:19" ht="12.6" customHeight="1" x14ac:dyDescent="0.25">
      <c r="A59" s="11">
        <v>46</v>
      </c>
      <c r="B59" s="232"/>
      <c r="C59" s="20" t="s">
        <v>201</v>
      </c>
      <c r="D59" s="232"/>
      <c r="E59" s="18">
        <f t="shared" si="8"/>
        <v>9.6</v>
      </c>
      <c r="F59" s="18">
        <f t="shared" si="1"/>
        <v>9.6</v>
      </c>
      <c r="G59" s="18">
        <v>9.6</v>
      </c>
      <c r="H59" s="18">
        <v>9.6</v>
      </c>
      <c r="I59" s="18">
        <v>9.5</v>
      </c>
      <c r="J59" s="18">
        <v>9.5</v>
      </c>
      <c r="K59" s="18"/>
      <c r="L59" s="164">
        <f t="shared" si="2"/>
        <v>0</v>
      </c>
      <c r="P59" s="165"/>
      <c r="Q59" s="14"/>
      <c r="R59" s="14"/>
      <c r="S59" s="14"/>
    </row>
    <row r="60" spans="1:19" ht="12.6" customHeight="1" x14ac:dyDescent="0.25">
      <c r="A60" s="11">
        <v>47</v>
      </c>
      <c r="B60" s="232"/>
      <c r="C60" s="20" t="s">
        <v>202</v>
      </c>
      <c r="D60" s="232"/>
      <c r="E60" s="18">
        <f t="shared" si="8"/>
        <v>7.7</v>
      </c>
      <c r="F60" s="18">
        <f t="shared" si="1"/>
        <v>7.7</v>
      </c>
      <c r="G60" s="18">
        <v>7.7</v>
      </c>
      <c r="H60" s="18">
        <v>7.7</v>
      </c>
      <c r="I60" s="18">
        <v>7.6</v>
      </c>
      <c r="J60" s="18">
        <v>7.6</v>
      </c>
      <c r="K60" s="18"/>
      <c r="L60" s="164">
        <f t="shared" si="2"/>
        <v>0</v>
      </c>
      <c r="P60" s="165"/>
      <c r="Q60" s="14"/>
      <c r="R60" s="14"/>
      <c r="S60" s="14"/>
    </row>
    <row r="61" spans="1:19" ht="12.6" customHeight="1" x14ac:dyDescent="0.25">
      <c r="A61" s="11">
        <v>48</v>
      </c>
      <c r="B61" s="232"/>
      <c r="C61" s="20" t="s">
        <v>203</v>
      </c>
      <c r="D61" s="232"/>
      <c r="E61" s="18">
        <f t="shared" si="8"/>
        <v>9.6</v>
      </c>
      <c r="F61" s="18">
        <f t="shared" si="1"/>
        <v>9.3000000000000007</v>
      </c>
      <c r="G61" s="18">
        <v>9.6</v>
      </c>
      <c r="H61" s="18">
        <v>9.3000000000000007</v>
      </c>
      <c r="I61" s="18">
        <v>9.5</v>
      </c>
      <c r="J61" s="18">
        <v>9.1999999999999993</v>
      </c>
      <c r="K61" s="18"/>
      <c r="L61" s="164">
        <f t="shared" si="2"/>
        <v>0</v>
      </c>
      <c r="P61" s="165"/>
      <c r="Q61" s="14"/>
      <c r="R61" s="14"/>
      <c r="S61" s="14"/>
    </row>
    <row r="62" spans="1:19" ht="68.400000000000006" customHeight="1" x14ac:dyDescent="0.25">
      <c r="A62" s="283">
        <v>49</v>
      </c>
      <c r="B62" s="285" t="s">
        <v>592</v>
      </c>
      <c r="C62" s="48" t="s">
        <v>593</v>
      </c>
      <c r="D62" s="285"/>
      <c r="E62" s="167">
        <f>+E64</f>
        <v>400</v>
      </c>
      <c r="F62" s="18">
        <f t="shared" si="1"/>
        <v>400</v>
      </c>
      <c r="G62" s="167">
        <f t="shared" ref="G62:P62" si="9">+G64</f>
        <v>400</v>
      </c>
      <c r="H62" s="167">
        <f t="shared" si="9"/>
        <v>400</v>
      </c>
      <c r="I62" s="167">
        <f t="shared" si="9"/>
        <v>0</v>
      </c>
      <c r="J62" s="167">
        <f t="shared" si="9"/>
        <v>0</v>
      </c>
      <c r="K62" s="167">
        <f t="shared" si="9"/>
        <v>0</v>
      </c>
      <c r="L62" s="167">
        <f t="shared" si="9"/>
        <v>0</v>
      </c>
      <c r="M62" s="167">
        <f t="shared" si="9"/>
        <v>0</v>
      </c>
      <c r="N62" s="167">
        <f t="shared" si="9"/>
        <v>0</v>
      </c>
      <c r="O62" s="167">
        <f t="shared" si="9"/>
        <v>0</v>
      </c>
      <c r="P62" s="167">
        <f t="shared" si="9"/>
        <v>0</v>
      </c>
      <c r="Q62" s="14"/>
      <c r="R62" s="14"/>
      <c r="S62" s="14"/>
    </row>
    <row r="63" spans="1:19" x14ac:dyDescent="0.25">
      <c r="A63" s="284"/>
      <c r="B63" s="286"/>
      <c r="C63" s="48" t="s">
        <v>594</v>
      </c>
      <c r="D63" s="286"/>
      <c r="E63" s="167">
        <f>+G63+K63</f>
        <v>10</v>
      </c>
      <c r="F63" s="18">
        <f t="shared" si="1"/>
        <v>10</v>
      </c>
      <c r="G63" s="167">
        <v>10</v>
      </c>
      <c r="H63" s="167">
        <v>10</v>
      </c>
      <c r="I63" s="167"/>
      <c r="J63" s="167"/>
      <c r="K63" s="167"/>
      <c r="L63" s="164">
        <f t="shared" si="2"/>
        <v>0</v>
      </c>
      <c r="P63" s="165"/>
      <c r="Q63" s="14"/>
      <c r="R63" s="14"/>
      <c r="S63" s="14"/>
    </row>
    <row r="64" spans="1:19" ht="12.6" customHeight="1" x14ac:dyDescent="0.25">
      <c r="A64" s="11">
        <v>50</v>
      </c>
      <c r="B64" s="232"/>
      <c r="C64" s="119" t="s">
        <v>60</v>
      </c>
      <c r="D64" s="232" t="s">
        <v>595</v>
      </c>
      <c r="E64" s="18">
        <f>+G64+K64</f>
        <v>400</v>
      </c>
      <c r="F64" s="18">
        <f t="shared" si="1"/>
        <v>400</v>
      </c>
      <c r="G64" s="18">
        <f>360+40</f>
        <v>400</v>
      </c>
      <c r="H64" s="18">
        <v>400</v>
      </c>
      <c r="I64" s="18"/>
      <c r="J64" s="18"/>
      <c r="K64" s="18"/>
      <c r="L64" s="164">
        <f t="shared" si="2"/>
        <v>0</v>
      </c>
      <c r="P64" s="165"/>
      <c r="Q64" s="14"/>
      <c r="R64" s="14"/>
      <c r="S64" s="14"/>
    </row>
    <row r="65" spans="1:19" ht="13.5" customHeight="1" x14ac:dyDescent="0.25">
      <c r="A65" s="230" t="s">
        <v>596</v>
      </c>
      <c r="B65" s="232"/>
      <c r="C65" s="49" t="s">
        <v>597</v>
      </c>
      <c r="D65" s="232" t="s">
        <v>598</v>
      </c>
      <c r="E65" s="18">
        <f>+G65+K65</f>
        <v>17.7</v>
      </c>
      <c r="F65" s="18">
        <f t="shared" si="1"/>
        <v>17.600000000000001</v>
      </c>
      <c r="G65" s="18">
        <f>+G66</f>
        <v>17.7</v>
      </c>
      <c r="H65" s="18">
        <f>+H66</f>
        <v>17.600000000000001</v>
      </c>
      <c r="I65" s="18">
        <f>+I66</f>
        <v>3.2</v>
      </c>
      <c r="J65" s="18">
        <f>+J66</f>
        <v>3.1</v>
      </c>
      <c r="K65" s="18"/>
      <c r="L65" s="164">
        <f t="shared" si="2"/>
        <v>0</v>
      </c>
      <c r="P65" s="165"/>
      <c r="Q65" s="14"/>
      <c r="R65" s="14"/>
      <c r="S65" s="14"/>
    </row>
    <row r="66" spans="1:19" ht="13.5" customHeight="1" x14ac:dyDescent="0.25">
      <c r="A66" s="11">
        <v>52</v>
      </c>
      <c r="B66" s="232"/>
      <c r="C66" s="20" t="s">
        <v>60</v>
      </c>
      <c r="D66" s="232"/>
      <c r="E66" s="18">
        <f>+G66+K66</f>
        <v>17.7</v>
      </c>
      <c r="F66" s="18">
        <f t="shared" si="1"/>
        <v>17.600000000000001</v>
      </c>
      <c r="G66" s="18">
        <v>17.7</v>
      </c>
      <c r="H66" s="18">
        <v>17.600000000000001</v>
      </c>
      <c r="I66" s="18">
        <v>3.2</v>
      </c>
      <c r="J66" s="18">
        <v>3.1</v>
      </c>
      <c r="K66" s="18"/>
      <c r="L66" s="164">
        <f t="shared" si="2"/>
        <v>0</v>
      </c>
      <c r="P66" s="165"/>
      <c r="Q66" s="14"/>
      <c r="R66" s="14"/>
      <c r="S66" s="14"/>
    </row>
    <row r="67" spans="1:19" ht="20.100000000000001" customHeight="1" x14ac:dyDescent="0.25">
      <c r="A67" s="230" t="s">
        <v>599</v>
      </c>
      <c r="B67" s="231" t="s">
        <v>431</v>
      </c>
      <c r="C67" s="42" t="s">
        <v>432</v>
      </c>
      <c r="D67" s="232"/>
      <c r="E67" s="43">
        <f>+G67+K67</f>
        <v>1280.8</v>
      </c>
      <c r="F67" s="43">
        <f t="shared" si="1"/>
        <v>1276.2</v>
      </c>
      <c r="G67" s="43">
        <f t="shared" ref="G67:P67" si="10">SUM(G68+G70+G72+G74+G76+G78+G80+G82+G84+G86+G88+G91)</f>
        <v>1280.8</v>
      </c>
      <c r="H67" s="43">
        <f t="shared" si="10"/>
        <v>1276.2</v>
      </c>
      <c r="I67" s="43">
        <f t="shared" si="10"/>
        <v>1176</v>
      </c>
      <c r="J67" s="43">
        <f t="shared" si="10"/>
        <v>1175.4999999999998</v>
      </c>
      <c r="K67" s="43">
        <f t="shared" si="10"/>
        <v>0</v>
      </c>
      <c r="L67" s="43">
        <f t="shared" si="10"/>
        <v>0</v>
      </c>
      <c r="M67" s="43">
        <f t="shared" si="10"/>
        <v>0</v>
      </c>
      <c r="N67" s="43">
        <f t="shared" si="10"/>
        <v>0</v>
      </c>
      <c r="O67" s="43">
        <f t="shared" si="10"/>
        <v>0</v>
      </c>
      <c r="P67" s="43">
        <f t="shared" si="10"/>
        <v>0</v>
      </c>
      <c r="Q67" s="14"/>
      <c r="R67" s="14"/>
      <c r="S67" s="14"/>
    </row>
    <row r="68" spans="1:19" ht="12.6" customHeight="1" x14ac:dyDescent="0.25">
      <c r="A68" s="230" t="s">
        <v>600</v>
      </c>
      <c r="B68" s="232" t="s">
        <v>601</v>
      </c>
      <c r="C68" s="86" t="s">
        <v>602</v>
      </c>
      <c r="D68" s="232" t="s">
        <v>434</v>
      </c>
      <c r="E68" s="167">
        <f>+E69</f>
        <v>960.2</v>
      </c>
      <c r="F68" s="18">
        <f t="shared" si="1"/>
        <v>960.2</v>
      </c>
      <c r="G68" s="167">
        <f>+G69</f>
        <v>960.2</v>
      </c>
      <c r="H68" s="167">
        <f>+H69</f>
        <v>960.2</v>
      </c>
      <c r="I68" s="167">
        <f>+I69</f>
        <v>878.7</v>
      </c>
      <c r="J68" s="167">
        <f>+J69</f>
        <v>878.7</v>
      </c>
      <c r="K68" s="167"/>
      <c r="L68" s="164">
        <f t="shared" si="2"/>
        <v>0</v>
      </c>
      <c r="P68" s="165"/>
      <c r="Q68" s="14"/>
      <c r="R68" s="14"/>
      <c r="S68" s="14"/>
    </row>
    <row r="69" spans="1:19" ht="14.25" customHeight="1" x14ac:dyDescent="0.25">
      <c r="A69" s="230" t="s">
        <v>603</v>
      </c>
      <c r="B69" s="134"/>
      <c r="C69" s="20" t="s">
        <v>433</v>
      </c>
      <c r="D69" s="40"/>
      <c r="E69" s="18">
        <f>+G69+K69</f>
        <v>960.2</v>
      </c>
      <c r="F69" s="18">
        <f t="shared" si="1"/>
        <v>960.2</v>
      </c>
      <c r="G69" s="18">
        <v>960.2</v>
      </c>
      <c r="H69" s="18">
        <v>960.2</v>
      </c>
      <c r="I69" s="18">
        <v>878.7</v>
      </c>
      <c r="J69" s="18">
        <v>878.7</v>
      </c>
      <c r="K69" s="18"/>
      <c r="L69" s="164">
        <f t="shared" si="2"/>
        <v>0</v>
      </c>
      <c r="N69" s="2">
        <v>4</v>
      </c>
      <c r="P69" s="165"/>
      <c r="Q69" s="14"/>
      <c r="R69" s="14"/>
      <c r="S69" s="14"/>
    </row>
    <row r="70" spans="1:19" ht="24.9" customHeight="1" x14ac:dyDescent="0.25">
      <c r="A70" s="230" t="s">
        <v>604</v>
      </c>
      <c r="B70" s="232" t="s">
        <v>605</v>
      </c>
      <c r="C70" s="48" t="s">
        <v>606</v>
      </c>
      <c r="D70" s="232" t="s">
        <v>607</v>
      </c>
      <c r="E70" s="167">
        <f>SUM(E71:E71)</f>
        <v>0.8</v>
      </c>
      <c r="F70" s="18">
        <f t="shared" si="1"/>
        <v>0.8</v>
      </c>
      <c r="G70" s="167">
        <f>SUM(G71:G71)</f>
        <v>0.8</v>
      </c>
      <c r="H70" s="167">
        <f>SUM(H71:H71)</f>
        <v>0.8</v>
      </c>
      <c r="I70" s="167">
        <f>SUM(I71:I71)</f>
        <v>0.8</v>
      </c>
      <c r="J70" s="167">
        <f>SUM(J71:J71)</f>
        <v>0.8</v>
      </c>
      <c r="K70" s="167"/>
      <c r="L70" s="164">
        <f t="shared" si="2"/>
        <v>0</v>
      </c>
      <c r="P70" s="165"/>
      <c r="Q70" s="14"/>
      <c r="R70" s="14"/>
      <c r="S70" s="14"/>
    </row>
    <row r="71" spans="1:19" ht="12.6" customHeight="1" x14ac:dyDescent="0.25">
      <c r="A71" s="230" t="s">
        <v>608</v>
      </c>
      <c r="B71" s="232"/>
      <c r="C71" s="119" t="s">
        <v>60</v>
      </c>
      <c r="D71" s="232"/>
      <c r="E71" s="18">
        <f>+G71+K71</f>
        <v>0.8</v>
      </c>
      <c r="F71" s="18">
        <f t="shared" si="1"/>
        <v>0.8</v>
      </c>
      <c r="G71" s="18">
        <v>0.8</v>
      </c>
      <c r="H71" s="18">
        <v>0.8</v>
      </c>
      <c r="I71" s="18">
        <v>0.8</v>
      </c>
      <c r="J71" s="18">
        <v>0.8</v>
      </c>
      <c r="K71" s="18"/>
      <c r="L71" s="164">
        <f t="shared" si="2"/>
        <v>0</v>
      </c>
      <c r="P71" s="165"/>
      <c r="Q71" s="14"/>
      <c r="R71" s="14"/>
      <c r="S71" s="14"/>
    </row>
    <row r="72" spans="1:19" ht="12.6" customHeight="1" x14ac:dyDescent="0.25">
      <c r="A72" s="230" t="s">
        <v>609</v>
      </c>
      <c r="B72" s="233" t="s">
        <v>610</v>
      </c>
      <c r="C72" s="48" t="s">
        <v>611</v>
      </c>
      <c r="D72" s="232" t="s">
        <v>607</v>
      </c>
      <c r="E72" s="163">
        <f>+E73</f>
        <v>44.8</v>
      </c>
      <c r="F72" s="18">
        <f t="shared" si="1"/>
        <v>44.5</v>
      </c>
      <c r="G72" s="163">
        <f>+G73</f>
        <v>44.8</v>
      </c>
      <c r="H72" s="163">
        <f>+H73</f>
        <v>44.5</v>
      </c>
      <c r="I72" s="163">
        <f>+I73</f>
        <v>39</v>
      </c>
      <c r="J72" s="163">
        <f>+J73</f>
        <v>39</v>
      </c>
      <c r="K72" s="163"/>
      <c r="L72" s="164">
        <f t="shared" si="2"/>
        <v>0</v>
      </c>
      <c r="P72" s="165"/>
      <c r="Q72" s="14"/>
      <c r="R72" s="14"/>
      <c r="S72" s="14"/>
    </row>
    <row r="73" spans="1:19" ht="12.6" customHeight="1" x14ac:dyDescent="0.25">
      <c r="A73" s="230" t="s">
        <v>612</v>
      </c>
      <c r="B73" s="232"/>
      <c r="C73" s="119" t="s">
        <v>60</v>
      </c>
      <c r="D73" s="232"/>
      <c r="E73" s="18">
        <f>+G73+K73</f>
        <v>44.8</v>
      </c>
      <c r="F73" s="18">
        <f t="shared" si="1"/>
        <v>44.5</v>
      </c>
      <c r="G73" s="18">
        <v>44.8</v>
      </c>
      <c r="H73" s="18">
        <v>44.5</v>
      </c>
      <c r="I73" s="18">
        <v>39</v>
      </c>
      <c r="J73" s="18">
        <v>39</v>
      </c>
      <c r="K73" s="18"/>
      <c r="L73" s="164">
        <f t="shared" si="2"/>
        <v>0</v>
      </c>
      <c r="P73" s="165"/>
      <c r="Q73" s="14"/>
      <c r="R73" s="14"/>
      <c r="S73" s="14"/>
    </row>
    <row r="74" spans="1:19" ht="12.6" customHeight="1" x14ac:dyDescent="0.25">
      <c r="A74" s="230" t="s">
        <v>613</v>
      </c>
      <c r="B74" s="232" t="s">
        <v>614</v>
      </c>
      <c r="C74" s="48" t="s">
        <v>615</v>
      </c>
      <c r="D74" s="232" t="s">
        <v>328</v>
      </c>
      <c r="E74" s="167">
        <f>+E75</f>
        <v>32</v>
      </c>
      <c r="F74" s="18">
        <f t="shared" si="1"/>
        <v>32</v>
      </c>
      <c r="G74" s="167">
        <f>+G75</f>
        <v>32</v>
      </c>
      <c r="H74" s="167">
        <f>+H75</f>
        <v>32</v>
      </c>
      <c r="I74" s="167">
        <f>+I75</f>
        <v>31.5</v>
      </c>
      <c r="J74" s="167">
        <f>+J75</f>
        <v>31.5</v>
      </c>
      <c r="K74" s="167"/>
      <c r="L74" s="164">
        <f t="shared" si="2"/>
        <v>0</v>
      </c>
      <c r="P74" s="165"/>
      <c r="Q74" s="14"/>
      <c r="R74" s="14"/>
      <c r="S74" s="14"/>
    </row>
    <row r="75" spans="1:19" ht="12.6" customHeight="1" x14ac:dyDescent="0.25">
      <c r="A75" s="230" t="s">
        <v>616</v>
      </c>
      <c r="B75" s="232"/>
      <c r="C75" s="119" t="s">
        <v>60</v>
      </c>
      <c r="D75" s="232"/>
      <c r="E75" s="18">
        <f>+G75+K75</f>
        <v>32</v>
      </c>
      <c r="F75" s="18">
        <f t="shared" si="1"/>
        <v>32</v>
      </c>
      <c r="G75" s="18">
        <v>32</v>
      </c>
      <c r="H75" s="18">
        <v>32</v>
      </c>
      <c r="I75" s="18">
        <v>31.5</v>
      </c>
      <c r="J75" s="18">
        <v>31.5</v>
      </c>
      <c r="K75" s="18"/>
      <c r="L75" s="164">
        <f t="shared" si="2"/>
        <v>0</v>
      </c>
      <c r="P75" s="165"/>
      <c r="Q75" s="14"/>
      <c r="R75" s="14"/>
      <c r="S75" s="14"/>
    </row>
    <row r="76" spans="1:19" ht="12.6" customHeight="1" x14ac:dyDescent="0.25">
      <c r="A76" s="230" t="s">
        <v>617</v>
      </c>
      <c r="B76" s="232" t="s">
        <v>618</v>
      </c>
      <c r="C76" s="48" t="s">
        <v>619</v>
      </c>
      <c r="D76" s="233" t="s">
        <v>620</v>
      </c>
      <c r="E76" s="163">
        <f>+E77</f>
        <v>42.3</v>
      </c>
      <c r="F76" s="18">
        <f t="shared" si="1"/>
        <v>42</v>
      </c>
      <c r="G76" s="163">
        <f>+G77</f>
        <v>42.3</v>
      </c>
      <c r="H76" s="163">
        <f>+H77</f>
        <v>42</v>
      </c>
      <c r="I76" s="163">
        <f>+I77</f>
        <v>35.299999999999997</v>
      </c>
      <c r="J76" s="163">
        <f>+J77</f>
        <v>35.299999999999997</v>
      </c>
      <c r="K76" s="163"/>
      <c r="L76" s="164">
        <f t="shared" si="2"/>
        <v>0</v>
      </c>
      <c r="P76" s="165"/>
      <c r="Q76" s="14"/>
      <c r="R76" s="14"/>
      <c r="S76" s="14"/>
    </row>
    <row r="77" spans="1:19" ht="12.6" customHeight="1" x14ac:dyDescent="0.25">
      <c r="A77" s="230" t="s">
        <v>621</v>
      </c>
      <c r="B77" s="232"/>
      <c r="C77" s="119" t="s">
        <v>60</v>
      </c>
      <c r="D77" s="232"/>
      <c r="E77" s="166">
        <f>+G77+K77</f>
        <v>42.3</v>
      </c>
      <c r="F77" s="18">
        <f t="shared" si="1"/>
        <v>42</v>
      </c>
      <c r="G77" s="166">
        <v>42.3</v>
      </c>
      <c r="H77" s="166">
        <v>42</v>
      </c>
      <c r="I77" s="166">
        <v>35.299999999999997</v>
      </c>
      <c r="J77" s="166">
        <v>35.299999999999997</v>
      </c>
      <c r="K77" s="18"/>
      <c r="L77" s="164">
        <f t="shared" si="2"/>
        <v>0</v>
      </c>
      <c r="N77" s="2">
        <v>-0.7</v>
      </c>
      <c r="P77" s="165"/>
      <c r="Q77" s="14"/>
      <c r="R77" s="14"/>
      <c r="S77" s="14"/>
    </row>
    <row r="78" spans="1:19" ht="12.6" customHeight="1" x14ac:dyDescent="0.25">
      <c r="A78" s="230" t="s">
        <v>622</v>
      </c>
      <c r="B78" s="232" t="s">
        <v>623</v>
      </c>
      <c r="C78" s="86" t="s">
        <v>624</v>
      </c>
      <c r="D78" s="232" t="s">
        <v>328</v>
      </c>
      <c r="E78" s="167">
        <f>+E79</f>
        <v>8.1999999999999993</v>
      </c>
      <c r="F78" s="18">
        <f t="shared" ref="F78:F103" si="11">+H78+P78</f>
        <v>8.1999999999999993</v>
      </c>
      <c r="G78" s="167">
        <f>+G79</f>
        <v>8.1999999999999993</v>
      </c>
      <c r="H78" s="167">
        <f>+H79</f>
        <v>8.1999999999999993</v>
      </c>
      <c r="I78" s="167">
        <f>+I79</f>
        <v>8.1</v>
      </c>
      <c r="J78" s="167">
        <f>+J79</f>
        <v>8.1</v>
      </c>
      <c r="K78" s="167"/>
      <c r="L78" s="164">
        <f t="shared" ref="L78:L102" si="12">+M78+O78</f>
        <v>0</v>
      </c>
      <c r="P78" s="165"/>
      <c r="Q78" s="14"/>
      <c r="R78" s="14"/>
      <c r="S78" s="14"/>
    </row>
    <row r="79" spans="1:19" ht="12.6" customHeight="1" x14ac:dyDescent="0.25">
      <c r="A79" s="230" t="s">
        <v>625</v>
      </c>
      <c r="B79" s="232"/>
      <c r="C79" s="119" t="s">
        <v>60</v>
      </c>
      <c r="D79" s="232"/>
      <c r="E79" s="18">
        <f>+G79+K79</f>
        <v>8.1999999999999993</v>
      </c>
      <c r="F79" s="18">
        <f t="shared" si="11"/>
        <v>8.1999999999999993</v>
      </c>
      <c r="G79" s="18">
        <v>8.1999999999999993</v>
      </c>
      <c r="H79" s="18">
        <v>8.1999999999999993</v>
      </c>
      <c r="I79" s="18">
        <v>8.1</v>
      </c>
      <c r="J79" s="18">
        <v>8.1</v>
      </c>
      <c r="K79" s="18"/>
      <c r="L79" s="164">
        <f t="shared" si="12"/>
        <v>0</v>
      </c>
      <c r="P79" s="165"/>
      <c r="Q79" s="14"/>
      <c r="R79" s="14"/>
      <c r="S79" s="14"/>
    </row>
    <row r="80" spans="1:19" ht="12.6" customHeight="1" x14ac:dyDescent="0.25">
      <c r="A80" s="230" t="s">
        <v>626</v>
      </c>
      <c r="B80" s="232" t="s">
        <v>627</v>
      </c>
      <c r="C80" s="48" t="s">
        <v>628</v>
      </c>
      <c r="D80" s="233" t="s">
        <v>629</v>
      </c>
      <c r="E80" s="167">
        <f>+E81</f>
        <v>14.4</v>
      </c>
      <c r="F80" s="18">
        <f t="shared" si="11"/>
        <v>14.1</v>
      </c>
      <c r="G80" s="167">
        <f>+G81</f>
        <v>14.4</v>
      </c>
      <c r="H80" s="167">
        <f>+H81</f>
        <v>14.1</v>
      </c>
      <c r="I80" s="167">
        <f>+I81</f>
        <v>12.6</v>
      </c>
      <c r="J80" s="167">
        <f>+J81</f>
        <v>12.6</v>
      </c>
      <c r="K80" s="167"/>
      <c r="L80" s="164">
        <f t="shared" si="12"/>
        <v>0</v>
      </c>
      <c r="P80" s="165"/>
      <c r="Q80" s="14"/>
      <c r="R80" s="14"/>
      <c r="S80" s="14"/>
    </row>
    <row r="81" spans="1:19" ht="11.25" customHeight="1" x14ac:dyDescent="0.25">
      <c r="A81" s="230" t="s">
        <v>630</v>
      </c>
      <c r="B81" s="232"/>
      <c r="C81" s="119" t="s">
        <v>60</v>
      </c>
      <c r="D81" s="232"/>
      <c r="E81" s="18">
        <f>+G81+K81</f>
        <v>14.4</v>
      </c>
      <c r="F81" s="18">
        <f t="shared" si="11"/>
        <v>14.1</v>
      </c>
      <c r="G81" s="18">
        <f>13.1+1.3</f>
        <v>14.4</v>
      </c>
      <c r="H81" s="18">
        <v>14.1</v>
      </c>
      <c r="I81" s="18">
        <f>11.5+1.1</f>
        <v>12.6</v>
      </c>
      <c r="J81" s="18">
        <v>12.6</v>
      </c>
      <c r="K81" s="18"/>
      <c r="L81" s="164">
        <f t="shared" si="12"/>
        <v>0</v>
      </c>
      <c r="N81" s="2">
        <v>-0.2</v>
      </c>
      <c r="P81" s="165"/>
      <c r="Q81" s="14"/>
      <c r="R81" s="14"/>
      <c r="S81" s="14"/>
    </row>
    <row r="82" spans="1:19" ht="12.6" customHeight="1" x14ac:dyDescent="0.25">
      <c r="A82" s="230" t="s">
        <v>631</v>
      </c>
      <c r="B82" s="232" t="s">
        <v>632</v>
      </c>
      <c r="C82" s="86" t="s">
        <v>633</v>
      </c>
      <c r="D82" s="232" t="s">
        <v>328</v>
      </c>
      <c r="E82" s="167">
        <f>+E83</f>
        <v>17.2</v>
      </c>
      <c r="F82" s="18">
        <f t="shared" si="11"/>
        <v>16.399999999999999</v>
      </c>
      <c r="G82" s="167">
        <f>+G83</f>
        <v>17.2</v>
      </c>
      <c r="H82" s="167">
        <f>+H83</f>
        <v>16.399999999999999</v>
      </c>
      <c r="I82" s="167">
        <f>+I83</f>
        <v>16.400000000000002</v>
      </c>
      <c r="J82" s="167">
        <f>+J83</f>
        <v>16.100000000000001</v>
      </c>
      <c r="K82" s="167"/>
      <c r="L82" s="164">
        <f t="shared" si="12"/>
        <v>0</v>
      </c>
      <c r="P82" s="165"/>
      <c r="Q82" s="14"/>
      <c r="R82" s="14"/>
      <c r="S82" s="14"/>
    </row>
    <row r="83" spans="1:19" ht="12.6" customHeight="1" x14ac:dyDescent="0.25">
      <c r="A83" s="230" t="s">
        <v>634</v>
      </c>
      <c r="B83" s="232"/>
      <c r="C83" s="119" t="s">
        <v>60</v>
      </c>
      <c r="D83" s="232"/>
      <c r="E83" s="18">
        <f>+G83+K83</f>
        <v>17.2</v>
      </c>
      <c r="F83" s="18">
        <f t="shared" si="11"/>
        <v>16.399999999999999</v>
      </c>
      <c r="G83" s="18">
        <f>20.2-3</f>
        <v>17.2</v>
      </c>
      <c r="H83" s="18">
        <v>16.399999999999999</v>
      </c>
      <c r="I83" s="18">
        <f>19.1-2.7</f>
        <v>16.400000000000002</v>
      </c>
      <c r="J83" s="18">
        <f>16.1</f>
        <v>16.100000000000001</v>
      </c>
      <c r="K83" s="18"/>
      <c r="L83" s="164">
        <f t="shared" si="12"/>
        <v>4</v>
      </c>
      <c r="M83" s="2">
        <v>4</v>
      </c>
      <c r="N83" s="2">
        <v>0.7</v>
      </c>
      <c r="P83" s="165"/>
      <c r="Q83" s="14"/>
      <c r="R83" s="14"/>
      <c r="S83" s="14"/>
    </row>
    <row r="84" spans="1:19" ht="12.6" customHeight="1" x14ac:dyDescent="0.25">
      <c r="A84" s="230" t="s">
        <v>635</v>
      </c>
      <c r="B84" s="232" t="s">
        <v>636</v>
      </c>
      <c r="C84" s="48" t="s">
        <v>637</v>
      </c>
      <c r="D84" s="232" t="s">
        <v>328</v>
      </c>
      <c r="E84" s="167">
        <f>+E85</f>
        <v>13</v>
      </c>
      <c r="F84" s="18">
        <f t="shared" si="11"/>
        <v>13</v>
      </c>
      <c r="G84" s="167">
        <f>+G85</f>
        <v>13</v>
      </c>
      <c r="H84" s="167">
        <f>+H85</f>
        <v>13</v>
      </c>
      <c r="I84" s="167">
        <f>+I85</f>
        <v>12.5</v>
      </c>
      <c r="J84" s="167">
        <f>+J85</f>
        <v>12.5</v>
      </c>
      <c r="K84" s="167"/>
      <c r="L84" s="164">
        <f t="shared" si="12"/>
        <v>0</v>
      </c>
      <c r="P84" s="165"/>
      <c r="Q84" s="14"/>
      <c r="R84" s="14"/>
      <c r="S84" s="14"/>
    </row>
    <row r="85" spans="1:19" ht="12.6" customHeight="1" x14ac:dyDescent="0.25">
      <c r="A85" s="230" t="s">
        <v>638</v>
      </c>
      <c r="B85" s="232"/>
      <c r="C85" s="119" t="s">
        <v>60</v>
      </c>
      <c r="D85" s="232"/>
      <c r="E85" s="18">
        <f>+G85+K85</f>
        <v>13</v>
      </c>
      <c r="F85" s="18">
        <f t="shared" si="11"/>
        <v>13</v>
      </c>
      <c r="G85" s="18">
        <v>13</v>
      </c>
      <c r="H85" s="18">
        <v>13</v>
      </c>
      <c r="I85" s="18">
        <v>12.5</v>
      </c>
      <c r="J85" s="18">
        <v>12.5</v>
      </c>
      <c r="K85" s="18"/>
      <c r="L85" s="164">
        <f t="shared" si="12"/>
        <v>0</v>
      </c>
      <c r="P85" s="165"/>
      <c r="Q85" s="14"/>
      <c r="R85" s="14"/>
      <c r="S85" s="14"/>
    </row>
    <row r="86" spans="1:19" ht="12.6" customHeight="1" x14ac:dyDescent="0.25">
      <c r="A86" s="230" t="s">
        <v>639</v>
      </c>
      <c r="B86" s="232" t="s">
        <v>640</v>
      </c>
      <c r="C86" s="86" t="s">
        <v>641</v>
      </c>
      <c r="D86" s="232" t="s">
        <v>607</v>
      </c>
      <c r="E86" s="167">
        <f>+E87</f>
        <v>0.6</v>
      </c>
      <c r="F86" s="18">
        <f t="shared" si="11"/>
        <v>0.6</v>
      </c>
      <c r="G86" s="167">
        <f>+G87</f>
        <v>0.6</v>
      </c>
      <c r="H86" s="167">
        <f>+H87</f>
        <v>0.6</v>
      </c>
      <c r="I86" s="167">
        <f>+I87</f>
        <v>0.6</v>
      </c>
      <c r="J86" s="167">
        <f>+J87</f>
        <v>0.6</v>
      </c>
      <c r="K86" s="167"/>
      <c r="L86" s="164">
        <f t="shared" si="12"/>
        <v>0</v>
      </c>
      <c r="P86" s="165"/>
      <c r="Q86" s="14"/>
      <c r="R86" s="14"/>
      <c r="S86" s="14"/>
    </row>
    <row r="87" spans="1:19" ht="12.6" customHeight="1" x14ac:dyDescent="0.25">
      <c r="A87" s="230" t="s">
        <v>642</v>
      </c>
      <c r="B87" s="232"/>
      <c r="C87" s="119" t="s">
        <v>60</v>
      </c>
      <c r="D87" s="232"/>
      <c r="E87" s="18">
        <f>+G87+K87</f>
        <v>0.6</v>
      </c>
      <c r="F87" s="18">
        <f t="shared" si="11"/>
        <v>0.6</v>
      </c>
      <c r="G87" s="18">
        <v>0.6</v>
      </c>
      <c r="H87" s="18">
        <v>0.6</v>
      </c>
      <c r="I87" s="18">
        <v>0.6</v>
      </c>
      <c r="J87" s="18">
        <v>0.6</v>
      </c>
      <c r="K87" s="18"/>
      <c r="L87" s="164">
        <f t="shared" si="12"/>
        <v>0</v>
      </c>
      <c r="P87" s="165"/>
      <c r="Q87" s="14"/>
      <c r="R87" s="14"/>
      <c r="S87" s="14"/>
    </row>
    <row r="88" spans="1:19" ht="12.6" customHeight="1" x14ac:dyDescent="0.25">
      <c r="A88" s="230" t="s">
        <v>643</v>
      </c>
      <c r="B88" s="232" t="s">
        <v>644</v>
      </c>
      <c r="C88" s="86" t="s">
        <v>645</v>
      </c>
      <c r="D88" s="232" t="s">
        <v>328</v>
      </c>
      <c r="E88" s="167">
        <f>SUM(E89:E90)</f>
        <v>12.3</v>
      </c>
      <c r="F88" s="18">
        <f t="shared" si="11"/>
        <v>9.6999999999999993</v>
      </c>
      <c r="G88" s="167">
        <f>SUM(G89:G90)</f>
        <v>12.3</v>
      </c>
      <c r="H88" s="167">
        <f>SUM(H89:H90)</f>
        <v>9.6999999999999993</v>
      </c>
      <c r="I88" s="167">
        <f>SUM(I89:I90)</f>
        <v>9.5</v>
      </c>
      <c r="J88" s="167">
        <f>SUM(J89:J90)</f>
        <v>9.5</v>
      </c>
      <c r="K88" s="167"/>
      <c r="L88" s="164">
        <f t="shared" si="12"/>
        <v>0</v>
      </c>
      <c r="P88" s="165"/>
      <c r="Q88" s="14"/>
      <c r="R88" s="14"/>
      <c r="S88" s="14"/>
    </row>
    <row r="89" spans="1:19" ht="12.6" customHeight="1" x14ac:dyDescent="0.25">
      <c r="A89" s="230" t="s">
        <v>646</v>
      </c>
      <c r="B89" s="232"/>
      <c r="C89" s="119" t="s">
        <v>60</v>
      </c>
      <c r="D89" s="232"/>
      <c r="E89" s="18">
        <f>+G89+K89</f>
        <v>2.5</v>
      </c>
      <c r="F89" s="18">
        <f t="shared" si="11"/>
        <v>0</v>
      </c>
      <c r="G89" s="18">
        <v>2.5</v>
      </c>
      <c r="H89" s="18">
        <v>0</v>
      </c>
      <c r="I89" s="18"/>
      <c r="J89" s="18"/>
      <c r="K89" s="18"/>
      <c r="L89" s="164">
        <f t="shared" si="12"/>
        <v>0</v>
      </c>
      <c r="P89" s="165"/>
      <c r="Q89" s="14"/>
      <c r="R89" s="14"/>
      <c r="S89" s="14"/>
    </row>
    <row r="90" spans="1:19" ht="24.9" customHeight="1" x14ac:dyDescent="0.25">
      <c r="A90" s="230" t="s">
        <v>647</v>
      </c>
      <c r="B90" s="26"/>
      <c r="C90" s="20" t="s">
        <v>191</v>
      </c>
      <c r="D90" s="26"/>
      <c r="E90" s="18">
        <f>+G90+K90</f>
        <v>9.8000000000000007</v>
      </c>
      <c r="F90" s="18">
        <f t="shared" si="11"/>
        <v>9.6999999999999993</v>
      </c>
      <c r="G90" s="18">
        <v>9.8000000000000007</v>
      </c>
      <c r="H90" s="18">
        <v>9.6999999999999993</v>
      </c>
      <c r="I90" s="18">
        <v>9.5</v>
      </c>
      <c r="J90" s="18">
        <v>9.5</v>
      </c>
      <c r="K90" s="18"/>
      <c r="L90" s="164">
        <f t="shared" si="12"/>
        <v>0</v>
      </c>
      <c r="P90" s="165"/>
      <c r="Q90" s="14"/>
      <c r="R90" s="14"/>
      <c r="S90" s="14"/>
    </row>
    <row r="91" spans="1:19" ht="12.6" customHeight="1" x14ac:dyDescent="0.25">
      <c r="A91" s="230" t="s">
        <v>648</v>
      </c>
      <c r="B91" s="232" t="s">
        <v>649</v>
      </c>
      <c r="C91" s="86" t="s">
        <v>650</v>
      </c>
      <c r="D91" s="232" t="s">
        <v>462</v>
      </c>
      <c r="E91" s="167">
        <f>SUM(E92:E102)</f>
        <v>135</v>
      </c>
      <c r="F91" s="18">
        <f t="shared" si="11"/>
        <v>134.69999999999999</v>
      </c>
      <c r="G91" s="167">
        <f>SUM(G92:G102)</f>
        <v>135</v>
      </c>
      <c r="H91" s="167">
        <f>SUM(H92:H102)</f>
        <v>134.69999999999999</v>
      </c>
      <c r="I91" s="167">
        <f>SUM(I92:I102)</f>
        <v>131</v>
      </c>
      <c r="J91" s="167">
        <f>SUM(J92:J102)</f>
        <v>130.80000000000001</v>
      </c>
      <c r="K91" s="167"/>
      <c r="L91" s="164">
        <f t="shared" si="12"/>
        <v>0</v>
      </c>
      <c r="P91" s="165"/>
      <c r="Q91" s="14"/>
      <c r="R91" s="14"/>
      <c r="S91" s="14"/>
    </row>
    <row r="92" spans="1:19" ht="24.9" customHeight="1" x14ac:dyDescent="0.25">
      <c r="A92" s="230" t="s">
        <v>651</v>
      </c>
      <c r="B92" s="232"/>
      <c r="C92" s="20" t="s">
        <v>191</v>
      </c>
      <c r="D92" s="232"/>
      <c r="E92" s="18">
        <f>+G92+K92</f>
        <v>82.7</v>
      </c>
      <c r="F92" s="18">
        <f t="shared" si="11"/>
        <v>82.7</v>
      </c>
      <c r="G92" s="18">
        <v>82.7</v>
      </c>
      <c r="H92" s="18">
        <v>82.7</v>
      </c>
      <c r="I92" s="18">
        <v>80.2</v>
      </c>
      <c r="J92" s="18">
        <v>80.2</v>
      </c>
      <c r="K92" s="18"/>
      <c r="L92" s="164">
        <f t="shared" si="12"/>
        <v>0</v>
      </c>
      <c r="P92" s="165"/>
      <c r="Q92" s="14"/>
      <c r="R92" s="14"/>
      <c r="S92" s="14"/>
    </row>
    <row r="93" spans="1:19" ht="12.6" customHeight="1" x14ac:dyDescent="0.25">
      <c r="A93" s="230" t="s">
        <v>652</v>
      </c>
      <c r="B93" s="232"/>
      <c r="C93" s="20" t="s">
        <v>193</v>
      </c>
      <c r="D93" s="232"/>
      <c r="E93" s="18">
        <f t="shared" ref="E93:E102" si="13">+G93+K93</f>
        <v>8.1999999999999993</v>
      </c>
      <c r="F93" s="18">
        <f t="shared" si="11"/>
        <v>8.1999999999999993</v>
      </c>
      <c r="G93" s="18">
        <v>8.1999999999999993</v>
      </c>
      <c r="H93" s="18">
        <v>8.1999999999999993</v>
      </c>
      <c r="I93" s="18">
        <v>8</v>
      </c>
      <c r="J93" s="18">
        <v>8</v>
      </c>
      <c r="K93" s="18"/>
      <c r="L93" s="164">
        <f t="shared" si="12"/>
        <v>0</v>
      </c>
      <c r="P93" s="165"/>
      <c r="Q93" s="14"/>
      <c r="R93" s="14"/>
      <c r="S93" s="14"/>
    </row>
    <row r="94" spans="1:19" ht="12.6" customHeight="1" x14ac:dyDescent="0.25">
      <c r="A94" s="230" t="s">
        <v>653</v>
      </c>
      <c r="B94" s="232"/>
      <c r="C94" s="20" t="s">
        <v>195</v>
      </c>
      <c r="D94" s="232"/>
      <c r="E94" s="18">
        <f t="shared" si="13"/>
        <v>2.8</v>
      </c>
      <c r="F94" s="18">
        <f t="shared" si="11"/>
        <v>2.8</v>
      </c>
      <c r="G94" s="18">
        <v>2.8</v>
      </c>
      <c r="H94" s="18">
        <v>2.8</v>
      </c>
      <c r="I94" s="18">
        <v>2.7</v>
      </c>
      <c r="J94" s="18">
        <v>2.7</v>
      </c>
      <c r="K94" s="18"/>
      <c r="L94" s="164">
        <f t="shared" si="12"/>
        <v>0</v>
      </c>
      <c r="P94" s="165"/>
      <c r="Q94" s="14"/>
      <c r="R94" s="14"/>
      <c r="S94" s="14"/>
    </row>
    <row r="95" spans="1:19" ht="12.6" customHeight="1" x14ac:dyDescent="0.25">
      <c r="A95" s="230" t="s">
        <v>654</v>
      </c>
      <c r="B95" s="232"/>
      <c r="C95" s="20" t="s">
        <v>196</v>
      </c>
      <c r="D95" s="232"/>
      <c r="E95" s="18">
        <f>+G95+K95</f>
        <v>8.1999999999999993</v>
      </c>
      <c r="F95" s="18">
        <f t="shared" si="11"/>
        <v>8.1999999999999993</v>
      </c>
      <c r="G95" s="18">
        <v>8.1999999999999993</v>
      </c>
      <c r="H95" s="18">
        <v>8.1999999999999993</v>
      </c>
      <c r="I95" s="18">
        <v>8</v>
      </c>
      <c r="J95" s="18">
        <v>8</v>
      </c>
      <c r="K95" s="18"/>
      <c r="L95" s="164">
        <f t="shared" si="12"/>
        <v>0</v>
      </c>
      <c r="P95" s="165"/>
      <c r="Q95" s="14"/>
      <c r="R95" s="14"/>
      <c r="S95" s="14"/>
    </row>
    <row r="96" spans="1:19" ht="12.6" customHeight="1" x14ac:dyDescent="0.25">
      <c r="A96" s="230" t="s">
        <v>655</v>
      </c>
      <c r="B96" s="232"/>
      <c r="C96" s="20" t="s">
        <v>197</v>
      </c>
      <c r="D96" s="232"/>
      <c r="E96" s="18">
        <f t="shared" si="13"/>
        <v>2.8</v>
      </c>
      <c r="F96" s="18">
        <f t="shared" si="11"/>
        <v>2.8</v>
      </c>
      <c r="G96" s="18">
        <v>2.8</v>
      </c>
      <c r="H96" s="18">
        <v>2.8</v>
      </c>
      <c r="I96" s="18">
        <v>2.7</v>
      </c>
      <c r="J96" s="18">
        <v>2.7</v>
      </c>
      <c r="K96" s="18"/>
      <c r="L96" s="164">
        <f t="shared" si="12"/>
        <v>0</v>
      </c>
      <c r="P96" s="165"/>
      <c r="Q96" s="14"/>
      <c r="R96" s="14"/>
      <c r="S96" s="14"/>
    </row>
    <row r="97" spans="1:19" ht="12.6" customHeight="1" x14ac:dyDescent="0.25">
      <c r="A97" s="230" t="s">
        <v>656</v>
      </c>
      <c r="B97" s="232"/>
      <c r="C97" s="20" t="s">
        <v>198</v>
      </c>
      <c r="D97" s="232"/>
      <c r="E97" s="18">
        <f t="shared" si="13"/>
        <v>8.1999999999999993</v>
      </c>
      <c r="F97" s="18">
        <f t="shared" si="11"/>
        <v>8.1999999999999993</v>
      </c>
      <c r="G97" s="18">
        <v>8.1999999999999993</v>
      </c>
      <c r="H97" s="18">
        <v>8.1999999999999993</v>
      </c>
      <c r="I97" s="18">
        <v>8</v>
      </c>
      <c r="J97" s="18">
        <v>8</v>
      </c>
      <c r="K97" s="18"/>
      <c r="L97" s="164">
        <f t="shared" si="12"/>
        <v>0</v>
      </c>
      <c r="P97" s="165"/>
      <c r="Q97" s="14"/>
      <c r="R97" s="14"/>
      <c r="S97" s="14"/>
    </row>
    <row r="98" spans="1:19" ht="12.6" customHeight="1" x14ac:dyDescent="0.25">
      <c r="A98" s="230" t="s">
        <v>657</v>
      </c>
      <c r="B98" s="232"/>
      <c r="C98" s="29" t="s">
        <v>199</v>
      </c>
      <c r="D98" s="232"/>
      <c r="E98" s="18">
        <f t="shared" si="13"/>
        <v>2.8</v>
      </c>
      <c r="F98" s="18">
        <f t="shared" si="11"/>
        <v>2.6</v>
      </c>
      <c r="G98" s="18">
        <v>2.8</v>
      </c>
      <c r="H98" s="18">
        <v>2.6</v>
      </c>
      <c r="I98" s="18">
        <v>2.7</v>
      </c>
      <c r="J98" s="18">
        <v>2.5</v>
      </c>
      <c r="K98" s="18"/>
      <c r="L98" s="164">
        <f t="shared" si="12"/>
        <v>0</v>
      </c>
      <c r="P98" s="165"/>
      <c r="Q98" s="14"/>
      <c r="R98" s="14"/>
      <c r="S98" s="14"/>
    </row>
    <row r="99" spans="1:19" ht="12.6" customHeight="1" x14ac:dyDescent="0.25">
      <c r="A99" s="230" t="s">
        <v>658</v>
      </c>
      <c r="B99" s="232"/>
      <c r="C99" s="20" t="s">
        <v>200</v>
      </c>
      <c r="D99" s="232"/>
      <c r="E99" s="18">
        <f>+G99+K99</f>
        <v>5.5</v>
      </c>
      <c r="F99" s="18">
        <f t="shared" si="11"/>
        <v>5.5</v>
      </c>
      <c r="G99" s="18">
        <v>5.5</v>
      </c>
      <c r="H99" s="18">
        <v>5.5</v>
      </c>
      <c r="I99" s="18">
        <v>5.3</v>
      </c>
      <c r="J99" s="18">
        <v>5.3</v>
      </c>
      <c r="K99" s="18"/>
      <c r="L99" s="164">
        <f t="shared" si="12"/>
        <v>0</v>
      </c>
      <c r="P99" s="165"/>
      <c r="Q99" s="14"/>
      <c r="R99" s="14"/>
      <c r="S99" s="14"/>
    </row>
    <row r="100" spans="1:19" x14ac:dyDescent="0.25">
      <c r="A100" s="230" t="s">
        <v>659</v>
      </c>
      <c r="B100" s="232"/>
      <c r="C100" s="20" t="s">
        <v>201</v>
      </c>
      <c r="D100" s="232"/>
      <c r="E100" s="18">
        <f t="shared" si="13"/>
        <v>2.8</v>
      </c>
      <c r="F100" s="18">
        <f t="shared" si="11"/>
        <v>2.8</v>
      </c>
      <c r="G100" s="18">
        <v>2.8</v>
      </c>
      <c r="H100" s="18">
        <v>2.8</v>
      </c>
      <c r="I100" s="18">
        <v>2.7</v>
      </c>
      <c r="J100" s="18">
        <v>2.7</v>
      </c>
      <c r="K100" s="18"/>
      <c r="L100" s="164">
        <f t="shared" si="12"/>
        <v>0</v>
      </c>
      <c r="P100" s="165"/>
      <c r="Q100" s="14"/>
      <c r="R100" s="14"/>
      <c r="S100" s="14"/>
    </row>
    <row r="101" spans="1:19" ht="15.75" customHeight="1" x14ac:dyDescent="0.25">
      <c r="A101" s="230" t="s">
        <v>660</v>
      </c>
      <c r="B101" s="232"/>
      <c r="C101" s="20" t="s">
        <v>202</v>
      </c>
      <c r="D101" s="232"/>
      <c r="E101" s="18">
        <f t="shared" si="13"/>
        <v>2.8</v>
      </c>
      <c r="F101" s="18">
        <f t="shared" si="11"/>
        <v>2.8</v>
      </c>
      <c r="G101" s="18">
        <v>2.8</v>
      </c>
      <c r="H101" s="18">
        <v>2.8</v>
      </c>
      <c r="I101" s="18">
        <v>2.7</v>
      </c>
      <c r="J101" s="18">
        <v>2.7</v>
      </c>
      <c r="K101" s="18"/>
      <c r="L101" s="164">
        <f t="shared" si="12"/>
        <v>0</v>
      </c>
      <c r="P101" s="165"/>
      <c r="Q101" s="14"/>
      <c r="R101" s="14"/>
      <c r="S101" s="14"/>
    </row>
    <row r="102" spans="1:19" x14ac:dyDescent="0.25">
      <c r="A102" s="230" t="s">
        <v>661</v>
      </c>
      <c r="B102" s="232"/>
      <c r="C102" s="20" t="s">
        <v>203</v>
      </c>
      <c r="D102" s="232"/>
      <c r="E102" s="18">
        <f t="shared" si="13"/>
        <v>8.1999999999999993</v>
      </c>
      <c r="F102" s="18">
        <f t="shared" si="11"/>
        <v>8.1</v>
      </c>
      <c r="G102" s="18">
        <v>8.1999999999999993</v>
      </c>
      <c r="H102" s="18">
        <v>8.1</v>
      </c>
      <c r="I102" s="18">
        <v>8</v>
      </c>
      <c r="J102" s="18">
        <v>8</v>
      </c>
      <c r="K102" s="18"/>
      <c r="L102" s="164">
        <f t="shared" si="12"/>
        <v>0</v>
      </c>
      <c r="P102" s="165"/>
      <c r="Q102" s="14"/>
      <c r="R102" s="14"/>
      <c r="S102" s="14"/>
    </row>
    <row r="103" spans="1:19" ht="12.6" customHeight="1" x14ac:dyDescent="0.25">
      <c r="A103" s="230" t="s">
        <v>662</v>
      </c>
      <c r="B103" s="232"/>
      <c r="C103" s="175" t="s">
        <v>463</v>
      </c>
      <c r="D103" s="231"/>
      <c r="E103" s="43">
        <f>+G103+K103</f>
        <v>4608.3</v>
      </c>
      <c r="F103" s="43">
        <f t="shared" si="11"/>
        <v>4513.1000000000004</v>
      </c>
      <c r="G103" s="43">
        <f t="shared" ref="G103:P103" si="14">+G13+G22+G49+G67</f>
        <v>4593.5</v>
      </c>
      <c r="H103" s="43">
        <f t="shared" si="14"/>
        <v>4498.3</v>
      </c>
      <c r="I103" s="43">
        <f t="shared" si="14"/>
        <v>2778.6</v>
      </c>
      <c r="J103" s="43">
        <f t="shared" si="14"/>
        <v>2720.2</v>
      </c>
      <c r="K103" s="43">
        <f t="shared" si="14"/>
        <v>14.8</v>
      </c>
      <c r="L103" s="43">
        <f t="shared" si="14"/>
        <v>40</v>
      </c>
      <c r="M103" s="43">
        <f t="shared" si="14"/>
        <v>37.9</v>
      </c>
      <c r="N103" s="43">
        <f t="shared" si="14"/>
        <v>19.8</v>
      </c>
      <c r="O103" s="43">
        <f t="shared" si="14"/>
        <v>2.1</v>
      </c>
      <c r="P103" s="43">
        <f t="shared" si="14"/>
        <v>14.8</v>
      </c>
      <c r="Q103" s="14"/>
      <c r="R103" s="14"/>
      <c r="S103" s="14"/>
    </row>
    <row r="104" spans="1:19" ht="10.5" customHeight="1" x14ac:dyDescent="0.25">
      <c r="E104" s="110"/>
      <c r="F104" s="110"/>
      <c r="G104" s="110"/>
      <c r="H104" s="110"/>
      <c r="I104" s="110"/>
      <c r="J104" s="110"/>
      <c r="K104" s="110"/>
    </row>
    <row r="105" spans="1:19" x14ac:dyDescent="0.25">
      <c r="C105" s="4" t="s">
        <v>663</v>
      </c>
      <c r="D105" s="97"/>
      <c r="E105" s="110"/>
      <c r="F105" s="110"/>
      <c r="G105" s="110"/>
      <c r="H105" s="110"/>
      <c r="I105" s="110"/>
      <c r="J105" s="110"/>
      <c r="K105" s="4"/>
    </row>
    <row r="106" spans="1:19" hidden="1" x14ac:dyDescent="0.25">
      <c r="E106" s="110">
        <f>+G106+K106</f>
        <v>3824</v>
      </c>
      <c r="F106" s="110"/>
      <c r="G106" s="110">
        <v>3818.7</v>
      </c>
      <c r="H106" s="110"/>
      <c r="I106" s="110">
        <v>2304</v>
      </c>
      <c r="J106" s="110"/>
      <c r="K106" s="110">
        <v>5.3</v>
      </c>
    </row>
    <row r="107" spans="1:19" hidden="1" x14ac:dyDescent="0.25">
      <c r="E107" s="110">
        <f>+G107+K107</f>
        <v>784.30000000000018</v>
      </c>
      <c r="F107" s="110"/>
      <c r="G107" s="110">
        <f>+G103-G106</f>
        <v>774.80000000000018</v>
      </c>
      <c r="H107" s="110"/>
      <c r="I107" s="110">
        <f>+I103-I106</f>
        <v>474.59999999999991</v>
      </c>
      <c r="J107" s="110"/>
      <c r="K107" s="110">
        <f>+K103-K106</f>
        <v>9.5</v>
      </c>
    </row>
    <row r="108" spans="1:19" x14ac:dyDescent="0.25">
      <c r="E108" s="110"/>
      <c r="F108" s="110"/>
      <c r="G108" s="88"/>
      <c r="H108" s="88"/>
      <c r="I108" s="88"/>
      <c r="J108" s="88"/>
      <c r="K108" s="88"/>
    </row>
    <row r="109" spans="1:19" x14ac:dyDescent="0.25">
      <c r="E109" s="110"/>
      <c r="F109" s="110"/>
      <c r="G109" s="110"/>
      <c r="H109" s="110"/>
      <c r="I109" s="110"/>
      <c r="J109" s="110"/>
      <c r="K109" s="110"/>
    </row>
    <row r="110" spans="1:19" x14ac:dyDescent="0.25">
      <c r="E110" s="110"/>
      <c r="F110" s="110"/>
      <c r="G110" s="110"/>
      <c r="H110" s="110"/>
      <c r="I110" s="110"/>
      <c r="J110" s="110"/>
      <c r="K110" s="110"/>
    </row>
  </sheetData>
  <mergeCells count="25">
    <mergeCell ref="J6:P6"/>
    <mergeCell ref="C1:P1"/>
    <mergeCell ref="C2:P2"/>
    <mergeCell ref="E3:P3"/>
    <mergeCell ref="A5:K5"/>
    <mergeCell ref="I10:J10"/>
    <mergeCell ref="K10:K11"/>
    <mergeCell ref="P10:P11"/>
    <mergeCell ref="A28:A29"/>
    <mergeCell ref="B28:B29"/>
    <mergeCell ref="A7:A11"/>
    <mergeCell ref="B7:B11"/>
    <mergeCell ref="C7:C11"/>
    <mergeCell ref="D7:D11"/>
    <mergeCell ref="E7:P7"/>
    <mergeCell ref="E8:F9"/>
    <mergeCell ref="G8:P8"/>
    <mergeCell ref="G9:J9"/>
    <mergeCell ref="K9:P9"/>
    <mergeCell ref="E10:E11"/>
    <mergeCell ref="A62:A63"/>
    <mergeCell ref="B62:B63"/>
    <mergeCell ref="D62:D63"/>
    <mergeCell ref="F10:F11"/>
    <mergeCell ref="G10:H10"/>
  </mergeCells>
  <pageMargins left="0.31496062992125984" right="0.19685039370078741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workbookViewId="0">
      <selection activeCell="R28" sqref="R28"/>
    </sheetView>
  </sheetViews>
  <sheetFormatPr defaultColWidth="9.109375" defaultRowHeight="13.2" x14ac:dyDescent="0.25"/>
  <cols>
    <col min="1" max="1" width="4.109375" style="4" customWidth="1"/>
    <col min="2" max="2" width="6.109375" style="3" customWidth="1"/>
    <col min="3" max="3" width="41.44140625" style="176" customWidth="1"/>
    <col min="4" max="4" width="10.6640625" style="1" customWidth="1"/>
    <col min="5" max="8" width="9.44140625" style="132" customWidth="1"/>
    <col min="9" max="10" width="9" style="132" customWidth="1"/>
    <col min="11" max="11" width="7.44140625" style="132" customWidth="1"/>
    <col min="12" max="15" width="0" style="2" hidden="1" customWidth="1"/>
    <col min="16" max="259" width="9.109375" style="2"/>
    <col min="260" max="260" width="4.109375" style="2" customWidth="1"/>
    <col min="261" max="261" width="6.109375" style="2" customWidth="1"/>
    <col min="262" max="262" width="41.44140625" style="2" customWidth="1"/>
    <col min="263" max="263" width="10.6640625" style="2" customWidth="1"/>
    <col min="264" max="265" width="9.44140625" style="2" customWidth="1"/>
    <col min="266" max="266" width="9" style="2" customWidth="1"/>
    <col min="267" max="267" width="7.44140625" style="2" customWidth="1"/>
    <col min="268" max="271" width="0" style="2" hidden="1" customWidth="1"/>
    <col min="272" max="515" width="9.109375" style="2"/>
    <col min="516" max="516" width="4.109375" style="2" customWidth="1"/>
    <col min="517" max="517" width="6.109375" style="2" customWidth="1"/>
    <col min="518" max="518" width="41.44140625" style="2" customWidth="1"/>
    <col min="519" max="519" width="10.6640625" style="2" customWidth="1"/>
    <col min="520" max="521" width="9.44140625" style="2" customWidth="1"/>
    <col min="522" max="522" width="9" style="2" customWidth="1"/>
    <col min="523" max="523" width="7.44140625" style="2" customWidth="1"/>
    <col min="524" max="527" width="0" style="2" hidden="1" customWidth="1"/>
    <col min="528" max="771" width="9.109375" style="2"/>
    <col min="772" max="772" width="4.109375" style="2" customWidth="1"/>
    <col min="773" max="773" width="6.109375" style="2" customWidth="1"/>
    <col min="774" max="774" width="41.44140625" style="2" customWidth="1"/>
    <col min="775" max="775" width="10.6640625" style="2" customWidth="1"/>
    <col min="776" max="777" width="9.44140625" style="2" customWidth="1"/>
    <col min="778" max="778" width="9" style="2" customWidth="1"/>
    <col min="779" max="779" width="7.44140625" style="2" customWidth="1"/>
    <col min="780" max="783" width="0" style="2" hidden="1" customWidth="1"/>
    <col min="784" max="1027" width="9.109375" style="2"/>
    <col min="1028" max="1028" width="4.109375" style="2" customWidth="1"/>
    <col min="1029" max="1029" width="6.109375" style="2" customWidth="1"/>
    <col min="1030" max="1030" width="41.44140625" style="2" customWidth="1"/>
    <col min="1031" max="1031" width="10.6640625" style="2" customWidth="1"/>
    <col min="1032" max="1033" width="9.44140625" style="2" customWidth="1"/>
    <col min="1034" max="1034" width="9" style="2" customWidth="1"/>
    <col min="1035" max="1035" width="7.44140625" style="2" customWidth="1"/>
    <col min="1036" max="1039" width="0" style="2" hidden="1" customWidth="1"/>
    <col min="1040" max="1283" width="9.109375" style="2"/>
    <col min="1284" max="1284" width="4.109375" style="2" customWidth="1"/>
    <col min="1285" max="1285" width="6.109375" style="2" customWidth="1"/>
    <col min="1286" max="1286" width="41.44140625" style="2" customWidth="1"/>
    <col min="1287" max="1287" width="10.6640625" style="2" customWidth="1"/>
    <col min="1288" max="1289" width="9.44140625" style="2" customWidth="1"/>
    <col min="1290" max="1290" width="9" style="2" customWidth="1"/>
    <col min="1291" max="1291" width="7.44140625" style="2" customWidth="1"/>
    <col min="1292" max="1295" width="0" style="2" hidden="1" customWidth="1"/>
    <col min="1296" max="1539" width="9.109375" style="2"/>
    <col min="1540" max="1540" width="4.109375" style="2" customWidth="1"/>
    <col min="1541" max="1541" width="6.109375" style="2" customWidth="1"/>
    <col min="1542" max="1542" width="41.44140625" style="2" customWidth="1"/>
    <col min="1543" max="1543" width="10.6640625" style="2" customWidth="1"/>
    <col min="1544" max="1545" width="9.44140625" style="2" customWidth="1"/>
    <col min="1546" max="1546" width="9" style="2" customWidth="1"/>
    <col min="1547" max="1547" width="7.44140625" style="2" customWidth="1"/>
    <col min="1548" max="1551" width="0" style="2" hidden="1" customWidth="1"/>
    <col min="1552" max="1795" width="9.109375" style="2"/>
    <col min="1796" max="1796" width="4.109375" style="2" customWidth="1"/>
    <col min="1797" max="1797" width="6.109375" style="2" customWidth="1"/>
    <col min="1798" max="1798" width="41.44140625" style="2" customWidth="1"/>
    <col min="1799" max="1799" width="10.6640625" style="2" customWidth="1"/>
    <col min="1800" max="1801" width="9.44140625" style="2" customWidth="1"/>
    <col min="1802" max="1802" width="9" style="2" customWidth="1"/>
    <col min="1803" max="1803" width="7.44140625" style="2" customWidth="1"/>
    <col min="1804" max="1807" width="0" style="2" hidden="1" customWidth="1"/>
    <col min="1808" max="2051" width="9.109375" style="2"/>
    <col min="2052" max="2052" width="4.109375" style="2" customWidth="1"/>
    <col min="2053" max="2053" width="6.109375" style="2" customWidth="1"/>
    <col min="2054" max="2054" width="41.44140625" style="2" customWidth="1"/>
    <col min="2055" max="2055" width="10.6640625" style="2" customWidth="1"/>
    <col min="2056" max="2057" width="9.44140625" style="2" customWidth="1"/>
    <col min="2058" max="2058" width="9" style="2" customWidth="1"/>
    <col min="2059" max="2059" width="7.44140625" style="2" customWidth="1"/>
    <col min="2060" max="2063" width="0" style="2" hidden="1" customWidth="1"/>
    <col min="2064" max="2307" width="9.109375" style="2"/>
    <col min="2308" max="2308" width="4.109375" style="2" customWidth="1"/>
    <col min="2309" max="2309" width="6.109375" style="2" customWidth="1"/>
    <col min="2310" max="2310" width="41.44140625" style="2" customWidth="1"/>
    <col min="2311" max="2311" width="10.6640625" style="2" customWidth="1"/>
    <col min="2312" max="2313" width="9.44140625" style="2" customWidth="1"/>
    <col min="2314" max="2314" width="9" style="2" customWidth="1"/>
    <col min="2315" max="2315" width="7.44140625" style="2" customWidth="1"/>
    <col min="2316" max="2319" width="0" style="2" hidden="1" customWidth="1"/>
    <col min="2320" max="2563" width="9.109375" style="2"/>
    <col min="2564" max="2564" width="4.109375" style="2" customWidth="1"/>
    <col min="2565" max="2565" width="6.109375" style="2" customWidth="1"/>
    <col min="2566" max="2566" width="41.44140625" style="2" customWidth="1"/>
    <col min="2567" max="2567" width="10.6640625" style="2" customWidth="1"/>
    <col min="2568" max="2569" width="9.44140625" style="2" customWidth="1"/>
    <col min="2570" max="2570" width="9" style="2" customWidth="1"/>
    <col min="2571" max="2571" width="7.44140625" style="2" customWidth="1"/>
    <col min="2572" max="2575" width="0" style="2" hidden="1" customWidth="1"/>
    <col min="2576" max="2819" width="9.109375" style="2"/>
    <col min="2820" max="2820" width="4.109375" style="2" customWidth="1"/>
    <col min="2821" max="2821" width="6.109375" style="2" customWidth="1"/>
    <col min="2822" max="2822" width="41.44140625" style="2" customWidth="1"/>
    <col min="2823" max="2823" width="10.6640625" style="2" customWidth="1"/>
    <col min="2824" max="2825" width="9.44140625" style="2" customWidth="1"/>
    <col min="2826" max="2826" width="9" style="2" customWidth="1"/>
    <col min="2827" max="2827" width="7.44140625" style="2" customWidth="1"/>
    <col min="2828" max="2831" width="0" style="2" hidden="1" customWidth="1"/>
    <col min="2832" max="3075" width="9.109375" style="2"/>
    <col min="3076" max="3076" width="4.109375" style="2" customWidth="1"/>
    <col min="3077" max="3077" width="6.109375" style="2" customWidth="1"/>
    <col min="3078" max="3078" width="41.44140625" style="2" customWidth="1"/>
    <col min="3079" max="3079" width="10.6640625" style="2" customWidth="1"/>
    <col min="3080" max="3081" width="9.44140625" style="2" customWidth="1"/>
    <col min="3082" max="3082" width="9" style="2" customWidth="1"/>
    <col min="3083" max="3083" width="7.44140625" style="2" customWidth="1"/>
    <col min="3084" max="3087" width="0" style="2" hidden="1" customWidth="1"/>
    <col min="3088" max="3331" width="9.109375" style="2"/>
    <col min="3332" max="3332" width="4.109375" style="2" customWidth="1"/>
    <col min="3333" max="3333" width="6.109375" style="2" customWidth="1"/>
    <col min="3334" max="3334" width="41.44140625" style="2" customWidth="1"/>
    <col min="3335" max="3335" width="10.6640625" style="2" customWidth="1"/>
    <col min="3336" max="3337" width="9.44140625" style="2" customWidth="1"/>
    <col min="3338" max="3338" width="9" style="2" customWidth="1"/>
    <col min="3339" max="3339" width="7.44140625" style="2" customWidth="1"/>
    <col min="3340" max="3343" width="0" style="2" hidden="1" customWidth="1"/>
    <col min="3344" max="3587" width="9.109375" style="2"/>
    <col min="3588" max="3588" width="4.109375" style="2" customWidth="1"/>
    <col min="3589" max="3589" width="6.109375" style="2" customWidth="1"/>
    <col min="3590" max="3590" width="41.44140625" style="2" customWidth="1"/>
    <col min="3591" max="3591" width="10.6640625" style="2" customWidth="1"/>
    <col min="3592" max="3593" width="9.44140625" style="2" customWidth="1"/>
    <col min="3594" max="3594" width="9" style="2" customWidth="1"/>
    <col min="3595" max="3595" width="7.44140625" style="2" customWidth="1"/>
    <col min="3596" max="3599" width="0" style="2" hidden="1" customWidth="1"/>
    <col min="3600" max="3843" width="9.109375" style="2"/>
    <col min="3844" max="3844" width="4.109375" style="2" customWidth="1"/>
    <col min="3845" max="3845" width="6.109375" style="2" customWidth="1"/>
    <col min="3846" max="3846" width="41.44140625" style="2" customWidth="1"/>
    <col min="3847" max="3847" width="10.6640625" style="2" customWidth="1"/>
    <col min="3848" max="3849" width="9.44140625" style="2" customWidth="1"/>
    <col min="3850" max="3850" width="9" style="2" customWidth="1"/>
    <col min="3851" max="3851" width="7.44140625" style="2" customWidth="1"/>
    <col min="3852" max="3855" width="0" style="2" hidden="1" customWidth="1"/>
    <col min="3856" max="4099" width="9.109375" style="2"/>
    <col min="4100" max="4100" width="4.109375" style="2" customWidth="1"/>
    <col min="4101" max="4101" width="6.109375" style="2" customWidth="1"/>
    <col min="4102" max="4102" width="41.44140625" style="2" customWidth="1"/>
    <col min="4103" max="4103" width="10.6640625" style="2" customWidth="1"/>
    <col min="4104" max="4105" width="9.44140625" style="2" customWidth="1"/>
    <col min="4106" max="4106" width="9" style="2" customWidth="1"/>
    <col min="4107" max="4107" width="7.44140625" style="2" customWidth="1"/>
    <col min="4108" max="4111" width="0" style="2" hidden="1" customWidth="1"/>
    <col min="4112" max="4355" width="9.109375" style="2"/>
    <col min="4356" max="4356" width="4.109375" style="2" customWidth="1"/>
    <col min="4357" max="4357" width="6.109375" style="2" customWidth="1"/>
    <col min="4358" max="4358" width="41.44140625" style="2" customWidth="1"/>
    <col min="4359" max="4359" width="10.6640625" style="2" customWidth="1"/>
    <col min="4360" max="4361" width="9.44140625" style="2" customWidth="1"/>
    <col min="4362" max="4362" width="9" style="2" customWidth="1"/>
    <col min="4363" max="4363" width="7.44140625" style="2" customWidth="1"/>
    <col min="4364" max="4367" width="0" style="2" hidden="1" customWidth="1"/>
    <col min="4368" max="4611" width="9.109375" style="2"/>
    <col min="4612" max="4612" width="4.109375" style="2" customWidth="1"/>
    <col min="4613" max="4613" width="6.109375" style="2" customWidth="1"/>
    <col min="4614" max="4614" width="41.44140625" style="2" customWidth="1"/>
    <col min="4615" max="4615" width="10.6640625" style="2" customWidth="1"/>
    <col min="4616" max="4617" width="9.44140625" style="2" customWidth="1"/>
    <col min="4618" max="4618" width="9" style="2" customWidth="1"/>
    <col min="4619" max="4619" width="7.44140625" style="2" customWidth="1"/>
    <col min="4620" max="4623" width="0" style="2" hidden="1" customWidth="1"/>
    <col min="4624" max="4867" width="9.109375" style="2"/>
    <col min="4868" max="4868" width="4.109375" style="2" customWidth="1"/>
    <col min="4869" max="4869" width="6.109375" style="2" customWidth="1"/>
    <col min="4870" max="4870" width="41.44140625" style="2" customWidth="1"/>
    <col min="4871" max="4871" width="10.6640625" style="2" customWidth="1"/>
    <col min="4872" max="4873" width="9.44140625" style="2" customWidth="1"/>
    <col min="4874" max="4874" width="9" style="2" customWidth="1"/>
    <col min="4875" max="4875" width="7.44140625" style="2" customWidth="1"/>
    <col min="4876" max="4879" width="0" style="2" hidden="1" customWidth="1"/>
    <col min="4880" max="5123" width="9.109375" style="2"/>
    <col min="5124" max="5124" width="4.109375" style="2" customWidth="1"/>
    <col min="5125" max="5125" width="6.109375" style="2" customWidth="1"/>
    <col min="5126" max="5126" width="41.44140625" style="2" customWidth="1"/>
    <col min="5127" max="5127" width="10.6640625" style="2" customWidth="1"/>
    <col min="5128" max="5129" width="9.44140625" style="2" customWidth="1"/>
    <col min="5130" max="5130" width="9" style="2" customWidth="1"/>
    <col min="5131" max="5131" width="7.44140625" style="2" customWidth="1"/>
    <col min="5132" max="5135" width="0" style="2" hidden="1" customWidth="1"/>
    <col min="5136" max="5379" width="9.109375" style="2"/>
    <col min="5380" max="5380" width="4.109375" style="2" customWidth="1"/>
    <col min="5381" max="5381" width="6.109375" style="2" customWidth="1"/>
    <col min="5382" max="5382" width="41.44140625" style="2" customWidth="1"/>
    <col min="5383" max="5383" width="10.6640625" style="2" customWidth="1"/>
    <col min="5384" max="5385" width="9.44140625" style="2" customWidth="1"/>
    <col min="5386" max="5386" width="9" style="2" customWidth="1"/>
    <col min="5387" max="5387" width="7.44140625" style="2" customWidth="1"/>
    <col min="5388" max="5391" width="0" style="2" hidden="1" customWidth="1"/>
    <col min="5392" max="5635" width="9.109375" style="2"/>
    <col min="5636" max="5636" width="4.109375" style="2" customWidth="1"/>
    <col min="5637" max="5637" width="6.109375" style="2" customWidth="1"/>
    <col min="5638" max="5638" width="41.44140625" style="2" customWidth="1"/>
    <col min="5639" max="5639" width="10.6640625" style="2" customWidth="1"/>
    <col min="5640" max="5641" width="9.44140625" style="2" customWidth="1"/>
    <col min="5642" max="5642" width="9" style="2" customWidth="1"/>
    <col min="5643" max="5643" width="7.44140625" style="2" customWidth="1"/>
    <col min="5644" max="5647" width="0" style="2" hidden="1" customWidth="1"/>
    <col min="5648" max="5891" width="9.109375" style="2"/>
    <col min="5892" max="5892" width="4.109375" style="2" customWidth="1"/>
    <col min="5893" max="5893" width="6.109375" style="2" customWidth="1"/>
    <col min="5894" max="5894" width="41.44140625" style="2" customWidth="1"/>
    <col min="5895" max="5895" width="10.6640625" style="2" customWidth="1"/>
    <col min="5896" max="5897" width="9.44140625" style="2" customWidth="1"/>
    <col min="5898" max="5898" width="9" style="2" customWidth="1"/>
    <col min="5899" max="5899" width="7.44140625" style="2" customWidth="1"/>
    <col min="5900" max="5903" width="0" style="2" hidden="1" customWidth="1"/>
    <col min="5904" max="6147" width="9.109375" style="2"/>
    <col min="6148" max="6148" width="4.109375" style="2" customWidth="1"/>
    <col min="6149" max="6149" width="6.109375" style="2" customWidth="1"/>
    <col min="6150" max="6150" width="41.44140625" style="2" customWidth="1"/>
    <col min="6151" max="6151" width="10.6640625" style="2" customWidth="1"/>
    <col min="6152" max="6153" width="9.44140625" style="2" customWidth="1"/>
    <col min="6154" max="6154" width="9" style="2" customWidth="1"/>
    <col min="6155" max="6155" width="7.44140625" style="2" customWidth="1"/>
    <col min="6156" max="6159" width="0" style="2" hidden="1" customWidth="1"/>
    <col min="6160" max="6403" width="9.109375" style="2"/>
    <col min="6404" max="6404" width="4.109375" style="2" customWidth="1"/>
    <col min="6405" max="6405" width="6.109375" style="2" customWidth="1"/>
    <col min="6406" max="6406" width="41.44140625" style="2" customWidth="1"/>
    <col min="6407" max="6407" width="10.6640625" style="2" customWidth="1"/>
    <col min="6408" max="6409" width="9.44140625" style="2" customWidth="1"/>
    <col min="6410" max="6410" width="9" style="2" customWidth="1"/>
    <col min="6411" max="6411" width="7.44140625" style="2" customWidth="1"/>
    <col min="6412" max="6415" width="0" style="2" hidden="1" customWidth="1"/>
    <col min="6416" max="6659" width="9.109375" style="2"/>
    <col min="6660" max="6660" width="4.109375" style="2" customWidth="1"/>
    <col min="6661" max="6661" width="6.109375" style="2" customWidth="1"/>
    <col min="6662" max="6662" width="41.44140625" style="2" customWidth="1"/>
    <col min="6663" max="6663" width="10.6640625" style="2" customWidth="1"/>
    <col min="6664" max="6665" width="9.44140625" style="2" customWidth="1"/>
    <col min="6666" max="6666" width="9" style="2" customWidth="1"/>
    <col min="6667" max="6667" width="7.44140625" style="2" customWidth="1"/>
    <col min="6668" max="6671" width="0" style="2" hidden="1" customWidth="1"/>
    <col min="6672" max="6915" width="9.109375" style="2"/>
    <col min="6916" max="6916" width="4.109375" style="2" customWidth="1"/>
    <col min="6917" max="6917" width="6.109375" style="2" customWidth="1"/>
    <col min="6918" max="6918" width="41.44140625" style="2" customWidth="1"/>
    <col min="6919" max="6919" width="10.6640625" style="2" customWidth="1"/>
    <col min="6920" max="6921" width="9.44140625" style="2" customWidth="1"/>
    <col min="6922" max="6922" width="9" style="2" customWidth="1"/>
    <col min="6923" max="6923" width="7.44140625" style="2" customWidth="1"/>
    <col min="6924" max="6927" width="0" style="2" hidden="1" customWidth="1"/>
    <col min="6928" max="7171" width="9.109375" style="2"/>
    <col min="7172" max="7172" width="4.109375" style="2" customWidth="1"/>
    <col min="7173" max="7173" width="6.109375" style="2" customWidth="1"/>
    <col min="7174" max="7174" width="41.44140625" style="2" customWidth="1"/>
    <col min="7175" max="7175" width="10.6640625" style="2" customWidth="1"/>
    <col min="7176" max="7177" width="9.44140625" style="2" customWidth="1"/>
    <col min="7178" max="7178" width="9" style="2" customWidth="1"/>
    <col min="7179" max="7179" width="7.44140625" style="2" customWidth="1"/>
    <col min="7180" max="7183" width="0" style="2" hidden="1" customWidth="1"/>
    <col min="7184" max="7427" width="9.109375" style="2"/>
    <col min="7428" max="7428" width="4.109375" style="2" customWidth="1"/>
    <col min="7429" max="7429" width="6.109375" style="2" customWidth="1"/>
    <col min="7430" max="7430" width="41.44140625" style="2" customWidth="1"/>
    <col min="7431" max="7431" width="10.6640625" style="2" customWidth="1"/>
    <col min="7432" max="7433" width="9.44140625" style="2" customWidth="1"/>
    <col min="7434" max="7434" width="9" style="2" customWidth="1"/>
    <col min="7435" max="7435" width="7.44140625" style="2" customWidth="1"/>
    <col min="7436" max="7439" width="0" style="2" hidden="1" customWidth="1"/>
    <col min="7440" max="7683" width="9.109375" style="2"/>
    <col min="7684" max="7684" width="4.109375" style="2" customWidth="1"/>
    <col min="7685" max="7685" width="6.109375" style="2" customWidth="1"/>
    <col min="7686" max="7686" width="41.44140625" style="2" customWidth="1"/>
    <col min="7687" max="7687" width="10.6640625" style="2" customWidth="1"/>
    <col min="7688" max="7689" width="9.44140625" style="2" customWidth="1"/>
    <col min="7690" max="7690" width="9" style="2" customWidth="1"/>
    <col min="7691" max="7691" width="7.44140625" style="2" customWidth="1"/>
    <col min="7692" max="7695" width="0" style="2" hidden="1" customWidth="1"/>
    <col min="7696" max="7939" width="9.109375" style="2"/>
    <col min="7940" max="7940" width="4.109375" style="2" customWidth="1"/>
    <col min="7941" max="7941" width="6.109375" style="2" customWidth="1"/>
    <col min="7942" max="7942" width="41.44140625" style="2" customWidth="1"/>
    <col min="7943" max="7943" width="10.6640625" style="2" customWidth="1"/>
    <col min="7944" max="7945" width="9.44140625" style="2" customWidth="1"/>
    <col min="7946" max="7946" width="9" style="2" customWidth="1"/>
    <col min="7947" max="7947" width="7.44140625" style="2" customWidth="1"/>
    <col min="7948" max="7951" width="0" style="2" hidden="1" customWidth="1"/>
    <col min="7952" max="8195" width="9.109375" style="2"/>
    <col min="8196" max="8196" width="4.109375" style="2" customWidth="1"/>
    <col min="8197" max="8197" width="6.109375" style="2" customWidth="1"/>
    <col min="8198" max="8198" width="41.44140625" style="2" customWidth="1"/>
    <col min="8199" max="8199" width="10.6640625" style="2" customWidth="1"/>
    <col min="8200" max="8201" width="9.44140625" style="2" customWidth="1"/>
    <col min="8202" max="8202" width="9" style="2" customWidth="1"/>
    <col min="8203" max="8203" width="7.44140625" style="2" customWidth="1"/>
    <col min="8204" max="8207" width="0" style="2" hidden="1" customWidth="1"/>
    <col min="8208" max="8451" width="9.109375" style="2"/>
    <col min="8452" max="8452" width="4.109375" style="2" customWidth="1"/>
    <col min="8453" max="8453" width="6.109375" style="2" customWidth="1"/>
    <col min="8454" max="8454" width="41.44140625" style="2" customWidth="1"/>
    <col min="8455" max="8455" width="10.6640625" style="2" customWidth="1"/>
    <col min="8456" max="8457" width="9.44140625" style="2" customWidth="1"/>
    <col min="8458" max="8458" width="9" style="2" customWidth="1"/>
    <col min="8459" max="8459" width="7.44140625" style="2" customWidth="1"/>
    <col min="8460" max="8463" width="0" style="2" hidden="1" customWidth="1"/>
    <col min="8464" max="8707" width="9.109375" style="2"/>
    <col min="8708" max="8708" width="4.109375" style="2" customWidth="1"/>
    <col min="8709" max="8709" width="6.109375" style="2" customWidth="1"/>
    <col min="8710" max="8710" width="41.44140625" style="2" customWidth="1"/>
    <col min="8711" max="8711" width="10.6640625" style="2" customWidth="1"/>
    <col min="8712" max="8713" width="9.44140625" style="2" customWidth="1"/>
    <col min="8714" max="8714" width="9" style="2" customWidth="1"/>
    <col min="8715" max="8715" width="7.44140625" style="2" customWidth="1"/>
    <col min="8716" max="8719" width="0" style="2" hidden="1" customWidth="1"/>
    <col min="8720" max="8963" width="9.109375" style="2"/>
    <col min="8964" max="8964" width="4.109375" style="2" customWidth="1"/>
    <col min="8965" max="8965" width="6.109375" style="2" customWidth="1"/>
    <col min="8966" max="8966" width="41.44140625" style="2" customWidth="1"/>
    <col min="8967" max="8967" width="10.6640625" style="2" customWidth="1"/>
    <col min="8968" max="8969" width="9.44140625" style="2" customWidth="1"/>
    <col min="8970" max="8970" width="9" style="2" customWidth="1"/>
    <col min="8971" max="8971" width="7.44140625" style="2" customWidth="1"/>
    <col min="8972" max="8975" width="0" style="2" hidden="1" customWidth="1"/>
    <col min="8976" max="9219" width="9.109375" style="2"/>
    <col min="9220" max="9220" width="4.109375" style="2" customWidth="1"/>
    <col min="9221" max="9221" width="6.109375" style="2" customWidth="1"/>
    <col min="9222" max="9222" width="41.44140625" style="2" customWidth="1"/>
    <col min="9223" max="9223" width="10.6640625" style="2" customWidth="1"/>
    <col min="9224" max="9225" width="9.44140625" style="2" customWidth="1"/>
    <col min="9226" max="9226" width="9" style="2" customWidth="1"/>
    <col min="9227" max="9227" width="7.44140625" style="2" customWidth="1"/>
    <col min="9228" max="9231" width="0" style="2" hidden="1" customWidth="1"/>
    <col min="9232" max="9475" width="9.109375" style="2"/>
    <col min="9476" max="9476" width="4.109375" style="2" customWidth="1"/>
    <col min="9477" max="9477" width="6.109375" style="2" customWidth="1"/>
    <col min="9478" max="9478" width="41.44140625" style="2" customWidth="1"/>
    <col min="9479" max="9479" width="10.6640625" style="2" customWidth="1"/>
    <col min="9480" max="9481" width="9.44140625" style="2" customWidth="1"/>
    <col min="9482" max="9482" width="9" style="2" customWidth="1"/>
    <col min="9483" max="9483" width="7.44140625" style="2" customWidth="1"/>
    <col min="9484" max="9487" width="0" style="2" hidden="1" customWidth="1"/>
    <col min="9488" max="9731" width="9.109375" style="2"/>
    <col min="9732" max="9732" width="4.109375" style="2" customWidth="1"/>
    <col min="9733" max="9733" width="6.109375" style="2" customWidth="1"/>
    <col min="9734" max="9734" width="41.44140625" style="2" customWidth="1"/>
    <col min="9735" max="9735" width="10.6640625" style="2" customWidth="1"/>
    <col min="9736" max="9737" width="9.44140625" style="2" customWidth="1"/>
    <col min="9738" max="9738" width="9" style="2" customWidth="1"/>
    <col min="9739" max="9739" width="7.44140625" style="2" customWidth="1"/>
    <col min="9740" max="9743" width="0" style="2" hidden="1" customWidth="1"/>
    <col min="9744" max="9987" width="9.109375" style="2"/>
    <col min="9988" max="9988" width="4.109375" style="2" customWidth="1"/>
    <col min="9989" max="9989" width="6.109375" style="2" customWidth="1"/>
    <col min="9990" max="9990" width="41.44140625" style="2" customWidth="1"/>
    <col min="9991" max="9991" width="10.6640625" style="2" customWidth="1"/>
    <col min="9992" max="9993" width="9.44140625" style="2" customWidth="1"/>
    <col min="9994" max="9994" width="9" style="2" customWidth="1"/>
    <col min="9995" max="9995" width="7.44140625" style="2" customWidth="1"/>
    <col min="9996" max="9999" width="0" style="2" hidden="1" customWidth="1"/>
    <col min="10000" max="10243" width="9.109375" style="2"/>
    <col min="10244" max="10244" width="4.109375" style="2" customWidth="1"/>
    <col min="10245" max="10245" width="6.109375" style="2" customWidth="1"/>
    <col min="10246" max="10246" width="41.44140625" style="2" customWidth="1"/>
    <col min="10247" max="10247" width="10.6640625" style="2" customWidth="1"/>
    <col min="10248" max="10249" width="9.44140625" style="2" customWidth="1"/>
    <col min="10250" max="10250" width="9" style="2" customWidth="1"/>
    <col min="10251" max="10251" width="7.44140625" style="2" customWidth="1"/>
    <col min="10252" max="10255" width="0" style="2" hidden="1" customWidth="1"/>
    <col min="10256" max="10499" width="9.109375" style="2"/>
    <col min="10500" max="10500" width="4.109375" style="2" customWidth="1"/>
    <col min="10501" max="10501" width="6.109375" style="2" customWidth="1"/>
    <col min="10502" max="10502" width="41.44140625" style="2" customWidth="1"/>
    <col min="10503" max="10503" width="10.6640625" style="2" customWidth="1"/>
    <col min="10504" max="10505" width="9.44140625" style="2" customWidth="1"/>
    <col min="10506" max="10506" width="9" style="2" customWidth="1"/>
    <col min="10507" max="10507" width="7.44140625" style="2" customWidth="1"/>
    <col min="10508" max="10511" width="0" style="2" hidden="1" customWidth="1"/>
    <col min="10512" max="10755" width="9.109375" style="2"/>
    <col min="10756" max="10756" width="4.109375" style="2" customWidth="1"/>
    <col min="10757" max="10757" width="6.109375" style="2" customWidth="1"/>
    <col min="10758" max="10758" width="41.44140625" style="2" customWidth="1"/>
    <col min="10759" max="10759" width="10.6640625" style="2" customWidth="1"/>
    <col min="10760" max="10761" width="9.44140625" style="2" customWidth="1"/>
    <col min="10762" max="10762" width="9" style="2" customWidth="1"/>
    <col min="10763" max="10763" width="7.44140625" style="2" customWidth="1"/>
    <col min="10764" max="10767" width="0" style="2" hidden="1" customWidth="1"/>
    <col min="10768" max="11011" width="9.109375" style="2"/>
    <col min="11012" max="11012" width="4.109375" style="2" customWidth="1"/>
    <col min="11013" max="11013" width="6.109375" style="2" customWidth="1"/>
    <col min="11014" max="11014" width="41.44140625" style="2" customWidth="1"/>
    <col min="11015" max="11015" width="10.6640625" style="2" customWidth="1"/>
    <col min="11016" max="11017" width="9.44140625" style="2" customWidth="1"/>
    <col min="11018" max="11018" width="9" style="2" customWidth="1"/>
    <col min="11019" max="11019" width="7.44140625" style="2" customWidth="1"/>
    <col min="11020" max="11023" width="0" style="2" hidden="1" customWidth="1"/>
    <col min="11024" max="11267" width="9.109375" style="2"/>
    <col min="11268" max="11268" width="4.109375" style="2" customWidth="1"/>
    <col min="11269" max="11269" width="6.109375" style="2" customWidth="1"/>
    <col min="11270" max="11270" width="41.44140625" style="2" customWidth="1"/>
    <col min="11271" max="11271" width="10.6640625" style="2" customWidth="1"/>
    <col min="11272" max="11273" width="9.44140625" style="2" customWidth="1"/>
    <col min="11274" max="11274" width="9" style="2" customWidth="1"/>
    <col min="11275" max="11275" width="7.44140625" style="2" customWidth="1"/>
    <col min="11276" max="11279" width="0" style="2" hidden="1" customWidth="1"/>
    <col min="11280" max="11523" width="9.109375" style="2"/>
    <col min="11524" max="11524" width="4.109375" style="2" customWidth="1"/>
    <col min="11525" max="11525" width="6.109375" style="2" customWidth="1"/>
    <col min="11526" max="11526" width="41.44140625" style="2" customWidth="1"/>
    <col min="11527" max="11527" width="10.6640625" style="2" customWidth="1"/>
    <col min="11528" max="11529" width="9.44140625" style="2" customWidth="1"/>
    <col min="11530" max="11530" width="9" style="2" customWidth="1"/>
    <col min="11531" max="11531" width="7.44140625" style="2" customWidth="1"/>
    <col min="11532" max="11535" width="0" style="2" hidden="1" customWidth="1"/>
    <col min="11536" max="11779" width="9.109375" style="2"/>
    <col min="11780" max="11780" width="4.109375" style="2" customWidth="1"/>
    <col min="11781" max="11781" width="6.109375" style="2" customWidth="1"/>
    <col min="11782" max="11782" width="41.44140625" style="2" customWidth="1"/>
    <col min="11783" max="11783" width="10.6640625" style="2" customWidth="1"/>
    <col min="11784" max="11785" width="9.44140625" style="2" customWidth="1"/>
    <col min="11786" max="11786" width="9" style="2" customWidth="1"/>
    <col min="11787" max="11787" width="7.44140625" style="2" customWidth="1"/>
    <col min="11788" max="11791" width="0" style="2" hidden="1" customWidth="1"/>
    <col min="11792" max="12035" width="9.109375" style="2"/>
    <col min="12036" max="12036" width="4.109375" style="2" customWidth="1"/>
    <col min="12037" max="12037" width="6.109375" style="2" customWidth="1"/>
    <col min="12038" max="12038" width="41.44140625" style="2" customWidth="1"/>
    <col min="12039" max="12039" width="10.6640625" style="2" customWidth="1"/>
    <col min="12040" max="12041" width="9.44140625" style="2" customWidth="1"/>
    <col min="12042" max="12042" width="9" style="2" customWidth="1"/>
    <col min="12043" max="12043" width="7.44140625" style="2" customWidth="1"/>
    <col min="12044" max="12047" width="0" style="2" hidden="1" customWidth="1"/>
    <col min="12048" max="12291" width="9.109375" style="2"/>
    <col min="12292" max="12292" width="4.109375" style="2" customWidth="1"/>
    <col min="12293" max="12293" width="6.109375" style="2" customWidth="1"/>
    <col min="12294" max="12294" width="41.44140625" style="2" customWidth="1"/>
    <col min="12295" max="12295" width="10.6640625" style="2" customWidth="1"/>
    <col min="12296" max="12297" width="9.44140625" style="2" customWidth="1"/>
    <col min="12298" max="12298" width="9" style="2" customWidth="1"/>
    <col min="12299" max="12299" width="7.44140625" style="2" customWidth="1"/>
    <col min="12300" max="12303" width="0" style="2" hidden="1" customWidth="1"/>
    <col min="12304" max="12547" width="9.109375" style="2"/>
    <col min="12548" max="12548" width="4.109375" style="2" customWidth="1"/>
    <col min="12549" max="12549" width="6.109375" style="2" customWidth="1"/>
    <col min="12550" max="12550" width="41.44140625" style="2" customWidth="1"/>
    <col min="12551" max="12551" width="10.6640625" style="2" customWidth="1"/>
    <col min="12552" max="12553" width="9.44140625" style="2" customWidth="1"/>
    <col min="12554" max="12554" width="9" style="2" customWidth="1"/>
    <col min="12555" max="12555" width="7.44140625" style="2" customWidth="1"/>
    <col min="12556" max="12559" width="0" style="2" hidden="1" customWidth="1"/>
    <col min="12560" max="12803" width="9.109375" style="2"/>
    <col min="12804" max="12804" width="4.109375" style="2" customWidth="1"/>
    <col min="12805" max="12805" width="6.109375" style="2" customWidth="1"/>
    <col min="12806" max="12806" width="41.44140625" style="2" customWidth="1"/>
    <col min="12807" max="12807" width="10.6640625" style="2" customWidth="1"/>
    <col min="12808" max="12809" width="9.44140625" style="2" customWidth="1"/>
    <col min="12810" max="12810" width="9" style="2" customWidth="1"/>
    <col min="12811" max="12811" width="7.44140625" style="2" customWidth="1"/>
    <col min="12812" max="12815" width="0" style="2" hidden="1" customWidth="1"/>
    <col min="12816" max="13059" width="9.109375" style="2"/>
    <col min="13060" max="13060" width="4.109375" style="2" customWidth="1"/>
    <col min="13061" max="13061" width="6.109375" style="2" customWidth="1"/>
    <col min="13062" max="13062" width="41.44140625" style="2" customWidth="1"/>
    <col min="13063" max="13063" width="10.6640625" style="2" customWidth="1"/>
    <col min="13064" max="13065" width="9.44140625" style="2" customWidth="1"/>
    <col min="13066" max="13066" width="9" style="2" customWidth="1"/>
    <col min="13067" max="13067" width="7.44140625" style="2" customWidth="1"/>
    <col min="13068" max="13071" width="0" style="2" hidden="1" customWidth="1"/>
    <col min="13072" max="13315" width="9.109375" style="2"/>
    <col min="13316" max="13316" width="4.109375" style="2" customWidth="1"/>
    <col min="13317" max="13317" width="6.109375" style="2" customWidth="1"/>
    <col min="13318" max="13318" width="41.44140625" style="2" customWidth="1"/>
    <col min="13319" max="13319" width="10.6640625" style="2" customWidth="1"/>
    <col min="13320" max="13321" width="9.44140625" style="2" customWidth="1"/>
    <col min="13322" max="13322" width="9" style="2" customWidth="1"/>
    <col min="13323" max="13323" width="7.44140625" style="2" customWidth="1"/>
    <col min="13324" max="13327" width="0" style="2" hidden="1" customWidth="1"/>
    <col min="13328" max="13571" width="9.109375" style="2"/>
    <col min="13572" max="13572" width="4.109375" style="2" customWidth="1"/>
    <col min="13573" max="13573" width="6.109375" style="2" customWidth="1"/>
    <col min="13574" max="13574" width="41.44140625" style="2" customWidth="1"/>
    <col min="13575" max="13575" width="10.6640625" style="2" customWidth="1"/>
    <col min="13576" max="13577" width="9.44140625" style="2" customWidth="1"/>
    <col min="13578" max="13578" width="9" style="2" customWidth="1"/>
    <col min="13579" max="13579" width="7.44140625" style="2" customWidth="1"/>
    <col min="13580" max="13583" width="0" style="2" hidden="1" customWidth="1"/>
    <col min="13584" max="13827" width="9.109375" style="2"/>
    <col min="13828" max="13828" width="4.109375" style="2" customWidth="1"/>
    <col min="13829" max="13829" width="6.109375" style="2" customWidth="1"/>
    <col min="13830" max="13830" width="41.44140625" style="2" customWidth="1"/>
    <col min="13831" max="13831" width="10.6640625" style="2" customWidth="1"/>
    <col min="13832" max="13833" width="9.44140625" style="2" customWidth="1"/>
    <col min="13834" max="13834" width="9" style="2" customWidth="1"/>
    <col min="13835" max="13835" width="7.44140625" style="2" customWidth="1"/>
    <col min="13836" max="13839" width="0" style="2" hidden="1" customWidth="1"/>
    <col min="13840" max="14083" width="9.109375" style="2"/>
    <col min="14084" max="14084" width="4.109375" style="2" customWidth="1"/>
    <col min="14085" max="14085" width="6.109375" style="2" customWidth="1"/>
    <col min="14086" max="14086" width="41.44140625" style="2" customWidth="1"/>
    <col min="14087" max="14087" width="10.6640625" style="2" customWidth="1"/>
    <col min="14088" max="14089" width="9.44140625" style="2" customWidth="1"/>
    <col min="14090" max="14090" width="9" style="2" customWidth="1"/>
    <col min="14091" max="14091" width="7.44140625" style="2" customWidth="1"/>
    <col min="14092" max="14095" width="0" style="2" hidden="1" customWidth="1"/>
    <col min="14096" max="14339" width="9.109375" style="2"/>
    <col min="14340" max="14340" width="4.109375" style="2" customWidth="1"/>
    <col min="14341" max="14341" width="6.109375" style="2" customWidth="1"/>
    <col min="14342" max="14342" width="41.44140625" style="2" customWidth="1"/>
    <col min="14343" max="14343" width="10.6640625" style="2" customWidth="1"/>
    <col min="14344" max="14345" width="9.44140625" style="2" customWidth="1"/>
    <col min="14346" max="14346" width="9" style="2" customWidth="1"/>
    <col min="14347" max="14347" width="7.44140625" style="2" customWidth="1"/>
    <col min="14348" max="14351" width="0" style="2" hidden="1" customWidth="1"/>
    <col min="14352" max="14595" width="9.109375" style="2"/>
    <col min="14596" max="14596" width="4.109375" style="2" customWidth="1"/>
    <col min="14597" max="14597" width="6.109375" style="2" customWidth="1"/>
    <col min="14598" max="14598" width="41.44140625" style="2" customWidth="1"/>
    <col min="14599" max="14599" width="10.6640625" style="2" customWidth="1"/>
    <col min="14600" max="14601" width="9.44140625" style="2" customWidth="1"/>
    <col min="14602" max="14602" width="9" style="2" customWidth="1"/>
    <col min="14603" max="14603" width="7.44140625" style="2" customWidth="1"/>
    <col min="14604" max="14607" width="0" style="2" hidden="1" customWidth="1"/>
    <col min="14608" max="14851" width="9.109375" style="2"/>
    <col min="14852" max="14852" width="4.109375" style="2" customWidth="1"/>
    <col min="14853" max="14853" width="6.109375" style="2" customWidth="1"/>
    <col min="14854" max="14854" width="41.44140625" style="2" customWidth="1"/>
    <col min="14855" max="14855" width="10.6640625" style="2" customWidth="1"/>
    <col min="14856" max="14857" width="9.44140625" style="2" customWidth="1"/>
    <col min="14858" max="14858" width="9" style="2" customWidth="1"/>
    <col min="14859" max="14859" width="7.44140625" style="2" customWidth="1"/>
    <col min="14860" max="14863" width="0" style="2" hidden="1" customWidth="1"/>
    <col min="14864" max="15107" width="9.109375" style="2"/>
    <col min="15108" max="15108" width="4.109375" style="2" customWidth="1"/>
    <col min="15109" max="15109" width="6.109375" style="2" customWidth="1"/>
    <col min="15110" max="15110" width="41.44140625" style="2" customWidth="1"/>
    <col min="15111" max="15111" width="10.6640625" style="2" customWidth="1"/>
    <col min="15112" max="15113" width="9.44140625" style="2" customWidth="1"/>
    <col min="15114" max="15114" width="9" style="2" customWidth="1"/>
    <col min="15115" max="15115" width="7.44140625" style="2" customWidth="1"/>
    <col min="15116" max="15119" width="0" style="2" hidden="1" customWidth="1"/>
    <col min="15120" max="15363" width="9.109375" style="2"/>
    <col min="15364" max="15364" width="4.109375" style="2" customWidth="1"/>
    <col min="15365" max="15365" width="6.109375" style="2" customWidth="1"/>
    <col min="15366" max="15366" width="41.44140625" style="2" customWidth="1"/>
    <col min="15367" max="15367" width="10.6640625" style="2" customWidth="1"/>
    <col min="15368" max="15369" width="9.44140625" style="2" customWidth="1"/>
    <col min="15370" max="15370" width="9" style="2" customWidth="1"/>
    <col min="15371" max="15371" width="7.44140625" style="2" customWidth="1"/>
    <col min="15372" max="15375" width="0" style="2" hidden="1" customWidth="1"/>
    <col min="15376" max="15619" width="9.109375" style="2"/>
    <col min="15620" max="15620" width="4.109375" style="2" customWidth="1"/>
    <col min="15621" max="15621" width="6.109375" style="2" customWidth="1"/>
    <col min="15622" max="15622" width="41.44140625" style="2" customWidth="1"/>
    <col min="15623" max="15623" width="10.6640625" style="2" customWidth="1"/>
    <col min="15624" max="15625" width="9.44140625" style="2" customWidth="1"/>
    <col min="15626" max="15626" width="9" style="2" customWidth="1"/>
    <col min="15627" max="15627" width="7.44140625" style="2" customWidth="1"/>
    <col min="15628" max="15631" width="0" style="2" hidden="1" customWidth="1"/>
    <col min="15632" max="15875" width="9.109375" style="2"/>
    <col min="15876" max="15876" width="4.109375" style="2" customWidth="1"/>
    <col min="15877" max="15877" width="6.109375" style="2" customWidth="1"/>
    <col min="15878" max="15878" width="41.44140625" style="2" customWidth="1"/>
    <col min="15879" max="15879" width="10.6640625" style="2" customWidth="1"/>
    <col min="15880" max="15881" width="9.44140625" style="2" customWidth="1"/>
    <col min="15882" max="15882" width="9" style="2" customWidth="1"/>
    <col min="15883" max="15883" width="7.44140625" style="2" customWidth="1"/>
    <col min="15884" max="15887" width="0" style="2" hidden="1" customWidth="1"/>
    <col min="15888" max="16131" width="9.109375" style="2"/>
    <col min="16132" max="16132" width="4.109375" style="2" customWidth="1"/>
    <col min="16133" max="16133" width="6.109375" style="2" customWidth="1"/>
    <col min="16134" max="16134" width="41.44140625" style="2" customWidth="1"/>
    <col min="16135" max="16135" width="10.6640625" style="2" customWidth="1"/>
    <col min="16136" max="16137" width="9.44140625" style="2" customWidth="1"/>
    <col min="16138" max="16138" width="9" style="2" customWidth="1"/>
    <col min="16139" max="16139" width="7.44140625" style="2" customWidth="1"/>
    <col min="16140" max="16143" width="0" style="2" hidden="1" customWidth="1"/>
    <col min="16144" max="16384" width="9.109375" style="2"/>
  </cols>
  <sheetData>
    <row r="1" spans="1:19" ht="15.6" x14ac:dyDescent="0.3">
      <c r="C1" s="306" t="s">
        <v>797</v>
      </c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9" ht="15.6" x14ac:dyDescent="0.3">
      <c r="C2" s="306" t="s">
        <v>798</v>
      </c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</row>
    <row r="3" spans="1:19" ht="15.6" x14ac:dyDescent="0.25">
      <c r="E3" s="307" t="s">
        <v>799</v>
      </c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</row>
    <row r="4" spans="1:19" ht="15.6" x14ac:dyDescent="0.25">
      <c r="E4" s="5"/>
      <c r="F4" s="5"/>
      <c r="G4" s="5"/>
      <c r="H4" s="5"/>
      <c r="I4" s="5"/>
      <c r="J4" s="5"/>
      <c r="K4" s="5"/>
    </row>
    <row r="5" spans="1:19" ht="32.25" customHeight="1" x14ac:dyDescent="0.25">
      <c r="A5" s="342" t="s">
        <v>664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</row>
    <row r="6" spans="1:19" x14ac:dyDescent="0.25">
      <c r="A6" s="177"/>
      <c r="B6" s="178"/>
      <c r="C6" s="179"/>
      <c r="D6" s="180"/>
      <c r="E6" s="181"/>
      <c r="F6" s="181"/>
      <c r="G6" s="181"/>
      <c r="H6" s="181"/>
      <c r="I6" s="181"/>
      <c r="J6" s="181"/>
      <c r="K6" s="309" t="s">
        <v>1</v>
      </c>
      <c r="L6" s="309"/>
      <c r="M6" s="309"/>
      <c r="N6" s="309"/>
      <c r="O6" s="309"/>
      <c r="P6" s="309"/>
    </row>
    <row r="7" spans="1:19" ht="12.75" customHeight="1" x14ac:dyDescent="0.25">
      <c r="A7" s="297" t="s">
        <v>466</v>
      </c>
      <c r="B7" s="303" t="s">
        <v>467</v>
      </c>
      <c r="C7" s="303" t="s">
        <v>4</v>
      </c>
      <c r="D7" s="297" t="s">
        <v>5</v>
      </c>
      <c r="E7" s="314" t="s">
        <v>6</v>
      </c>
      <c r="F7" s="316"/>
      <c r="G7" s="314" t="s">
        <v>665</v>
      </c>
      <c r="H7" s="325"/>
      <c r="I7" s="325"/>
      <c r="J7" s="325"/>
      <c r="K7" s="325"/>
      <c r="L7" s="325"/>
      <c r="M7" s="325"/>
      <c r="N7" s="325"/>
      <c r="O7" s="325"/>
      <c r="P7" s="316"/>
    </row>
    <row r="8" spans="1:19" ht="12.75" customHeight="1" x14ac:dyDescent="0.25">
      <c r="A8" s="298"/>
      <c r="B8" s="304"/>
      <c r="C8" s="304"/>
      <c r="D8" s="298"/>
      <c r="E8" s="315"/>
      <c r="F8" s="317"/>
      <c r="G8" s="310" t="s">
        <v>8</v>
      </c>
      <c r="H8" s="322"/>
      <c r="I8" s="322"/>
      <c r="J8" s="311"/>
      <c r="K8" s="314" t="s">
        <v>9</v>
      </c>
      <c r="L8" s="325"/>
      <c r="M8" s="325"/>
      <c r="N8" s="325"/>
      <c r="O8" s="325"/>
      <c r="P8" s="316"/>
    </row>
    <row r="9" spans="1:19" ht="23.25" customHeight="1" x14ac:dyDescent="0.25">
      <c r="A9" s="298"/>
      <c r="B9" s="304"/>
      <c r="C9" s="304"/>
      <c r="D9" s="298"/>
      <c r="E9" s="297" t="s">
        <v>10</v>
      </c>
      <c r="F9" s="297" t="s">
        <v>11</v>
      </c>
      <c r="G9" s="310" t="s">
        <v>12</v>
      </c>
      <c r="H9" s="311"/>
      <c r="I9" s="312" t="s">
        <v>13</v>
      </c>
      <c r="J9" s="313"/>
      <c r="K9" s="297" t="s">
        <v>10</v>
      </c>
      <c r="P9" s="323" t="s">
        <v>11</v>
      </c>
    </row>
    <row r="10" spans="1:19" ht="16.2" customHeight="1" x14ac:dyDescent="0.25">
      <c r="A10" s="299"/>
      <c r="B10" s="305"/>
      <c r="C10" s="305"/>
      <c r="D10" s="299"/>
      <c r="E10" s="299"/>
      <c r="F10" s="299"/>
      <c r="G10" s="7" t="s">
        <v>491</v>
      </c>
      <c r="H10" s="7" t="s">
        <v>11</v>
      </c>
      <c r="I10" s="7" t="s">
        <v>10</v>
      </c>
      <c r="J10" s="7" t="s">
        <v>11</v>
      </c>
      <c r="K10" s="299"/>
      <c r="P10" s="324"/>
    </row>
    <row r="11" spans="1:19" s="116" customFormat="1" ht="12.75" customHeight="1" x14ac:dyDescent="0.25">
      <c r="A11" s="98">
        <v>1</v>
      </c>
      <c r="B11" s="9" t="s">
        <v>14</v>
      </c>
      <c r="C11" s="9" t="s">
        <v>666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98">
        <v>11</v>
      </c>
      <c r="L11" s="2"/>
      <c r="M11" s="2"/>
      <c r="N11" s="2"/>
      <c r="O11" s="2"/>
      <c r="P11" s="10">
        <v>12</v>
      </c>
    </row>
    <row r="12" spans="1:19" s="116" customFormat="1" ht="16.95" customHeight="1" x14ac:dyDescent="0.25">
      <c r="A12" s="11">
        <v>1</v>
      </c>
      <c r="B12" s="231" t="s">
        <v>15</v>
      </c>
      <c r="C12" s="12" t="s">
        <v>16</v>
      </c>
      <c r="D12" s="7"/>
      <c r="E12" s="13">
        <f>+G12+K12</f>
        <v>13053.1</v>
      </c>
      <c r="F12" s="13">
        <f>+H12+P12</f>
        <v>13052.699999999999</v>
      </c>
      <c r="G12" s="13">
        <f t="shared" ref="G12:P12" si="0">+G13</f>
        <v>13026.2</v>
      </c>
      <c r="H12" s="13">
        <f t="shared" si="0"/>
        <v>13025.8</v>
      </c>
      <c r="I12" s="13">
        <f t="shared" si="0"/>
        <v>12420.299999999997</v>
      </c>
      <c r="J12" s="13">
        <f t="shared" si="0"/>
        <v>12420.199999999997</v>
      </c>
      <c r="K12" s="13">
        <f t="shared" si="0"/>
        <v>26.9</v>
      </c>
      <c r="L12" s="13">
        <f t="shared" si="0"/>
        <v>3.8</v>
      </c>
      <c r="M12" s="13">
        <f t="shared" si="0"/>
        <v>-17.899999999999999</v>
      </c>
      <c r="N12" s="13">
        <f t="shared" si="0"/>
        <v>-19.399999999999999</v>
      </c>
      <c r="O12" s="13">
        <f t="shared" si="0"/>
        <v>25.5</v>
      </c>
      <c r="P12" s="13">
        <f t="shared" si="0"/>
        <v>26.9</v>
      </c>
      <c r="Q12" s="162"/>
      <c r="R12" s="162"/>
      <c r="S12" s="162"/>
    </row>
    <row r="13" spans="1:19" s="116" customFormat="1" ht="24.9" customHeight="1" x14ac:dyDescent="0.25">
      <c r="A13" s="11">
        <v>2</v>
      </c>
      <c r="B13" s="232"/>
      <c r="C13" s="182" t="s">
        <v>667</v>
      </c>
      <c r="D13" s="7"/>
      <c r="E13" s="183">
        <f t="shared" ref="E13:E65" si="1">+G13+K13</f>
        <v>13053.1</v>
      </c>
      <c r="F13" s="166">
        <f t="shared" ref="F13:F66" si="2">+H13+P13</f>
        <v>13052.699999999999</v>
      </c>
      <c r="G13" s="183">
        <f t="shared" ref="G13:P13" si="3">+G15+G18+G19+G20+G14+G16+G17+G21+G31+G25+G51+G23+G35+G37+G27+G29+G33+G39+G41+G43+G45+G47+G49+G53+G55+G56+G57+G58+G65+G64</f>
        <v>13026.2</v>
      </c>
      <c r="H13" s="183">
        <f t="shared" si="3"/>
        <v>13025.8</v>
      </c>
      <c r="I13" s="183">
        <f t="shared" si="3"/>
        <v>12420.299999999997</v>
      </c>
      <c r="J13" s="183">
        <f t="shared" si="3"/>
        <v>12420.199999999997</v>
      </c>
      <c r="K13" s="183">
        <f t="shared" si="3"/>
        <v>26.9</v>
      </c>
      <c r="L13" s="183">
        <f t="shared" si="3"/>
        <v>3.8</v>
      </c>
      <c r="M13" s="183">
        <f t="shared" si="3"/>
        <v>-17.899999999999999</v>
      </c>
      <c r="N13" s="183">
        <f t="shared" si="3"/>
        <v>-19.399999999999999</v>
      </c>
      <c r="O13" s="183">
        <f t="shared" si="3"/>
        <v>25.5</v>
      </c>
      <c r="P13" s="183">
        <f t="shared" si="3"/>
        <v>26.9</v>
      </c>
      <c r="Q13" s="162"/>
      <c r="R13" s="162"/>
      <c r="S13" s="162"/>
    </row>
    <row r="14" spans="1:19" ht="14.25" customHeight="1" x14ac:dyDescent="0.25">
      <c r="A14" s="11">
        <v>3</v>
      </c>
      <c r="B14" s="232"/>
      <c r="C14" s="101" t="s">
        <v>17</v>
      </c>
      <c r="D14" s="232" t="s">
        <v>20</v>
      </c>
      <c r="E14" s="18">
        <f t="shared" si="1"/>
        <v>225.4</v>
      </c>
      <c r="F14" s="166">
        <f t="shared" si="2"/>
        <v>225.4</v>
      </c>
      <c r="G14" s="18">
        <f>201.6+23.8</f>
        <v>225.4</v>
      </c>
      <c r="H14" s="18">
        <v>225.4</v>
      </c>
      <c r="I14" s="18">
        <f>192.8+23.5-0.7</f>
        <v>215.60000000000002</v>
      </c>
      <c r="J14" s="18">
        <v>215.6</v>
      </c>
      <c r="K14" s="18"/>
      <c r="L14" s="14">
        <f t="shared" ref="L14:L65" si="4">+M14+O14</f>
        <v>0</v>
      </c>
      <c r="M14" s="14"/>
      <c r="N14" s="14"/>
      <c r="O14" s="14"/>
      <c r="P14" s="19"/>
      <c r="Q14" s="14"/>
      <c r="R14" s="14"/>
      <c r="S14" s="14"/>
    </row>
    <row r="15" spans="1:19" ht="12.6" customHeight="1" x14ac:dyDescent="0.25">
      <c r="A15" s="11">
        <v>4</v>
      </c>
      <c r="B15" s="232"/>
      <c r="C15" s="101" t="s">
        <v>19</v>
      </c>
      <c r="D15" s="232" t="s">
        <v>20</v>
      </c>
      <c r="E15" s="18">
        <f t="shared" si="1"/>
        <v>245.60000000000002</v>
      </c>
      <c r="F15" s="166">
        <f t="shared" si="2"/>
        <v>245.6</v>
      </c>
      <c r="G15" s="18">
        <f>230.8+14.8</f>
        <v>245.60000000000002</v>
      </c>
      <c r="H15" s="18">
        <v>245.6</v>
      </c>
      <c r="I15" s="18">
        <f>221.1+14.7</f>
        <v>235.79999999999998</v>
      </c>
      <c r="J15" s="18">
        <v>235.8</v>
      </c>
      <c r="K15" s="18"/>
      <c r="L15" s="14">
        <f t="shared" si="4"/>
        <v>0</v>
      </c>
      <c r="M15" s="14"/>
      <c r="N15" s="14"/>
      <c r="O15" s="14"/>
      <c r="P15" s="19"/>
      <c r="Q15" s="14"/>
      <c r="R15" s="14"/>
      <c r="S15" s="14"/>
    </row>
    <row r="16" spans="1:19" ht="12.6" customHeight="1" x14ac:dyDescent="0.25">
      <c r="A16" s="11">
        <v>5</v>
      </c>
      <c r="B16" s="232"/>
      <c r="C16" s="101" t="s">
        <v>21</v>
      </c>
      <c r="D16" s="232" t="s">
        <v>20</v>
      </c>
      <c r="E16" s="18">
        <f t="shared" si="1"/>
        <v>243.5</v>
      </c>
      <c r="F16" s="166">
        <f t="shared" si="2"/>
        <v>243.5</v>
      </c>
      <c r="G16" s="18">
        <f>226.6+16.9</f>
        <v>243.5</v>
      </c>
      <c r="H16" s="18">
        <v>243.5</v>
      </c>
      <c r="I16" s="18">
        <f>216.2+16.6</f>
        <v>232.79999999999998</v>
      </c>
      <c r="J16" s="18">
        <v>232.8</v>
      </c>
      <c r="K16" s="18"/>
      <c r="L16" s="14">
        <f t="shared" si="4"/>
        <v>0</v>
      </c>
      <c r="M16" s="14">
        <v>-2.9</v>
      </c>
      <c r="N16" s="14">
        <v>-2.9</v>
      </c>
      <c r="O16" s="14">
        <v>2.9</v>
      </c>
      <c r="P16" s="19"/>
      <c r="Q16" s="14"/>
      <c r="R16" s="14"/>
      <c r="S16" s="14"/>
    </row>
    <row r="17" spans="1:19" ht="12.6" customHeight="1" x14ac:dyDescent="0.25">
      <c r="A17" s="11">
        <v>6</v>
      </c>
      <c r="B17" s="232"/>
      <c r="C17" s="101" t="s">
        <v>22</v>
      </c>
      <c r="D17" s="232" t="s">
        <v>20</v>
      </c>
      <c r="E17" s="18">
        <f t="shared" si="1"/>
        <v>265.7</v>
      </c>
      <c r="F17" s="166">
        <f t="shared" si="2"/>
        <v>265.7</v>
      </c>
      <c r="G17" s="18">
        <f>236.6+29.1-5</f>
        <v>260.7</v>
      </c>
      <c r="H17" s="18">
        <v>260.7</v>
      </c>
      <c r="I17" s="18">
        <f>224.9+28.7-6.7</f>
        <v>246.9</v>
      </c>
      <c r="J17" s="18">
        <v>246.9</v>
      </c>
      <c r="K17" s="18">
        <v>5</v>
      </c>
      <c r="L17" s="14">
        <f t="shared" si="4"/>
        <v>0</v>
      </c>
      <c r="M17" s="14"/>
      <c r="N17" s="14"/>
      <c r="O17" s="14"/>
      <c r="P17" s="184">
        <v>5</v>
      </c>
      <c r="Q17" s="14"/>
      <c r="R17" s="14"/>
      <c r="S17" s="14"/>
    </row>
    <row r="18" spans="1:19" ht="12.6" customHeight="1" x14ac:dyDescent="0.25">
      <c r="A18" s="11">
        <v>7</v>
      </c>
      <c r="B18" s="232"/>
      <c r="C18" s="101" t="s">
        <v>23</v>
      </c>
      <c r="D18" s="232" t="s">
        <v>20</v>
      </c>
      <c r="E18" s="18">
        <f t="shared" si="1"/>
        <v>265.2</v>
      </c>
      <c r="F18" s="166">
        <f t="shared" si="2"/>
        <v>265.2</v>
      </c>
      <c r="G18" s="18">
        <f>238+27.2-5</f>
        <v>260.2</v>
      </c>
      <c r="H18" s="18">
        <v>260.2</v>
      </c>
      <c r="I18" s="18">
        <f>226.8+26.8-16.2</f>
        <v>237.40000000000003</v>
      </c>
      <c r="J18" s="18">
        <v>237.4</v>
      </c>
      <c r="K18" s="18">
        <v>5</v>
      </c>
      <c r="L18" s="14">
        <f t="shared" si="4"/>
        <v>0</v>
      </c>
      <c r="M18" s="14"/>
      <c r="N18" s="14">
        <v>-1.5</v>
      </c>
      <c r="O18" s="14"/>
      <c r="P18" s="184">
        <v>5</v>
      </c>
      <c r="Q18" s="14"/>
      <c r="R18" s="14"/>
      <c r="S18" s="14"/>
    </row>
    <row r="19" spans="1:19" s="172" customFormat="1" ht="12.6" customHeight="1" x14ac:dyDescent="0.25">
      <c r="A19" s="21">
        <v>8</v>
      </c>
      <c r="B19" s="22"/>
      <c r="C19" s="185" t="s">
        <v>24</v>
      </c>
      <c r="D19" s="22" t="s">
        <v>20</v>
      </c>
      <c r="E19" s="24">
        <f t="shared" si="1"/>
        <v>247.20000000000002</v>
      </c>
      <c r="F19" s="166">
        <f t="shared" si="2"/>
        <v>247.2</v>
      </c>
      <c r="G19" s="24">
        <f>238.9+8.3</f>
        <v>247.20000000000002</v>
      </c>
      <c r="H19" s="24">
        <v>247.2</v>
      </c>
      <c r="I19" s="24">
        <f>230.2+8.1+2.5</f>
        <v>240.79999999999998</v>
      </c>
      <c r="J19" s="24">
        <v>240.8</v>
      </c>
      <c r="K19" s="24"/>
      <c r="L19" s="170">
        <f t="shared" si="4"/>
        <v>0</v>
      </c>
      <c r="M19" s="170"/>
      <c r="N19" s="170"/>
      <c r="O19" s="170"/>
      <c r="P19" s="186"/>
      <c r="Q19" s="170"/>
      <c r="R19" s="170"/>
      <c r="S19" s="170"/>
    </row>
    <row r="20" spans="1:19" ht="12.6" customHeight="1" x14ac:dyDescent="0.25">
      <c r="A20" s="11">
        <v>9</v>
      </c>
      <c r="B20" s="232"/>
      <c r="C20" s="101" t="s">
        <v>25</v>
      </c>
      <c r="D20" s="232" t="s">
        <v>20</v>
      </c>
      <c r="E20" s="18">
        <f t="shared" si="1"/>
        <v>258.5</v>
      </c>
      <c r="F20" s="166">
        <f t="shared" si="2"/>
        <v>258.5</v>
      </c>
      <c r="G20" s="18">
        <f>236.3+22.2</f>
        <v>258.5</v>
      </c>
      <c r="H20" s="18">
        <v>258.5</v>
      </c>
      <c r="I20" s="18">
        <f>224.7+22.1</f>
        <v>246.79999999999998</v>
      </c>
      <c r="J20" s="18">
        <v>246.8</v>
      </c>
      <c r="K20" s="18"/>
      <c r="L20" s="14">
        <f t="shared" si="4"/>
        <v>0</v>
      </c>
      <c r="M20" s="14"/>
      <c r="N20" s="14"/>
      <c r="O20" s="14"/>
      <c r="P20" s="135"/>
      <c r="Q20" s="164"/>
      <c r="R20" s="14"/>
      <c r="S20" s="14"/>
    </row>
    <row r="21" spans="1:19" ht="12.6" customHeight="1" x14ac:dyDescent="0.25">
      <c r="A21" s="283">
        <v>10</v>
      </c>
      <c r="B21" s="285"/>
      <c r="C21" s="20" t="s">
        <v>26</v>
      </c>
      <c r="D21" s="285" t="s">
        <v>27</v>
      </c>
      <c r="E21" s="18">
        <f t="shared" si="1"/>
        <v>284.5</v>
      </c>
      <c r="F21" s="166">
        <f t="shared" si="2"/>
        <v>284.5</v>
      </c>
      <c r="G21" s="18">
        <f>267.7+16+G22</f>
        <v>284.5</v>
      </c>
      <c r="H21" s="18">
        <v>284.5</v>
      </c>
      <c r="I21" s="18">
        <f>256.7+15.7</f>
        <v>272.39999999999998</v>
      </c>
      <c r="J21" s="18">
        <v>272.39999999999998</v>
      </c>
      <c r="K21" s="18"/>
      <c r="L21" s="14">
        <f t="shared" si="4"/>
        <v>0</v>
      </c>
      <c r="M21" s="14"/>
      <c r="N21" s="14"/>
      <c r="O21" s="14"/>
      <c r="P21" s="135"/>
      <c r="Q21" s="14"/>
      <c r="R21" s="14"/>
      <c r="S21" s="14"/>
    </row>
    <row r="22" spans="1:19" ht="12.6" customHeight="1" x14ac:dyDescent="0.25">
      <c r="A22" s="284"/>
      <c r="B22" s="286"/>
      <c r="C22" s="20" t="s">
        <v>668</v>
      </c>
      <c r="D22" s="286"/>
      <c r="E22" s="18">
        <f t="shared" si="1"/>
        <v>0.8</v>
      </c>
      <c r="F22" s="166">
        <f t="shared" si="2"/>
        <v>0.8</v>
      </c>
      <c r="G22" s="18">
        <v>0.8</v>
      </c>
      <c r="H22" s="18">
        <v>0.8</v>
      </c>
      <c r="I22" s="18"/>
      <c r="J22" s="18"/>
      <c r="K22" s="18"/>
      <c r="L22" s="14"/>
      <c r="M22" s="14"/>
      <c r="N22" s="14"/>
      <c r="O22" s="14"/>
      <c r="P22" s="135"/>
      <c r="Q22" s="14"/>
      <c r="R22" s="14"/>
      <c r="S22" s="14"/>
    </row>
    <row r="23" spans="1:19" ht="12.6" customHeight="1" x14ac:dyDescent="0.25">
      <c r="A23" s="283">
        <v>11</v>
      </c>
      <c r="B23" s="285"/>
      <c r="C23" s="101" t="s">
        <v>28</v>
      </c>
      <c r="D23" s="285" t="s">
        <v>29</v>
      </c>
      <c r="E23" s="18">
        <f t="shared" si="1"/>
        <v>915.80000000000007</v>
      </c>
      <c r="F23" s="166">
        <f t="shared" si="2"/>
        <v>915.80000000000007</v>
      </c>
      <c r="G23" s="18">
        <f>887.2-1+23.8+G24</f>
        <v>914.7</v>
      </c>
      <c r="H23" s="18">
        <v>914.7</v>
      </c>
      <c r="I23" s="18">
        <f>856.2+23.5+I24-1.3</f>
        <v>878.40000000000009</v>
      </c>
      <c r="J23" s="18">
        <v>878.4</v>
      </c>
      <c r="K23" s="18">
        <f t="shared" ref="K23:P23" si="5">1+K24</f>
        <v>1.1000000000000001</v>
      </c>
      <c r="L23" s="187">
        <f t="shared" si="5"/>
        <v>1</v>
      </c>
      <c r="M23" s="187">
        <f t="shared" si="5"/>
        <v>1</v>
      </c>
      <c r="N23" s="187">
        <f t="shared" si="5"/>
        <v>1</v>
      </c>
      <c r="O23" s="187">
        <f t="shared" si="5"/>
        <v>1</v>
      </c>
      <c r="P23" s="18">
        <f t="shared" si="5"/>
        <v>1.1000000000000001</v>
      </c>
      <c r="Q23" s="14"/>
      <c r="R23" s="14"/>
      <c r="S23" s="14"/>
    </row>
    <row r="24" spans="1:19" ht="12.6" customHeight="1" x14ac:dyDescent="0.25">
      <c r="A24" s="284"/>
      <c r="B24" s="286"/>
      <c r="C24" s="20" t="s">
        <v>668</v>
      </c>
      <c r="D24" s="286"/>
      <c r="E24" s="18">
        <f t="shared" si="1"/>
        <v>4.8</v>
      </c>
      <c r="F24" s="166">
        <f t="shared" si="2"/>
        <v>4.8</v>
      </c>
      <c r="G24" s="18">
        <f>4.8-0.1</f>
        <v>4.7</v>
      </c>
      <c r="H24" s="18">
        <v>4.7</v>
      </c>
      <c r="I24" s="18"/>
      <c r="J24" s="18"/>
      <c r="K24" s="18">
        <v>0.1</v>
      </c>
      <c r="L24" s="14"/>
      <c r="M24" s="14"/>
      <c r="N24" s="14"/>
      <c r="O24" s="14"/>
      <c r="P24" s="184">
        <v>0.1</v>
      </c>
      <c r="Q24" s="14"/>
      <c r="R24" s="14"/>
      <c r="S24" s="14"/>
    </row>
    <row r="25" spans="1:19" ht="14.25" customHeight="1" x14ac:dyDescent="0.25">
      <c r="A25" s="283">
        <v>12</v>
      </c>
      <c r="B25" s="285"/>
      <c r="C25" s="101" t="s">
        <v>30</v>
      </c>
      <c r="D25" s="285" t="s">
        <v>29</v>
      </c>
      <c r="E25" s="18">
        <f t="shared" si="1"/>
        <v>872.2</v>
      </c>
      <c r="F25" s="166">
        <f t="shared" si="2"/>
        <v>872.2</v>
      </c>
      <c r="G25" s="18">
        <f>839.2+28.3+G26-2.8</f>
        <v>868</v>
      </c>
      <c r="H25" s="18">
        <v>868</v>
      </c>
      <c r="I25" s="18">
        <f>809.8+27.8+I26</f>
        <v>837.59999999999991</v>
      </c>
      <c r="J25" s="18">
        <v>837.6</v>
      </c>
      <c r="K25" s="18">
        <f t="shared" ref="K25:P25" si="6">2.8+K26</f>
        <v>4.1999999999999993</v>
      </c>
      <c r="L25" s="187">
        <f t="shared" si="6"/>
        <v>2.8</v>
      </c>
      <c r="M25" s="187">
        <f t="shared" si="6"/>
        <v>2.8</v>
      </c>
      <c r="N25" s="187">
        <f t="shared" si="6"/>
        <v>2.8</v>
      </c>
      <c r="O25" s="187">
        <f t="shared" si="6"/>
        <v>2.8</v>
      </c>
      <c r="P25" s="18">
        <f t="shared" si="6"/>
        <v>4.1999999999999993</v>
      </c>
      <c r="Q25" s="14"/>
      <c r="R25" s="14"/>
      <c r="S25" s="14"/>
    </row>
    <row r="26" spans="1:19" ht="14.25" customHeight="1" x14ac:dyDescent="0.25">
      <c r="A26" s="284"/>
      <c r="B26" s="286"/>
      <c r="C26" s="20" t="s">
        <v>668</v>
      </c>
      <c r="D26" s="286"/>
      <c r="E26" s="18">
        <f t="shared" si="1"/>
        <v>4.7</v>
      </c>
      <c r="F26" s="166">
        <f t="shared" si="2"/>
        <v>4.6999999999999993</v>
      </c>
      <c r="G26" s="18">
        <f>4.7-1.4</f>
        <v>3.3000000000000003</v>
      </c>
      <c r="H26" s="18">
        <v>3.3</v>
      </c>
      <c r="I26" s="18"/>
      <c r="J26" s="18"/>
      <c r="K26" s="18">
        <v>1.4</v>
      </c>
      <c r="L26" s="14"/>
      <c r="M26" s="14"/>
      <c r="N26" s="14"/>
      <c r="O26" s="14"/>
      <c r="P26" s="184">
        <v>1.4</v>
      </c>
      <c r="Q26" s="70"/>
      <c r="R26" s="70"/>
      <c r="S26" s="70"/>
    </row>
    <row r="27" spans="1:19" ht="13.95" customHeight="1" x14ac:dyDescent="0.25">
      <c r="A27" s="283">
        <v>13</v>
      </c>
      <c r="B27" s="285"/>
      <c r="C27" s="103" t="s">
        <v>32</v>
      </c>
      <c r="D27" s="285" t="s">
        <v>29</v>
      </c>
      <c r="E27" s="18">
        <f t="shared" si="1"/>
        <v>724.7</v>
      </c>
      <c r="F27" s="166">
        <f t="shared" si="2"/>
        <v>724.7</v>
      </c>
      <c r="G27" s="18">
        <f>693.5+28.2+G28</f>
        <v>723.7</v>
      </c>
      <c r="H27" s="18">
        <v>723.7</v>
      </c>
      <c r="I27" s="18">
        <f>667.5+27.9+I28</f>
        <v>695.4</v>
      </c>
      <c r="J27" s="18">
        <v>695.4</v>
      </c>
      <c r="K27" s="18">
        <f t="shared" ref="K27:P27" si="7">+K28</f>
        <v>1</v>
      </c>
      <c r="L27" s="18">
        <f t="shared" si="7"/>
        <v>0</v>
      </c>
      <c r="M27" s="18">
        <f t="shared" si="7"/>
        <v>0</v>
      </c>
      <c r="N27" s="18">
        <f t="shared" si="7"/>
        <v>0</v>
      </c>
      <c r="O27" s="18">
        <f t="shared" si="7"/>
        <v>0</v>
      </c>
      <c r="P27" s="18">
        <f t="shared" si="7"/>
        <v>1</v>
      </c>
      <c r="Q27" s="14"/>
      <c r="R27" s="14"/>
      <c r="S27" s="14"/>
    </row>
    <row r="28" spans="1:19" ht="12.6" customHeight="1" x14ac:dyDescent="0.25">
      <c r="A28" s="284"/>
      <c r="B28" s="286"/>
      <c r="C28" s="20" t="s">
        <v>668</v>
      </c>
      <c r="D28" s="286"/>
      <c r="E28" s="18">
        <f t="shared" si="1"/>
        <v>3</v>
      </c>
      <c r="F28" s="166">
        <f t="shared" si="2"/>
        <v>3</v>
      </c>
      <c r="G28" s="18">
        <f>3-1</f>
        <v>2</v>
      </c>
      <c r="H28" s="18">
        <v>2</v>
      </c>
      <c r="I28" s="18"/>
      <c r="J28" s="18"/>
      <c r="K28" s="18">
        <v>1</v>
      </c>
      <c r="L28" s="14"/>
      <c r="M28" s="14"/>
      <c r="N28" s="14"/>
      <c r="O28" s="14"/>
      <c r="P28" s="184">
        <v>1</v>
      </c>
      <c r="Q28" s="14"/>
      <c r="R28" s="14"/>
      <c r="S28" s="14"/>
    </row>
    <row r="29" spans="1:19" ht="12.6" customHeight="1" x14ac:dyDescent="0.25">
      <c r="A29" s="332">
        <v>14</v>
      </c>
      <c r="B29" s="334"/>
      <c r="C29" s="189" t="s">
        <v>33</v>
      </c>
      <c r="D29" s="334" t="s">
        <v>29</v>
      </c>
      <c r="E29" s="24">
        <f t="shared" si="1"/>
        <v>687.5</v>
      </c>
      <c r="F29" s="166">
        <f t="shared" si="2"/>
        <v>687.5</v>
      </c>
      <c r="G29" s="24">
        <f>699-14.3+G30</f>
        <v>687.5</v>
      </c>
      <c r="H29" s="24">
        <v>687.5</v>
      </c>
      <c r="I29" s="24">
        <f>676.4-13.8-33.7+6.2</f>
        <v>635.1</v>
      </c>
      <c r="J29" s="24">
        <v>635.1</v>
      </c>
      <c r="K29" s="24"/>
      <c r="L29" s="14">
        <f t="shared" si="4"/>
        <v>0</v>
      </c>
      <c r="M29" s="14"/>
      <c r="N29" s="14">
        <v>1.5</v>
      </c>
      <c r="O29" s="14"/>
      <c r="P29" s="184"/>
      <c r="Q29" s="14"/>
      <c r="R29" s="14"/>
      <c r="S29" s="14"/>
    </row>
    <row r="30" spans="1:19" ht="12.6" customHeight="1" x14ac:dyDescent="0.25">
      <c r="A30" s="333"/>
      <c r="B30" s="335"/>
      <c r="C30" s="23" t="s">
        <v>668</v>
      </c>
      <c r="D30" s="335"/>
      <c r="E30" s="24">
        <f t="shared" si="1"/>
        <v>2.8</v>
      </c>
      <c r="F30" s="166">
        <f t="shared" si="2"/>
        <v>2.8</v>
      </c>
      <c r="G30" s="24">
        <v>2.8</v>
      </c>
      <c r="H30" s="24">
        <v>2.8</v>
      </c>
      <c r="I30" s="24"/>
      <c r="J30" s="24"/>
      <c r="K30" s="24"/>
      <c r="L30" s="14"/>
      <c r="M30" s="14"/>
      <c r="N30" s="14"/>
      <c r="O30" s="14"/>
      <c r="P30" s="184"/>
      <c r="Q30" s="14"/>
      <c r="R30" s="14"/>
      <c r="S30" s="14"/>
    </row>
    <row r="31" spans="1:19" ht="12.6" customHeight="1" x14ac:dyDescent="0.25">
      <c r="A31" s="332">
        <v>15</v>
      </c>
      <c r="B31" s="334"/>
      <c r="C31" s="189" t="s">
        <v>34</v>
      </c>
      <c r="D31" s="334" t="s">
        <v>29</v>
      </c>
      <c r="E31" s="24">
        <f t="shared" si="1"/>
        <v>646.80000000000007</v>
      </c>
      <c r="F31" s="166">
        <f t="shared" si="2"/>
        <v>646.79999999999995</v>
      </c>
      <c r="G31" s="24">
        <f>625.1+19.1+G32</f>
        <v>646.80000000000007</v>
      </c>
      <c r="H31" s="24">
        <v>646.79999999999995</v>
      </c>
      <c r="I31" s="24">
        <f>603.9+19-0.8+1.5</f>
        <v>623.6</v>
      </c>
      <c r="J31" s="24">
        <v>623.6</v>
      </c>
      <c r="K31" s="24"/>
      <c r="L31" s="14">
        <f t="shared" si="4"/>
        <v>0</v>
      </c>
      <c r="M31" s="14"/>
      <c r="N31" s="14">
        <v>-1.6</v>
      </c>
      <c r="O31" s="14"/>
      <c r="P31" s="184"/>
      <c r="Q31" s="14"/>
      <c r="R31" s="14"/>
      <c r="S31" s="14"/>
    </row>
    <row r="32" spans="1:19" ht="12.6" customHeight="1" x14ac:dyDescent="0.25">
      <c r="A32" s="333"/>
      <c r="B32" s="335"/>
      <c r="C32" s="23" t="s">
        <v>668</v>
      </c>
      <c r="D32" s="335"/>
      <c r="E32" s="24">
        <f t="shared" si="1"/>
        <v>2.6</v>
      </c>
      <c r="F32" s="166">
        <f t="shared" si="2"/>
        <v>2.6</v>
      </c>
      <c r="G32" s="24">
        <v>2.6</v>
      </c>
      <c r="H32" s="24">
        <v>2.6</v>
      </c>
      <c r="I32" s="24"/>
      <c r="J32" s="24"/>
      <c r="K32" s="24"/>
      <c r="L32" s="14"/>
      <c r="M32" s="14"/>
      <c r="N32" s="14"/>
      <c r="O32" s="14"/>
      <c r="P32" s="184"/>
      <c r="Q32" s="14"/>
      <c r="R32" s="14"/>
      <c r="S32" s="14"/>
    </row>
    <row r="33" spans="1:19" ht="12.6" customHeight="1" x14ac:dyDescent="0.25">
      <c r="A33" s="340">
        <v>16</v>
      </c>
      <c r="B33" s="334"/>
      <c r="C33" s="185" t="s">
        <v>35</v>
      </c>
      <c r="D33" s="334" t="s">
        <v>29</v>
      </c>
      <c r="E33" s="24">
        <f>+G33+K33</f>
        <v>523.40000000000009</v>
      </c>
      <c r="F33" s="166">
        <f t="shared" si="2"/>
        <v>523.4</v>
      </c>
      <c r="G33" s="24">
        <f>514.7+6.2+G34</f>
        <v>523.40000000000009</v>
      </c>
      <c r="H33" s="24">
        <v>523.4</v>
      </c>
      <c r="I33" s="24">
        <f>497+6.2+1.3</f>
        <v>504.5</v>
      </c>
      <c r="J33" s="24">
        <v>504.5</v>
      </c>
      <c r="K33" s="24"/>
      <c r="L33" s="14">
        <f t="shared" si="4"/>
        <v>0</v>
      </c>
      <c r="M33" s="14"/>
      <c r="N33" s="14">
        <v>1.7</v>
      </c>
      <c r="O33" s="14"/>
      <c r="P33" s="184"/>
      <c r="Q33" s="14"/>
      <c r="R33" s="14"/>
      <c r="S33" s="14"/>
    </row>
    <row r="34" spans="1:19" ht="12.6" customHeight="1" x14ac:dyDescent="0.25">
      <c r="A34" s="341"/>
      <c r="B34" s="335"/>
      <c r="C34" s="23" t="s">
        <v>668</v>
      </c>
      <c r="D34" s="335"/>
      <c r="E34" s="24">
        <f>+G34+K34</f>
        <v>2.5</v>
      </c>
      <c r="F34" s="166">
        <f t="shared" si="2"/>
        <v>2.5</v>
      </c>
      <c r="G34" s="24">
        <v>2.5</v>
      </c>
      <c r="H34" s="24">
        <v>2.5</v>
      </c>
      <c r="I34" s="24"/>
      <c r="J34" s="24"/>
      <c r="K34" s="24"/>
      <c r="L34" s="14"/>
      <c r="M34" s="14"/>
      <c r="N34" s="14"/>
      <c r="O34" s="14"/>
      <c r="P34" s="184"/>
      <c r="Q34" s="14"/>
      <c r="R34" s="14"/>
      <c r="S34" s="14"/>
    </row>
    <row r="35" spans="1:19" ht="24.9" customHeight="1" x14ac:dyDescent="0.25">
      <c r="A35" s="332">
        <v>17</v>
      </c>
      <c r="B35" s="334"/>
      <c r="C35" s="189" t="s">
        <v>36</v>
      </c>
      <c r="D35" s="334" t="s">
        <v>37</v>
      </c>
      <c r="E35" s="24">
        <f t="shared" si="1"/>
        <v>1268.2</v>
      </c>
      <c r="F35" s="166">
        <f t="shared" si="2"/>
        <v>1268.2</v>
      </c>
      <c r="G35" s="24">
        <f>1227+32.9+G36-2.7-1.7</f>
        <v>1263.8</v>
      </c>
      <c r="H35" s="24">
        <v>1263.8</v>
      </c>
      <c r="I35" s="24">
        <f>1177.3+32.8+I36-16.8-3.2</f>
        <v>1190.0999999999999</v>
      </c>
      <c r="J35" s="24">
        <v>1190.0999999999999</v>
      </c>
      <c r="K35" s="24">
        <f>+K36+2.7+1.7</f>
        <v>4.4000000000000004</v>
      </c>
      <c r="L35" s="14">
        <f t="shared" si="4"/>
        <v>0</v>
      </c>
      <c r="M35" s="14">
        <v>-8.8000000000000007</v>
      </c>
      <c r="N35" s="14"/>
      <c r="O35" s="14">
        <v>8.8000000000000007</v>
      </c>
      <c r="P35" s="184">
        <v>4.4000000000000004</v>
      </c>
      <c r="Q35" s="14"/>
      <c r="R35" s="14"/>
      <c r="S35" s="14"/>
    </row>
    <row r="36" spans="1:19" ht="14.25" customHeight="1" x14ac:dyDescent="0.25">
      <c r="A36" s="333"/>
      <c r="B36" s="335"/>
      <c r="C36" s="23" t="s">
        <v>668</v>
      </c>
      <c r="D36" s="335"/>
      <c r="E36" s="24">
        <f t="shared" si="1"/>
        <v>8.3000000000000007</v>
      </c>
      <c r="F36" s="166">
        <f t="shared" si="2"/>
        <v>8.3000000000000007</v>
      </c>
      <c r="G36" s="24">
        <f>8.3</f>
        <v>8.3000000000000007</v>
      </c>
      <c r="H36" s="24">
        <v>8.3000000000000007</v>
      </c>
      <c r="I36" s="24"/>
      <c r="J36" s="24"/>
      <c r="K36" s="24"/>
      <c r="L36" s="14"/>
      <c r="M36" s="14"/>
      <c r="N36" s="14"/>
      <c r="O36" s="14"/>
      <c r="P36" s="19"/>
      <c r="Q36" s="14"/>
      <c r="R36" s="14"/>
      <c r="S36" s="14"/>
    </row>
    <row r="37" spans="1:19" ht="31.5" customHeight="1" x14ac:dyDescent="0.25">
      <c r="A37" s="332">
        <v>18</v>
      </c>
      <c r="B37" s="334"/>
      <c r="C37" s="185" t="s">
        <v>38</v>
      </c>
      <c r="D37" s="336" t="s">
        <v>469</v>
      </c>
      <c r="E37" s="24">
        <f t="shared" si="1"/>
        <v>1363.6000000000001</v>
      </c>
      <c r="F37" s="166">
        <f t="shared" si="2"/>
        <v>1363.6</v>
      </c>
      <c r="G37" s="24">
        <f>1312.4+41.8+G38</f>
        <v>1363.6000000000001</v>
      </c>
      <c r="H37" s="24">
        <v>1363.6</v>
      </c>
      <c r="I37" s="24">
        <f>1258.5+41.1-14.2</f>
        <v>1285.3999999999999</v>
      </c>
      <c r="J37" s="24">
        <v>1285.4000000000001</v>
      </c>
      <c r="K37" s="24"/>
      <c r="L37" s="14">
        <f t="shared" si="4"/>
        <v>0</v>
      </c>
      <c r="M37" s="14"/>
      <c r="N37" s="14">
        <v>3</v>
      </c>
      <c r="O37" s="14"/>
      <c r="P37" s="19"/>
      <c r="Q37" s="14"/>
      <c r="R37" s="14"/>
      <c r="S37" s="14"/>
    </row>
    <row r="38" spans="1:19" ht="14.25" customHeight="1" x14ac:dyDescent="0.25">
      <c r="A38" s="333"/>
      <c r="B38" s="335"/>
      <c r="C38" s="23" t="s">
        <v>668</v>
      </c>
      <c r="D38" s="337"/>
      <c r="E38" s="24">
        <f t="shared" si="1"/>
        <v>9.4</v>
      </c>
      <c r="F38" s="166">
        <f t="shared" si="2"/>
        <v>9.4</v>
      </c>
      <c r="G38" s="24">
        <v>9.4</v>
      </c>
      <c r="H38" s="24">
        <v>9.4</v>
      </c>
      <c r="I38" s="24"/>
      <c r="J38" s="24"/>
      <c r="K38" s="24"/>
      <c r="L38" s="14"/>
      <c r="M38" s="14"/>
      <c r="N38" s="14"/>
      <c r="O38" s="14"/>
      <c r="P38" s="19"/>
      <c r="Q38" s="14"/>
      <c r="R38" s="14"/>
      <c r="S38" s="14"/>
    </row>
    <row r="39" spans="1:19" ht="12.6" customHeight="1" x14ac:dyDescent="0.25">
      <c r="A39" s="283">
        <v>19</v>
      </c>
      <c r="B39" s="285"/>
      <c r="C39" s="103" t="s">
        <v>39</v>
      </c>
      <c r="D39" s="294" t="s">
        <v>469</v>
      </c>
      <c r="E39" s="18">
        <f t="shared" si="1"/>
        <v>867.90000000000009</v>
      </c>
      <c r="F39" s="166">
        <f t="shared" si="2"/>
        <v>867.9</v>
      </c>
      <c r="G39" s="18">
        <f>829.2+33.2+G40</f>
        <v>867.90000000000009</v>
      </c>
      <c r="H39" s="18">
        <v>867.9</v>
      </c>
      <c r="I39" s="18">
        <f>796.7+32.6-9.8</f>
        <v>819.50000000000011</v>
      </c>
      <c r="J39" s="18">
        <v>819.5</v>
      </c>
      <c r="K39" s="18"/>
      <c r="L39" s="14">
        <f t="shared" si="4"/>
        <v>0</v>
      </c>
      <c r="M39" s="14"/>
      <c r="N39" s="14">
        <v>7.1</v>
      </c>
      <c r="O39" s="14"/>
      <c r="P39" s="19"/>
      <c r="Q39" s="14"/>
      <c r="R39" s="14"/>
      <c r="S39" s="14"/>
    </row>
    <row r="40" spans="1:19" ht="12.6" customHeight="1" x14ac:dyDescent="0.25">
      <c r="A40" s="284"/>
      <c r="B40" s="286"/>
      <c r="C40" s="20" t="s">
        <v>668</v>
      </c>
      <c r="D40" s="296"/>
      <c r="E40" s="18">
        <f t="shared" si="1"/>
        <v>5.5</v>
      </c>
      <c r="F40" s="166">
        <f t="shared" si="2"/>
        <v>5.5</v>
      </c>
      <c r="G40" s="18">
        <v>5.5</v>
      </c>
      <c r="H40" s="18">
        <v>5.5</v>
      </c>
      <c r="I40" s="18"/>
      <c r="J40" s="18"/>
      <c r="K40" s="18"/>
      <c r="L40" s="14"/>
      <c r="M40" s="14"/>
      <c r="N40" s="14"/>
      <c r="O40" s="14"/>
      <c r="P40" s="19"/>
      <c r="Q40" s="14"/>
      <c r="R40" s="14"/>
      <c r="S40" s="14"/>
    </row>
    <row r="41" spans="1:19" ht="12.6" customHeight="1" x14ac:dyDescent="0.25">
      <c r="A41" s="283">
        <v>20</v>
      </c>
      <c r="B41" s="285"/>
      <c r="C41" s="103" t="s">
        <v>40</v>
      </c>
      <c r="D41" s="285" t="s">
        <v>37</v>
      </c>
      <c r="E41" s="18">
        <f t="shared" si="1"/>
        <v>331</v>
      </c>
      <c r="F41" s="166">
        <f t="shared" si="2"/>
        <v>331</v>
      </c>
      <c r="G41" s="18">
        <f>322.7+7.3+G42</f>
        <v>331</v>
      </c>
      <c r="H41" s="18">
        <v>331</v>
      </c>
      <c r="I41" s="18">
        <f>313.7+7.1</f>
        <v>320.8</v>
      </c>
      <c r="J41" s="18">
        <v>320.8</v>
      </c>
      <c r="K41" s="18"/>
      <c r="L41" s="14">
        <f t="shared" si="4"/>
        <v>0</v>
      </c>
      <c r="M41" s="14"/>
      <c r="N41" s="14"/>
      <c r="O41" s="14"/>
      <c r="P41" s="19"/>
      <c r="Q41" s="14"/>
      <c r="R41" s="14"/>
      <c r="S41" s="14"/>
    </row>
    <row r="42" spans="1:19" ht="12.6" customHeight="1" x14ac:dyDescent="0.25">
      <c r="A42" s="284"/>
      <c r="B42" s="286"/>
      <c r="C42" s="20" t="s">
        <v>668</v>
      </c>
      <c r="D42" s="286"/>
      <c r="E42" s="18">
        <f t="shared" si="1"/>
        <v>1</v>
      </c>
      <c r="F42" s="166">
        <f t="shared" si="2"/>
        <v>1</v>
      </c>
      <c r="G42" s="18">
        <v>1</v>
      </c>
      <c r="H42" s="18">
        <v>1</v>
      </c>
      <c r="I42" s="18"/>
      <c r="J42" s="18"/>
      <c r="K42" s="18"/>
      <c r="L42" s="14"/>
      <c r="M42" s="14"/>
      <c r="N42" s="14"/>
      <c r="O42" s="14"/>
      <c r="P42" s="19"/>
      <c r="Q42" s="14"/>
      <c r="R42" s="14"/>
      <c r="S42" s="14"/>
    </row>
    <row r="43" spans="1:19" ht="12.6" customHeight="1" x14ac:dyDescent="0.25">
      <c r="A43" s="283">
        <v>21</v>
      </c>
      <c r="B43" s="285"/>
      <c r="C43" s="103" t="s">
        <v>41</v>
      </c>
      <c r="D43" s="285" t="s">
        <v>37</v>
      </c>
      <c r="E43" s="18">
        <f t="shared" si="1"/>
        <v>634.1</v>
      </c>
      <c r="F43" s="166">
        <f t="shared" si="2"/>
        <v>634.1</v>
      </c>
      <c r="G43" s="18">
        <f>603.5+29.1+G44</f>
        <v>634.1</v>
      </c>
      <c r="H43" s="18">
        <v>634.1</v>
      </c>
      <c r="I43" s="18">
        <f>583.7+28.8-1.2</f>
        <v>611.29999999999995</v>
      </c>
      <c r="J43" s="18">
        <v>611.29999999999995</v>
      </c>
      <c r="K43" s="18"/>
      <c r="L43" s="14">
        <f t="shared" si="4"/>
        <v>0</v>
      </c>
      <c r="M43" s="14">
        <v>-10</v>
      </c>
      <c r="N43" s="14">
        <v>-10</v>
      </c>
      <c r="O43" s="14">
        <v>10</v>
      </c>
      <c r="P43" s="19"/>
      <c r="Q43" s="14"/>
      <c r="R43" s="14"/>
      <c r="S43" s="14"/>
    </row>
    <row r="44" spans="1:19" ht="12.6" customHeight="1" x14ac:dyDescent="0.25">
      <c r="A44" s="284"/>
      <c r="B44" s="286"/>
      <c r="C44" s="20" t="s">
        <v>668</v>
      </c>
      <c r="D44" s="286"/>
      <c r="E44" s="18">
        <f t="shared" si="1"/>
        <v>1.5</v>
      </c>
      <c r="F44" s="166">
        <f t="shared" si="2"/>
        <v>1.5</v>
      </c>
      <c r="G44" s="18">
        <v>1.5</v>
      </c>
      <c r="H44" s="18">
        <v>1.5</v>
      </c>
      <c r="I44" s="18"/>
      <c r="J44" s="18"/>
      <c r="K44" s="18"/>
      <c r="L44" s="14"/>
      <c r="M44" s="14"/>
      <c r="N44" s="14"/>
      <c r="O44" s="14"/>
      <c r="P44" s="19"/>
      <c r="Q44" s="14"/>
      <c r="R44" s="14"/>
      <c r="S44" s="14"/>
    </row>
    <row r="45" spans="1:19" ht="12.6" customHeight="1" x14ac:dyDescent="0.25">
      <c r="A45" s="283">
        <v>22</v>
      </c>
      <c r="B45" s="285"/>
      <c r="C45" s="103" t="s">
        <v>470</v>
      </c>
      <c r="D45" s="285" t="s">
        <v>37</v>
      </c>
      <c r="E45" s="18">
        <f t="shared" si="1"/>
        <v>295.3</v>
      </c>
      <c r="F45" s="166">
        <f t="shared" si="2"/>
        <v>295.2</v>
      </c>
      <c r="G45" s="18">
        <f>279.7+14.8+G46-3.4</f>
        <v>291.90000000000003</v>
      </c>
      <c r="H45" s="18">
        <v>291.8</v>
      </c>
      <c r="I45" s="18">
        <f>272.2+14.5+I46-3.5</f>
        <v>283.2</v>
      </c>
      <c r="J45" s="18">
        <v>283.2</v>
      </c>
      <c r="K45" s="18">
        <f>+K46+3.4</f>
        <v>3.4</v>
      </c>
      <c r="L45" s="14">
        <f t="shared" si="4"/>
        <v>0</v>
      </c>
      <c r="M45" s="14"/>
      <c r="N45" s="14">
        <v>-0.5</v>
      </c>
      <c r="O45" s="14"/>
      <c r="P45" s="165">
        <v>3.4</v>
      </c>
      <c r="Q45" s="14"/>
      <c r="R45" s="14"/>
      <c r="S45" s="14"/>
    </row>
    <row r="46" spans="1:19" ht="12.6" customHeight="1" x14ac:dyDescent="0.25">
      <c r="A46" s="284"/>
      <c r="B46" s="286"/>
      <c r="C46" s="20" t="s">
        <v>668</v>
      </c>
      <c r="D46" s="286"/>
      <c r="E46" s="18">
        <f t="shared" si="1"/>
        <v>0.8</v>
      </c>
      <c r="F46" s="166">
        <f t="shared" si="2"/>
        <v>0.8</v>
      </c>
      <c r="G46" s="18">
        <v>0.8</v>
      </c>
      <c r="H46" s="18">
        <v>0.8</v>
      </c>
      <c r="I46" s="18"/>
      <c r="J46" s="18"/>
      <c r="K46" s="18"/>
      <c r="L46" s="14"/>
      <c r="M46" s="14"/>
      <c r="N46" s="14"/>
      <c r="O46" s="14"/>
      <c r="P46" s="19"/>
      <c r="Q46" s="14"/>
      <c r="R46" s="14"/>
      <c r="S46" s="14"/>
    </row>
    <row r="47" spans="1:19" ht="27" customHeight="1" x14ac:dyDescent="0.25">
      <c r="A47" s="283">
        <v>23</v>
      </c>
      <c r="B47" s="338"/>
      <c r="C47" s="103" t="s">
        <v>43</v>
      </c>
      <c r="D47" s="285" t="s">
        <v>37</v>
      </c>
      <c r="E47" s="18">
        <f t="shared" si="1"/>
        <v>305.40000000000003</v>
      </c>
      <c r="F47" s="166">
        <f t="shared" si="2"/>
        <v>305.3</v>
      </c>
      <c r="G47" s="18">
        <f>289.6+14.8+G48</f>
        <v>305.40000000000003</v>
      </c>
      <c r="H47" s="18">
        <v>305.3</v>
      </c>
      <c r="I47" s="18">
        <f>281.5+14.6+I48-0.3</f>
        <v>295.8</v>
      </c>
      <c r="J47" s="18">
        <v>295.8</v>
      </c>
      <c r="K47" s="18"/>
      <c r="L47" s="14">
        <f t="shared" si="4"/>
        <v>0</v>
      </c>
      <c r="M47" s="14"/>
      <c r="N47" s="14"/>
      <c r="O47" s="14"/>
      <c r="P47" s="19"/>
      <c r="Q47" s="14"/>
      <c r="R47" s="14"/>
      <c r="S47" s="14"/>
    </row>
    <row r="48" spans="1:19" ht="18" customHeight="1" x14ac:dyDescent="0.25">
      <c r="A48" s="284"/>
      <c r="B48" s="339"/>
      <c r="C48" s="20" t="s">
        <v>668</v>
      </c>
      <c r="D48" s="286"/>
      <c r="E48" s="18">
        <f t="shared" si="1"/>
        <v>1</v>
      </c>
      <c r="F48" s="166">
        <f t="shared" si="2"/>
        <v>1</v>
      </c>
      <c r="G48" s="18">
        <v>1</v>
      </c>
      <c r="H48" s="18">
        <v>1</v>
      </c>
      <c r="I48" s="18"/>
      <c r="J48" s="18"/>
      <c r="K48" s="18"/>
      <c r="L48" s="14"/>
      <c r="M48" s="14"/>
      <c r="N48" s="14"/>
      <c r="O48" s="14"/>
      <c r="P48" s="19"/>
      <c r="Q48" s="14"/>
      <c r="R48" s="14"/>
      <c r="S48" s="14"/>
    </row>
    <row r="49" spans="1:19" ht="14.25" customHeight="1" x14ac:dyDescent="0.25">
      <c r="A49" s="283">
        <v>24</v>
      </c>
      <c r="B49" s="285"/>
      <c r="C49" s="103" t="s">
        <v>44</v>
      </c>
      <c r="D49" s="285" t="s">
        <v>37</v>
      </c>
      <c r="E49" s="18">
        <f t="shared" si="1"/>
        <v>251.79999999999998</v>
      </c>
      <c r="F49" s="166">
        <f t="shared" si="2"/>
        <v>251.8</v>
      </c>
      <c r="G49" s="18">
        <f>247.6+3.5+G50</f>
        <v>251.79999999999998</v>
      </c>
      <c r="H49" s="18">
        <v>251.8</v>
      </c>
      <c r="I49" s="18">
        <f>241+3.6</f>
        <v>244.6</v>
      </c>
      <c r="J49" s="18">
        <v>244.6</v>
      </c>
      <c r="K49" s="18"/>
      <c r="L49" s="14">
        <f t="shared" si="4"/>
        <v>0</v>
      </c>
      <c r="M49" s="14"/>
      <c r="N49" s="14"/>
      <c r="O49" s="14"/>
      <c r="P49" s="19"/>
      <c r="Q49" s="14"/>
      <c r="R49" s="14"/>
      <c r="S49" s="14"/>
    </row>
    <row r="50" spans="1:19" ht="14.25" customHeight="1" x14ac:dyDescent="0.25">
      <c r="A50" s="284"/>
      <c r="B50" s="286"/>
      <c r="C50" s="20" t="s">
        <v>668</v>
      </c>
      <c r="D50" s="286"/>
      <c r="E50" s="18">
        <f t="shared" si="1"/>
        <v>0.7</v>
      </c>
      <c r="F50" s="166">
        <f t="shared" si="2"/>
        <v>0.7</v>
      </c>
      <c r="G50" s="18">
        <v>0.7</v>
      </c>
      <c r="H50" s="18">
        <v>0.7</v>
      </c>
      <c r="I50" s="18"/>
      <c r="J50" s="18"/>
      <c r="K50" s="18"/>
      <c r="L50" s="14"/>
      <c r="M50" s="14"/>
      <c r="N50" s="14"/>
      <c r="O50" s="14"/>
      <c r="P50" s="19"/>
      <c r="Q50" s="14"/>
      <c r="R50" s="14"/>
      <c r="S50" s="14"/>
    </row>
    <row r="51" spans="1:19" ht="18.75" customHeight="1" x14ac:dyDescent="0.25">
      <c r="A51" s="332">
        <v>25</v>
      </c>
      <c r="B51" s="334"/>
      <c r="C51" s="189" t="s">
        <v>45</v>
      </c>
      <c r="D51" s="336" t="s">
        <v>669</v>
      </c>
      <c r="E51" s="24">
        <f>+G51+K51</f>
        <v>324.79999999999995</v>
      </c>
      <c r="F51" s="166">
        <f t="shared" si="2"/>
        <v>324.8</v>
      </c>
      <c r="G51" s="24">
        <f>337.9-14.8+G52</f>
        <v>324.79999999999995</v>
      </c>
      <c r="H51" s="24">
        <v>324.8</v>
      </c>
      <c r="I51" s="24">
        <f>326-14.2+I52-3.4+0.2+3.5</f>
        <v>312.10000000000002</v>
      </c>
      <c r="J51" s="24">
        <v>312.10000000000002</v>
      </c>
      <c r="K51" s="24"/>
      <c r="L51" s="14">
        <f t="shared" si="4"/>
        <v>0</v>
      </c>
      <c r="M51" s="14"/>
      <c r="N51" s="14"/>
      <c r="O51" s="14"/>
      <c r="P51" s="19"/>
      <c r="Q51" s="14"/>
      <c r="R51" s="14"/>
      <c r="S51" s="14"/>
    </row>
    <row r="52" spans="1:19" ht="18.75" customHeight="1" x14ac:dyDescent="0.25">
      <c r="A52" s="333"/>
      <c r="B52" s="335"/>
      <c r="C52" s="23" t="s">
        <v>668</v>
      </c>
      <c r="D52" s="337"/>
      <c r="E52" s="24">
        <f>+G52+K52</f>
        <v>1.7</v>
      </c>
      <c r="F52" s="166">
        <f t="shared" si="2"/>
        <v>1.7</v>
      </c>
      <c r="G52" s="24">
        <v>1.7</v>
      </c>
      <c r="H52" s="24">
        <v>1.7</v>
      </c>
      <c r="I52" s="24"/>
      <c r="J52" s="24"/>
      <c r="K52" s="24"/>
      <c r="L52" s="14"/>
      <c r="M52" s="14"/>
      <c r="N52" s="14"/>
      <c r="O52" s="14"/>
      <c r="P52" s="19"/>
      <c r="Q52" s="14"/>
      <c r="R52" s="14"/>
      <c r="S52" s="14"/>
    </row>
    <row r="53" spans="1:19" ht="14.25" customHeight="1" x14ac:dyDescent="0.25">
      <c r="A53" s="283">
        <v>26</v>
      </c>
      <c r="B53" s="285"/>
      <c r="C53" s="101" t="s">
        <v>47</v>
      </c>
      <c r="D53" s="285" t="s">
        <v>37</v>
      </c>
      <c r="E53" s="18">
        <f>+G53+K53</f>
        <v>542.19999999999993</v>
      </c>
      <c r="F53" s="166">
        <f t="shared" si="2"/>
        <v>542.20000000000005</v>
      </c>
      <c r="G53" s="18">
        <f>532.8+8.5+G54</f>
        <v>542.19999999999993</v>
      </c>
      <c r="H53" s="18">
        <v>542.20000000000005</v>
      </c>
      <c r="I53" s="18">
        <f>521.6+8.4+I54-12</f>
        <v>518</v>
      </c>
      <c r="J53" s="18">
        <v>518</v>
      </c>
      <c r="K53" s="18"/>
      <c r="L53" s="14">
        <f t="shared" si="4"/>
        <v>0</v>
      </c>
      <c r="M53" s="14"/>
      <c r="N53" s="14">
        <v>-20</v>
      </c>
      <c r="O53" s="14"/>
      <c r="P53" s="19"/>
      <c r="Q53" s="14"/>
      <c r="R53" s="14"/>
      <c r="S53" s="14"/>
    </row>
    <row r="54" spans="1:19" ht="14.25" customHeight="1" x14ac:dyDescent="0.25">
      <c r="A54" s="284"/>
      <c r="B54" s="286"/>
      <c r="C54" s="20" t="s">
        <v>668</v>
      </c>
      <c r="D54" s="286"/>
      <c r="E54" s="18">
        <f>+G54+K54</f>
        <v>0.9</v>
      </c>
      <c r="F54" s="166">
        <f t="shared" si="2"/>
        <v>0.9</v>
      </c>
      <c r="G54" s="18">
        <v>0.9</v>
      </c>
      <c r="H54" s="18">
        <v>0.9</v>
      </c>
      <c r="I54" s="18"/>
      <c r="J54" s="18"/>
      <c r="K54" s="18"/>
      <c r="L54" s="14"/>
      <c r="M54" s="14"/>
      <c r="N54" s="14"/>
      <c r="O54" s="14"/>
      <c r="P54" s="19"/>
      <c r="Q54" s="14"/>
      <c r="R54" s="14"/>
      <c r="S54" s="14"/>
    </row>
    <row r="55" spans="1:19" ht="12.6" customHeight="1" x14ac:dyDescent="0.25">
      <c r="A55" s="11">
        <v>27</v>
      </c>
      <c r="B55" s="232"/>
      <c r="C55" s="101" t="s">
        <v>48</v>
      </c>
      <c r="D55" s="232" t="s">
        <v>49</v>
      </c>
      <c r="E55" s="18">
        <f t="shared" si="1"/>
        <v>22.9</v>
      </c>
      <c r="F55" s="166">
        <f t="shared" si="2"/>
        <v>22.9</v>
      </c>
      <c r="G55" s="18">
        <v>22.9</v>
      </c>
      <c r="H55" s="18">
        <v>22.9</v>
      </c>
      <c r="I55" s="18">
        <v>22.6</v>
      </c>
      <c r="J55" s="18">
        <v>22.6</v>
      </c>
      <c r="K55" s="18"/>
      <c r="L55" s="14">
        <f t="shared" si="4"/>
        <v>0</v>
      </c>
      <c r="M55" s="14"/>
      <c r="N55" s="14"/>
      <c r="O55" s="14"/>
      <c r="P55" s="19"/>
      <c r="Q55" s="14"/>
      <c r="R55" s="14"/>
      <c r="S55" s="14"/>
    </row>
    <row r="56" spans="1:19" ht="12.6" customHeight="1" x14ac:dyDescent="0.25">
      <c r="A56" s="11">
        <v>28</v>
      </c>
      <c r="B56" s="232"/>
      <c r="C56" s="101" t="s">
        <v>52</v>
      </c>
      <c r="D56" s="232" t="s">
        <v>49</v>
      </c>
      <c r="E56" s="18">
        <f t="shared" si="1"/>
        <v>29.1</v>
      </c>
      <c r="F56" s="166">
        <f t="shared" si="2"/>
        <v>29.1</v>
      </c>
      <c r="G56" s="18">
        <f>29.5-0.4</f>
        <v>29.1</v>
      </c>
      <c r="H56" s="18">
        <v>29.1</v>
      </c>
      <c r="I56" s="18">
        <f>29.1-0.4</f>
        <v>28.700000000000003</v>
      </c>
      <c r="J56" s="18">
        <v>28.7</v>
      </c>
      <c r="K56" s="18"/>
      <c r="L56" s="14">
        <f t="shared" si="4"/>
        <v>0</v>
      </c>
      <c r="M56" s="14"/>
      <c r="N56" s="14"/>
      <c r="O56" s="14"/>
      <c r="P56" s="19"/>
      <c r="Q56" s="14"/>
      <c r="R56" s="14"/>
      <c r="S56" s="14"/>
    </row>
    <row r="57" spans="1:19" ht="12.6" customHeight="1" x14ac:dyDescent="0.25">
      <c r="A57" s="11">
        <v>29</v>
      </c>
      <c r="B57" s="232"/>
      <c r="C57" s="101" t="s">
        <v>53</v>
      </c>
      <c r="D57" s="232" t="s">
        <v>49</v>
      </c>
      <c r="E57" s="18">
        <f t="shared" si="1"/>
        <v>44.1</v>
      </c>
      <c r="F57" s="166">
        <f t="shared" si="2"/>
        <v>44.1</v>
      </c>
      <c r="G57" s="18">
        <f>44+0.1</f>
        <v>44.1</v>
      </c>
      <c r="H57" s="18">
        <v>44.1</v>
      </c>
      <c r="I57" s="18">
        <f>43.4+0.1</f>
        <v>43.5</v>
      </c>
      <c r="J57" s="18">
        <v>43.5</v>
      </c>
      <c r="K57" s="18"/>
      <c r="L57" s="14">
        <f t="shared" si="4"/>
        <v>0</v>
      </c>
      <c r="M57" s="14"/>
      <c r="N57" s="14"/>
      <c r="O57" s="14"/>
      <c r="P57" s="19"/>
      <c r="Q57" s="14"/>
      <c r="R57" s="14"/>
      <c r="S57" s="14"/>
    </row>
    <row r="58" spans="1:19" ht="12.6" customHeight="1" x14ac:dyDescent="0.25">
      <c r="A58" s="21">
        <v>30</v>
      </c>
      <c r="B58" s="22"/>
      <c r="C58" s="185" t="s">
        <v>670</v>
      </c>
      <c r="D58" s="22" t="s">
        <v>472</v>
      </c>
      <c r="E58" s="24">
        <f>+G58+K58</f>
        <v>221.10000000000002</v>
      </c>
      <c r="F58" s="166">
        <f t="shared" si="2"/>
        <v>221.10000000000002</v>
      </c>
      <c r="G58" s="24">
        <f>+G59+G60+G61+G62</f>
        <v>221.10000000000002</v>
      </c>
      <c r="H58" s="24">
        <f>+H59+H60+H61+H62</f>
        <v>221.10000000000002</v>
      </c>
      <c r="I58" s="24">
        <f>+I59+I60+I61+I62</f>
        <v>206.5</v>
      </c>
      <c r="J58" s="24">
        <f>+J59+J60+J61+J62</f>
        <v>206.4</v>
      </c>
      <c r="K58" s="24"/>
      <c r="L58" s="14">
        <f t="shared" si="4"/>
        <v>0</v>
      </c>
      <c r="M58" s="14"/>
      <c r="N58" s="14"/>
      <c r="O58" s="14"/>
      <c r="P58" s="19"/>
      <c r="Q58" s="14"/>
      <c r="R58" s="14"/>
      <c r="S58" s="14"/>
    </row>
    <row r="59" spans="1:19" ht="24.9" customHeight="1" x14ac:dyDescent="0.25">
      <c r="A59" s="191" t="s">
        <v>671</v>
      </c>
      <c r="B59" s="192"/>
      <c r="C59" s="193" t="s">
        <v>672</v>
      </c>
      <c r="D59" s="22"/>
      <c r="E59" s="24">
        <f t="shared" si="1"/>
        <v>120.19999999999999</v>
      </c>
      <c r="F59" s="166">
        <f t="shared" si="2"/>
        <v>120.19999999999999</v>
      </c>
      <c r="G59" s="24">
        <f>120.6-0.4</f>
        <v>120.19999999999999</v>
      </c>
      <c r="H59" s="24">
        <f>120.6-0.4</f>
        <v>120.19999999999999</v>
      </c>
      <c r="I59" s="24">
        <f>118.9-0.4-9.6</f>
        <v>108.9</v>
      </c>
      <c r="J59" s="24">
        <f>118.9-0.4-9.6</f>
        <v>108.9</v>
      </c>
      <c r="K59" s="24"/>
      <c r="L59" s="14">
        <f t="shared" si="4"/>
        <v>0</v>
      </c>
      <c r="M59" s="14"/>
      <c r="N59" s="14">
        <v>-0.1</v>
      </c>
      <c r="O59" s="14"/>
      <c r="P59" s="19"/>
      <c r="Q59" s="14"/>
      <c r="R59" s="14"/>
      <c r="S59" s="14"/>
    </row>
    <row r="60" spans="1:19" ht="26.4" x14ac:dyDescent="0.25">
      <c r="A60" s="194" t="s">
        <v>673</v>
      </c>
      <c r="B60" s="195"/>
      <c r="C60" s="196" t="s">
        <v>674</v>
      </c>
      <c r="D60" s="232"/>
      <c r="E60" s="18">
        <f t="shared" si="1"/>
        <v>9.4</v>
      </c>
      <c r="F60" s="166">
        <f t="shared" si="2"/>
        <v>9.4</v>
      </c>
      <c r="G60" s="18">
        <f>9.3+0.1</f>
        <v>9.4</v>
      </c>
      <c r="H60" s="18">
        <v>9.4</v>
      </c>
      <c r="I60" s="18">
        <f>9.2+0.1</f>
        <v>9.2999999999999989</v>
      </c>
      <c r="J60" s="18">
        <f>9.3-0.1</f>
        <v>9.2000000000000011</v>
      </c>
      <c r="K60" s="18"/>
      <c r="L60" s="14">
        <f t="shared" si="4"/>
        <v>0</v>
      </c>
      <c r="M60" s="14"/>
      <c r="N60" s="14"/>
      <c r="O60" s="14"/>
      <c r="P60" s="19"/>
      <c r="Q60" s="14"/>
      <c r="R60" s="14"/>
      <c r="S60" s="14"/>
    </row>
    <row r="61" spans="1:19" x14ac:dyDescent="0.25">
      <c r="A61" s="194" t="s">
        <v>675</v>
      </c>
      <c r="B61" s="195"/>
      <c r="C61" s="196" t="s">
        <v>676</v>
      </c>
      <c r="D61" s="232"/>
      <c r="E61" s="18">
        <f t="shared" si="1"/>
        <v>63.7</v>
      </c>
      <c r="F61" s="166">
        <f t="shared" si="2"/>
        <v>63.7</v>
      </c>
      <c r="G61" s="18">
        <f>54.2+9.5</f>
        <v>63.7</v>
      </c>
      <c r="H61" s="18">
        <v>63.7</v>
      </c>
      <c r="I61" s="18">
        <f>52.1+9.2</f>
        <v>61.3</v>
      </c>
      <c r="J61" s="18">
        <v>61.3</v>
      </c>
      <c r="K61" s="18"/>
      <c r="L61" s="14">
        <f t="shared" si="4"/>
        <v>0</v>
      </c>
      <c r="M61" s="14"/>
      <c r="N61" s="14"/>
      <c r="O61" s="14"/>
      <c r="P61" s="19"/>
      <c r="Q61" s="14"/>
      <c r="R61" s="14"/>
      <c r="S61" s="14"/>
    </row>
    <row r="62" spans="1:19" x14ac:dyDescent="0.25">
      <c r="A62" s="328" t="s">
        <v>677</v>
      </c>
      <c r="B62" s="330"/>
      <c r="C62" s="196" t="s">
        <v>678</v>
      </c>
      <c r="D62" s="232"/>
      <c r="E62" s="18">
        <f t="shared" si="1"/>
        <v>27.8</v>
      </c>
      <c r="F62" s="166">
        <f t="shared" si="2"/>
        <v>27.8</v>
      </c>
      <c r="G62" s="18">
        <f>18.9+8.8+G63</f>
        <v>27.8</v>
      </c>
      <c r="H62" s="18">
        <v>27.8</v>
      </c>
      <c r="I62" s="18">
        <f>18.4+8.6</f>
        <v>27</v>
      </c>
      <c r="J62" s="18">
        <v>27</v>
      </c>
      <c r="K62" s="18"/>
      <c r="L62" s="14">
        <f t="shared" si="4"/>
        <v>0</v>
      </c>
      <c r="M62" s="14"/>
      <c r="N62" s="14"/>
      <c r="O62" s="14"/>
      <c r="P62" s="19"/>
      <c r="Q62" s="14"/>
      <c r="R62" s="14"/>
      <c r="S62" s="14"/>
    </row>
    <row r="63" spans="1:19" x14ac:dyDescent="0.25">
      <c r="A63" s="329"/>
      <c r="B63" s="331"/>
      <c r="C63" s="20" t="s">
        <v>668</v>
      </c>
      <c r="D63" s="232"/>
      <c r="E63" s="18">
        <f t="shared" si="1"/>
        <v>0.1</v>
      </c>
      <c r="F63" s="166">
        <f t="shared" si="2"/>
        <v>0.1</v>
      </c>
      <c r="G63" s="18">
        <v>0.1</v>
      </c>
      <c r="H63" s="18">
        <v>0.1</v>
      </c>
      <c r="I63" s="18"/>
      <c r="J63" s="18"/>
      <c r="K63" s="18"/>
      <c r="L63" s="14"/>
      <c r="M63" s="14"/>
      <c r="N63" s="14"/>
      <c r="O63" s="14"/>
      <c r="P63" s="19"/>
      <c r="Q63" s="14"/>
      <c r="R63" s="14"/>
      <c r="S63" s="14"/>
    </row>
    <row r="64" spans="1:19" ht="12.6" customHeight="1" x14ac:dyDescent="0.25">
      <c r="A64" s="11">
        <v>31</v>
      </c>
      <c r="B64" s="232"/>
      <c r="C64" s="197" t="s">
        <v>56</v>
      </c>
      <c r="D64" s="232" t="s">
        <v>20</v>
      </c>
      <c r="E64" s="18">
        <f>+G64+K64</f>
        <v>82.7</v>
      </c>
      <c r="F64" s="166">
        <f t="shared" si="2"/>
        <v>82.600000000000009</v>
      </c>
      <c r="G64" s="18">
        <f>75.4+7.3</f>
        <v>82.7</v>
      </c>
      <c r="H64" s="18">
        <f>82.7-0.1</f>
        <v>82.600000000000009</v>
      </c>
      <c r="I64" s="18">
        <f>72.1+7.2</f>
        <v>79.3</v>
      </c>
      <c r="J64" s="18">
        <v>79.3</v>
      </c>
      <c r="K64" s="18"/>
      <c r="L64" s="14">
        <f t="shared" si="4"/>
        <v>0</v>
      </c>
      <c r="M64" s="14"/>
      <c r="N64" s="14"/>
      <c r="O64" s="14"/>
      <c r="P64" s="19"/>
      <c r="Q64" s="14"/>
      <c r="R64" s="14"/>
      <c r="S64" s="14"/>
    </row>
    <row r="65" spans="1:19" ht="12.6" customHeight="1" x14ac:dyDescent="0.25">
      <c r="A65" s="11">
        <v>32</v>
      </c>
      <c r="B65" s="232"/>
      <c r="C65" s="197" t="s">
        <v>679</v>
      </c>
      <c r="D65" s="232" t="s">
        <v>20</v>
      </c>
      <c r="E65" s="18">
        <f t="shared" si="1"/>
        <v>62.9</v>
      </c>
      <c r="F65" s="166">
        <f t="shared" si="2"/>
        <v>62.8</v>
      </c>
      <c r="G65" s="18">
        <f>57.5+5.4-2.8</f>
        <v>60.1</v>
      </c>
      <c r="H65" s="18">
        <v>60</v>
      </c>
      <c r="I65" s="18">
        <f>55+5.3-4.5</f>
        <v>55.8</v>
      </c>
      <c r="J65" s="18">
        <v>55.8</v>
      </c>
      <c r="K65" s="18">
        <v>2.8</v>
      </c>
      <c r="L65" s="14">
        <f t="shared" si="4"/>
        <v>0</v>
      </c>
      <c r="M65" s="14"/>
      <c r="N65" s="14"/>
      <c r="O65" s="14"/>
      <c r="P65" s="184">
        <v>2.8</v>
      </c>
      <c r="Q65" s="14"/>
      <c r="R65" s="14"/>
      <c r="S65" s="14"/>
    </row>
    <row r="66" spans="1:19" ht="12.75" customHeight="1" x14ac:dyDescent="0.25">
      <c r="A66" s="11">
        <v>33</v>
      </c>
      <c r="B66" s="231"/>
      <c r="C66" s="130" t="s">
        <v>463</v>
      </c>
      <c r="D66" s="232"/>
      <c r="E66" s="43">
        <f>+G66+K66</f>
        <v>13053.1</v>
      </c>
      <c r="F66" s="13">
        <f t="shared" si="2"/>
        <v>13052.699999999999</v>
      </c>
      <c r="G66" s="43">
        <f t="shared" ref="G66:P66" si="8">+G12</f>
        <v>13026.2</v>
      </c>
      <c r="H66" s="43">
        <f t="shared" si="8"/>
        <v>13025.8</v>
      </c>
      <c r="I66" s="43">
        <f t="shared" si="8"/>
        <v>12420.299999999997</v>
      </c>
      <c r="J66" s="43">
        <f t="shared" si="8"/>
        <v>12420.199999999997</v>
      </c>
      <c r="K66" s="43">
        <f t="shared" si="8"/>
        <v>26.9</v>
      </c>
      <c r="L66" s="43">
        <f t="shared" si="8"/>
        <v>3.8</v>
      </c>
      <c r="M66" s="43">
        <f t="shared" si="8"/>
        <v>-17.899999999999999</v>
      </c>
      <c r="N66" s="43">
        <f t="shared" si="8"/>
        <v>-19.399999999999999</v>
      </c>
      <c r="O66" s="43">
        <f t="shared" si="8"/>
        <v>25.5</v>
      </c>
      <c r="P66" s="43">
        <f t="shared" si="8"/>
        <v>26.9</v>
      </c>
      <c r="Q66" s="14"/>
      <c r="R66" s="14"/>
      <c r="S66" s="14"/>
    </row>
    <row r="67" spans="1:19" x14ac:dyDescent="0.25">
      <c r="C67" s="176" t="s">
        <v>680</v>
      </c>
      <c r="D67" s="3"/>
      <c r="E67" s="110"/>
      <c r="F67" s="110"/>
      <c r="G67" s="110"/>
      <c r="H67" s="110"/>
      <c r="I67" s="110"/>
      <c r="J67" s="110"/>
      <c r="K67" s="110"/>
    </row>
    <row r="68" spans="1:19" x14ac:dyDescent="0.25">
      <c r="E68" s="88"/>
      <c r="F68" s="88"/>
      <c r="G68" s="110"/>
      <c r="H68" s="110"/>
      <c r="I68" s="110"/>
      <c r="J68" s="110"/>
      <c r="K68" s="110"/>
    </row>
    <row r="69" spans="1:19" hidden="1" x14ac:dyDescent="0.25">
      <c r="E69" s="88"/>
      <c r="F69" s="88"/>
      <c r="G69" s="88"/>
      <c r="H69" s="88"/>
      <c r="I69" s="88"/>
      <c r="J69" s="88"/>
      <c r="K69" s="88"/>
    </row>
    <row r="70" spans="1:19" hidden="1" x14ac:dyDescent="0.25">
      <c r="E70" s="88"/>
      <c r="F70" s="88"/>
      <c r="G70" s="88"/>
      <c r="H70" s="88"/>
      <c r="I70" s="88"/>
      <c r="J70" s="88"/>
      <c r="K70" s="88"/>
    </row>
    <row r="71" spans="1:19" x14ac:dyDescent="0.25">
      <c r="E71" s="88"/>
      <c r="F71" s="88"/>
      <c r="G71" s="88"/>
      <c r="H71" s="88"/>
      <c r="I71" s="88"/>
      <c r="J71" s="88"/>
      <c r="K71" s="88"/>
    </row>
    <row r="72" spans="1:19" x14ac:dyDescent="0.25"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</row>
    <row r="73" spans="1:19" x14ac:dyDescent="0.25">
      <c r="C73" s="4"/>
      <c r="E73" s="110"/>
      <c r="F73" s="110"/>
      <c r="G73" s="110"/>
      <c r="H73" s="110"/>
      <c r="I73" s="110"/>
      <c r="J73" s="110"/>
      <c r="K73" s="110"/>
    </row>
    <row r="74" spans="1:19" x14ac:dyDescent="0.25">
      <c r="E74" s="110"/>
      <c r="F74" s="110"/>
      <c r="G74" s="4"/>
      <c r="H74" s="4"/>
      <c r="I74" s="4"/>
      <c r="J74" s="4"/>
      <c r="K74" s="4"/>
    </row>
    <row r="75" spans="1:19" x14ac:dyDescent="0.25">
      <c r="E75" s="110"/>
      <c r="F75" s="110"/>
      <c r="G75" s="88"/>
      <c r="H75" s="88"/>
      <c r="I75" s="88"/>
      <c r="J75" s="88"/>
      <c r="K75" s="88"/>
    </row>
    <row r="76" spans="1:19" x14ac:dyDescent="0.25">
      <c r="E76" s="88"/>
      <c r="F76" s="88"/>
      <c r="G76" s="88"/>
      <c r="H76" s="88"/>
      <c r="I76" s="88"/>
      <c r="J76" s="88"/>
      <c r="K76" s="88"/>
    </row>
    <row r="77" spans="1:19" x14ac:dyDescent="0.25">
      <c r="E77" s="4"/>
      <c r="F77" s="4"/>
      <c r="G77" s="4"/>
      <c r="H77" s="4"/>
      <c r="I77" s="4"/>
      <c r="J77" s="4"/>
      <c r="K77" s="4"/>
    </row>
    <row r="78" spans="1:19" x14ac:dyDescent="0.25">
      <c r="E78" s="88"/>
      <c r="F78" s="88"/>
      <c r="G78" s="88"/>
      <c r="H78" s="88"/>
      <c r="I78" s="88"/>
      <c r="J78" s="88"/>
      <c r="K78" s="88"/>
    </row>
    <row r="79" spans="1:19" x14ac:dyDescent="0.25">
      <c r="E79" s="4"/>
      <c r="F79" s="4"/>
      <c r="G79" s="4"/>
      <c r="H79" s="4"/>
      <c r="I79" s="4"/>
      <c r="J79" s="4"/>
      <c r="K79" s="4"/>
    </row>
    <row r="80" spans="1:19" x14ac:dyDescent="0.25">
      <c r="E80" s="4"/>
      <c r="F80" s="4"/>
      <c r="G80" s="4"/>
      <c r="H80" s="4"/>
      <c r="I80" s="4"/>
      <c r="J80" s="4"/>
      <c r="K80" s="4"/>
    </row>
  </sheetData>
  <mergeCells count="72">
    <mergeCell ref="F9:F10"/>
    <mergeCell ref="C1:P1"/>
    <mergeCell ref="C2:P2"/>
    <mergeCell ref="E3:P3"/>
    <mergeCell ref="A5:K5"/>
    <mergeCell ref="K6:P6"/>
    <mergeCell ref="G9:H9"/>
    <mergeCell ref="I9:J9"/>
    <mergeCell ref="K9:K10"/>
    <mergeCell ref="P9:P10"/>
    <mergeCell ref="E7:F8"/>
    <mergeCell ref="G7:P7"/>
    <mergeCell ref="G8:J8"/>
    <mergeCell ref="K8:P8"/>
    <mergeCell ref="E9:E10"/>
    <mergeCell ref="A21:A22"/>
    <mergeCell ref="B21:B22"/>
    <mergeCell ref="D21:D22"/>
    <mergeCell ref="A7:A10"/>
    <mergeCell ref="B7:B10"/>
    <mergeCell ref="C7:C10"/>
    <mergeCell ref="D7:D10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  <mergeCell ref="A33:A34"/>
    <mergeCell ref="B33:B34"/>
    <mergeCell ref="D33:D34"/>
    <mergeCell ref="A35:A36"/>
    <mergeCell ref="B35:B36"/>
    <mergeCell ref="D35:D36"/>
    <mergeCell ref="A37:A38"/>
    <mergeCell ref="B37:B38"/>
    <mergeCell ref="D37:D38"/>
    <mergeCell ref="A39:A40"/>
    <mergeCell ref="B39:B40"/>
    <mergeCell ref="D39:D40"/>
    <mergeCell ref="A41:A42"/>
    <mergeCell ref="B41:B42"/>
    <mergeCell ref="D41:D42"/>
    <mergeCell ref="A43:A44"/>
    <mergeCell ref="B43:B44"/>
    <mergeCell ref="D43:D44"/>
    <mergeCell ref="A45:A46"/>
    <mergeCell ref="B45:B46"/>
    <mergeCell ref="D45:D46"/>
    <mergeCell ref="A47:A48"/>
    <mergeCell ref="B47:B48"/>
    <mergeCell ref="D47:D48"/>
    <mergeCell ref="A49:A50"/>
    <mergeCell ref="B49:B50"/>
    <mergeCell ref="D49:D50"/>
    <mergeCell ref="A62:A63"/>
    <mergeCell ref="B62:B63"/>
    <mergeCell ref="A51:A52"/>
    <mergeCell ref="B51:B52"/>
    <mergeCell ref="D51:D52"/>
    <mergeCell ref="A53:A54"/>
    <mergeCell ref="B53:B54"/>
    <mergeCell ref="D53:D54"/>
  </mergeCells>
  <pageMargins left="0.31496062992125984" right="0" top="0.59055118110236227" bottom="0.15748031496062992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7"/>
  <sheetViews>
    <sheetView workbookViewId="0">
      <selection activeCell="S21" sqref="S21"/>
    </sheetView>
  </sheetViews>
  <sheetFormatPr defaultColWidth="9.109375" defaultRowHeight="13.2" x14ac:dyDescent="0.25"/>
  <cols>
    <col min="1" max="1" width="4.6640625" style="4" customWidth="1"/>
    <col min="2" max="2" width="5.88671875" style="3" customWidth="1"/>
    <col min="3" max="3" width="42.88671875" style="176" customWidth="1"/>
    <col min="4" max="4" width="9.5546875" style="1" customWidth="1"/>
    <col min="5" max="5" width="8.6640625" style="132" customWidth="1"/>
    <col min="6" max="6" width="8.33203125" style="132" customWidth="1"/>
    <col min="7" max="7" width="7.33203125" style="132" customWidth="1"/>
    <col min="8" max="9" width="8.33203125" style="132" customWidth="1"/>
    <col min="10" max="10" width="9" style="132" customWidth="1"/>
    <col min="11" max="11" width="7.6640625" style="132" customWidth="1"/>
    <col min="12" max="15" width="0" style="2" hidden="1" customWidth="1"/>
    <col min="16" max="16" width="9.6640625" style="2" customWidth="1"/>
    <col min="17" max="259" width="9.109375" style="2"/>
    <col min="260" max="260" width="4.6640625" style="2" customWidth="1"/>
    <col min="261" max="261" width="5.6640625" style="2" customWidth="1"/>
    <col min="262" max="262" width="39.44140625" style="2" customWidth="1"/>
    <col min="263" max="263" width="10.5546875" style="2" customWidth="1"/>
    <col min="264" max="265" width="9.44140625" style="2" customWidth="1"/>
    <col min="266" max="266" width="9" style="2" customWidth="1"/>
    <col min="267" max="267" width="6.88671875" style="2" customWidth="1"/>
    <col min="268" max="271" width="0" style="2" hidden="1" customWidth="1"/>
    <col min="272" max="515" width="9.109375" style="2"/>
    <col min="516" max="516" width="4.6640625" style="2" customWidth="1"/>
    <col min="517" max="517" width="5.6640625" style="2" customWidth="1"/>
    <col min="518" max="518" width="39.44140625" style="2" customWidth="1"/>
    <col min="519" max="519" width="10.5546875" style="2" customWidth="1"/>
    <col min="520" max="521" width="9.44140625" style="2" customWidth="1"/>
    <col min="522" max="522" width="9" style="2" customWidth="1"/>
    <col min="523" max="523" width="6.88671875" style="2" customWidth="1"/>
    <col min="524" max="527" width="0" style="2" hidden="1" customWidth="1"/>
    <col min="528" max="771" width="9.109375" style="2"/>
    <col min="772" max="772" width="4.6640625" style="2" customWidth="1"/>
    <col min="773" max="773" width="5.6640625" style="2" customWidth="1"/>
    <col min="774" max="774" width="39.44140625" style="2" customWidth="1"/>
    <col min="775" max="775" width="10.5546875" style="2" customWidth="1"/>
    <col min="776" max="777" width="9.44140625" style="2" customWidth="1"/>
    <col min="778" max="778" width="9" style="2" customWidth="1"/>
    <col min="779" max="779" width="6.88671875" style="2" customWidth="1"/>
    <col min="780" max="783" width="0" style="2" hidden="1" customWidth="1"/>
    <col min="784" max="1027" width="9.109375" style="2"/>
    <col min="1028" max="1028" width="4.6640625" style="2" customWidth="1"/>
    <col min="1029" max="1029" width="5.6640625" style="2" customWidth="1"/>
    <col min="1030" max="1030" width="39.44140625" style="2" customWidth="1"/>
    <col min="1031" max="1031" width="10.5546875" style="2" customWidth="1"/>
    <col min="1032" max="1033" width="9.44140625" style="2" customWidth="1"/>
    <col min="1034" max="1034" width="9" style="2" customWidth="1"/>
    <col min="1035" max="1035" width="6.88671875" style="2" customWidth="1"/>
    <col min="1036" max="1039" width="0" style="2" hidden="1" customWidth="1"/>
    <col min="1040" max="1283" width="9.109375" style="2"/>
    <col min="1284" max="1284" width="4.6640625" style="2" customWidth="1"/>
    <col min="1285" max="1285" width="5.6640625" style="2" customWidth="1"/>
    <col min="1286" max="1286" width="39.44140625" style="2" customWidth="1"/>
    <col min="1287" max="1287" width="10.5546875" style="2" customWidth="1"/>
    <col min="1288" max="1289" width="9.44140625" style="2" customWidth="1"/>
    <col min="1290" max="1290" width="9" style="2" customWidth="1"/>
    <col min="1291" max="1291" width="6.88671875" style="2" customWidth="1"/>
    <col min="1292" max="1295" width="0" style="2" hidden="1" customWidth="1"/>
    <col min="1296" max="1539" width="9.109375" style="2"/>
    <col min="1540" max="1540" width="4.6640625" style="2" customWidth="1"/>
    <col min="1541" max="1541" width="5.6640625" style="2" customWidth="1"/>
    <col min="1542" max="1542" width="39.44140625" style="2" customWidth="1"/>
    <col min="1543" max="1543" width="10.5546875" style="2" customWidth="1"/>
    <col min="1544" max="1545" width="9.44140625" style="2" customWidth="1"/>
    <col min="1546" max="1546" width="9" style="2" customWidth="1"/>
    <col min="1547" max="1547" width="6.88671875" style="2" customWidth="1"/>
    <col min="1548" max="1551" width="0" style="2" hidden="1" customWidth="1"/>
    <col min="1552" max="1795" width="9.109375" style="2"/>
    <col min="1796" max="1796" width="4.6640625" style="2" customWidth="1"/>
    <col min="1797" max="1797" width="5.6640625" style="2" customWidth="1"/>
    <col min="1798" max="1798" width="39.44140625" style="2" customWidth="1"/>
    <col min="1799" max="1799" width="10.5546875" style="2" customWidth="1"/>
    <col min="1800" max="1801" width="9.44140625" style="2" customWidth="1"/>
    <col min="1802" max="1802" width="9" style="2" customWidth="1"/>
    <col min="1803" max="1803" width="6.88671875" style="2" customWidth="1"/>
    <col min="1804" max="1807" width="0" style="2" hidden="1" customWidth="1"/>
    <col min="1808" max="2051" width="9.109375" style="2"/>
    <col min="2052" max="2052" width="4.6640625" style="2" customWidth="1"/>
    <col min="2053" max="2053" width="5.6640625" style="2" customWidth="1"/>
    <col min="2054" max="2054" width="39.44140625" style="2" customWidth="1"/>
    <col min="2055" max="2055" width="10.5546875" style="2" customWidth="1"/>
    <col min="2056" max="2057" width="9.44140625" style="2" customWidth="1"/>
    <col min="2058" max="2058" width="9" style="2" customWidth="1"/>
    <col min="2059" max="2059" width="6.88671875" style="2" customWidth="1"/>
    <col min="2060" max="2063" width="0" style="2" hidden="1" customWidth="1"/>
    <col min="2064" max="2307" width="9.109375" style="2"/>
    <col min="2308" max="2308" width="4.6640625" style="2" customWidth="1"/>
    <col min="2309" max="2309" width="5.6640625" style="2" customWidth="1"/>
    <col min="2310" max="2310" width="39.44140625" style="2" customWidth="1"/>
    <col min="2311" max="2311" width="10.5546875" style="2" customWidth="1"/>
    <col min="2312" max="2313" width="9.44140625" style="2" customWidth="1"/>
    <col min="2314" max="2314" width="9" style="2" customWidth="1"/>
    <col min="2315" max="2315" width="6.88671875" style="2" customWidth="1"/>
    <col min="2316" max="2319" width="0" style="2" hidden="1" customWidth="1"/>
    <col min="2320" max="2563" width="9.109375" style="2"/>
    <col min="2564" max="2564" width="4.6640625" style="2" customWidth="1"/>
    <col min="2565" max="2565" width="5.6640625" style="2" customWidth="1"/>
    <col min="2566" max="2566" width="39.44140625" style="2" customWidth="1"/>
    <col min="2567" max="2567" width="10.5546875" style="2" customWidth="1"/>
    <col min="2568" max="2569" width="9.44140625" style="2" customWidth="1"/>
    <col min="2570" max="2570" width="9" style="2" customWidth="1"/>
    <col min="2571" max="2571" width="6.88671875" style="2" customWidth="1"/>
    <col min="2572" max="2575" width="0" style="2" hidden="1" customWidth="1"/>
    <col min="2576" max="2819" width="9.109375" style="2"/>
    <col min="2820" max="2820" width="4.6640625" style="2" customWidth="1"/>
    <col min="2821" max="2821" width="5.6640625" style="2" customWidth="1"/>
    <col min="2822" max="2822" width="39.44140625" style="2" customWidth="1"/>
    <col min="2823" max="2823" width="10.5546875" style="2" customWidth="1"/>
    <col min="2824" max="2825" width="9.44140625" style="2" customWidth="1"/>
    <col min="2826" max="2826" width="9" style="2" customWidth="1"/>
    <col min="2827" max="2827" width="6.88671875" style="2" customWidth="1"/>
    <col min="2828" max="2831" width="0" style="2" hidden="1" customWidth="1"/>
    <col min="2832" max="3075" width="9.109375" style="2"/>
    <col min="3076" max="3076" width="4.6640625" style="2" customWidth="1"/>
    <col min="3077" max="3077" width="5.6640625" style="2" customWidth="1"/>
    <col min="3078" max="3078" width="39.44140625" style="2" customWidth="1"/>
    <col min="3079" max="3079" width="10.5546875" style="2" customWidth="1"/>
    <col min="3080" max="3081" width="9.44140625" style="2" customWidth="1"/>
    <col min="3082" max="3082" width="9" style="2" customWidth="1"/>
    <col min="3083" max="3083" width="6.88671875" style="2" customWidth="1"/>
    <col min="3084" max="3087" width="0" style="2" hidden="1" customWidth="1"/>
    <col min="3088" max="3331" width="9.109375" style="2"/>
    <col min="3332" max="3332" width="4.6640625" style="2" customWidth="1"/>
    <col min="3333" max="3333" width="5.6640625" style="2" customWidth="1"/>
    <col min="3334" max="3334" width="39.44140625" style="2" customWidth="1"/>
    <col min="3335" max="3335" width="10.5546875" style="2" customWidth="1"/>
    <col min="3336" max="3337" width="9.44140625" style="2" customWidth="1"/>
    <col min="3338" max="3338" width="9" style="2" customWidth="1"/>
    <col min="3339" max="3339" width="6.88671875" style="2" customWidth="1"/>
    <col min="3340" max="3343" width="0" style="2" hidden="1" customWidth="1"/>
    <col min="3344" max="3587" width="9.109375" style="2"/>
    <col min="3588" max="3588" width="4.6640625" style="2" customWidth="1"/>
    <col min="3589" max="3589" width="5.6640625" style="2" customWidth="1"/>
    <col min="3590" max="3590" width="39.44140625" style="2" customWidth="1"/>
    <col min="3591" max="3591" width="10.5546875" style="2" customWidth="1"/>
    <col min="3592" max="3593" width="9.44140625" style="2" customWidth="1"/>
    <col min="3594" max="3594" width="9" style="2" customWidth="1"/>
    <col min="3595" max="3595" width="6.88671875" style="2" customWidth="1"/>
    <col min="3596" max="3599" width="0" style="2" hidden="1" customWidth="1"/>
    <col min="3600" max="3843" width="9.109375" style="2"/>
    <col min="3844" max="3844" width="4.6640625" style="2" customWidth="1"/>
    <col min="3845" max="3845" width="5.6640625" style="2" customWidth="1"/>
    <col min="3846" max="3846" width="39.44140625" style="2" customWidth="1"/>
    <col min="3847" max="3847" width="10.5546875" style="2" customWidth="1"/>
    <col min="3848" max="3849" width="9.44140625" style="2" customWidth="1"/>
    <col min="3850" max="3850" width="9" style="2" customWidth="1"/>
    <col min="3851" max="3851" width="6.88671875" style="2" customWidth="1"/>
    <col min="3852" max="3855" width="0" style="2" hidden="1" customWidth="1"/>
    <col min="3856" max="4099" width="9.109375" style="2"/>
    <col min="4100" max="4100" width="4.6640625" style="2" customWidth="1"/>
    <col min="4101" max="4101" width="5.6640625" style="2" customWidth="1"/>
    <col min="4102" max="4102" width="39.44140625" style="2" customWidth="1"/>
    <col min="4103" max="4103" width="10.5546875" style="2" customWidth="1"/>
    <col min="4104" max="4105" width="9.44140625" style="2" customWidth="1"/>
    <col min="4106" max="4106" width="9" style="2" customWidth="1"/>
    <col min="4107" max="4107" width="6.88671875" style="2" customWidth="1"/>
    <col min="4108" max="4111" width="0" style="2" hidden="1" customWidth="1"/>
    <col min="4112" max="4355" width="9.109375" style="2"/>
    <col min="4356" max="4356" width="4.6640625" style="2" customWidth="1"/>
    <col min="4357" max="4357" width="5.6640625" style="2" customWidth="1"/>
    <col min="4358" max="4358" width="39.44140625" style="2" customWidth="1"/>
    <col min="4359" max="4359" width="10.5546875" style="2" customWidth="1"/>
    <col min="4360" max="4361" width="9.44140625" style="2" customWidth="1"/>
    <col min="4362" max="4362" width="9" style="2" customWidth="1"/>
    <col min="4363" max="4363" width="6.88671875" style="2" customWidth="1"/>
    <col min="4364" max="4367" width="0" style="2" hidden="1" customWidth="1"/>
    <col min="4368" max="4611" width="9.109375" style="2"/>
    <col min="4612" max="4612" width="4.6640625" style="2" customWidth="1"/>
    <col min="4613" max="4613" width="5.6640625" style="2" customWidth="1"/>
    <col min="4614" max="4614" width="39.44140625" style="2" customWidth="1"/>
    <col min="4615" max="4615" width="10.5546875" style="2" customWidth="1"/>
    <col min="4616" max="4617" width="9.44140625" style="2" customWidth="1"/>
    <col min="4618" max="4618" width="9" style="2" customWidth="1"/>
    <col min="4619" max="4619" width="6.88671875" style="2" customWidth="1"/>
    <col min="4620" max="4623" width="0" style="2" hidden="1" customWidth="1"/>
    <col min="4624" max="4867" width="9.109375" style="2"/>
    <col min="4868" max="4868" width="4.6640625" style="2" customWidth="1"/>
    <col min="4869" max="4869" width="5.6640625" style="2" customWidth="1"/>
    <col min="4870" max="4870" width="39.44140625" style="2" customWidth="1"/>
    <col min="4871" max="4871" width="10.5546875" style="2" customWidth="1"/>
    <col min="4872" max="4873" width="9.44140625" style="2" customWidth="1"/>
    <col min="4874" max="4874" width="9" style="2" customWidth="1"/>
    <col min="4875" max="4875" width="6.88671875" style="2" customWidth="1"/>
    <col min="4876" max="4879" width="0" style="2" hidden="1" customWidth="1"/>
    <col min="4880" max="5123" width="9.109375" style="2"/>
    <col min="5124" max="5124" width="4.6640625" style="2" customWidth="1"/>
    <col min="5125" max="5125" width="5.6640625" style="2" customWidth="1"/>
    <col min="5126" max="5126" width="39.44140625" style="2" customWidth="1"/>
    <col min="5127" max="5127" width="10.5546875" style="2" customWidth="1"/>
    <col min="5128" max="5129" width="9.44140625" style="2" customWidth="1"/>
    <col min="5130" max="5130" width="9" style="2" customWidth="1"/>
    <col min="5131" max="5131" width="6.88671875" style="2" customWidth="1"/>
    <col min="5132" max="5135" width="0" style="2" hidden="1" customWidth="1"/>
    <col min="5136" max="5379" width="9.109375" style="2"/>
    <col min="5380" max="5380" width="4.6640625" style="2" customWidth="1"/>
    <col min="5381" max="5381" width="5.6640625" style="2" customWidth="1"/>
    <col min="5382" max="5382" width="39.44140625" style="2" customWidth="1"/>
    <col min="5383" max="5383" width="10.5546875" style="2" customWidth="1"/>
    <col min="5384" max="5385" width="9.44140625" style="2" customWidth="1"/>
    <col min="5386" max="5386" width="9" style="2" customWidth="1"/>
    <col min="5387" max="5387" width="6.88671875" style="2" customWidth="1"/>
    <col min="5388" max="5391" width="0" style="2" hidden="1" customWidth="1"/>
    <col min="5392" max="5635" width="9.109375" style="2"/>
    <col min="5636" max="5636" width="4.6640625" style="2" customWidth="1"/>
    <col min="5637" max="5637" width="5.6640625" style="2" customWidth="1"/>
    <col min="5638" max="5638" width="39.44140625" style="2" customWidth="1"/>
    <col min="5639" max="5639" width="10.5546875" style="2" customWidth="1"/>
    <col min="5640" max="5641" width="9.44140625" style="2" customWidth="1"/>
    <col min="5642" max="5642" width="9" style="2" customWidth="1"/>
    <col min="5643" max="5643" width="6.88671875" style="2" customWidth="1"/>
    <col min="5644" max="5647" width="0" style="2" hidden="1" customWidth="1"/>
    <col min="5648" max="5891" width="9.109375" style="2"/>
    <col min="5892" max="5892" width="4.6640625" style="2" customWidth="1"/>
    <col min="5893" max="5893" width="5.6640625" style="2" customWidth="1"/>
    <col min="5894" max="5894" width="39.44140625" style="2" customWidth="1"/>
    <col min="5895" max="5895" width="10.5546875" style="2" customWidth="1"/>
    <col min="5896" max="5897" width="9.44140625" style="2" customWidth="1"/>
    <col min="5898" max="5898" width="9" style="2" customWidth="1"/>
    <col min="5899" max="5899" width="6.88671875" style="2" customWidth="1"/>
    <col min="5900" max="5903" width="0" style="2" hidden="1" customWidth="1"/>
    <col min="5904" max="6147" width="9.109375" style="2"/>
    <col min="6148" max="6148" width="4.6640625" style="2" customWidth="1"/>
    <col min="6149" max="6149" width="5.6640625" style="2" customWidth="1"/>
    <col min="6150" max="6150" width="39.44140625" style="2" customWidth="1"/>
    <col min="6151" max="6151" width="10.5546875" style="2" customWidth="1"/>
    <col min="6152" max="6153" width="9.44140625" style="2" customWidth="1"/>
    <col min="6154" max="6154" width="9" style="2" customWidth="1"/>
    <col min="6155" max="6155" width="6.88671875" style="2" customWidth="1"/>
    <col min="6156" max="6159" width="0" style="2" hidden="1" customWidth="1"/>
    <col min="6160" max="6403" width="9.109375" style="2"/>
    <col min="6404" max="6404" width="4.6640625" style="2" customWidth="1"/>
    <col min="6405" max="6405" width="5.6640625" style="2" customWidth="1"/>
    <col min="6406" max="6406" width="39.44140625" style="2" customWidth="1"/>
    <col min="6407" max="6407" width="10.5546875" style="2" customWidth="1"/>
    <col min="6408" max="6409" width="9.44140625" style="2" customWidth="1"/>
    <col min="6410" max="6410" width="9" style="2" customWidth="1"/>
    <col min="6411" max="6411" width="6.88671875" style="2" customWidth="1"/>
    <col min="6412" max="6415" width="0" style="2" hidden="1" customWidth="1"/>
    <col min="6416" max="6659" width="9.109375" style="2"/>
    <col min="6660" max="6660" width="4.6640625" style="2" customWidth="1"/>
    <col min="6661" max="6661" width="5.6640625" style="2" customWidth="1"/>
    <col min="6662" max="6662" width="39.44140625" style="2" customWidth="1"/>
    <col min="6663" max="6663" width="10.5546875" style="2" customWidth="1"/>
    <col min="6664" max="6665" width="9.44140625" style="2" customWidth="1"/>
    <col min="6666" max="6666" width="9" style="2" customWidth="1"/>
    <col min="6667" max="6667" width="6.88671875" style="2" customWidth="1"/>
    <col min="6668" max="6671" width="0" style="2" hidden="1" customWidth="1"/>
    <col min="6672" max="6915" width="9.109375" style="2"/>
    <col min="6916" max="6916" width="4.6640625" style="2" customWidth="1"/>
    <col min="6917" max="6917" width="5.6640625" style="2" customWidth="1"/>
    <col min="6918" max="6918" width="39.44140625" style="2" customWidth="1"/>
    <col min="6919" max="6919" width="10.5546875" style="2" customWidth="1"/>
    <col min="6920" max="6921" width="9.44140625" style="2" customWidth="1"/>
    <col min="6922" max="6922" width="9" style="2" customWidth="1"/>
    <col min="6923" max="6923" width="6.88671875" style="2" customWidth="1"/>
    <col min="6924" max="6927" width="0" style="2" hidden="1" customWidth="1"/>
    <col min="6928" max="7171" width="9.109375" style="2"/>
    <col min="7172" max="7172" width="4.6640625" style="2" customWidth="1"/>
    <col min="7173" max="7173" width="5.6640625" style="2" customWidth="1"/>
    <col min="7174" max="7174" width="39.44140625" style="2" customWidth="1"/>
    <col min="7175" max="7175" width="10.5546875" style="2" customWidth="1"/>
    <col min="7176" max="7177" width="9.44140625" style="2" customWidth="1"/>
    <col min="7178" max="7178" width="9" style="2" customWidth="1"/>
    <col min="7179" max="7179" width="6.88671875" style="2" customWidth="1"/>
    <col min="7180" max="7183" width="0" style="2" hidden="1" customWidth="1"/>
    <col min="7184" max="7427" width="9.109375" style="2"/>
    <col min="7428" max="7428" width="4.6640625" style="2" customWidth="1"/>
    <col min="7429" max="7429" width="5.6640625" style="2" customWidth="1"/>
    <col min="7430" max="7430" width="39.44140625" style="2" customWidth="1"/>
    <col min="7431" max="7431" width="10.5546875" style="2" customWidth="1"/>
    <col min="7432" max="7433" width="9.44140625" style="2" customWidth="1"/>
    <col min="7434" max="7434" width="9" style="2" customWidth="1"/>
    <col min="7435" max="7435" width="6.88671875" style="2" customWidth="1"/>
    <col min="7436" max="7439" width="0" style="2" hidden="1" customWidth="1"/>
    <col min="7440" max="7683" width="9.109375" style="2"/>
    <col min="7684" max="7684" width="4.6640625" style="2" customWidth="1"/>
    <col min="7685" max="7685" width="5.6640625" style="2" customWidth="1"/>
    <col min="7686" max="7686" width="39.44140625" style="2" customWidth="1"/>
    <col min="7687" max="7687" width="10.5546875" style="2" customWidth="1"/>
    <col min="7688" max="7689" width="9.44140625" style="2" customWidth="1"/>
    <col min="7690" max="7690" width="9" style="2" customWidth="1"/>
    <col min="7691" max="7691" width="6.88671875" style="2" customWidth="1"/>
    <col min="7692" max="7695" width="0" style="2" hidden="1" customWidth="1"/>
    <col min="7696" max="7939" width="9.109375" style="2"/>
    <col min="7940" max="7940" width="4.6640625" style="2" customWidth="1"/>
    <col min="7941" max="7941" width="5.6640625" style="2" customWidth="1"/>
    <col min="7942" max="7942" width="39.44140625" style="2" customWidth="1"/>
    <col min="7943" max="7943" width="10.5546875" style="2" customWidth="1"/>
    <col min="7944" max="7945" width="9.44140625" style="2" customWidth="1"/>
    <col min="7946" max="7946" width="9" style="2" customWidth="1"/>
    <col min="7947" max="7947" width="6.88671875" style="2" customWidth="1"/>
    <col min="7948" max="7951" width="0" style="2" hidden="1" customWidth="1"/>
    <col min="7952" max="8195" width="9.109375" style="2"/>
    <col min="8196" max="8196" width="4.6640625" style="2" customWidth="1"/>
    <col min="8197" max="8197" width="5.6640625" style="2" customWidth="1"/>
    <col min="8198" max="8198" width="39.44140625" style="2" customWidth="1"/>
    <col min="8199" max="8199" width="10.5546875" style="2" customWidth="1"/>
    <col min="8200" max="8201" width="9.44140625" style="2" customWidth="1"/>
    <col min="8202" max="8202" width="9" style="2" customWidth="1"/>
    <col min="8203" max="8203" width="6.88671875" style="2" customWidth="1"/>
    <col min="8204" max="8207" width="0" style="2" hidden="1" customWidth="1"/>
    <col min="8208" max="8451" width="9.109375" style="2"/>
    <col min="8452" max="8452" width="4.6640625" style="2" customWidth="1"/>
    <col min="8453" max="8453" width="5.6640625" style="2" customWidth="1"/>
    <col min="8454" max="8454" width="39.44140625" style="2" customWidth="1"/>
    <col min="8455" max="8455" width="10.5546875" style="2" customWidth="1"/>
    <col min="8456" max="8457" width="9.44140625" style="2" customWidth="1"/>
    <col min="8458" max="8458" width="9" style="2" customWidth="1"/>
    <col min="8459" max="8459" width="6.88671875" style="2" customWidth="1"/>
    <col min="8460" max="8463" width="0" style="2" hidden="1" customWidth="1"/>
    <col min="8464" max="8707" width="9.109375" style="2"/>
    <col min="8708" max="8708" width="4.6640625" style="2" customWidth="1"/>
    <col min="8709" max="8709" width="5.6640625" style="2" customWidth="1"/>
    <col min="8710" max="8710" width="39.44140625" style="2" customWidth="1"/>
    <col min="8711" max="8711" width="10.5546875" style="2" customWidth="1"/>
    <col min="8712" max="8713" width="9.44140625" style="2" customWidth="1"/>
    <col min="8714" max="8714" width="9" style="2" customWidth="1"/>
    <col min="8715" max="8715" width="6.88671875" style="2" customWidth="1"/>
    <col min="8716" max="8719" width="0" style="2" hidden="1" customWidth="1"/>
    <col min="8720" max="8963" width="9.109375" style="2"/>
    <col min="8964" max="8964" width="4.6640625" style="2" customWidth="1"/>
    <col min="8965" max="8965" width="5.6640625" style="2" customWidth="1"/>
    <col min="8966" max="8966" width="39.44140625" style="2" customWidth="1"/>
    <col min="8967" max="8967" width="10.5546875" style="2" customWidth="1"/>
    <col min="8968" max="8969" width="9.44140625" style="2" customWidth="1"/>
    <col min="8970" max="8970" width="9" style="2" customWidth="1"/>
    <col min="8971" max="8971" width="6.88671875" style="2" customWidth="1"/>
    <col min="8972" max="8975" width="0" style="2" hidden="1" customWidth="1"/>
    <col min="8976" max="9219" width="9.109375" style="2"/>
    <col min="9220" max="9220" width="4.6640625" style="2" customWidth="1"/>
    <col min="9221" max="9221" width="5.6640625" style="2" customWidth="1"/>
    <col min="9222" max="9222" width="39.44140625" style="2" customWidth="1"/>
    <col min="9223" max="9223" width="10.5546875" style="2" customWidth="1"/>
    <col min="9224" max="9225" width="9.44140625" style="2" customWidth="1"/>
    <col min="9226" max="9226" width="9" style="2" customWidth="1"/>
    <col min="9227" max="9227" width="6.88671875" style="2" customWidth="1"/>
    <col min="9228" max="9231" width="0" style="2" hidden="1" customWidth="1"/>
    <col min="9232" max="9475" width="9.109375" style="2"/>
    <col min="9476" max="9476" width="4.6640625" style="2" customWidth="1"/>
    <col min="9477" max="9477" width="5.6640625" style="2" customWidth="1"/>
    <col min="9478" max="9478" width="39.44140625" style="2" customWidth="1"/>
    <col min="9479" max="9479" width="10.5546875" style="2" customWidth="1"/>
    <col min="9480" max="9481" width="9.44140625" style="2" customWidth="1"/>
    <col min="9482" max="9482" width="9" style="2" customWidth="1"/>
    <col min="9483" max="9483" width="6.88671875" style="2" customWidth="1"/>
    <col min="9484" max="9487" width="0" style="2" hidden="1" customWidth="1"/>
    <col min="9488" max="9731" width="9.109375" style="2"/>
    <col min="9732" max="9732" width="4.6640625" style="2" customWidth="1"/>
    <col min="9733" max="9733" width="5.6640625" style="2" customWidth="1"/>
    <col min="9734" max="9734" width="39.44140625" style="2" customWidth="1"/>
    <col min="9735" max="9735" width="10.5546875" style="2" customWidth="1"/>
    <col min="9736" max="9737" width="9.44140625" style="2" customWidth="1"/>
    <col min="9738" max="9738" width="9" style="2" customWidth="1"/>
    <col min="9739" max="9739" width="6.88671875" style="2" customWidth="1"/>
    <col min="9740" max="9743" width="0" style="2" hidden="1" customWidth="1"/>
    <col min="9744" max="9987" width="9.109375" style="2"/>
    <col min="9988" max="9988" width="4.6640625" style="2" customWidth="1"/>
    <col min="9989" max="9989" width="5.6640625" style="2" customWidth="1"/>
    <col min="9990" max="9990" width="39.44140625" style="2" customWidth="1"/>
    <col min="9991" max="9991" width="10.5546875" style="2" customWidth="1"/>
    <col min="9992" max="9993" width="9.44140625" style="2" customWidth="1"/>
    <col min="9994" max="9994" width="9" style="2" customWidth="1"/>
    <col min="9995" max="9995" width="6.88671875" style="2" customWidth="1"/>
    <col min="9996" max="9999" width="0" style="2" hidden="1" customWidth="1"/>
    <col min="10000" max="10243" width="9.109375" style="2"/>
    <col min="10244" max="10244" width="4.6640625" style="2" customWidth="1"/>
    <col min="10245" max="10245" width="5.6640625" style="2" customWidth="1"/>
    <col min="10246" max="10246" width="39.44140625" style="2" customWidth="1"/>
    <col min="10247" max="10247" width="10.5546875" style="2" customWidth="1"/>
    <col min="10248" max="10249" width="9.44140625" style="2" customWidth="1"/>
    <col min="10250" max="10250" width="9" style="2" customWidth="1"/>
    <col min="10251" max="10251" width="6.88671875" style="2" customWidth="1"/>
    <col min="10252" max="10255" width="0" style="2" hidden="1" customWidth="1"/>
    <col min="10256" max="10499" width="9.109375" style="2"/>
    <col min="10500" max="10500" width="4.6640625" style="2" customWidth="1"/>
    <col min="10501" max="10501" width="5.6640625" style="2" customWidth="1"/>
    <col min="10502" max="10502" width="39.44140625" style="2" customWidth="1"/>
    <col min="10503" max="10503" width="10.5546875" style="2" customWidth="1"/>
    <col min="10504" max="10505" width="9.44140625" style="2" customWidth="1"/>
    <col min="10506" max="10506" width="9" style="2" customWidth="1"/>
    <col min="10507" max="10507" width="6.88671875" style="2" customWidth="1"/>
    <col min="10508" max="10511" width="0" style="2" hidden="1" customWidth="1"/>
    <col min="10512" max="10755" width="9.109375" style="2"/>
    <col min="10756" max="10756" width="4.6640625" style="2" customWidth="1"/>
    <col min="10757" max="10757" width="5.6640625" style="2" customWidth="1"/>
    <col min="10758" max="10758" width="39.44140625" style="2" customWidth="1"/>
    <col min="10759" max="10759" width="10.5546875" style="2" customWidth="1"/>
    <col min="10760" max="10761" width="9.44140625" style="2" customWidth="1"/>
    <col min="10762" max="10762" width="9" style="2" customWidth="1"/>
    <col min="10763" max="10763" width="6.88671875" style="2" customWidth="1"/>
    <col min="10764" max="10767" width="0" style="2" hidden="1" customWidth="1"/>
    <col min="10768" max="11011" width="9.109375" style="2"/>
    <col min="11012" max="11012" width="4.6640625" style="2" customWidth="1"/>
    <col min="11013" max="11013" width="5.6640625" style="2" customWidth="1"/>
    <col min="11014" max="11014" width="39.44140625" style="2" customWidth="1"/>
    <col min="11015" max="11015" width="10.5546875" style="2" customWidth="1"/>
    <col min="11016" max="11017" width="9.44140625" style="2" customWidth="1"/>
    <col min="11018" max="11018" width="9" style="2" customWidth="1"/>
    <col min="11019" max="11019" width="6.88671875" style="2" customWidth="1"/>
    <col min="11020" max="11023" width="0" style="2" hidden="1" customWidth="1"/>
    <col min="11024" max="11267" width="9.109375" style="2"/>
    <col min="11268" max="11268" width="4.6640625" style="2" customWidth="1"/>
    <col min="11269" max="11269" width="5.6640625" style="2" customWidth="1"/>
    <col min="11270" max="11270" width="39.44140625" style="2" customWidth="1"/>
    <col min="11271" max="11271" width="10.5546875" style="2" customWidth="1"/>
    <col min="11272" max="11273" width="9.44140625" style="2" customWidth="1"/>
    <col min="11274" max="11274" width="9" style="2" customWidth="1"/>
    <col min="11275" max="11275" width="6.88671875" style="2" customWidth="1"/>
    <col min="11276" max="11279" width="0" style="2" hidden="1" customWidth="1"/>
    <col min="11280" max="11523" width="9.109375" style="2"/>
    <col min="11524" max="11524" width="4.6640625" style="2" customWidth="1"/>
    <col min="11525" max="11525" width="5.6640625" style="2" customWidth="1"/>
    <col min="11526" max="11526" width="39.44140625" style="2" customWidth="1"/>
    <col min="11527" max="11527" width="10.5546875" style="2" customWidth="1"/>
    <col min="11528" max="11529" width="9.44140625" style="2" customWidth="1"/>
    <col min="11530" max="11530" width="9" style="2" customWidth="1"/>
    <col min="11531" max="11531" width="6.88671875" style="2" customWidth="1"/>
    <col min="11532" max="11535" width="0" style="2" hidden="1" customWidth="1"/>
    <col min="11536" max="11779" width="9.109375" style="2"/>
    <col min="11780" max="11780" width="4.6640625" style="2" customWidth="1"/>
    <col min="11781" max="11781" width="5.6640625" style="2" customWidth="1"/>
    <col min="11782" max="11782" width="39.44140625" style="2" customWidth="1"/>
    <col min="11783" max="11783" width="10.5546875" style="2" customWidth="1"/>
    <col min="11784" max="11785" width="9.44140625" style="2" customWidth="1"/>
    <col min="11786" max="11786" width="9" style="2" customWidth="1"/>
    <col min="11787" max="11787" width="6.88671875" style="2" customWidth="1"/>
    <col min="11788" max="11791" width="0" style="2" hidden="1" customWidth="1"/>
    <col min="11792" max="12035" width="9.109375" style="2"/>
    <col min="12036" max="12036" width="4.6640625" style="2" customWidth="1"/>
    <col min="12037" max="12037" width="5.6640625" style="2" customWidth="1"/>
    <col min="12038" max="12038" width="39.44140625" style="2" customWidth="1"/>
    <col min="12039" max="12039" width="10.5546875" style="2" customWidth="1"/>
    <col min="12040" max="12041" width="9.44140625" style="2" customWidth="1"/>
    <col min="12042" max="12042" width="9" style="2" customWidth="1"/>
    <col min="12043" max="12043" width="6.88671875" style="2" customWidth="1"/>
    <col min="12044" max="12047" width="0" style="2" hidden="1" customWidth="1"/>
    <col min="12048" max="12291" width="9.109375" style="2"/>
    <col min="12292" max="12292" width="4.6640625" style="2" customWidth="1"/>
    <col min="12293" max="12293" width="5.6640625" style="2" customWidth="1"/>
    <col min="12294" max="12294" width="39.44140625" style="2" customWidth="1"/>
    <col min="12295" max="12295" width="10.5546875" style="2" customWidth="1"/>
    <col min="12296" max="12297" width="9.44140625" style="2" customWidth="1"/>
    <col min="12298" max="12298" width="9" style="2" customWidth="1"/>
    <col min="12299" max="12299" width="6.88671875" style="2" customWidth="1"/>
    <col min="12300" max="12303" width="0" style="2" hidden="1" customWidth="1"/>
    <col min="12304" max="12547" width="9.109375" style="2"/>
    <col min="12548" max="12548" width="4.6640625" style="2" customWidth="1"/>
    <col min="12549" max="12549" width="5.6640625" style="2" customWidth="1"/>
    <col min="12550" max="12550" width="39.44140625" style="2" customWidth="1"/>
    <col min="12551" max="12551" width="10.5546875" style="2" customWidth="1"/>
    <col min="12552" max="12553" width="9.44140625" style="2" customWidth="1"/>
    <col min="12554" max="12554" width="9" style="2" customWidth="1"/>
    <col min="12555" max="12555" width="6.88671875" style="2" customWidth="1"/>
    <col min="12556" max="12559" width="0" style="2" hidden="1" customWidth="1"/>
    <col min="12560" max="12803" width="9.109375" style="2"/>
    <col min="12804" max="12804" width="4.6640625" style="2" customWidth="1"/>
    <col min="12805" max="12805" width="5.6640625" style="2" customWidth="1"/>
    <col min="12806" max="12806" width="39.44140625" style="2" customWidth="1"/>
    <col min="12807" max="12807" width="10.5546875" style="2" customWidth="1"/>
    <col min="12808" max="12809" width="9.44140625" style="2" customWidth="1"/>
    <col min="12810" max="12810" width="9" style="2" customWidth="1"/>
    <col min="12811" max="12811" width="6.88671875" style="2" customWidth="1"/>
    <col min="12812" max="12815" width="0" style="2" hidden="1" customWidth="1"/>
    <col min="12816" max="13059" width="9.109375" style="2"/>
    <col min="13060" max="13060" width="4.6640625" style="2" customWidth="1"/>
    <col min="13061" max="13061" width="5.6640625" style="2" customWidth="1"/>
    <col min="13062" max="13062" width="39.44140625" style="2" customWidth="1"/>
    <col min="13063" max="13063" width="10.5546875" style="2" customWidth="1"/>
    <col min="13064" max="13065" width="9.44140625" style="2" customWidth="1"/>
    <col min="13066" max="13066" width="9" style="2" customWidth="1"/>
    <col min="13067" max="13067" width="6.88671875" style="2" customWidth="1"/>
    <col min="13068" max="13071" width="0" style="2" hidden="1" customWidth="1"/>
    <col min="13072" max="13315" width="9.109375" style="2"/>
    <col min="13316" max="13316" width="4.6640625" style="2" customWidth="1"/>
    <col min="13317" max="13317" width="5.6640625" style="2" customWidth="1"/>
    <col min="13318" max="13318" width="39.44140625" style="2" customWidth="1"/>
    <col min="13319" max="13319" width="10.5546875" style="2" customWidth="1"/>
    <col min="13320" max="13321" width="9.44140625" style="2" customWidth="1"/>
    <col min="13322" max="13322" width="9" style="2" customWidth="1"/>
    <col min="13323" max="13323" width="6.88671875" style="2" customWidth="1"/>
    <col min="13324" max="13327" width="0" style="2" hidden="1" customWidth="1"/>
    <col min="13328" max="13571" width="9.109375" style="2"/>
    <col min="13572" max="13572" width="4.6640625" style="2" customWidth="1"/>
    <col min="13573" max="13573" width="5.6640625" style="2" customWidth="1"/>
    <col min="13574" max="13574" width="39.44140625" style="2" customWidth="1"/>
    <col min="13575" max="13575" width="10.5546875" style="2" customWidth="1"/>
    <col min="13576" max="13577" width="9.44140625" style="2" customWidth="1"/>
    <col min="13578" max="13578" width="9" style="2" customWidth="1"/>
    <col min="13579" max="13579" width="6.88671875" style="2" customWidth="1"/>
    <col min="13580" max="13583" width="0" style="2" hidden="1" customWidth="1"/>
    <col min="13584" max="13827" width="9.109375" style="2"/>
    <col min="13828" max="13828" width="4.6640625" style="2" customWidth="1"/>
    <col min="13829" max="13829" width="5.6640625" style="2" customWidth="1"/>
    <col min="13830" max="13830" width="39.44140625" style="2" customWidth="1"/>
    <col min="13831" max="13831" width="10.5546875" style="2" customWidth="1"/>
    <col min="13832" max="13833" width="9.44140625" style="2" customWidth="1"/>
    <col min="13834" max="13834" width="9" style="2" customWidth="1"/>
    <col min="13835" max="13835" width="6.88671875" style="2" customWidth="1"/>
    <col min="13836" max="13839" width="0" style="2" hidden="1" customWidth="1"/>
    <col min="13840" max="14083" width="9.109375" style="2"/>
    <col min="14084" max="14084" width="4.6640625" style="2" customWidth="1"/>
    <col min="14085" max="14085" width="5.6640625" style="2" customWidth="1"/>
    <col min="14086" max="14086" width="39.44140625" style="2" customWidth="1"/>
    <col min="14087" max="14087" width="10.5546875" style="2" customWidth="1"/>
    <col min="14088" max="14089" width="9.44140625" style="2" customWidth="1"/>
    <col min="14090" max="14090" width="9" style="2" customWidth="1"/>
    <col min="14091" max="14091" width="6.88671875" style="2" customWidth="1"/>
    <col min="14092" max="14095" width="0" style="2" hidden="1" customWidth="1"/>
    <col min="14096" max="14339" width="9.109375" style="2"/>
    <col min="14340" max="14340" width="4.6640625" style="2" customWidth="1"/>
    <col min="14341" max="14341" width="5.6640625" style="2" customWidth="1"/>
    <col min="14342" max="14342" width="39.44140625" style="2" customWidth="1"/>
    <col min="14343" max="14343" width="10.5546875" style="2" customWidth="1"/>
    <col min="14344" max="14345" width="9.44140625" style="2" customWidth="1"/>
    <col min="14346" max="14346" width="9" style="2" customWidth="1"/>
    <col min="14347" max="14347" width="6.88671875" style="2" customWidth="1"/>
    <col min="14348" max="14351" width="0" style="2" hidden="1" customWidth="1"/>
    <col min="14352" max="14595" width="9.109375" style="2"/>
    <col min="14596" max="14596" width="4.6640625" style="2" customWidth="1"/>
    <col min="14597" max="14597" width="5.6640625" style="2" customWidth="1"/>
    <col min="14598" max="14598" width="39.44140625" style="2" customWidth="1"/>
    <col min="14599" max="14599" width="10.5546875" style="2" customWidth="1"/>
    <col min="14600" max="14601" width="9.44140625" style="2" customWidth="1"/>
    <col min="14602" max="14602" width="9" style="2" customWidth="1"/>
    <col min="14603" max="14603" width="6.88671875" style="2" customWidth="1"/>
    <col min="14604" max="14607" width="0" style="2" hidden="1" customWidth="1"/>
    <col min="14608" max="14851" width="9.109375" style="2"/>
    <col min="14852" max="14852" width="4.6640625" style="2" customWidth="1"/>
    <col min="14853" max="14853" width="5.6640625" style="2" customWidth="1"/>
    <col min="14854" max="14854" width="39.44140625" style="2" customWidth="1"/>
    <col min="14855" max="14855" width="10.5546875" style="2" customWidth="1"/>
    <col min="14856" max="14857" width="9.44140625" style="2" customWidth="1"/>
    <col min="14858" max="14858" width="9" style="2" customWidth="1"/>
    <col min="14859" max="14859" width="6.88671875" style="2" customWidth="1"/>
    <col min="14860" max="14863" width="0" style="2" hidden="1" customWidth="1"/>
    <col min="14864" max="15107" width="9.109375" style="2"/>
    <col min="15108" max="15108" width="4.6640625" style="2" customWidth="1"/>
    <col min="15109" max="15109" width="5.6640625" style="2" customWidth="1"/>
    <col min="15110" max="15110" width="39.44140625" style="2" customWidth="1"/>
    <col min="15111" max="15111" width="10.5546875" style="2" customWidth="1"/>
    <col min="15112" max="15113" width="9.44140625" style="2" customWidth="1"/>
    <col min="15114" max="15114" width="9" style="2" customWidth="1"/>
    <col min="15115" max="15115" width="6.88671875" style="2" customWidth="1"/>
    <col min="15116" max="15119" width="0" style="2" hidden="1" customWidth="1"/>
    <col min="15120" max="15363" width="9.109375" style="2"/>
    <col min="15364" max="15364" width="4.6640625" style="2" customWidth="1"/>
    <col min="15365" max="15365" width="5.6640625" style="2" customWidth="1"/>
    <col min="15366" max="15366" width="39.44140625" style="2" customWidth="1"/>
    <col min="15367" max="15367" width="10.5546875" style="2" customWidth="1"/>
    <col min="15368" max="15369" width="9.44140625" style="2" customWidth="1"/>
    <col min="15370" max="15370" width="9" style="2" customWidth="1"/>
    <col min="15371" max="15371" width="6.88671875" style="2" customWidth="1"/>
    <col min="15372" max="15375" width="0" style="2" hidden="1" customWidth="1"/>
    <col min="15376" max="15619" width="9.109375" style="2"/>
    <col min="15620" max="15620" width="4.6640625" style="2" customWidth="1"/>
    <col min="15621" max="15621" width="5.6640625" style="2" customWidth="1"/>
    <col min="15622" max="15622" width="39.44140625" style="2" customWidth="1"/>
    <col min="15623" max="15623" width="10.5546875" style="2" customWidth="1"/>
    <col min="15624" max="15625" width="9.44140625" style="2" customWidth="1"/>
    <col min="15626" max="15626" width="9" style="2" customWidth="1"/>
    <col min="15627" max="15627" width="6.88671875" style="2" customWidth="1"/>
    <col min="15628" max="15631" width="0" style="2" hidden="1" customWidth="1"/>
    <col min="15632" max="15875" width="9.109375" style="2"/>
    <col min="15876" max="15876" width="4.6640625" style="2" customWidth="1"/>
    <col min="15877" max="15877" width="5.6640625" style="2" customWidth="1"/>
    <col min="15878" max="15878" width="39.44140625" style="2" customWidth="1"/>
    <col min="15879" max="15879" width="10.5546875" style="2" customWidth="1"/>
    <col min="15880" max="15881" width="9.44140625" style="2" customWidth="1"/>
    <col min="15882" max="15882" width="9" style="2" customWidth="1"/>
    <col min="15883" max="15883" width="6.88671875" style="2" customWidth="1"/>
    <col min="15884" max="15887" width="0" style="2" hidden="1" customWidth="1"/>
    <col min="15888" max="16131" width="9.109375" style="2"/>
    <col min="16132" max="16132" width="4.6640625" style="2" customWidth="1"/>
    <col min="16133" max="16133" width="5.6640625" style="2" customWidth="1"/>
    <col min="16134" max="16134" width="39.44140625" style="2" customWidth="1"/>
    <col min="16135" max="16135" width="10.5546875" style="2" customWidth="1"/>
    <col min="16136" max="16137" width="9.44140625" style="2" customWidth="1"/>
    <col min="16138" max="16138" width="9" style="2" customWidth="1"/>
    <col min="16139" max="16139" width="6.88671875" style="2" customWidth="1"/>
    <col min="16140" max="16143" width="0" style="2" hidden="1" customWidth="1"/>
    <col min="16144" max="16384" width="9.109375" style="2"/>
  </cols>
  <sheetData>
    <row r="1" spans="1:19" ht="15.6" x14ac:dyDescent="0.3">
      <c r="C1" s="306" t="s">
        <v>797</v>
      </c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9" ht="15.6" x14ac:dyDescent="0.3">
      <c r="C2" s="306" t="s">
        <v>798</v>
      </c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</row>
    <row r="3" spans="1:19" ht="15.6" x14ac:dyDescent="0.25">
      <c r="E3" s="307" t="s">
        <v>800</v>
      </c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</row>
    <row r="4" spans="1:19" ht="15.6" x14ac:dyDescent="0.25">
      <c r="E4" s="5"/>
      <c r="F4" s="5"/>
      <c r="G4" s="5"/>
      <c r="H4" s="5"/>
      <c r="I4" s="5"/>
      <c r="J4" s="5"/>
      <c r="K4" s="5"/>
    </row>
    <row r="5" spans="1:19" ht="28.2" customHeight="1" x14ac:dyDescent="0.25">
      <c r="A5" s="321" t="s">
        <v>681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spans="1:19" ht="14.4" customHeight="1" x14ac:dyDescent="0.25">
      <c r="A6" s="177"/>
      <c r="B6" s="178"/>
      <c r="C6" s="179"/>
      <c r="D6" s="180"/>
      <c r="E6" s="181"/>
      <c r="F6" s="181"/>
      <c r="G6" s="181"/>
      <c r="H6" s="181"/>
      <c r="I6" s="181"/>
      <c r="J6" s="309" t="s">
        <v>1</v>
      </c>
      <c r="K6" s="309"/>
      <c r="L6" s="309"/>
      <c r="M6" s="309"/>
      <c r="N6" s="309"/>
      <c r="O6" s="309"/>
      <c r="P6" s="309"/>
    </row>
    <row r="7" spans="1:19" ht="12.75" customHeight="1" x14ac:dyDescent="0.25">
      <c r="A7" s="297" t="s">
        <v>466</v>
      </c>
      <c r="B7" s="303" t="s">
        <v>467</v>
      </c>
      <c r="C7" s="303" t="s">
        <v>4</v>
      </c>
      <c r="D7" s="297" t="s">
        <v>5</v>
      </c>
      <c r="E7" s="314" t="s">
        <v>6</v>
      </c>
      <c r="F7" s="316"/>
      <c r="G7" s="314" t="s">
        <v>665</v>
      </c>
      <c r="H7" s="325"/>
      <c r="I7" s="325"/>
      <c r="J7" s="325"/>
      <c r="K7" s="325"/>
      <c r="L7" s="325"/>
      <c r="M7" s="325"/>
      <c r="N7" s="325"/>
      <c r="O7" s="325"/>
      <c r="P7" s="316"/>
    </row>
    <row r="8" spans="1:19" ht="12.75" customHeight="1" x14ac:dyDescent="0.25">
      <c r="A8" s="298"/>
      <c r="B8" s="304"/>
      <c r="C8" s="304"/>
      <c r="D8" s="298"/>
      <c r="E8" s="315"/>
      <c r="F8" s="317"/>
      <c r="G8" s="310" t="s">
        <v>682</v>
      </c>
      <c r="H8" s="322"/>
      <c r="I8" s="322"/>
      <c r="J8" s="311"/>
      <c r="K8" s="314" t="s">
        <v>9</v>
      </c>
      <c r="L8" s="325"/>
      <c r="M8" s="325"/>
      <c r="N8" s="325"/>
      <c r="O8" s="325"/>
      <c r="P8" s="316"/>
    </row>
    <row r="9" spans="1:19" ht="20.399999999999999" customHeight="1" x14ac:dyDescent="0.25">
      <c r="A9" s="298"/>
      <c r="B9" s="304"/>
      <c r="C9" s="304"/>
      <c r="D9" s="298"/>
      <c r="E9" s="297" t="s">
        <v>10</v>
      </c>
      <c r="F9" s="297" t="s">
        <v>11</v>
      </c>
      <c r="G9" s="310" t="s">
        <v>12</v>
      </c>
      <c r="H9" s="311"/>
      <c r="I9" s="312" t="s">
        <v>13</v>
      </c>
      <c r="J9" s="313"/>
      <c r="K9" s="297" t="s">
        <v>10</v>
      </c>
      <c r="P9" s="323" t="s">
        <v>11</v>
      </c>
    </row>
    <row r="10" spans="1:19" ht="18.600000000000001" customHeight="1" x14ac:dyDescent="0.25">
      <c r="A10" s="299"/>
      <c r="B10" s="305"/>
      <c r="C10" s="305"/>
      <c r="D10" s="299"/>
      <c r="E10" s="299"/>
      <c r="F10" s="299"/>
      <c r="G10" s="7" t="s">
        <v>10</v>
      </c>
      <c r="H10" s="7" t="s">
        <v>11</v>
      </c>
      <c r="I10" s="7" t="s">
        <v>10</v>
      </c>
      <c r="J10" s="7" t="s">
        <v>11</v>
      </c>
      <c r="K10" s="299"/>
      <c r="P10" s="324"/>
    </row>
    <row r="11" spans="1:19" s="116" customFormat="1" ht="12.75" customHeight="1" x14ac:dyDescent="0.25">
      <c r="A11" s="98">
        <v>1</v>
      </c>
      <c r="B11" s="9" t="s">
        <v>14</v>
      </c>
      <c r="C11" s="9" t="s">
        <v>666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98">
        <v>11</v>
      </c>
      <c r="L11" s="2"/>
      <c r="M11" s="2"/>
      <c r="N11" s="2"/>
      <c r="P11" s="10">
        <v>12</v>
      </c>
    </row>
    <row r="12" spans="1:19" s="116" customFormat="1" ht="20.100000000000001" customHeight="1" x14ac:dyDescent="0.25">
      <c r="A12" s="11">
        <v>1</v>
      </c>
      <c r="B12" s="231" t="s">
        <v>15</v>
      </c>
      <c r="C12" s="12" t="s">
        <v>16</v>
      </c>
      <c r="D12" s="7"/>
      <c r="E12" s="13">
        <f>+G12+K12</f>
        <v>1316.1999999999998</v>
      </c>
      <c r="F12" s="13">
        <f>+H12+P12</f>
        <v>1309.5999999999999</v>
      </c>
      <c r="G12" s="13">
        <f>+G13+G15+G19+G21+G32</f>
        <v>775.9</v>
      </c>
      <c r="H12" s="13">
        <f>+H13+H15+H19+H21+H32</f>
        <v>769.4</v>
      </c>
      <c r="I12" s="13">
        <f t="shared" ref="I12:P12" si="0">+I13+I15+I19+I21+I32</f>
        <v>428.7</v>
      </c>
      <c r="J12" s="13">
        <f t="shared" si="0"/>
        <v>428.5</v>
      </c>
      <c r="K12" s="13">
        <f t="shared" si="0"/>
        <v>540.29999999999995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 t="shared" si="0"/>
        <v>0</v>
      </c>
      <c r="P12" s="13">
        <f t="shared" si="0"/>
        <v>540.20000000000005</v>
      </c>
      <c r="Q12" s="164"/>
      <c r="R12" s="164"/>
      <c r="S12" s="164"/>
    </row>
    <row r="13" spans="1:19" s="116" customFormat="1" ht="27.75" customHeight="1" x14ac:dyDescent="0.25">
      <c r="A13" s="11">
        <v>2</v>
      </c>
      <c r="B13" s="232"/>
      <c r="C13" s="182" t="s">
        <v>683</v>
      </c>
      <c r="D13" s="195"/>
      <c r="E13" s="167">
        <f t="shared" ref="E13:E122" si="1">+G13+K13</f>
        <v>532.5</v>
      </c>
      <c r="F13" s="166">
        <f t="shared" ref="F13:F78" si="2">+H13+P13</f>
        <v>532.5</v>
      </c>
      <c r="G13" s="167">
        <f>+G14</f>
        <v>532.5</v>
      </c>
      <c r="H13" s="167">
        <f>+H14</f>
        <v>532.5</v>
      </c>
      <c r="I13" s="167">
        <f>+I14</f>
        <v>424.9</v>
      </c>
      <c r="J13" s="167">
        <f>+J14</f>
        <v>424.9</v>
      </c>
      <c r="K13" s="198">
        <f>+K14</f>
        <v>0</v>
      </c>
      <c r="L13" s="14">
        <f>+M13+O13</f>
        <v>0</v>
      </c>
      <c r="M13" s="14"/>
      <c r="N13" s="14"/>
      <c r="P13" s="165"/>
      <c r="Q13" s="164"/>
      <c r="R13" s="164"/>
      <c r="S13" s="164"/>
    </row>
    <row r="14" spans="1:19" ht="18" customHeight="1" x14ac:dyDescent="0.25">
      <c r="A14" s="11">
        <v>3</v>
      </c>
      <c r="B14" s="231"/>
      <c r="C14" s="101" t="s">
        <v>47</v>
      </c>
      <c r="D14" s="26" t="s">
        <v>37</v>
      </c>
      <c r="E14" s="24">
        <f>+G14+K14</f>
        <v>532.5</v>
      </c>
      <c r="F14" s="163">
        <f t="shared" si="2"/>
        <v>532.5</v>
      </c>
      <c r="G14" s="18">
        <v>532.5</v>
      </c>
      <c r="H14" s="18">
        <v>532.5</v>
      </c>
      <c r="I14" s="18">
        <f>436.9-12</f>
        <v>424.9</v>
      </c>
      <c r="J14" s="18">
        <v>424.9</v>
      </c>
      <c r="K14" s="27"/>
      <c r="L14" s="14">
        <f>+M14+O14</f>
        <v>0</v>
      </c>
      <c r="M14" s="14"/>
      <c r="N14" s="14">
        <v>-5.8</v>
      </c>
      <c r="P14" s="165"/>
      <c r="Q14" s="164"/>
      <c r="R14" s="164"/>
      <c r="S14" s="164"/>
    </row>
    <row r="15" spans="1:19" ht="31.5" customHeight="1" x14ac:dyDescent="0.25">
      <c r="A15" s="11">
        <v>4</v>
      </c>
      <c r="B15" s="232"/>
      <c r="C15" s="146" t="s">
        <v>684</v>
      </c>
      <c r="D15" s="199"/>
      <c r="E15" s="167">
        <f t="shared" si="1"/>
        <v>540.29999999999995</v>
      </c>
      <c r="F15" s="166">
        <f t="shared" si="2"/>
        <v>540.20000000000005</v>
      </c>
      <c r="G15" s="198">
        <f>+G16</f>
        <v>0</v>
      </c>
      <c r="H15" s="198"/>
      <c r="I15" s="198">
        <f>+I16</f>
        <v>0</v>
      </c>
      <c r="J15" s="198"/>
      <c r="K15" s="167">
        <f>+K16</f>
        <v>540.29999999999995</v>
      </c>
      <c r="L15" s="167">
        <f t="shared" ref="L15:P15" si="3">+L16</f>
        <v>0</v>
      </c>
      <c r="M15" s="167">
        <f t="shared" si="3"/>
        <v>0</v>
      </c>
      <c r="N15" s="167">
        <f t="shared" si="3"/>
        <v>0</v>
      </c>
      <c r="O15" s="167">
        <f t="shared" si="3"/>
        <v>0</v>
      </c>
      <c r="P15" s="167">
        <f t="shared" si="3"/>
        <v>540.20000000000005</v>
      </c>
      <c r="Q15" s="164"/>
      <c r="R15" s="164"/>
      <c r="S15" s="164"/>
    </row>
    <row r="16" spans="1:19" ht="16.95" customHeight="1" x14ac:dyDescent="0.25">
      <c r="A16" s="11">
        <v>5</v>
      </c>
      <c r="B16" s="232"/>
      <c r="C16" s="103" t="s">
        <v>505</v>
      </c>
      <c r="D16" s="26" t="s">
        <v>29</v>
      </c>
      <c r="E16" s="24">
        <f>+G16+K16</f>
        <v>540.29999999999995</v>
      </c>
      <c r="F16" s="166">
        <f t="shared" si="2"/>
        <v>540.20000000000005</v>
      </c>
      <c r="G16" s="27">
        <f>+G17+G18</f>
        <v>0</v>
      </c>
      <c r="H16" s="27"/>
      <c r="I16" s="27">
        <f>+I17+I18</f>
        <v>0</v>
      </c>
      <c r="J16" s="27"/>
      <c r="K16" s="27">
        <f t="shared" ref="K16:P16" si="4">+K17+K18</f>
        <v>540.29999999999995</v>
      </c>
      <c r="L16" s="27">
        <f t="shared" si="4"/>
        <v>0</v>
      </c>
      <c r="M16" s="27">
        <f t="shared" si="4"/>
        <v>0</v>
      </c>
      <c r="N16" s="27">
        <f t="shared" si="4"/>
        <v>0</v>
      </c>
      <c r="O16" s="27">
        <f t="shared" si="4"/>
        <v>0</v>
      </c>
      <c r="P16" s="27">
        <f t="shared" si="4"/>
        <v>540.20000000000005</v>
      </c>
      <c r="Q16" s="164"/>
      <c r="R16" s="164"/>
      <c r="S16" s="164"/>
    </row>
    <row r="17" spans="1:19" ht="26.4" x14ac:dyDescent="0.25">
      <c r="A17" s="11" t="s">
        <v>498</v>
      </c>
      <c r="B17" s="232"/>
      <c r="C17" s="144" t="s">
        <v>685</v>
      </c>
      <c r="D17" s="199"/>
      <c r="E17" s="18">
        <f t="shared" si="1"/>
        <v>480</v>
      </c>
      <c r="F17" s="166">
        <f t="shared" si="2"/>
        <v>480</v>
      </c>
      <c r="G17" s="18"/>
      <c r="H17" s="18"/>
      <c r="I17" s="18"/>
      <c r="J17" s="18"/>
      <c r="K17" s="18">
        <f>100+300+80</f>
        <v>480</v>
      </c>
      <c r="L17" s="14"/>
      <c r="M17" s="14"/>
      <c r="N17" s="14"/>
      <c r="P17" s="184">
        <v>480</v>
      </c>
      <c r="Q17" s="164"/>
      <c r="R17" s="164"/>
      <c r="S17" s="164"/>
    </row>
    <row r="18" spans="1:19" ht="26.4" x14ac:dyDescent="0.25">
      <c r="A18" s="11" t="s">
        <v>500</v>
      </c>
      <c r="B18" s="232"/>
      <c r="C18" s="144" t="s">
        <v>686</v>
      </c>
      <c r="D18" s="199"/>
      <c r="E18" s="18">
        <f t="shared" si="1"/>
        <v>60.3</v>
      </c>
      <c r="F18" s="166">
        <f t="shared" si="2"/>
        <v>60.2</v>
      </c>
      <c r="G18" s="18"/>
      <c r="H18" s="18"/>
      <c r="I18" s="18"/>
      <c r="J18" s="18"/>
      <c r="K18" s="18">
        <v>60.3</v>
      </c>
      <c r="L18" s="14"/>
      <c r="M18" s="14"/>
      <c r="N18" s="14"/>
      <c r="P18" s="184">
        <v>60.2</v>
      </c>
      <c r="Q18" s="164"/>
      <c r="R18" s="164"/>
      <c r="S18" s="164"/>
    </row>
    <row r="19" spans="1:19" ht="26.4" x14ac:dyDescent="0.25">
      <c r="A19" s="11">
        <v>6</v>
      </c>
      <c r="B19" s="232"/>
      <c r="C19" s="146" t="s">
        <v>687</v>
      </c>
      <c r="D19" s="199"/>
      <c r="E19" s="200">
        <f t="shared" si="1"/>
        <v>131.60000000000002</v>
      </c>
      <c r="F19" s="163">
        <f t="shared" si="2"/>
        <v>125.1</v>
      </c>
      <c r="G19" s="167">
        <f>+G20</f>
        <v>131.60000000000002</v>
      </c>
      <c r="H19" s="167">
        <f>+H20</f>
        <v>125.1</v>
      </c>
      <c r="I19" s="198">
        <f>+I20</f>
        <v>0</v>
      </c>
      <c r="J19" s="198"/>
      <c r="K19" s="198">
        <f>+K20</f>
        <v>0</v>
      </c>
      <c r="L19" s="14"/>
      <c r="M19" s="14"/>
      <c r="N19" s="14"/>
      <c r="P19" s="165"/>
      <c r="Q19" s="164"/>
      <c r="R19" s="164"/>
      <c r="S19" s="164"/>
    </row>
    <row r="20" spans="1:19" x14ac:dyDescent="0.25">
      <c r="A20" s="11">
        <v>7</v>
      </c>
      <c r="B20" s="232"/>
      <c r="C20" s="144" t="s">
        <v>688</v>
      </c>
      <c r="D20" s="199" t="s">
        <v>67</v>
      </c>
      <c r="E20" s="24">
        <f t="shared" si="1"/>
        <v>131.60000000000002</v>
      </c>
      <c r="F20" s="166">
        <f t="shared" si="2"/>
        <v>125.1</v>
      </c>
      <c r="G20" s="18">
        <f>41.7+89.9</f>
        <v>131.60000000000002</v>
      </c>
      <c r="H20" s="18">
        <v>125.1</v>
      </c>
      <c r="I20" s="18"/>
      <c r="J20" s="18"/>
      <c r="K20" s="18"/>
      <c r="L20" s="14"/>
      <c r="M20" s="14"/>
      <c r="N20" s="14"/>
      <c r="P20" s="165"/>
      <c r="Q20" s="164"/>
      <c r="R20" s="164"/>
      <c r="S20" s="164"/>
    </row>
    <row r="21" spans="1:19" ht="52.8" x14ac:dyDescent="0.25">
      <c r="A21" s="11">
        <v>8</v>
      </c>
      <c r="B21" s="232"/>
      <c r="C21" s="146" t="s">
        <v>689</v>
      </c>
      <c r="D21" s="199"/>
      <c r="E21" s="24">
        <f>+G21+K21</f>
        <v>3.8000000000000003</v>
      </c>
      <c r="F21" s="166">
        <f t="shared" si="2"/>
        <v>3.8000000000000003</v>
      </c>
      <c r="G21" s="18">
        <f>SUM(G22:G31)</f>
        <v>3.8000000000000003</v>
      </c>
      <c r="H21" s="18">
        <f>SUM(H22:H31)</f>
        <v>3.8000000000000003</v>
      </c>
      <c r="I21" s="18">
        <f>SUM(I22:I31)</f>
        <v>3.8000000000000003</v>
      </c>
      <c r="J21" s="18">
        <f>SUM(J22:J31)</f>
        <v>3.6</v>
      </c>
      <c r="K21" s="18">
        <f>SUM(K22:K31)</f>
        <v>0</v>
      </c>
      <c r="L21" s="18">
        <f t="shared" ref="L21:P21" si="5">SUM(L22:L31)</f>
        <v>0</v>
      </c>
      <c r="M21" s="18">
        <f t="shared" si="5"/>
        <v>0</v>
      </c>
      <c r="N21" s="18">
        <f t="shared" si="5"/>
        <v>0</v>
      </c>
      <c r="O21" s="18">
        <f t="shared" si="5"/>
        <v>0</v>
      </c>
      <c r="P21" s="18">
        <f t="shared" si="5"/>
        <v>0</v>
      </c>
      <c r="Q21" s="164"/>
      <c r="R21" s="164"/>
      <c r="S21" s="164"/>
    </row>
    <row r="22" spans="1:19" x14ac:dyDescent="0.25">
      <c r="A22" s="11">
        <v>9</v>
      </c>
      <c r="B22" s="232"/>
      <c r="C22" s="16" t="s">
        <v>19</v>
      </c>
      <c r="D22" s="232" t="s">
        <v>20</v>
      </c>
      <c r="E22" s="18">
        <f>+G22+K22</f>
        <v>0.3</v>
      </c>
      <c r="F22" s="166">
        <f t="shared" si="2"/>
        <v>0.3</v>
      </c>
      <c r="G22" s="18">
        <v>0.3</v>
      </c>
      <c r="H22" s="18">
        <v>0.3</v>
      </c>
      <c r="I22" s="18">
        <v>0.3</v>
      </c>
      <c r="J22" s="18">
        <v>0.3</v>
      </c>
      <c r="K22" s="18"/>
      <c r="L22" s="14"/>
      <c r="M22" s="14"/>
      <c r="N22" s="14"/>
      <c r="P22" s="165"/>
      <c r="Q22" s="164"/>
      <c r="R22" s="164"/>
      <c r="S22" s="164"/>
    </row>
    <row r="23" spans="1:19" x14ac:dyDescent="0.25">
      <c r="A23" s="11">
        <v>10</v>
      </c>
      <c r="B23" s="232"/>
      <c r="C23" s="16" t="s">
        <v>21</v>
      </c>
      <c r="D23" s="232" t="s">
        <v>20</v>
      </c>
      <c r="E23" s="18">
        <f t="shared" ref="E23:E31" si="6">+G23+K23</f>
        <v>0.2</v>
      </c>
      <c r="F23" s="166">
        <f t="shared" si="2"/>
        <v>0.2</v>
      </c>
      <c r="G23" s="18">
        <v>0.2</v>
      </c>
      <c r="H23" s="18">
        <v>0.2</v>
      </c>
      <c r="I23" s="18">
        <v>0.2</v>
      </c>
      <c r="J23" s="18">
        <v>0.2</v>
      </c>
      <c r="K23" s="18"/>
      <c r="L23" s="14"/>
      <c r="M23" s="14"/>
      <c r="N23" s="14"/>
      <c r="P23" s="165"/>
      <c r="Q23" s="164"/>
      <c r="R23" s="164"/>
      <c r="S23" s="164"/>
    </row>
    <row r="24" spans="1:19" x14ac:dyDescent="0.25">
      <c r="A24" s="11">
        <v>11</v>
      </c>
      <c r="B24" s="232"/>
      <c r="C24" s="16" t="s">
        <v>23</v>
      </c>
      <c r="D24" s="232" t="s">
        <v>20</v>
      </c>
      <c r="E24" s="18">
        <f t="shared" si="6"/>
        <v>0.2</v>
      </c>
      <c r="F24" s="166">
        <f t="shared" si="2"/>
        <v>0.2</v>
      </c>
      <c r="G24" s="18">
        <v>0.2</v>
      </c>
      <c r="H24" s="18">
        <v>0.2</v>
      </c>
      <c r="I24" s="18">
        <v>0.2</v>
      </c>
      <c r="J24" s="18">
        <v>0.2</v>
      </c>
      <c r="K24" s="18"/>
      <c r="L24" s="14"/>
      <c r="M24" s="14"/>
      <c r="N24" s="14"/>
      <c r="P24" s="165"/>
      <c r="Q24" s="164"/>
      <c r="R24" s="164"/>
      <c r="S24" s="164"/>
    </row>
    <row r="25" spans="1:19" x14ac:dyDescent="0.25">
      <c r="A25" s="11">
        <v>12</v>
      </c>
      <c r="B25" s="232"/>
      <c r="C25" s="16" t="s">
        <v>24</v>
      </c>
      <c r="D25" s="232" t="s">
        <v>20</v>
      </c>
      <c r="E25" s="18">
        <f t="shared" si="6"/>
        <v>0.3</v>
      </c>
      <c r="F25" s="166">
        <f t="shared" si="2"/>
        <v>0.3</v>
      </c>
      <c r="G25" s="18">
        <v>0.3</v>
      </c>
      <c r="H25" s="18">
        <v>0.3</v>
      </c>
      <c r="I25" s="18">
        <v>0.3</v>
      </c>
      <c r="J25" s="18">
        <f>0.3-0.1</f>
        <v>0.19999999999999998</v>
      </c>
      <c r="K25" s="18"/>
      <c r="L25" s="14"/>
      <c r="M25" s="14"/>
      <c r="N25" s="14"/>
      <c r="P25" s="165"/>
      <c r="Q25" s="164"/>
      <c r="R25" s="164"/>
      <c r="S25" s="164"/>
    </row>
    <row r="26" spans="1:19" x14ac:dyDescent="0.25">
      <c r="A26" s="11">
        <v>13</v>
      </c>
      <c r="B26" s="232"/>
      <c r="C26" s="16" t="s">
        <v>28</v>
      </c>
      <c r="D26" s="26" t="s">
        <v>29</v>
      </c>
      <c r="E26" s="18">
        <f t="shared" si="6"/>
        <v>0.6</v>
      </c>
      <c r="F26" s="166">
        <f t="shared" si="2"/>
        <v>0.6</v>
      </c>
      <c r="G26" s="18">
        <v>0.6</v>
      </c>
      <c r="H26" s="18">
        <v>0.6</v>
      </c>
      <c r="I26" s="18">
        <v>0.6</v>
      </c>
      <c r="J26" s="18">
        <v>0.6</v>
      </c>
      <c r="K26" s="18"/>
      <c r="L26" s="14"/>
      <c r="M26" s="14"/>
      <c r="N26" s="14"/>
      <c r="P26" s="165"/>
      <c r="Q26" s="164"/>
      <c r="R26" s="164"/>
      <c r="S26" s="164"/>
    </row>
    <row r="27" spans="1:19" ht="26.4" x14ac:dyDescent="0.25">
      <c r="A27" s="11">
        <v>14</v>
      </c>
      <c r="B27" s="232"/>
      <c r="C27" s="20" t="s">
        <v>36</v>
      </c>
      <c r="D27" s="232" t="s">
        <v>37</v>
      </c>
      <c r="E27" s="18">
        <f t="shared" si="6"/>
        <v>0.5</v>
      </c>
      <c r="F27" s="166">
        <f t="shared" si="2"/>
        <v>0.5</v>
      </c>
      <c r="G27" s="18">
        <v>0.5</v>
      </c>
      <c r="H27" s="18">
        <v>0.5</v>
      </c>
      <c r="I27" s="18">
        <v>0.5</v>
      </c>
      <c r="J27" s="18">
        <v>0.5</v>
      </c>
      <c r="K27" s="18"/>
      <c r="L27" s="14"/>
      <c r="M27" s="14"/>
      <c r="N27" s="14"/>
      <c r="P27" s="165"/>
      <c r="Q27" s="164"/>
      <c r="R27" s="164"/>
      <c r="S27" s="164"/>
    </row>
    <row r="28" spans="1:19" x14ac:dyDescent="0.25">
      <c r="A28" s="11">
        <v>15</v>
      </c>
      <c r="B28" s="232"/>
      <c r="C28" s="16" t="s">
        <v>38</v>
      </c>
      <c r="D28" s="26" t="s">
        <v>37</v>
      </c>
      <c r="E28" s="18">
        <f t="shared" si="6"/>
        <v>0.5</v>
      </c>
      <c r="F28" s="166">
        <f t="shared" si="2"/>
        <v>0.5</v>
      </c>
      <c r="G28" s="18">
        <v>0.5</v>
      </c>
      <c r="H28" s="18">
        <v>0.5</v>
      </c>
      <c r="I28" s="18">
        <v>0.5</v>
      </c>
      <c r="J28" s="18">
        <v>0.5</v>
      </c>
      <c r="K28" s="18"/>
      <c r="L28" s="14"/>
      <c r="M28" s="14"/>
      <c r="N28" s="14"/>
      <c r="P28" s="165"/>
      <c r="Q28" s="164"/>
      <c r="R28" s="164"/>
      <c r="S28" s="164"/>
    </row>
    <row r="29" spans="1:19" x14ac:dyDescent="0.25">
      <c r="A29" s="11">
        <v>16</v>
      </c>
      <c r="B29" s="232"/>
      <c r="C29" s="20" t="s">
        <v>41</v>
      </c>
      <c r="D29" s="26" t="s">
        <v>37</v>
      </c>
      <c r="E29" s="18">
        <f t="shared" si="6"/>
        <v>0.2</v>
      </c>
      <c r="F29" s="166">
        <f t="shared" si="2"/>
        <v>0.2</v>
      </c>
      <c r="G29" s="18">
        <v>0.2</v>
      </c>
      <c r="H29" s="18">
        <v>0.2</v>
      </c>
      <c r="I29" s="18">
        <v>0.2</v>
      </c>
      <c r="J29" s="18">
        <v>0.2</v>
      </c>
      <c r="K29" s="18"/>
      <c r="L29" s="14"/>
      <c r="M29" s="14"/>
      <c r="N29" s="14"/>
      <c r="P29" s="165"/>
      <c r="Q29" s="164"/>
      <c r="R29" s="164"/>
      <c r="S29" s="164"/>
    </row>
    <row r="30" spans="1:19" ht="26.4" x14ac:dyDescent="0.25">
      <c r="A30" s="11">
        <v>17</v>
      </c>
      <c r="B30" s="232"/>
      <c r="C30" s="20" t="s">
        <v>47</v>
      </c>
      <c r="D30" s="47" t="s">
        <v>37</v>
      </c>
      <c r="E30" s="18">
        <f t="shared" si="6"/>
        <v>0.5</v>
      </c>
      <c r="F30" s="166">
        <f t="shared" si="2"/>
        <v>0.5</v>
      </c>
      <c r="G30" s="18">
        <v>0.5</v>
      </c>
      <c r="H30" s="18">
        <v>0.5</v>
      </c>
      <c r="I30" s="18">
        <v>0.5</v>
      </c>
      <c r="J30" s="18">
        <f>0.5-0.1</f>
        <v>0.4</v>
      </c>
      <c r="K30" s="18"/>
      <c r="L30" s="14"/>
      <c r="M30" s="14"/>
      <c r="N30" s="14"/>
      <c r="P30" s="165"/>
      <c r="Q30" s="164"/>
      <c r="R30" s="164"/>
      <c r="S30" s="164"/>
    </row>
    <row r="31" spans="1:19" ht="79.2" x14ac:dyDescent="0.25">
      <c r="A31" s="11">
        <v>18</v>
      </c>
      <c r="B31" s="232"/>
      <c r="C31" s="16" t="s">
        <v>54</v>
      </c>
      <c r="D31" s="233" t="s">
        <v>55</v>
      </c>
      <c r="E31" s="18">
        <f t="shared" si="6"/>
        <v>0.5</v>
      </c>
      <c r="F31" s="166">
        <f t="shared" si="2"/>
        <v>0.5</v>
      </c>
      <c r="G31" s="18">
        <v>0.5</v>
      </c>
      <c r="H31" s="18">
        <v>0.5</v>
      </c>
      <c r="I31" s="18">
        <v>0.5</v>
      </c>
      <c r="J31" s="18">
        <v>0.5</v>
      </c>
      <c r="K31" s="18"/>
      <c r="L31" s="14"/>
      <c r="M31" s="14"/>
      <c r="N31" s="14"/>
      <c r="P31" s="165"/>
      <c r="Q31" s="164"/>
      <c r="R31" s="164"/>
      <c r="S31" s="164"/>
    </row>
    <row r="32" spans="1:19" ht="30.6" customHeight="1" x14ac:dyDescent="0.25">
      <c r="A32" s="11">
        <v>19</v>
      </c>
      <c r="B32" s="232"/>
      <c r="C32" s="146" t="s">
        <v>690</v>
      </c>
      <c r="D32" s="199"/>
      <c r="E32" s="24">
        <f>+G32+K32</f>
        <v>108</v>
      </c>
      <c r="F32" s="166">
        <f t="shared" si="2"/>
        <v>108</v>
      </c>
      <c r="G32" s="18">
        <f>SUM(G33:G45)</f>
        <v>108</v>
      </c>
      <c r="H32" s="18">
        <f>SUM(H33:H45)</f>
        <v>108</v>
      </c>
      <c r="I32" s="18">
        <f>SUM(I33:I45)</f>
        <v>0</v>
      </c>
      <c r="J32" s="18">
        <f>SUM(J33:J45)</f>
        <v>0</v>
      </c>
      <c r="K32" s="18">
        <f>SUM(K33:K45)</f>
        <v>0</v>
      </c>
      <c r="L32" s="18">
        <f t="shared" ref="L32:P32" si="7">SUM(L33:L45)</f>
        <v>0</v>
      </c>
      <c r="M32" s="18">
        <f t="shared" si="7"/>
        <v>0</v>
      </c>
      <c r="N32" s="18">
        <f t="shared" si="7"/>
        <v>0</v>
      </c>
      <c r="O32" s="18">
        <f t="shared" si="7"/>
        <v>0</v>
      </c>
      <c r="P32" s="18">
        <f t="shared" si="7"/>
        <v>0</v>
      </c>
      <c r="Q32" s="164"/>
      <c r="R32" s="164"/>
      <c r="S32" s="164"/>
    </row>
    <row r="33" spans="1:19" x14ac:dyDescent="0.25">
      <c r="A33" s="21">
        <v>20</v>
      </c>
      <c r="B33" s="22"/>
      <c r="C33" s="201" t="s">
        <v>21</v>
      </c>
      <c r="D33" s="22" t="s">
        <v>20</v>
      </c>
      <c r="E33" s="24">
        <f>+G33+K33</f>
        <v>4</v>
      </c>
      <c r="F33" s="166">
        <f t="shared" si="2"/>
        <v>4</v>
      </c>
      <c r="G33" s="24">
        <v>4</v>
      </c>
      <c r="H33" s="24">
        <v>4</v>
      </c>
      <c r="I33" s="24">
        <f>3.9-3.9</f>
        <v>0</v>
      </c>
      <c r="J33" s="24"/>
      <c r="K33" s="24"/>
      <c r="L33" s="14"/>
      <c r="M33" s="14"/>
      <c r="N33" s="14"/>
      <c r="P33" s="165"/>
      <c r="Q33" s="164"/>
      <c r="R33" s="164"/>
      <c r="S33" s="164"/>
    </row>
    <row r="34" spans="1:19" x14ac:dyDescent="0.25">
      <c r="A34" s="21">
        <v>21</v>
      </c>
      <c r="B34" s="22"/>
      <c r="C34" s="201" t="s">
        <v>23</v>
      </c>
      <c r="D34" s="22" t="s">
        <v>20</v>
      </c>
      <c r="E34" s="24">
        <f t="shared" ref="E34:E45" si="8">+G34+K34</f>
        <v>5.6</v>
      </c>
      <c r="F34" s="166">
        <f t="shared" si="2"/>
        <v>5.6</v>
      </c>
      <c r="G34" s="24">
        <f>4+1.6</f>
        <v>5.6</v>
      </c>
      <c r="H34" s="24">
        <v>5.6</v>
      </c>
      <c r="I34" s="24">
        <f>3.9-3.9</f>
        <v>0</v>
      </c>
      <c r="J34" s="24"/>
      <c r="K34" s="24"/>
      <c r="L34" s="14"/>
      <c r="M34" s="14"/>
      <c r="N34" s="14"/>
      <c r="P34" s="165"/>
      <c r="Q34" s="164"/>
      <c r="R34" s="164"/>
      <c r="S34" s="164"/>
    </row>
    <row r="35" spans="1:19" x14ac:dyDescent="0.25">
      <c r="A35" s="21">
        <v>22</v>
      </c>
      <c r="B35" s="22"/>
      <c r="C35" s="201" t="s">
        <v>24</v>
      </c>
      <c r="D35" s="22" t="s">
        <v>20</v>
      </c>
      <c r="E35" s="24">
        <f t="shared" si="8"/>
        <v>9.6999999999999993</v>
      </c>
      <c r="F35" s="166">
        <f t="shared" si="2"/>
        <v>9.6999999999999993</v>
      </c>
      <c r="G35" s="24">
        <v>9.6999999999999993</v>
      </c>
      <c r="H35" s="24">
        <v>9.6999999999999993</v>
      </c>
      <c r="I35" s="24">
        <f>9.6-9.6</f>
        <v>0</v>
      </c>
      <c r="J35" s="24"/>
      <c r="K35" s="24"/>
      <c r="L35" s="14"/>
      <c r="M35" s="14"/>
      <c r="N35" s="14"/>
      <c r="P35" s="165"/>
      <c r="Q35" s="164"/>
      <c r="R35" s="164"/>
      <c r="S35" s="164"/>
    </row>
    <row r="36" spans="1:19" x14ac:dyDescent="0.25">
      <c r="A36" s="21">
        <v>23</v>
      </c>
      <c r="B36" s="22"/>
      <c r="C36" s="201" t="s">
        <v>25</v>
      </c>
      <c r="D36" s="22" t="s">
        <v>20</v>
      </c>
      <c r="E36" s="24">
        <f t="shared" si="8"/>
        <v>6.6</v>
      </c>
      <c r="F36" s="166">
        <f t="shared" si="2"/>
        <v>6.6</v>
      </c>
      <c r="G36" s="24">
        <v>6.6</v>
      </c>
      <c r="H36" s="24">
        <v>6.6</v>
      </c>
      <c r="I36" s="24">
        <f>6.5-6.5</f>
        <v>0</v>
      </c>
      <c r="J36" s="24"/>
      <c r="K36" s="24"/>
      <c r="L36" s="14"/>
      <c r="M36" s="14"/>
      <c r="N36" s="14"/>
      <c r="P36" s="165"/>
      <c r="Q36" s="164"/>
      <c r="R36" s="164"/>
      <c r="S36" s="164"/>
    </row>
    <row r="37" spans="1:19" x14ac:dyDescent="0.25">
      <c r="A37" s="21">
        <v>24</v>
      </c>
      <c r="B37" s="22"/>
      <c r="C37" s="23" t="s">
        <v>26</v>
      </c>
      <c r="D37" s="188" t="s">
        <v>27</v>
      </c>
      <c r="E37" s="24">
        <f t="shared" si="8"/>
        <v>1</v>
      </c>
      <c r="F37" s="166">
        <f t="shared" si="2"/>
        <v>1</v>
      </c>
      <c r="G37" s="24">
        <v>1</v>
      </c>
      <c r="H37" s="24">
        <v>1</v>
      </c>
      <c r="I37" s="24">
        <f>1-1</f>
        <v>0</v>
      </c>
      <c r="J37" s="24"/>
      <c r="K37" s="24"/>
      <c r="L37" s="14"/>
      <c r="M37" s="14"/>
      <c r="N37" s="14"/>
      <c r="P37" s="165"/>
      <c r="Q37" s="164"/>
      <c r="R37" s="164"/>
      <c r="S37" s="164"/>
    </row>
    <row r="38" spans="1:19" x14ac:dyDescent="0.25">
      <c r="A38" s="21">
        <v>25</v>
      </c>
      <c r="B38" s="22"/>
      <c r="C38" s="23" t="s">
        <v>32</v>
      </c>
      <c r="D38" s="188" t="s">
        <v>29</v>
      </c>
      <c r="E38" s="24">
        <f t="shared" si="8"/>
        <v>0.79999999999999982</v>
      </c>
      <c r="F38" s="166">
        <f t="shared" si="2"/>
        <v>0.8</v>
      </c>
      <c r="G38" s="24">
        <f>7.1-6.3</f>
        <v>0.79999999999999982</v>
      </c>
      <c r="H38" s="24">
        <v>0.8</v>
      </c>
      <c r="I38" s="24">
        <f>7-0.8-6.2</f>
        <v>0</v>
      </c>
      <c r="J38" s="24"/>
      <c r="K38" s="24"/>
      <c r="L38" s="14"/>
      <c r="M38" s="14"/>
      <c r="N38" s="14"/>
      <c r="P38" s="165"/>
      <c r="Q38" s="164"/>
      <c r="R38" s="164"/>
      <c r="S38" s="164"/>
    </row>
    <row r="39" spans="1:19" x14ac:dyDescent="0.25">
      <c r="A39" s="21"/>
      <c r="B39" s="22"/>
      <c r="C39" s="23" t="s">
        <v>33</v>
      </c>
      <c r="D39" s="188" t="s">
        <v>29</v>
      </c>
      <c r="E39" s="24">
        <f t="shared" si="8"/>
        <v>9.6999999999999993</v>
      </c>
      <c r="F39" s="166">
        <f t="shared" si="2"/>
        <v>9.6999999999999993</v>
      </c>
      <c r="G39" s="24">
        <v>9.6999999999999993</v>
      </c>
      <c r="H39" s="24">
        <v>9.6999999999999993</v>
      </c>
      <c r="I39" s="24"/>
      <c r="J39" s="24"/>
      <c r="K39" s="24"/>
      <c r="L39" s="14"/>
      <c r="M39" s="14"/>
      <c r="N39" s="14"/>
      <c r="P39" s="165"/>
      <c r="Q39" s="164"/>
      <c r="R39" s="164"/>
      <c r="S39" s="164"/>
    </row>
    <row r="40" spans="1:19" ht="26.4" x14ac:dyDescent="0.25">
      <c r="A40" s="21">
        <v>26</v>
      </c>
      <c r="B40" s="22"/>
      <c r="C40" s="23" t="s">
        <v>36</v>
      </c>
      <c r="D40" s="22" t="s">
        <v>37</v>
      </c>
      <c r="E40" s="24">
        <f t="shared" si="8"/>
        <v>30.1</v>
      </c>
      <c r="F40" s="166">
        <f t="shared" si="2"/>
        <v>30.1</v>
      </c>
      <c r="G40" s="24">
        <v>30.1</v>
      </c>
      <c r="H40" s="24">
        <v>30.1</v>
      </c>
      <c r="I40" s="24">
        <f>29.7-29.7</f>
        <v>0</v>
      </c>
      <c r="J40" s="24"/>
      <c r="K40" s="24"/>
      <c r="L40" s="14"/>
      <c r="M40" s="14"/>
      <c r="N40" s="14"/>
      <c r="P40" s="165"/>
      <c r="Q40" s="164"/>
      <c r="R40" s="164"/>
      <c r="S40" s="164"/>
    </row>
    <row r="41" spans="1:19" x14ac:dyDescent="0.25">
      <c r="A41" s="21">
        <v>27</v>
      </c>
      <c r="B41" s="22"/>
      <c r="C41" s="201" t="s">
        <v>38</v>
      </c>
      <c r="D41" s="188" t="s">
        <v>37</v>
      </c>
      <c r="E41" s="24">
        <f t="shared" si="8"/>
        <v>2.5</v>
      </c>
      <c r="F41" s="166">
        <f t="shared" si="2"/>
        <v>2.5</v>
      </c>
      <c r="G41" s="24">
        <v>2.5</v>
      </c>
      <c r="H41" s="24">
        <v>2.5</v>
      </c>
      <c r="I41" s="24">
        <f>2.5-2.5</f>
        <v>0</v>
      </c>
      <c r="J41" s="24"/>
      <c r="K41" s="24"/>
      <c r="L41" s="14"/>
      <c r="M41" s="14"/>
      <c r="N41" s="14"/>
      <c r="P41" s="165"/>
      <c r="Q41" s="164"/>
      <c r="R41" s="164"/>
      <c r="S41" s="164"/>
    </row>
    <row r="42" spans="1:19" x14ac:dyDescent="0.25">
      <c r="A42" s="21">
        <v>28</v>
      </c>
      <c r="B42" s="22"/>
      <c r="C42" s="23" t="s">
        <v>39</v>
      </c>
      <c r="D42" s="22" t="s">
        <v>37</v>
      </c>
      <c r="E42" s="24">
        <f t="shared" si="8"/>
        <v>15.7</v>
      </c>
      <c r="F42" s="166">
        <f t="shared" si="2"/>
        <v>15.7</v>
      </c>
      <c r="G42" s="24">
        <v>15.7</v>
      </c>
      <c r="H42" s="24">
        <v>15.7</v>
      </c>
      <c r="I42" s="24">
        <f>15.5-15.5</f>
        <v>0</v>
      </c>
      <c r="J42" s="24"/>
      <c r="K42" s="24"/>
      <c r="L42" s="14"/>
      <c r="M42" s="14"/>
      <c r="N42" s="14"/>
      <c r="P42" s="165"/>
      <c r="Q42" s="164"/>
      <c r="R42" s="164"/>
      <c r="S42" s="164"/>
    </row>
    <row r="43" spans="1:19" x14ac:dyDescent="0.25">
      <c r="A43" s="21">
        <v>29</v>
      </c>
      <c r="B43" s="22"/>
      <c r="C43" s="23" t="s">
        <v>41</v>
      </c>
      <c r="D43" s="188" t="s">
        <v>37</v>
      </c>
      <c r="E43" s="24">
        <f t="shared" si="8"/>
        <v>5.7</v>
      </c>
      <c r="F43" s="166">
        <f t="shared" si="2"/>
        <v>5.7</v>
      </c>
      <c r="G43" s="24">
        <v>5.7</v>
      </c>
      <c r="H43" s="24">
        <v>5.7</v>
      </c>
      <c r="I43" s="24">
        <f>5.6-5.6</f>
        <v>0</v>
      </c>
      <c r="J43" s="24"/>
      <c r="K43" s="24"/>
      <c r="L43" s="14"/>
      <c r="M43" s="14"/>
      <c r="N43" s="14"/>
      <c r="P43" s="165"/>
      <c r="Q43" s="164"/>
      <c r="R43" s="164"/>
      <c r="S43" s="164"/>
    </row>
    <row r="44" spans="1:19" x14ac:dyDescent="0.25">
      <c r="A44" s="21">
        <v>30</v>
      </c>
      <c r="B44" s="22"/>
      <c r="C44" s="23" t="s">
        <v>44</v>
      </c>
      <c r="D44" s="22" t="s">
        <v>37</v>
      </c>
      <c r="E44" s="24">
        <f t="shared" si="8"/>
        <v>0</v>
      </c>
      <c r="F44" s="166">
        <f t="shared" si="2"/>
        <v>0</v>
      </c>
      <c r="G44" s="24">
        <f>8.5-8.5</f>
        <v>0</v>
      </c>
      <c r="H44" s="24">
        <v>0</v>
      </c>
      <c r="I44" s="24">
        <f>8.4-8.4</f>
        <v>0</v>
      </c>
      <c r="J44" s="24"/>
      <c r="K44" s="24"/>
      <c r="L44" s="14"/>
      <c r="M44" s="14"/>
      <c r="N44" s="14"/>
      <c r="P44" s="165"/>
      <c r="Q44" s="164"/>
      <c r="R44" s="164"/>
      <c r="S44" s="164"/>
    </row>
    <row r="45" spans="1:19" ht="79.2" x14ac:dyDescent="0.25">
      <c r="A45" s="21">
        <v>31</v>
      </c>
      <c r="B45" s="22"/>
      <c r="C45" s="23" t="s">
        <v>45</v>
      </c>
      <c r="D45" s="60" t="s">
        <v>46</v>
      </c>
      <c r="E45" s="24">
        <f t="shared" si="8"/>
        <v>16.600000000000001</v>
      </c>
      <c r="F45" s="166">
        <f t="shared" si="2"/>
        <v>16.600000000000001</v>
      </c>
      <c r="G45" s="24">
        <f>13.1+3.5</f>
        <v>16.600000000000001</v>
      </c>
      <c r="H45" s="24">
        <v>16.600000000000001</v>
      </c>
      <c r="I45" s="24">
        <f>12.9-12.9</f>
        <v>0</v>
      </c>
      <c r="J45" s="24"/>
      <c r="K45" s="24"/>
      <c r="L45" s="14"/>
      <c r="M45" s="14"/>
      <c r="N45" s="14"/>
      <c r="P45" s="165"/>
      <c r="Q45" s="164"/>
      <c r="R45" s="164"/>
      <c r="S45" s="164"/>
    </row>
    <row r="46" spans="1:19" x14ac:dyDescent="0.25">
      <c r="A46" s="11">
        <v>32</v>
      </c>
      <c r="B46" s="231" t="s">
        <v>93</v>
      </c>
      <c r="C46" s="42" t="s">
        <v>94</v>
      </c>
      <c r="D46" s="199"/>
      <c r="E46" s="43">
        <f>+G46+K46</f>
        <v>523.4</v>
      </c>
      <c r="F46" s="13">
        <f t="shared" si="2"/>
        <v>537.20000000000005</v>
      </c>
      <c r="G46" s="43">
        <f t="shared" ref="G46:J46" si="9">+G47+G51+G53</f>
        <v>23.4</v>
      </c>
      <c r="H46" s="43">
        <f t="shared" si="9"/>
        <v>37.5</v>
      </c>
      <c r="I46" s="43">
        <f t="shared" si="9"/>
        <v>0</v>
      </c>
      <c r="J46" s="43">
        <f t="shared" si="9"/>
        <v>0</v>
      </c>
      <c r="K46" s="43">
        <f>+K47+K51+K53</f>
        <v>500</v>
      </c>
      <c r="L46" s="43">
        <f t="shared" ref="L46:O46" si="10">+L47+L51</f>
        <v>0</v>
      </c>
      <c r="M46" s="43">
        <f t="shared" si="10"/>
        <v>0</v>
      </c>
      <c r="N46" s="43">
        <f t="shared" si="10"/>
        <v>0</v>
      </c>
      <c r="O46" s="43">
        <f t="shared" si="10"/>
        <v>0</v>
      </c>
      <c r="P46" s="43">
        <f>+P47+P51+P53</f>
        <v>499.7</v>
      </c>
      <c r="Q46" s="164"/>
      <c r="R46" s="164"/>
      <c r="S46" s="164"/>
    </row>
    <row r="47" spans="1:19" ht="26.4" x14ac:dyDescent="0.25">
      <c r="A47" s="11">
        <v>33</v>
      </c>
      <c r="B47" s="232"/>
      <c r="C47" s="146" t="s">
        <v>684</v>
      </c>
      <c r="D47" s="199"/>
      <c r="E47" s="200">
        <f>+G47+K47</f>
        <v>500</v>
      </c>
      <c r="F47" s="163">
        <f t="shared" si="2"/>
        <v>499.7</v>
      </c>
      <c r="G47" s="27">
        <f>+G48</f>
        <v>0</v>
      </c>
      <c r="H47" s="27"/>
      <c r="I47" s="27">
        <f>+I48</f>
        <v>0</v>
      </c>
      <c r="J47" s="27"/>
      <c r="K47" s="167">
        <f t="shared" ref="K47:P47" si="11">+K48</f>
        <v>500</v>
      </c>
      <c r="L47" s="167">
        <f t="shared" si="11"/>
        <v>0</v>
      </c>
      <c r="M47" s="167">
        <f t="shared" si="11"/>
        <v>0</v>
      </c>
      <c r="N47" s="167">
        <f t="shared" si="11"/>
        <v>0</v>
      </c>
      <c r="O47" s="167">
        <f t="shared" si="11"/>
        <v>0</v>
      </c>
      <c r="P47" s="167">
        <f t="shared" si="11"/>
        <v>499.7</v>
      </c>
      <c r="Q47" s="164"/>
      <c r="R47" s="164"/>
      <c r="S47" s="164"/>
    </row>
    <row r="48" spans="1:19" x14ac:dyDescent="0.25">
      <c r="A48" s="11">
        <v>34</v>
      </c>
      <c r="B48" s="232"/>
      <c r="C48" s="103" t="s">
        <v>505</v>
      </c>
      <c r="D48" s="199"/>
      <c r="E48" s="18">
        <f t="shared" si="1"/>
        <v>500</v>
      </c>
      <c r="F48" s="166">
        <f t="shared" si="2"/>
        <v>499.7</v>
      </c>
      <c r="G48" s="27">
        <f>+G49+G50</f>
        <v>0</v>
      </c>
      <c r="H48" s="27"/>
      <c r="I48" s="27">
        <f t="shared" ref="I48:P48" si="12">+I49+I50</f>
        <v>0</v>
      </c>
      <c r="J48" s="27"/>
      <c r="K48" s="27">
        <f t="shared" si="12"/>
        <v>500</v>
      </c>
      <c r="L48" s="27">
        <f t="shared" si="12"/>
        <v>0</v>
      </c>
      <c r="M48" s="27">
        <f t="shared" si="12"/>
        <v>0</v>
      </c>
      <c r="N48" s="27">
        <f t="shared" si="12"/>
        <v>0</v>
      </c>
      <c r="O48" s="27">
        <f t="shared" si="12"/>
        <v>0</v>
      </c>
      <c r="P48" s="27">
        <f t="shared" si="12"/>
        <v>499.7</v>
      </c>
      <c r="Q48" s="164"/>
      <c r="R48" s="164"/>
      <c r="S48" s="164"/>
    </row>
    <row r="49" spans="1:19" ht="30" customHeight="1" x14ac:dyDescent="0.25">
      <c r="A49" s="11" t="s">
        <v>691</v>
      </c>
      <c r="B49" s="232"/>
      <c r="C49" s="144" t="s">
        <v>692</v>
      </c>
      <c r="D49" s="199" t="s">
        <v>135</v>
      </c>
      <c r="E49" s="18">
        <f t="shared" si="1"/>
        <v>300</v>
      </c>
      <c r="F49" s="166">
        <f t="shared" si="2"/>
        <v>300</v>
      </c>
      <c r="G49" s="18"/>
      <c r="H49" s="18"/>
      <c r="I49" s="18"/>
      <c r="J49" s="18"/>
      <c r="K49" s="18">
        <v>300</v>
      </c>
      <c r="L49" s="14"/>
      <c r="M49" s="14"/>
      <c r="N49" s="14"/>
      <c r="P49" s="184">
        <v>300</v>
      </c>
      <c r="Q49" s="164"/>
      <c r="R49" s="164"/>
      <c r="S49" s="164"/>
    </row>
    <row r="50" spans="1:19" ht="39.6" x14ac:dyDescent="0.25">
      <c r="A50" s="11" t="s">
        <v>693</v>
      </c>
      <c r="B50" s="232"/>
      <c r="C50" s="144" t="s">
        <v>694</v>
      </c>
      <c r="D50" s="199" t="s">
        <v>135</v>
      </c>
      <c r="E50" s="18">
        <f t="shared" si="1"/>
        <v>200</v>
      </c>
      <c r="F50" s="166">
        <f t="shared" si="2"/>
        <v>199.7</v>
      </c>
      <c r="G50" s="18"/>
      <c r="H50" s="18"/>
      <c r="I50" s="18"/>
      <c r="J50" s="18"/>
      <c r="K50" s="18">
        <v>200</v>
      </c>
      <c r="L50" s="14"/>
      <c r="M50" s="14"/>
      <c r="N50" s="14"/>
      <c r="P50" s="184">
        <v>199.7</v>
      </c>
      <c r="Q50" s="164"/>
      <c r="R50" s="164"/>
      <c r="S50" s="164"/>
    </row>
    <row r="51" spans="1:19" x14ac:dyDescent="0.25">
      <c r="A51" s="11">
        <v>35</v>
      </c>
      <c r="B51" s="232"/>
      <c r="C51" s="146" t="s">
        <v>695</v>
      </c>
      <c r="D51" s="199"/>
      <c r="E51" s="200">
        <f>+E52</f>
        <v>23.4</v>
      </c>
      <c r="F51" s="163">
        <f t="shared" si="2"/>
        <v>23.4</v>
      </c>
      <c r="G51" s="167">
        <f t="shared" ref="G51:O51" si="13">+G52</f>
        <v>23.4</v>
      </c>
      <c r="H51" s="167">
        <f t="shared" si="13"/>
        <v>23.4</v>
      </c>
      <c r="I51" s="167"/>
      <c r="J51" s="167"/>
      <c r="K51" s="167"/>
      <c r="L51" s="167">
        <f t="shared" si="13"/>
        <v>0</v>
      </c>
      <c r="M51" s="167">
        <f t="shared" si="13"/>
        <v>0</v>
      </c>
      <c r="N51" s="167">
        <f t="shared" si="13"/>
        <v>0</v>
      </c>
      <c r="O51" s="167">
        <f t="shared" si="13"/>
        <v>0</v>
      </c>
      <c r="P51" s="167"/>
      <c r="Q51" s="164"/>
      <c r="R51" s="164"/>
      <c r="S51" s="164"/>
    </row>
    <row r="52" spans="1:19" ht="26.4" x14ac:dyDescent="0.25">
      <c r="A52" s="11">
        <v>36</v>
      </c>
      <c r="B52" s="232"/>
      <c r="C52" s="144" t="s">
        <v>473</v>
      </c>
      <c r="D52" s="199" t="s">
        <v>474</v>
      </c>
      <c r="E52" s="24">
        <f>+G52+K52</f>
        <v>23.4</v>
      </c>
      <c r="F52" s="166">
        <f t="shared" si="2"/>
        <v>23.4</v>
      </c>
      <c r="G52" s="18">
        <v>23.4</v>
      </c>
      <c r="H52" s="18">
        <v>23.4</v>
      </c>
      <c r="I52" s="18"/>
      <c r="J52" s="18"/>
      <c r="K52" s="18"/>
      <c r="L52" s="14"/>
      <c r="M52" s="14"/>
      <c r="N52" s="14"/>
      <c r="P52" s="165"/>
      <c r="Q52" s="164"/>
      <c r="R52" s="164"/>
      <c r="S52" s="164"/>
    </row>
    <row r="53" spans="1:19" ht="13.95" customHeight="1" x14ac:dyDescent="0.25">
      <c r="A53" s="11">
        <v>37</v>
      </c>
      <c r="B53" s="272"/>
      <c r="C53" s="146" t="s">
        <v>760</v>
      </c>
      <c r="D53" s="199"/>
      <c r="E53" s="24">
        <f t="shared" ref="E53:E54" si="14">+G53+K53</f>
        <v>0</v>
      </c>
      <c r="F53" s="166">
        <f t="shared" si="2"/>
        <v>14.1</v>
      </c>
      <c r="G53" s="18">
        <f>+G54</f>
        <v>0</v>
      </c>
      <c r="H53" s="18">
        <f>+H54</f>
        <v>14.1</v>
      </c>
      <c r="I53" s="18"/>
      <c r="J53" s="18"/>
      <c r="K53" s="18"/>
      <c r="L53" s="14"/>
      <c r="M53" s="14"/>
      <c r="N53" s="14"/>
      <c r="P53" s="165"/>
      <c r="Q53" s="164"/>
      <c r="R53" s="164"/>
      <c r="S53" s="164"/>
    </row>
    <row r="54" spans="1:19" x14ac:dyDescent="0.25">
      <c r="A54" s="11">
        <v>38</v>
      </c>
      <c r="B54" s="272"/>
      <c r="C54" s="144" t="s">
        <v>688</v>
      </c>
      <c r="D54" s="199" t="s">
        <v>135</v>
      </c>
      <c r="E54" s="24">
        <f t="shared" si="14"/>
        <v>0</v>
      </c>
      <c r="F54" s="166">
        <f t="shared" si="2"/>
        <v>14.1</v>
      </c>
      <c r="G54" s="18">
        <v>0</v>
      </c>
      <c r="H54" s="18">
        <v>14.1</v>
      </c>
      <c r="I54" s="18"/>
      <c r="J54" s="18"/>
      <c r="K54" s="18"/>
      <c r="L54" s="14"/>
      <c r="M54" s="14"/>
      <c r="N54" s="14"/>
      <c r="P54" s="165"/>
      <c r="Q54" s="164"/>
      <c r="R54" s="164"/>
      <c r="S54" s="164"/>
    </row>
    <row r="55" spans="1:19" ht="17.25" customHeight="1" x14ac:dyDescent="0.25">
      <c r="A55" s="11">
        <v>39</v>
      </c>
      <c r="B55" s="231" t="s">
        <v>141</v>
      </c>
      <c r="C55" s="202" t="s">
        <v>142</v>
      </c>
      <c r="D55" s="199"/>
      <c r="E55" s="43">
        <f t="shared" si="1"/>
        <v>831.6</v>
      </c>
      <c r="F55" s="13">
        <f t="shared" si="2"/>
        <v>821.5</v>
      </c>
      <c r="G55" s="43">
        <f>+G56+G59+G65</f>
        <v>581.6</v>
      </c>
      <c r="H55" s="43">
        <f>+H56+H59+H65</f>
        <v>581.6</v>
      </c>
      <c r="I55" s="43">
        <f t="shared" ref="I55:P55" si="15">+I56+I59+I65</f>
        <v>69.8</v>
      </c>
      <c r="J55" s="43">
        <f t="shared" si="15"/>
        <v>69.699999999999989</v>
      </c>
      <c r="K55" s="43">
        <f t="shared" si="15"/>
        <v>250</v>
      </c>
      <c r="L55" s="43">
        <f t="shared" si="15"/>
        <v>0</v>
      </c>
      <c r="M55" s="43">
        <f t="shared" si="15"/>
        <v>0</v>
      </c>
      <c r="N55" s="43">
        <f t="shared" si="15"/>
        <v>0</v>
      </c>
      <c r="O55" s="43">
        <f t="shared" si="15"/>
        <v>0</v>
      </c>
      <c r="P55" s="43">
        <f t="shared" si="15"/>
        <v>239.9</v>
      </c>
      <c r="Q55" s="164"/>
      <c r="R55" s="164"/>
      <c r="S55" s="164"/>
    </row>
    <row r="56" spans="1:19" ht="26.4" x14ac:dyDescent="0.25">
      <c r="A56" s="11">
        <v>40</v>
      </c>
      <c r="B56" s="232"/>
      <c r="C56" s="146" t="s">
        <v>684</v>
      </c>
      <c r="D56" s="199"/>
      <c r="E56" s="200">
        <f t="shared" si="1"/>
        <v>250</v>
      </c>
      <c r="F56" s="163">
        <f t="shared" si="2"/>
        <v>239.9</v>
      </c>
      <c r="G56" s="27">
        <f t="shared" ref="G56:P57" si="16">+G57</f>
        <v>0</v>
      </c>
      <c r="H56" s="27"/>
      <c r="I56" s="27">
        <f t="shared" si="16"/>
        <v>0</v>
      </c>
      <c r="J56" s="27"/>
      <c r="K56" s="167">
        <f t="shared" si="16"/>
        <v>250</v>
      </c>
      <c r="L56" s="167">
        <f t="shared" si="16"/>
        <v>0</v>
      </c>
      <c r="M56" s="167">
        <f t="shared" si="16"/>
        <v>0</v>
      </c>
      <c r="N56" s="167">
        <f t="shared" si="16"/>
        <v>0</v>
      </c>
      <c r="O56" s="167">
        <f t="shared" si="16"/>
        <v>0</v>
      </c>
      <c r="P56" s="167">
        <f t="shared" si="16"/>
        <v>239.9</v>
      </c>
      <c r="Q56" s="164"/>
      <c r="R56" s="164"/>
      <c r="S56" s="164"/>
    </row>
    <row r="57" spans="1:19" ht="18.600000000000001" customHeight="1" x14ac:dyDescent="0.25">
      <c r="A57" s="11">
        <v>41</v>
      </c>
      <c r="B57" s="232"/>
      <c r="C57" s="144" t="s">
        <v>505</v>
      </c>
      <c r="D57" s="199"/>
      <c r="E57" s="18">
        <f t="shared" si="1"/>
        <v>250</v>
      </c>
      <c r="F57" s="166">
        <f t="shared" si="2"/>
        <v>239.9</v>
      </c>
      <c r="G57" s="27">
        <f t="shared" si="16"/>
        <v>0</v>
      </c>
      <c r="H57" s="27"/>
      <c r="I57" s="27">
        <f t="shared" si="16"/>
        <v>0</v>
      </c>
      <c r="J57" s="27"/>
      <c r="K57" s="18">
        <f t="shared" si="16"/>
        <v>250</v>
      </c>
      <c r="L57" s="18">
        <f t="shared" si="16"/>
        <v>0</v>
      </c>
      <c r="M57" s="18">
        <f t="shared" si="16"/>
        <v>0</v>
      </c>
      <c r="N57" s="18">
        <f t="shared" si="16"/>
        <v>0</v>
      </c>
      <c r="O57" s="18">
        <f t="shared" si="16"/>
        <v>0</v>
      </c>
      <c r="P57" s="18">
        <f t="shared" si="16"/>
        <v>239.9</v>
      </c>
      <c r="Q57" s="164"/>
      <c r="R57" s="164"/>
      <c r="S57" s="164"/>
    </row>
    <row r="58" spans="1:19" ht="26.4" x14ac:dyDescent="0.25">
      <c r="A58" s="11" t="s">
        <v>761</v>
      </c>
      <c r="B58" s="232"/>
      <c r="C58" s="144" t="s">
        <v>696</v>
      </c>
      <c r="D58" s="199" t="s">
        <v>148</v>
      </c>
      <c r="E58" s="18">
        <f t="shared" si="1"/>
        <v>250</v>
      </c>
      <c r="F58" s="166">
        <f t="shared" si="2"/>
        <v>239.9</v>
      </c>
      <c r="G58" s="18"/>
      <c r="H58" s="18"/>
      <c r="I58" s="18"/>
      <c r="J58" s="18"/>
      <c r="K58" s="18">
        <v>250</v>
      </c>
      <c r="L58" s="14"/>
      <c r="M58" s="14"/>
      <c r="N58" s="14"/>
      <c r="P58" s="184">
        <v>239.9</v>
      </c>
      <c r="Q58" s="164"/>
      <c r="R58" s="164"/>
      <c r="S58" s="164"/>
    </row>
    <row r="59" spans="1:19" ht="66" x14ac:dyDescent="0.25">
      <c r="A59" s="11">
        <v>42</v>
      </c>
      <c r="B59" s="232"/>
      <c r="C59" s="146" t="s">
        <v>697</v>
      </c>
      <c r="D59" s="199"/>
      <c r="E59" s="200">
        <f t="shared" si="1"/>
        <v>70.8</v>
      </c>
      <c r="F59" s="166">
        <f t="shared" si="2"/>
        <v>70.8</v>
      </c>
      <c r="G59" s="167">
        <f>+G60+G61+G62+G63+G64</f>
        <v>70.8</v>
      </c>
      <c r="H59" s="167">
        <f>+H60+H61+H62+H63+H64</f>
        <v>70.8</v>
      </c>
      <c r="I59" s="167">
        <f>+I60+I61+I62+I63+I64</f>
        <v>69.8</v>
      </c>
      <c r="J59" s="167">
        <f>+J60+J61+J62+J63+J64</f>
        <v>69.699999999999989</v>
      </c>
      <c r="K59" s="167">
        <f>+K60+K61+K62+K63+K64</f>
        <v>0</v>
      </c>
      <c r="L59" s="167">
        <f t="shared" ref="L59:P59" si="17">+L60+L61+L62+L63+L64</f>
        <v>0</v>
      </c>
      <c r="M59" s="167">
        <f t="shared" si="17"/>
        <v>0</v>
      </c>
      <c r="N59" s="167">
        <f t="shared" si="17"/>
        <v>0</v>
      </c>
      <c r="O59" s="167">
        <f t="shared" si="17"/>
        <v>0</v>
      </c>
      <c r="P59" s="167">
        <f t="shared" si="17"/>
        <v>0</v>
      </c>
      <c r="Q59" s="164"/>
      <c r="R59" s="164"/>
      <c r="S59" s="164"/>
    </row>
    <row r="60" spans="1:19" ht="79.2" x14ac:dyDescent="0.25">
      <c r="A60" s="11">
        <v>43</v>
      </c>
      <c r="B60" s="232"/>
      <c r="C60" s="16" t="s">
        <v>143</v>
      </c>
      <c r="D60" s="53" t="s">
        <v>144</v>
      </c>
      <c r="E60" s="18">
        <f t="shared" si="1"/>
        <v>24.4</v>
      </c>
      <c r="F60" s="166">
        <f t="shared" si="2"/>
        <v>24.4</v>
      </c>
      <c r="G60" s="18">
        <v>24.4</v>
      </c>
      <c r="H60" s="18">
        <v>24.4</v>
      </c>
      <c r="I60" s="18">
        <v>24.1</v>
      </c>
      <c r="J60" s="18">
        <v>24</v>
      </c>
      <c r="K60" s="18"/>
      <c r="L60" s="14"/>
      <c r="M60" s="14"/>
      <c r="N60" s="14"/>
      <c r="P60" s="165"/>
      <c r="Q60" s="164"/>
      <c r="R60" s="164"/>
      <c r="S60" s="164"/>
    </row>
    <row r="61" spans="1:19" x14ac:dyDescent="0.25">
      <c r="A61" s="11">
        <v>44</v>
      </c>
      <c r="B61" s="232"/>
      <c r="C61" s="203" t="s">
        <v>147</v>
      </c>
      <c r="D61" s="204" t="s">
        <v>148</v>
      </c>
      <c r="E61" s="18">
        <f t="shared" si="1"/>
        <v>12.1</v>
      </c>
      <c r="F61" s="166">
        <f t="shared" si="2"/>
        <v>12.1</v>
      </c>
      <c r="G61" s="18">
        <v>12.1</v>
      </c>
      <c r="H61" s="18">
        <v>12.1</v>
      </c>
      <c r="I61" s="18">
        <v>11.9</v>
      </c>
      <c r="J61" s="18">
        <v>11.9</v>
      </c>
      <c r="K61" s="18"/>
      <c r="L61" s="14"/>
      <c r="M61" s="14"/>
      <c r="N61" s="14"/>
      <c r="P61" s="165"/>
      <c r="Q61" s="164"/>
      <c r="R61" s="164"/>
      <c r="S61" s="164"/>
    </row>
    <row r="62" spans="1:19" ht="26.4" x14ac:dyDescent="0.25">
      <c r="A62" s="11">
        <v>45</v>
      </c>
      <c r="B62" s="232"/>
      <c r="C62" s="205" t="s">
        <v>56</v>
      </c>
      <c r="D62" s="233" t="s">
        <v>149</v>
      </c>
      <c r="E62" s="18">
        <f t="shared" si="1"/>
        <v>7</v>
      </c>
      <c r="F62" s="166">
        <f t="shared" si="2"/>
        <v>7</v>
      </c>
      <c r="G62" s="18">
        <v>7</v>
      </c>
      <c r="H62" s="18">
        <v>7</v>
      </c>
      <c r="I62" s="18">
        <v>6.9</v>
      </c>
      <c r="J62" s="18">
        <v>6.9</v>
      </c>
      <c r="K62" s="18"/>
      <c r="L62" s="14"/>
      <c r="M62" s="14"/>
      <c r="N62" s="14"/>
      <c r="P62" s="165"/>
      <c r="Q62" s="164"/>
      <c r="R62" s="164"/>
      <c r="S62" s="164"/>
    </row>
    <row r="63" spans="1:19" ht="26.4" x14ac:dyDescent="0.25">
      <c r="A63" s="11">
        <v>46</v>
      </c>
      <c r="B63" s="232"/>
      <c r="C63" s="205" t="s">
        <v>57</v>
      </c>
      <c r="D63" s="52" t="s">
        <v>148</v>
      </c>
      <c r="E63" s="18">
        <f t="shared" si="1"/>
        <v>11.6</v>
      </c>
      <c r="F63" s="166">
        <f t="shared" si="2"/>
        <v>11.6</v>
      </c>
      <c r="G63" s="18">
        <v>11.6</v>
      </c>
      <c r="H63" s="18">
        <v>11.6</v>
      </c>
      <c r="I63" s="18">
        <v>11.4</v>
      </c>
      <c r="J63" s="18">
        <f>11.4</f>
        <v>11.4</v>
      </c>
      <c r="K63" s="18"/>
      <c r="L63" s="14"/>
      <c r="M63" s="14"/>
      <c r="N63" s="14"/>
      <c r="P63" s="165"/>
      <c r="Q63" s="164"/>
      <c r="R63" s="164"/>
      <c r="S63" s="164"/>
    </row>
    <row r="64" spans="1:19" x14ac:dyDescent="0.25">
      <c r="A64" s="11">
        <v>47</v>
      </c>
      <c r="B64" s="232"/>
      <c r="C64" s="16" t="s">
        <v>150</v>
      </c>
      <c r="D64" s="204" t="s">
        <v>151</v>
      </c>
      <c r="E64" s="18">
        <f t="shared" si="1"/>
        <v>15.7</v>
      </c>
      <c r="F64" s="166">
        <f t="shared" si="2"/>
        <v>15.7</v>
      </c>
      <c r="G64" s="18">
        <v>15.7</v>
      </c>
      <c r="H64" s="18">
        <v>15.7</v>
      </c>
      <c r="I64" s="18">
        <v>15.5</v>
      </c>
      <c r="J64" s="18">
        <v>15.5</v>
      </c>
      <c r="K64" s="18"/>
      <c r="L64" s="14"/>
      <c r="M64" s="14"/>
      <c r="N64" s="14"/>
      <c r="P64" s="165"/>
      <c r="Q64" s="164"/>
      <c r="R64" s="164"/>
      <c r="S64" s="164"/>
    </row>
    <row r="65" spans="1:19" ht="52.8" x14ac:dyDescent="0.25">
      <c r="A65" s="11">
        <v>48</v>
      </c>
      <c r="B65" s="232"/>
      <c r="C65" s="49" t="s">
        <v>698</v>
      </c>
      <c r="D65" s="2"/>
      <c r="E65" s="200">
        <f>+G65+K65</f>
        <v>510.8</v>
      </c>
      <c r="F65" s="163">
        <f t="shared" si="2"/>
        <v>510.8</v>
      </c>
      <c r="G65" s="167">
        <f>SUM(G66:G77)</f>
        <v>510.8</v>
      </c>
      <c r="H65" s="167">
        <f>SUM(H66:H77)</f>
        <v>510.8</v>
      </c>
      <c r="I65" s="167">
        <f>SUM(I66:I77)</f>
        <v>0</v>
      </c>
      <c r="J65" s="167">
        <f>SUM(J66:J77)</f>
        <v>0</v>
      </c>
      <c r="K65" s="167">
        <f>SUM(K66:K77)</f>
        <v>0</v>
      </c>
      <c r="L65" s="167">
        <f t="shared" ref="L65:P65" si="18">SUM(L66:L77)</f>
        <v>0</v>
      </c>
      <c r="M65" s="167">
        <f t="shared" si="18"/>
        <v>0</v>
      </c>
      <c r="N65" s="167">
        <f t="shared" si="18"/>
        <v>0</v>
      </c>
      <c r="O65" s="167">
        <f t="shared" si="18"/>
        <v>0</v>
      </c>
      <c r="P65" s="167">
        <f t="shared" si="18"/>
        <v>0</v>
      </c>
      <c r="Q65" s="164"/>
      <c r="R65" s="164"/>
      <c r="S65" s="164"/>
    </row>
    <row r="66" spans="1:19" ht="16.2" customHeight="1" x14ac:dyDescent="0.25">
      <c r="A66" s="21">
        <v>49</v>
      </c>
      <c r="B66" s="22"/>
      <c r="C66" s="23" t="s">
        <v>688</v>
      </c>
      <c r="D66" s="206" t="s">
        <v>164</v>
      </c>
      <c r="E66" s="24">
        <f t="shared" ref="E66:E77" si="19">+G66+K66</f>
        <v>74.400000000000006</v>
      </c>
      <c r="F66" s="166">
        <f t="shared" si="2"/>
        <v>74.400000000000006</v>
      </c>
      <c r="G66" s="24">
        <f>56.1+18.3</f>
        <v>74.400000000000006</v>
      </c>
      <c r="H66" s="24">
        <v>74.400000000000006</v>
      </c>
      <c r="I66" s="200"/>
      <c r="J66" s="200"/>
      <c r="K66" s="200"/>
      <c r="L66" s="170"/>
      <c r="M66" s="170"/>
      <c r="N66" s="170"/>
      <c r="O66" s="172"/>
      <c r="P66" s="171"/>
      <c r="Q66" s="207"/>
      <c r="R66" s="207"/>
      <c r="S66" s="164"/>
    </row>
    <row r="67" spans="1:19" ht="52.8" x14ac:dyDescent="0.25">
      <c r="A67" s="21">
        <v>50</v>
      </c>
      <c r="B67" s="22"/>
      <c r="C67" s="23" t="s">
        <v>191</v>
      </c>
      <c r="D67" s="60" t="s">
        <v>699</v>
      </c>
      <c r="E67" s="24">
        <f t="shared" si="19"/>
        <v>178.29999999999998</v>
      </c>
      <c r="F67" s="166">
        <f t="shared" si="2"/>
        <v>178.3</v>
      </c>
      <c r="G67" s="24">
        <f>172.7+11.6-6</f>
        <v>178.29999999999998</v>
      </c>
      <c r="H67" s="24">
        <v>178.3</v>
      </c>
      <c r="I67" s="24">
        <f>13.4-13.4</f>
        <v>0</v>
      </c>
      <c r="J67" s="24">
        <v>0</v>
      </c>
      <c r="K67" s="24"/>
      <c r="L67" s="170"/>
      <c r="M67" s="170"/>
      <c r="N67" s="170"/>
      <c r="O67" s="172"/>
      <c r="P67" s="171"/>
      <c r="Q67" s="207"/>
      <c r="R67" s="208"/>
      <c r="S67" s="164"/>
    </row>
    <row r="68" spans="1:19" ht="52.8" x14ac:dyDescent="0.25">
      <c r="A68" s="21">
        <v>51</v>
      </c>
      <c r="B68" s="22"/>
      <c r="C68" s="23" t="s">
        <v>193</v>
      </c>
      <c r="D68" s="60" t="s">
        <v>699</v>
      </c>
      <c r="E68" s="24">
        <f t="shared" si="19"/>
        <v>56</v>
      </c>
      <c r="F68" s="166">
        <f t="shared" si="2"/>
        <v>56</v>
      </c>
      <c r="G68" s="24">
        <f>69.5-11.2-2.3</f>
        <v>56</v>
      </c>
      <c r="H68" s="24">
        <v>56</v>
      </c>
      <c r="I68" s="24">
        <f>2.2-2.2</f>
        <v>0</v>
      </c>
      <c r="J68" s="24">
        <v>0</v>
      </c>
      <c r="K68" s="24"/>
      <c r="L68" s="170"/>
      <c r="M68" s="170"/>
      <c r="N68" s="170"/>
      <c r="O68" s="172"/>
      <c r="P68" s="171"/>
      <c r="Q68" s="207"/>
      <c r="R68" s="207"/>
      <c r="S68" s="164"/>
    </row>
    <row r="69" spans="1:19" ht="52.8" x14ac:dyDescent="0.25">
      <c r="A69" s="21">
        <v>52</v>
      </c>
      <c r="B69" s="22"/>
      <c r="C69" s="23" t="s">
        <v>195</v>
      </c>
      <c r="D69" s="60" t="s">
        <v>700</v>
      </c>
      <c r="E69" s="24">
        <f t="shared" si="19"/>
        <v>33.5</v>
      </c>
      <c r="F69" s="166">
        <f t="shared" si="2"/>
        <v>33.5</v>
      </c>
      <c r="G69" s="24">
        <f>36.8+1.2-4.5</f>
        <v>33.5</v>
      </c>
      <c r="H69" s="24">
        <v>33.5</v>
      </c>
      <c r="I69" s="24">
        <f>1.8-1.8</f>
        <v>0</v>
      </c>
      <c r="J69" s="24">
        <v>0</v>
      </c>
      <c r="K69" s="24"/>
      <c r="L69" s="170"/>
      <c r="M69" s="170"/>
      <c r="N69" s="170"/>
      <c r="O69" s="172"/>
      <c r="P69" s="171"/>
      <c r="Q69" s="207"/>
      <c r="R69" s="207"/>
      <c r="S69" s="164"/>
    </row>
    <row r="70" spans="1:19" ht="52.8" x14ac:dyDescent="0.25">
      <c r="A70" s="21">
        <v>53</v>
      </c>
      <c r="B70" s="22"/>
      <c r="C70" s="23" t="s">
        <v>196</v>
      </c>
      <c r="D70" s="60" t="s">
        <v>700</v>
      </c>
      <c r="E70" s="24">
        <f t="shared" si="19"/>
        <v>13.2</v>
      </c>
      <c r="F70" s="166">
        <f t="shared" si="2"/>
        <v>13.2</v>
      </c>
      <c r="G70" s="24">
        <f>19.2-6</f>
        <v>13.2</v>
      </c>
      <c r="H70" s="24">
        <v>13.2</v>
      </c>
      <c r="I70" s="24">
        <f>3.2-3.2</f>
        <v>0</v>
      </c>
      <c r="J70" s="24">
        <v>0</v>
      </c>
      <c r="K70" s="24"/>
      <c r="L70" s="170"/>
      <c r="M70" s="170"/>
      <c r="N70" s="170"/>
      <c r="O70" s="172"/>
      <c r="P70" s="171"/>
      <c r="Q70" s="207"/>
      <c r="R70" s="207"/>
      <c r="S70" s="164"/>
    </row>
    <row r="71" spans="1:19" ht="52.8" x14ac:dyDescent="0.25">
      <c r="A71" s="21">
        <v>54</v>
      </c>
      <c r="B71" s="22"/>
      <c r="C71" s="23" t="s">
        <v>197</v>
      </c>
      <c r="D71" s="60" t="s">
        <v>700</v>
      </c>
      <c r="E71" s="24">
        <f t="shared" si="19"/>
        <v>29.299999999999997</v>
      </c>
      <c r="F71" s="166">
        <f t="shared" si="2"/>
        <v>29.3</v>
      </c>
      <c r="G71" s="24">
        <f>62-30.1-2.6</f>
        <v>29.299999999999997</v>
      </c>
      <c r="H71" s="24">
        <v>29.3</v>
      </c>
      <c r="I71" s="24">
        <f>4.1-4.1</f>
        <v>0</v>
      </c>
      <c r="J71" s="24">
        <v>0</v>
      </c>
      <c r="K71" s="24"/>
      <c r="L71" s="170"/>
      <c r="M71" s="170"/>
      <c r="N71" s="170"/>
      <c r="O71" s="172"/>
      <c r="P71" s="171"/>
      <c r="Q71" s="207"/>
      <c r="R71" s="207"/>
      <c r="S71" s="164"/>
    </row>
    <row r="72" spans="1:19" ht="52.8" x14ac:dyDescent="0.25">
      <c r="A72" s="21">
        <v>55</v>
      </c>
      <c r="B72" s="22"/>
      <c r="C72" s="23" t="s">
        <v>198</v>
      </c>
      <c r="D72" s="60" t="s">
        <v>700</v>
      </c>
      <c r="E72" s="24">
        <f t="shared" si="19"/>
        <v>26.3</v>
      </c>
      <c r="F72" s="166">
        <f t="shared" si="2"/>
        <v>26.2</v>
      </c>
      <c r="G72" s="24">
        <f>31.6-3.6-1.7</f>
        <v>26.3</v>
      </c>
      <c r="H72" s="24">
        <v>26.2</v>
      </c>
      <c r="I72" s="24">
        <f>2.6-2.6</f>
        <v>0</v>
      </c>
      <c r="J72" s="24">
        <v>0</v>
      </c>
      <c r="K72" s="24"/>
      <c r="L72" s="170"/>
      <c r="M72" s="170"/>
      <c r="N72" s="170"/>
      <c r="O72" s="172"/>
      <c r="P72" s="171"/>
      <c r="Q72" s="207"/>
      <c r="R72" s="207"/>
      <c r="S72" s="164"/>
    </row>
    <row r="73" spans="1:19" ht="52.8" x14ac:dyDescent="0.25">
      <c r="A73" s="21">
        <v>56</v>
      </c>
      <c r="B73" s="22"/>
      <c r="C73" s="64" t="s">
        <v>199</v>
      </c>
      <c r="D73" s="60" t="s">
        <v>700</v>
      </c>
      <c r="E73" s="24">
        <f t="shared" si="19"/>
        <v>17.599999999999998</v>
      </c>
      <c r="F73" s="279">
        <f>+H73+P73</f>
        <v>17.7</v>
      </c>
      <c r="G73" s="24">
        <f>28.9-11.3</f>
        <v>17.599999999999998</v>
      </c>
      <c r="H73" s="24">
        <v>17.7</v>
      </c>
      <c r="I73" s="24">
        <f>1-1</f>
        <v>0</v>
      </c>
      <c r="J73" s="24">
        <v>0</v>
      </c>
      <c r="K73" s="24"/>
      <c r="L73" s="170"/>
      <c r="M73" s="170"/>
      <c r="N73" s="170"/>
      <c r="O73" s="172"/>
      <c r="P73" s="171"/>
      <c r="Q73" s="207"/>
      <c r="R73" s="207"/>
      <c r="S73" s="164"/>
    </row>
    <row r="74" spans="1:19" ht="52.8" x14ac:dyDescent="0.25">
      <c r="A74" s="21">
        <v>57</v>
      </c>
      <c r="B74" s="22"/>
      <c r="C74" s="23" t="s">
        <v>200</v>
      </c>
      <c r="D74" s="60" t="s">
        <v>700</v>
      </c>
      <c r="E74" s="24">
        <f t="shared" si="19"/>
        <v>26.200000000000003</v>
      </c>
      <c r="F74" s="279">
        <f t="shared" si="2"/>
        <v>26.3</v>
      </c>
      <c r="G74" s="24">
        <f>21.8+4.4</f>
        <v>26.200000000000003</v>
      </c>
      <c r="H74" s="24">
        <v>26.3</v>
      </c>
      <c r="I74" s="24">
        <f>4.1-4.1</f>
        <v>0</v>
      </c>
      <c r="J74" s="24">
        <v>0</v>
      </c>
      <c r="K74" s="24"/>
      <c r="L74" s="170"/>
      <c r="M74" s="170"/>
      <c r="N74" s="170"/>
      <c r="O74" s="172"/>
      <c r="P74" s="171"/>
      <c r="Q74" s="207"/>
      <c r="R74" s="207"/>
      <c r="S74" s="164"/>
    </row>
    <row r="75" spans="1:19" ht="52.8" x14ac:dyDescent="0.25">
      <c r="A75" s="21">
        <v>58</v>
      </c>
      <c r="B75" s="22"/>
      <c r="C75" s="23" t="s">
        <v>201</v>
      </c>
      <c r="D75" s="60" t="s">
        <v>700</v>
      </c>
      <c r="E75" s="24">
        <f>+G75+K75</f>
        <v>27.500000000000004</v>
      </c>
      <c r="F75" s="166">
        <f t="shared" si="2"/>
        <v>27.4</v>
      </c>
      <c r="G75" s="24">
        <f>28.1-1.9+1.3</f>
        <v>27.500000000000004</v>
      </c>
      <c r="H75" s="24">
        <v>27.4</v>
      </c>
      <c r="I75" s="24">
        <f>2.9-2.9</f>
        <v>0</v>
      </c>
      <c r="J75" s="24">
        <v>0</v>
      </c>
      <c r="K75" s="24"/>
      <c r="L75" s="170"/>
      <c r="M75" s="170"/>
      <c r="N75" s="170"/>
      <c r="O75" s="172"/>
      <c r="P75" s="171"/>
      <c r="Q75" s="207"/>
      <c r="R75" s="207"/>
      <c r="S75" s="164"/>
    </row>
    <row r="76" spans="1:19" ht="52.8" x14ac:dyDescent="0.25">
      <c r="A76" s="21">
        <v>59</v>
      </c>
      <c r="B76" s="22"/>
      <c r="C76" s="23" t="s">
        <v>202</v>
      </c>
      <c r="D76" s="60" t="s">
        <v>700</v>
      </c>
      <c r="E76" s="24">
        <f t="shared" si="19"/>
        <v>19.5</v>
      </c>
      <c r="F76" s="166">
        <f t="shared" si="2"/>
        <v>19.5</v>
      </c>
      <c r="G76" s="24">
        <f>11.1+8.4</f>
        <v>19.5</v>
      </c>
      <c r="H76" s="24">
        <v>19.5</v>
      </c>
      <c r="I76" s="24">
        <f>0.6-0.6</f>
        <v>0</v>
      </c>
      <c r="J76" s="24">
        <v>0</v>
      </c>
      <c r="K76" s="24"/>
      <c r="L76" s="170"/>
      <c r="M76" s="170"/>
      <c r="N76" s="170"/>
      <c r="O76" s="172"/>
      <c r="P76" s="171"/>
      <c r="Q76" s="207"/>
      <c r="R76" s="207"/>
      <c r="S76" s="164"/>
    </row>
    <row r="77" spans="1:19" ht="52.8" x14ac:dyDescent="0.25">
      <c r="A77" s="21">
        <v>60</v>
      </c>
      <c r="B77" s="22"/>
      <c r="C77" s="23" t="s">
        <v>203</v>
      </c>
      <c r="D77" s="60" t="s">
        <v>700</v>
      </c>
      <c r="E77" s="24">
        <f t="shared" si="19"/>
        <v>9</v>
      </c>
      <c r="F77" s="166">
        <f t="shared" si="2"/>
        <v>9</v>
      </c>
      <c r="G77" s="24">
        <f>29.1-17.6-2.5</f>
        <v>9</v>
      </c>
      <c r="H77" s="24">
        <v>9</v>
      </c>
      <c r="I77" s="24">
        <f>4.2-4.2</f>
        <v>0</v>
      </c>
      <c r="J77" s="24">
        <v>0</v>
      </c>
      <c r="K77" s="24"/>
      <c r="L77" s="170"/>
      <c r="M77" s="170"/>
      <c r="N77" s="170"/>
      <c r="O77" s="172"/>
      <c r="P77" s="171"/>
      <c r="Q77" s="207"/>
      <c r="R77" s="207"/>
      <c r="S77" s="164"/>
    </row>
    <row r="78" spans="1:19" ht="18" customHeight="1" x14ac:dyDescent="0.25">
      <c r="A78" s="11">
        <v>61</v>
      </c>
      <c r="B78" s="231" t="s">
        <v>204</v>
      </c>
      <c r="C78" s="42" t="s">
        <v>205</v>
      </c>
      <c r="D78" s="199"/>
      <c r="E78" s="43">
        <f t="shared" si="1"/>
        <v>934</v>
      </c>
      <c r="F78" s="13">
        <f t="shared" si="2"/>
        <v>934</v>
      </c>
      <c r="G78" s="209"/>
      <c r="H78" s="209"/>
      <c r="I78" s="209">
        <f t="shared" ref="G78:P80" si="20">+I79</f>
        <v>0</v>
      </c>
      <c r="J78" s="209"/>
      <c r="K78" s="43">
        <f t="shared" si="20"/>
        <v>934</v>
      </c>
      <c r="L78" s="43">
        <f t="shared" si="20"/>
        <v>0</v>
      </c>
      <c r="M78" s="43">
        <f t="shared" si="20"/>
        <v>0</v>
      </c>
      <c r="N78" s="43">
        <f t="shared" si="20"/>
        <v>0</v>
      </c>
      <c r="O78" s="43">
        <f t="shared" si="20"/>
        <v>0</v>
      </c>
      <c r="P78" s="43">
        <f t="shared" si="20"/>
        <v>934</v>
      </c>
      <c r="Q78" s="164"/>
      <c r="R78" s="164"/>
      <c r="S78" s="164"/>
    </row>
    <row r="79" spans="1:19" ht="28.2" customHeight="1" x14ac:dyDescent="0.25">
      <c r="A79" s="11">
        <v>62</v>
      </c>
      <c r="B79" s="232"/>
      <c r="C79" s="146" t="s">
        <v>684</v>
      </c>
      <c r="D79" s="199"/>
      <c r="E79" s="200">
        <f t="shared" si="1"/>
        <v>934</v>
      </c>
      <c r="F79" s="163">
        <f t="shared" ref="F79:F131" si="21">+H79+P79</f>
        <v>934</v>
      </c>
      <c r="G79" s="198">
        <f t="shared" si="20"/>
        <v>0</v>
      </c>
      <c r="H79" s="198"/>
      <c r="I79" s="198">
        <f t="shared" si="20"/>
        <v>0</v>
      </c>
      <c r="J79" s="198"/>
      <c r="K79" s="167">
        <f t="shared" si="20"/>
        <v>934</v>
      </c>
      <c r="L79" s="167">
        <f t="shared" si="20"/>
        <v>0</v>
      </c>
      <c r="M79" s="167">
        <f t="shared" si="20"/>
        <v>0</v>
      </c>
      <c r="N79" s="167">
        <f t="shared" si="20"/>
        <v>0</v>
      </c>
      <c r="O79" s="167">
        <f t="shared" si="20"/>
        <v>0</v>
      </c>
      <c r="P79" s="167">
        <f t="shared" si="20"/>
        <v>934</v>
      </c>
      <c r="Q79" s="164"/>
      <c r="R79" s="164"/>
      <c r="S79" s="164"/>
    </row>
    <row r="80" spans="1:19" ht="19.2" customHeight="1" x14ac:dyDescent="0.25">
      <c r="A80" s="11">
        <v>63</v>
      </c>
      <c r="B80" s="232"/>
      <c r="C80" s="103" t="s">
        <v>505</v>
      </c>
      <c r="D80" s="26" t="s">
        <v>210</v>
      </c>
      <c r="E80" s="18">
        <f t="shared" si="1"/>
        <v>934</v>
      </c>
      <c r="F80" s="166">
        <f t="shared" si="21"/>
        <v>934</v>
      </c>
      <c r="G80" s="27">
        <f t="shared" si="20"/>
        <v>0</v>
      </c>
      <c r="H80" s="27"/>
      <c r="I80" s="27">
        <f t="shared" si="20"/>
        <v>0</v>
      </c>
      <c r="J80" s="27"/>
      <c r="K80" s="18">
        <f t="shared" si="20"/>
        <v>934</v>
      </c>
      <c r="L80" s="18">
        <f t="shared" si="20"/>
        <v>0</v>
      </c>
      <c r="M80" s="18">
        <f t="shared" si="20"/>
        <v>0</v>
      </c>
      <c r="N80" s="18">
        <f t="shared" si="20"/>
        <v>0</v>
      </c>
      <c r="O80" s="18">
        <f t="shared" si="20"/>
        <v>0</v>
      </c>
      <c r="P80" s="18">
        <f t="shared" si="20"/>
        <v>934</v>
      </c>
      <c r="Q80" s="164"/>
      <c r="R80" s="164"/>
      <c r="S80" s="164"/>
    </row>
    <row r="81" spans="1:22" ht="26.4" x14ac:dyDescent="0.25">
      <c r="A81" s="11" t="s">
        <v>702</v>
      </c>
      <c r="B81" s="232"/>
      <c r="C81" s="144" t="s">
        <v>701</v>
      </c>
      <c r="D81" s="199"/>
      <c r="E81" s="18">
        <f t="shared" si="1"/>
        <v>934</v>
      </c>
      <c r="F81" s="166">
        <f t="shared" si="21"/>
        <v>934</v>
      </c>
      <c r="G81" s="18"/>
      <c r="H81" s="18"/>
      <c r="I81" s="18"/>
      <c r="J81" s="18"/>
      <c r="K81" s="18">
        <f>534+400</f>
        <v>934</v>
      </c>
      <c r="L81" s="14"/>
      <c r="M81" s="14"/>
      <c r="N81" s="14"/>
      <c r="P81" s="184">
        <v>934</v>
      </c>
      <c r="Q81" s="164"/>
      <c r="R81" s="164"/>
      <c r="S81" s="164"/>
    </row>
    <row r="82" spans="1:22" ht="18" customHeight="1" x14ac:dyDescent="0.25">
      <c r="A82" s="11">
        <v>64</v>
      </c>
      <c r="B82" s="231" t="s">
        <v>228</v>
      </c>
      <c r="C82" s="202" t="s">
        <v>229</v>
      </c>
      <c r="D82" s="199"/>
      <c r="E82" s="43">
        <f t="shared" si="1"/>
        <v>1865</v>
      </c>
      <c r="F82" s="13">
        <f t="shared" si="21"/>
        <v>1860.4</v>
      </c>
      <c r="G82" s="209">
        <f>+G83</f>
        <v>0</v>
      </c>
      <c r="H82" s="209"/>
      <c r="I82" s="209">
        <f>+I83</f>
        <v>0</v>
      </c>
      <c r="J82" s="209"/>
      <c r="K82" s="43">
        <f t="shared" ref="K82:P82" si="22">+K83</f>
        <v>1865</v>
      </c>
      <c r="L82" s="43">
        <f t="shared" si="22"/>
        <v>0</v>
      </c>
      <c r="M82" s="43">
        <f t="shared" si="22"/>
        <v>0</v>
      </c>
      <c r="N82" s="43">
        <f t="shared" si="22"/>
        <v>0</v>
      </c>
      <c r="O82" s="43">
        <f t="shared" si="22"/>
        <v>0</v>
      </c>
      <c r="P82" s="43">
        <f t="shared" si="22"/>
        <v>1860.4</v>
      </c>
      <c r="Q82" s="164"/>
      <c r="R82" s="164"/>
      <c r="S82" s="164"/>
    </row>
    <row r="83" spans="1:22" ht="26.4" customHeight="1" x14ac:dyDescent="0.25">
      <c r="A83" s="11">
        <v>65</v>
      </c>
      <c r="B83" s="231"/>
      <c r="C83" s="146" t="s">
        <v>684</v>
      </c>
      <c r="D83" s="199"/>
      <c r="E83" s="200">
        <f t="shared" si="1"/>
        <v>1865</v>
      </c>
      <c r="F83" s="163">
        <f t="shared" si="21"/>
        <v>1860.4</v>
      </c>
      <c r="G83" s="198">
        <f t="shared" ref="G83:P84" si="23">+G84</f>
        <v>0</v>
      </c>
      <c r="H83" s="198"/>
      <c r="I83" s="198">
        <f t="shared" si="23"/>
        <v>0</v>
      </c>
      <c r="J83" s="198"/>
      <c r="K83" s="167">
        <f t="shared" si="23"/>
        <v>1865</v>
      </c>
      <c r="L83" s="167">
        <f t="shared" si="23"/>
        <v>0</v>
      </c>
      <c r="M83" s="167">
        <f t="shared" si="23"/>
        <v>0</v>
      </c>
      <c r="N83" s="167">
        <f t="shared" si="23"/>
        <v>0</v>
      </c>
      <c r="O83" s="167">
        <f t="shared" si="23"/>
        <v>0</v>
      </c>
      <c r="P83" s="167">
        <f t="shared" si="23"/>
        <v>1860.4</v>
      </c>
      <c r="Q83" s="164"/>
      <c r="R83" s="164"/>
      <c r="S83" s="164"/>
    </row>
    <row r="84" spans="1:22" ht="18" customHeight="1" x14ac:dyDescent="0.25">
      <c r="A84" s="11">
        <v>66</v>
      </c>
      <c r="B84" s="232"/>
      <c r="C84" s="103" t="s">
        <v>505</v>
      </c>
      <c r="D84" s="199"/>
      <c r="E84" s="18">
        <f t="shared" si="1"/>
        <v>1865</v>
      </c>
      <c r="F84" s="166">
        <f>+H84+P84</f>
        <v>1860.4</v>
      </c>
      <c r="G84" s="27">
        <f t="shared" si="23"/>
        <v>0</v>
      </c>
      <c r="H84" s="27"/>
      <c r="I84" s="27">
        <f t="shared" si="23"/>
        <v>0</v>
      </c>
      <c r="J84" s="27"/>
      <c r="K84" s="18">
        <f t="shared" si="23"/>
        <v>1865</v>
      </c>
      <c r="L84" s="18">
        <f t="shared" si="23"/>
        <v>0</v>
      </c>
      <c r="M84" s="18">
        <f t="shared" si="23"/>
        <v>0</v>
      </c>
      <c r="N84" s="18">
        <f t="shared" si="23"/>
        <v>0</v>
      </c>
      <c r="O84" s="18">
        <f t="shared" si="23"/>
        <v>0</v>
      </c>
      <c r="P84" s="18">
        <f t="shared" si="23"/>
        <v>1860.4</v>
      </c>
      <c r="Q84" s="164"/>
      <c r="R84" s="164"/>
      <c r="S84" s="164"/>
    </row>
    <row r="85" spans="1:22" ht="30" customHeight="1" x14ac:dyDescent="0.25">
      <c r="A85" s="11" t="s">
        <v>762</v>
      </c>
      <c r="B85" s="232"/>
      <c r="C85" s="144" t="s">
        <v>703</v>
      </c>
      <c r="D85" s="199" t="s">
        <v>231</v>
      </c>
      <c r="E85" s="18">
        <f t="shared" si="1"/>
        <v>1865</v>
      </c>
      <c r="F85" s="166">
        <f t="shared" si="21"/>
        <v>1860.4</v>
      </c>
      <c r="G85" s="18"/>
      <c r="H85" s="18"/>
      <c r="I85" s="18"/>
      <c r="J85" s="18"/>
      <c r="K85" s="18">
        <v>1865</v>
      </c>
      <c r="L85" s="14"/>
      <c r="M85" s="14"/>
      <c r="N85" s="14"/>
      <c r="P85" s="184">
        <v>1860.4</v>
      </c>
      <c r="Q85" s="164"/>
      <c r="R85" s="164"/>
      <c r="S85" s="164"/>
    </row>
    <row r="86" spans="1:22" ht="28.95" customHeight="1" x14ac:dyDescent="0.25">
      <c r="A86" s="11">
        <v>67</v>
      </c>
      <c r="B86" s="231" t="s">
        <v>315</v>
      </c>
      <c r="C86" s="71" t="s">
        <v>316</v>
      </c>
      <c r="D86" s="232"/>
      <c r="E86" s="43">
        <f t="shared" si="1"/>
        <v>3835.7999999999997</v>
      </c>
      <c r="F86" s="43">
        <f>+H86+P86</f>
        <v>3798.5</v>
      </c>
      <c r="G86" s="43">
        <f t="shared" ref="G86:H86" si="24">+G87+G89+G93+G107</f>
        <v>1753.6</v>
      </c>
      <c r="H86" s="43">
        <f t="shared" si="24"/>
        <v>1744.1</v>
      </c>
      <c r="I86" s="43">
        <f>+I87+I89+I93+I107</f>
        <v>0</v>
      </c>
      <c r="J86" s="43">
        <f>+J87+J89+J93+J107</f>
        <v>0</v>
      </c>
      <c r="K86" s="43">
        <f>+K87+K89+K93+K107</f>
        <v>2082.1999999999998</v>
      </c>
      <c r="L86" s="43">
        <f t="shared" ref="L86:P86" si="25">+L87+L89+L93+L107</f>
        <v>0</v>
      </c>
      <c r="M86" s="43">
        <f t="shared" si="25"/>
        <v>0</v>
      </c>
      <c r="N86" s="43">
        <f t="shared" si="25"/>
        <v>0</v>
      </c>
      <c r="O86" s="43">
        <f t="shared" si="25"/>
        <v>0</v>
      </c>
      <c r="P86" s="43">
        <f t="shared" si="25"/>
        <v>2054.4</v>
      </c>
      <c r="Q86" s="164"/>
      <c r="R86" s="164"/>
      <c r="S86" s="164"/>
    </row>
    <row r="87" spans="1:22" ht="39.6" x14ac:dyDescent="0.25">
      <c r="A87" s="11">
        <v>68</v>
      </c>
      <c r="B87" s="231"/>
      <c r="C87" s="49" t="s">
        <v>704</v>
      </c>
      <c r="D87" s="232"/>
      <c r="E87" s="200">
        <f t="shared" si="1"/>
        <v>2280.6999999999998</v>
      </c>
      <c r="F87" s="166">
        <f t="shared" si="21"/>
        <v>2274.5</v>
      </c>
      <c r="G87" s="167">
        <f>+G88</f>
        <v>950.8</v>
      </c>
      <c r="H87" s="167">
        <f>+H88</f>
        <v>947.5</v>
      </c>
      <c r="I87" s="198">
        <f>+I88</f>
        <v>0</v>
      </c>
      <c r="J87" s="198"/>
      <c r="K87" s="167">
        <f>+K88</f>
        <v>1329.8999999999999</v>
      </c>
      <c r="L87" s="167">
        <f t="shared" ref="L87:P87" si="26">+L88</f>
        <v>0</v>
      </c>
      <c r="M87" s="167">
        <f t="shared" si="26"/>
        <v>0</v>
      </c>
      <c r="N87" s="167">
        <f t="shared" si="26"/>
        <v>0</v>
      </c>
      <c r="O87" s="167">
        <f t="shared" si="26"/>
        <v>0</v>
      </c>
      <c r="P87" s="167">
        <f t="shared" si="26"/>
        <v>1327</v>
      </c>
      <c r="Q87" s="164"/>
      <c r="R87" s="164"/>
      <c r="S87" s="164"/>
    </row>
    <row r="88" spans="1:22" ht="18" customHeight="1" x14ac:dyDescent="0.25">
      <c r="A88" s="11">
        <v>69</v>
      </c>
      <c r="B88" s="231"/>
      <c r="C88" s="20" t="s">
        <v>60</v>
      </c>
      <c r="D88" s="232" t="s">
        <v>308</v>
      </c>
      <c r="E88" s="18">
        <f t="shared" si="1"/>
        <v>2280.6999999999998</v>
      </c>
      <c r="F88" s="166">
        <f t="shared" si="21"/>
        <v>2274.5</v>
      </c>
      <c r="G88" s="18">
        <f>897.3+41.1+12.4</f>
        <v>950.8</v>
      </c>
      <c r="H88" s="18">
        <v>947.5</v>
      </c>
      <c r="I88" s="18"/>
      <c r="J88" s="18"/>
      <c r="K88" s="18">
        <f>1242.3+100-12.4</f>
        <v>1329.8999999999999</v>
      </c>
      <c r="L88" s="14"/>
      <c r="M88" s="14"/>
      <c r="N88" s="14"/>
      <c r="P88" s="184">
        <v>1327</v>
      </c>
      <c r="Q88" s="164"/>
      <c r="R88" s="164"/>
      <c r="S88" s="164"/>
    </row>
    <row r="89" spans="1:22" ht="41.25" customHeight="1" x14ac:dyDescent="0.25">
      <c r="A89" s="11">
        <v>70</v>
      </c>
      <c r="B89" s="231"/>
      <c r="C89" s="210" t="s">
        <v>705</v>
      </c>
      <c r="D89" s="26"/>
      <c r="E89" s="200">
        <f t="shared" si="1"/>
        <v>89.6</v>
      </c>
      <c r="F89" s="166">
        <f t="shared" si="21"/>
        <v>87.4</v>
      </c>
      <c r="G89" s="198">
        <f>+G90</f>
        <v>0</v>
      </c>
      <c r="H89" s="198"/>
      <c r="I89" s="198">
        <f>+I90</f>
        <v>0</v>
      </c>
      <c r="J89" s="198"/>
      <c r="K89" s="198">
        <f>+K90</f>
        <v>89.6</v>
      </c>
      <c r="L89" s="198">
        <f t="shared" ref="L89:P89" si="27">+L90</f>
        <v>0</v>
      </c>
      <c r="M89" s="198">
        <f t="shared" si="27"/>
        <v>0</v>
      </c>
      <c r="N89" s="198">
        <f t="shared" si="27"/>
        <v>0</v>
      </c>
      <c r="O89" s="198">
        <f t="shared" si="27"/>
        <v>0</v>
      </c>
      <c r="P89" s="198">
        <f t="shared" si="27"/>
        <v>87.4</v>
      </c>
      <c r="Q89" s="164"/>
      <c r="R89" s="164"/>
      <c r="S89" s="164"/>
    </row>
    <row r="90" spans="1:22" ht="16.95" customHeight="1" x14ac:dyDescent="0.25">
      <c r="A90" s="11">
        <v>71</v>
      </c>
      <c r="B90" s="231"/>
      <c r="C90" s="103" t="s">
        <v>505</v>
      </c>
      <c r="D90" s="26" t="s">
        <v>308</v>
      </c>
      <c r="E90" s="18">
        <f t="shared" si="1"/>
        <v>89.6</v>
      </c>
      <c r="F90" s="166">
        <f t="shared" si="21"/>
        <v>87.4</v>
      </c>
      <c r="G90" s="27">
        <f>+G91+G92</f>
        <v>0</v>
      </c>
      <c r="H90" s="27"/>
      <c r="I90" s="27">
        <f>+I91+I92</f>
        <v>0</v>
      </c>
      <c r="J90" s="27"/>
      <c r="K90" s="18">
        <f t="shared" ref="K90:P90" si="28">+K91+K92</f>
        <v>89.6</v>
      </c>
      <c r="L90" s="18">
        <f t="shared" si="28"/>
        <v>0</v>
      </c>
      <c r="M90" s="18">
        <f t="shared" si="28"/>
        <v>0</v>
      </c>
      <c r="N90" s="18">
        <f t="shared" si="28"/>
        <v>0</v>
      </c>
      <c r="O90" s="18">
        <f t="shared" si="28"/>
        <v>0</v>
      </c>
      <c r="P90" s="18">
        <f t="shared" si="28"/>
        <v>87.4</v>
      </c>
      <c r="Q90" s="164"/>
      <c r="R90" s="164"/>
      <c r="S90" s="164"/>
    </row>
    <row r="91" spans="1:22" ht="26.4" x14ac:dyDescent="0.25">
      <c r="A91" s="11" t="s">
        <v>763</v>
      </c>
      <c r="B91" s="231"/>
      <c r="C91" s="103" t="s">
        <v>706</v>
      </c>
      <c r="D91" s="26"/>
      <c r="E91" s="18">
        <f t="shared" si="1"/>
        <v>55.2</v>
      </c>
      <c r="F91" s="166">
        <f t="shared" si="21"/>
        <v>54.3</v>
      </c>
      <c r="G91" s="18"/>
      <c r="H91" s="18"/>
      <c r="I91" s="18"/>
      <c r="J91" s="18"/>
      <c r="K91" s="18">
        <v>55.2</v>
      </c>
      <c r="L91" s="14"/>
      <c r="M91" s="14"/>
      <c r="N91" s="14"/>
      <c r="P91" s="184">
        <v>54.3</v>
      </c>
      <c r="Q91" s="164"/>
      <c r="R91" s="164"/>
      <c r="S91" s="164"/>
    </row>
    <row r="92" spans="1:22" ht="39.6" x14ac:dyDescent="0.25">
      <c r="A92" s="11" t="s">
        <v>764</v>
      </c>
      <c r="B92" s="231"/>
      <c r="C92" s="103" t="s">
        <v>707</v>
      </c>
      <c r="D92" s="26"/>
      <c r="E92" s="18">
        <f t="shared" si="1"/>
        <v>34.4</v>
      </c>
      <c r="F92" s="166">
        <f t="shared" si="21"/>
        <v>33.1</v>
      </c>
      <c r="G92" s="18"/>
      <c r="H92" s="18"/>
      <c r="I92" s="18"/>
      <c r="J92" s="18"/>
      <c r="K92" s="18">
        <v>34.4</v>
      </c>
      <c r="L92" s="14"/>
      <c r="M92" s="14"/>
      <c r="N92" s="14"/>
      <c r="P92" s="184">
        <v>33.1</v>
      </c>
      <c r="Q92" s="164"/>
      <c r="R92" s="164"/>
      <c r="S92" s="164"/>
    </row>
    <row r="93" spans="1:22" ht="26.4" x14ac:dyDescent="0.25">
      <c r="A93" s="11">
        <v>72</v>
      </c>
      <c r="B93" s="231"/>
      <c r="C93" s="210" t="s">
        <v>708</v>
      </c>
      <c r="D93" s="26"/>
      <c r="E93" s="200">
        <f t="shared" si="1"/>
        <v>524.29999999999995</v>
      </c>
      <c r="F93" s="166">
        <f t="shared" si="21"/>
        <v>502.5</v>
      </c>
      <c r="G93" s="198">
        <f>+G94</f>
        <v>0</v>
      </c>
      <c r="H93" s="198"/>
      <c r="I93" s="198">
        <f>+I94</f>
        <v>0</v>
      </c>
      <c r="J93" s="198"/>
      <c r="K93" s="167">
        <f>+K94</f>
        <v>524.29999999999995</v>
      </c>
      <c r="L93" s="167">
        <f t="shared" ref="L93:P93" si="29">+L94</f>
        <v>0</v>
      </c>
      <c r="M93" s="167">
        <f t="shared" si="29"/>
        <v>0</v>
      </c>
      <c r="N93" s="167">
        <f t="shared" si="29"/>
        <v>0</v>
      </c>
      <c r="O93" s="167">
        <f t="shared" si="29"/>
        <v>0</v>
      </c>
      <c r="P93" s="167">
        <f t="shared" si="29"/>
        <v>502.5</v>
      </c>
      <c r="Q93" s="164"/>
      <c r="R93" s="164"/>
      <c r="S93" s="164"/>
    </row>
    <row r="94" spans="1:22" ht="16.95" customHeight="1" x14ac:dyDescent="0.25">
      <c r="A94" s="11">
        <v>73</v>
      </c>
      <c r="B94" s="231"/>
      <c r="C94" s="103" t="s">
        <v>505</v>
      </c>
      <c r="D94" s="26" t="s">
        <v>308</v>
      </c>
      <c r="E94" s="18">
        <f t="shared" si="1"/>
        <v>524.29999999999995</v>
      </c>
      <c r="F94" s="166">
        <f t="shared" si="21"/>
        <v>502.5</v>
      </c>
      <c r="G94" s="27">
        <f>+G95+G96+G97+G98+G99+G100+G101+G102+G103+G104+G105+G106</f>
        <v>0</v>
      </c>
      <c r="H94" s="27"/>
      <c r="I94" s="27">
        <f>+I95+I96+I97+I98+I99+I100+I101+I102+I103+I104+I105+I106</f>
        <v>0</v>
      </c>
      <c r="J94" s="27"/>
      <c r="K94" s="27">
        <f>+K95+K96+K97+K98+K99+K100+K101+K102+K103+K104+K105+K106</f>
        <v>524.29999999999995</v>
      </c>
      <c r="L94" s="27">
        <f t="shared" ref="L94:P94" si="30">+L95+L96+L97+L98+L99+L100+L101+L102+L103+L104+L105+L106</f>
        <v>0</v>
      </c>
      <c r="M94" s="27">
        <f t="shared" si="30"/>
        <v>0</v>
      </c>
      <c r="N94" s="27">
        <f t="shared" si="30"/>
        <v>0</v>
      </c>
      <c r="O94" s="27">
        <f t="shared" si="30"/>
        <v>0</v>
      </c>
      <c r="P94" s="27">
        <f t="shared" si="30"/>
        <v>502.5</v>
      </c>
      <c r="Q94" s="164"/>
      <c r="R94" s="164"/>
      <c r="S94" s="164"/>
      <c r="V94" s="211"/>
    </row>
    <row r="95" spans="1:22" ht="30.75" customHeight="1" x14ac:dyDescent="0.25">
      <c r="A95" s="11" t="s">
        <v>765</v>
      </c>
      <c r="B95" s="231"/>
      <c r="C95" s="212" t="s">
        <v>709</v>
      </c>
      <c r="D95" s="26"/>
      <c r="E95" s="18">
        <f t="shared" si="1"/>
        <v>73.400000000000006</v>
      </c>
      <c r="F95" s="166">
        <f t="shared" si="21"/>
        <v>71</v>
      </c>
      <c r="G95" s="18"/>
      <c r="H95" s="18"/>
      <c r="I95" s="18"/>
      <c r="J95" s="18"/>
      <c r="K95" s="18">
        <f>84-10.6</f>
        <v>73.400000000000006</v>
      </c>
      <c r="L95" s="14"/>
      <c r="M95" s="14"/>
      <c r="N95" s="14"/>
      <c r="P95" s="184">
        <v>71</v>
      </c>
      <c r="R95" s="164"/>
      <c r="S95" s="164"/>
      <c r="T95" s="4"/>
    </row>
    <row r="96" spans="1:22" ht="30" customHeight="1" x14ac:dyDescent="0.25">
      <c r="A96" s="11" t="s">
        <v>766</v>
      </c>
      <c r="B96" s="231"/>
      <c r="C96" s="212" t="s">
        <v>710</v>
      </c>
      <c r="D96" s="26"/>
      <c r="E96" s="18">
        <f t="shared" si="1"/>
        <v>50</v>
      </c>
      <c r="F96" s="166">
        <f t="shared" si="21"/>
        <v>49.7</v>
      </c>
      <c r="G96" s="18"/>
      <c r="H96" s="18"/>
      <c r="I96" s="18"/>
      <c r="J96" s="18"/>
      <c r="K96" s="18">
        <f>68.5-18.5</f>
        <v>50</v>
      </c>
      <c r="L96" s="14"/>
      <c r="M96" s="14"/>
      <c r="N96" s="14"/>
      <c r="P96" s="184">
        <v>49.7</v>
      </c>
      <c r="R96" s="164"/>
      <c r="S96" s="164"/>
    </row>
    <row r="97" spans="1:19" ht="25.5" customHeight="1" x14ac:dyDescent="0.25">
      <c r="A97" s="11" t="s">
        <v>768</v>
      </c>
      <c r="B97" s="231"/>
      <c r="C97" s="212" t="s">
        <v>711</v>
      </c>
      <c r="D97" s="26"/>
      <c r="E97" s="18">
        <f t="shared" si="1"/>
        <v>34.5</v>
      </c>
      <c r="F97" s="166">
        <f t="shared" si="21"/>
        <v>23.3</v>
      </c>
      <c r="G97" s="18"/>
      <c r="H97" s="18"/>
      <c r="I97" s="18"/>
      <c r="J97" s="18"/>
      <c r="K97" s="18">
        <f>44.1-9.6</f>
        <v>34.5</v>
      </c>
      <c r="L97" s="14"/>
      <c r="M97" s="14"/>
      <c r="N97" s="14"/>
      <c r="P97" s="184">
        <f>23.1+0.2</f>
        <v>23.3</v>
      </c>
      <c r="R97" s="164"/>
      <c r="S97" s="164"/>
    </row>
    <row r="98" spans="1:19" ht="24.75" customHeight="1" x14ac:dyDescent="0.25">
      <c r="A98" s="11" t="s">
        <v>767</v>
      </c>
      <c r="B98" s="231"/>
      <c r="C98" s="212" t="s">
        <v>712</v>
      </c>
      <c r="D98" s="26"/>
      <c r="E98" s="18">
        <f t="shared" si="1"/>
        <v>17.5</v>
      </c>
      <c r="F98" s="166">
        <f t="shared" si="21"/>
        <v>17.5</v>
      </c>
      <c r="G98" s="18"/>
      <c r="H98" s="18"/>
      <c r="I98" s="18"/>
      <c r="J98" s="18"/>
      <c r="K98" s="18">
        <f>31-13.5</f>
        <v>17.5</v>
      </c>
      <c r="L98" s="14"/>
      <c r="M98" s="14"/>
      <c r="N98" s="14"/>
      <c r="P98" s="184">
        <v>17.5</v>
      </c>
      <c r="R98" s="164"/>
      <c r="S98" s="164"/>
    </row>
    <row r="99" spans="1:19" ht="37.5" customHeight="1" x14ac:dyDescent="0.25">
      <c r="A99" s="11" t="s">
        <v>769</v>
      </c>
      <c r="B99" s="231"/>
      <c r="C99" s="212" t="s">
        <v>713</v>
      </c>
      <c r="D99" s="26"/>
      <c r="E99" s="18">
        <f t="shared" si="1"/>
        <v>160</v>
      </c>
      <c r="F99" s="166">
        <f t="shared" si="21"/>
        <v>160</v>
      </c>
      <c r="G99" s="18"/>
      <c r="H99" s="18"/>
      <c r="I99" s="18"/>
      <c r="J99" s="18"/>
      <c r="K99" s="18">
        <f>157.5+2.5</f>
        <v>160</v>
      </c>
      <c r="L99" s="14"/>
      <c r="M99" s="14"/>
      <c r="N99" s="14"/>
      <c r="P99" s="184">
        <v>160</v>
      </c>
      <c r="R99" s="164"/>
      <c r="S99" s="164"/>
    </row>
    <row r="100" spans="1:19" ht="26.25" customHeight="1" x14ac:dyDescent="0.25">
      <c r="A100" s="11" t="s">
        <v>770</v>
      </c>
      <c r="B100" s="231"/>
      <c r="C100" s="212" t="s">
        <v>714</v>
      </c>
      <c r="D100" s="26"/>
      <c r="E100" s="18">
        <f t="shared" si="1"/>
        <v>30.999999999999996</v>
      </c>
      <c r="F100" s="166">
        <f t="shared" si="21"/>
        <v>30.5</v>
      </c>
      <c r="G100" s="18"/>
      <c r="H100" s="18"/>
      <c r="I100" s="18"/>
      <c r="J100" s="18"/>
      <c r="K100" s="18">
        <f>58.8-27.8</f>
        <v>30.999999999999996</v>
      </c>
      <c r="L100" s="14"/>
      <c r="M100" s="14"/>
      <c r="N100" s="14"/>
      <c r="P100" s="184">
        <v>30.5</v>
      </c>
      <c r="R100" s="164"/>
      <c r="S100" s="164"/>
    </row>
    <row r="101" spans="1:19" ht="27.75" customHeight="1" x14ac:dyDescent="0.25">
      <c r="A101" s="11" t="s">
        <v>771</v>
      </c>
      <c r="B101" s="231"/>
      <c r="C101" s="212" t="s">
        <v>715</v>
      </c>
      <c r="D101" s="26"/>
      <c r="E101" s="18">
        <f t="shared" si="1"/>
        <v>37</v>
      </c>
      <c r="F101" s="166">
        <f t="shared" si="21"/>
        <v>31.7</v>
      </c>
      <c r="G101" s="18"/>
      <c r="H101" s="18"/>
      <c r="I101" s="18"/>
      <c r="J101" s="18"/>
      <c r="K101" s="18">
        <f>45.4-8.4</f>
        <v>37</v>
      </c>
      <c r="L101" s="14"/>
      <c r="M101" s="14"/>
      <c r="N101" s="14"/>
      <c r="P101" s="268">
        <v>31.7</v>
      </c>
      <c r="R101" s="164"/>
      <c r="S101" s="164"/>
    </row>
    <row r="102" spans="1:19" ht="27" customHeight="1" x14ac:dyDescent="0.25">
      <c r="A102" s="11" t="s">
        <v>772</v>
      </c>
      <c r="B102" s="231"/>
      <c r="C102" s="212" t="s">
        <v>716</v>
      </c>
      <c r="D102" s="26"/>
      <c r="E102" s="18">
        <f t="shared" si="1"/>
        <v>29</v>
      </c>
      <c r="F102" s="166">
        <f t="shared" si="21"/>
        <v>26.9</v>
      </c>
      <c r="G102" s="18"/>
      <c r="H102" s="18"/>
      <c r="I102" s="18"/>
      <c r="J102" s="18"/>
      <c r="K102" s="18">
        <f>29.2-0.2</f>
        <v>29</v>
      </c>
      <c r="L102" s="14"/>
      <c r="M102" s="14"/>
      <c r="N102" s="14"/>
      <c r="P102" s="184">
        <v>26.9</v>
      </c>
      <c r="R102" s="164"/>
      <c r="S102" s="164"/>
    </row>
    <row r="103" spans="1:19" ht="27" customHeight="1" x14ac:dyDescent="0.25">
      <c r="A103" s="11" t="s">
        <v>773</v>
      </c>
      <c r="B103" s="231"/>
      <c r="C103" s="212" t="s">
        <v>717</v>
      </c>
      <c r="D103" s="26"/>
      <c r="E103" s="18">
        <f t="shared" si="1"/>
        <v>10</v>
      </c>
      <c r="F103" s="166">
        <f t="shared" si="21"/>
        <v>10</v>
      </c>
      <c r="G103" s="18"/>
      <c r="H103" s="18"/>
      <c r="I103" s="18"/>
      <c r="J103" s="18"/>
      <c r="K103" s="18">
        <v>10</v>
      </c>
      <c r="L103" s="14"/>
      <c r="M103" s="14"/>
      <c r="N103" s="14"/>
      <c r="P103" s="184">
        <v>10</v>
      </c>
      <c r="R103" s="164"/>
      <c r="S103" s="164"/>
    </row>
    <row r="104" spans="1:19" ht="27" customHeight="1" x14ac:dyDescent="0.25">
      <c r="A104" s="11" t="s">
        <v>774</v>
      </c>
      <c r="B104" s="231"/>
      <c r="C104" s="212" t="s">
        <v>718</v>
      </c>
      <c r="D104" s="26"/>
      <c r="E104" s="18">
        <f t="shared" si="1"/>
        <v>27.3</v>
      </c>
      <c r="F104" s="166">
        <f t="shared" si="21"/>
        <v>27.3</v>
      </c>
      <c r="G104" s="18"/>
      <c r="H104" s="18"/>
      <c r="I104" s="18"/>
      <c r="J104" s="18"/>
      <c r="K104" s="18">
        <v>27.3</v>
      </c>
      <c r="L104" s="14"/>
      <c r="M104" s="14"/>
      <c r="N104" s="14"/>
      <c r="P104" s="184">
        <v>27.3</v>
      </c>
      <c r="R104" s="164"/>
      <c r="S104" s="164"/>
    </row>
    <row r="105" spans="1:19" ht="27" customHeight="1" x14ac:dyDescent="0.25">
      <c r="A105" s="11" t="s">
        <v>775</v>
      </c>
      <c r="B105" s="231"/>
      <c r="C105" s="212" t="s">
        <v>719</v>
      </c>
      <c r="D105" s="26"/>
      <c r="E105" s="18">
        <f t="shared" si="1"/>
        <v>27.3</v>
      </c>
      <c r="F105" s="166">
        <f t="shared" si="21"/>
        <v>27.3</v>
      </c>
      <c r="G105" s="18"/>
      <c r="H105" s="18"/>
      <c r="I105" s="18"/>
      <c r="J105" s="18"/>
      <c r="K105" s="18">
        <v>27.3</v>
      </c>
      <c r="L105" s="14"/>
      <c r="M105" s="14"/>
      <c r="N105" s="14"/>
      <c r="P105" s="184">
        <v>27.3</v>
      </c>
      <c r="R105" s="164"/>
      <c r="S105" s="164"/>
    </row>
    <row r="106" spans="1:19" ht="27" customHeight="1" x14ac:dyDescent="0.25">
      <c r="A106" s="11" t="s">
        <v>776</v>
      </c>
      <c r="B106" s="231"/>
      <c r="C106" s="212" t="s">
        <v>720</v>
      </c>
      <c r="D106" s="26"/>
      <c r="E106" s="18">
        <f t="shared" si="1"/>
        <v>27.299999999999997</v>
      </c>
      <c r="F106" s="166">
        <f t="shared" si="21"/>
        <v>27.3</v>
      </c>
      <c r="G106" s="18"/>
      <c r="H106" s="18"/>
      <c r="I106" s="18"/>
      <c r="J106" s="18"/>
      <c r="K106" s="18">
        <f>3.4+23.9</f>
        <v>27.299999999999997</v>
      </c>
      <c r="L106" s="14"/>
      <c r="M106" s="14"/>
      <c r="N106" s="14"/>
      <c r="P106" s="184">
        <v>27.3</v>
      </c>
      <c r="R106" s="164"/>
      <c r="S106" s="164"/>
    </row>
    <row r="107" spans="1:19" ht="52.8" x14ac:dyDescent="0.25">
      <c r="A107" s="11">
        <v>74</v>
      </c>
      <c r="B107" s="231"/>
      <c r="C107" s="210" t="s">
        <v>721</v>
      </c>
      <c r="D107" s="26"/>
      <c r="E107" s="24">
        <f t="shared" si="1"/>
        <v>941.2</v>
      </c>
      <c r="F107" s="166">
        <f t="shared" si="21"/>
        <v>934.1</v>
      </c>
      <c r="G107" s="18">
        <f>+G108</f>
        <v>802.80000000000007</v>
      </c>
      <c r="H107" s="18">
        <f>+H108</f>
        <v>796.6</v>
      </c>
      <c r="I107" s="27">
        <f t="shared" ref="I107:P107" si="31">+I108</f>
        <v>0</v>
      </c>
      <c r="J107" s="27"/>
      <c r="K107" s="27">
        <f t="shared" si="31"/>
        <v>138.4</v>
      </c>
      <c r="L107" s="27">
        <f t="shared" si="31"/>
        <v>0</v>
      </c>
      <c r="M107" s="27">
        <f t="shared" si="31"/>
        <v>0</v>
      </c>
      <c r="N107" s="27">
        <f t="shared" si="31"/>
        <v>0</v>
      </c>
      <c r="O107" s="27">
        <f t="shared" si="31"/>
        <v>0</v>
      </c>
      <c r="P107" s="27">
        <f t="shared" si="31"/>
        <v>137.5</v>
      </c>
      <c r="R107" s="164"/>
      <c r="S107" s="164"/>
    </row>
    <row r="108" spans="1:19" ht="18.600000000000001" customHeight="1" x14ac:dyDescent="0.25">
      <c r="A108" s="11">
        <v>75</v>
      </c>
      <c r="B108" s="231"/>
      <c r="C108" s="103" t="s">
        <v>505</v>
      </c>
      <c r="D108" s="26" t="s">
        <v>308</v>
      </c>
      <c r="E108" s="18">
        <f t="shared" si="1"/>
        <v>941.2</v>
      </c>
      <c r="F108" s="166">
        <f t="shared" si="21"/>
        <v>934.1</v>
      </c>
      <c r="G108" s="18">
        <f>+G109+G110+G111+G112+G113+G114+G115+G116+G117+G118+G119+G120+G121+G122</f>
        <v>802.80000000000007</v>
      </c>
      <c r="H108" s="18">
        <f>+H109+H110+H111+H112+H113+H114+H115+H116+H117+H118+H119+H120+H121+H122</f>
        <v>796.6</v>
      </c>
      <c r="I108" s="18">
        <f>+I109+I110+I111+I112+I113+I114+I115+I116+I117+I118+I119+I120+I121+I122</f>
        <v>0</v>
      </c>
      <c r="J108" s="18">
        <f>+J109+J110+J111+J112+J113+J114+J115+J116+J117+J118+J119+J120+J121+J122</f>
        <v>0</v>
      </c>
      <c r="K108" s="18">
        <f>+K109+K110+K111+K112+K113+K114+K115+K116+K117+K118+K119+K120+K121+K122</f>
        <v>138.4</v>
      </c>
      <c r="L108" s="18">
        <f t="shared" ref="L108:P108" si="32">+L109+L110+L111+L112+L113+L114+L115+L116+L117+L118+L119+L120+L121+L122</f>
        <v>0</v>
      </c>
      <c r="M108" s="18">
        <f t="shared" si="32"/>
        <v>0</v>
      </c>
      <c r="N108" s="18">
        <f t="shared" si="32"/>
        <v>0</v>
      </c>
      <c r="O108" s="18">
        <f t="shared" si="32"/>
        <v>0</v>
      </c>
      <c r="P108" s="18">
        <f t="shared" si="32"/>
        <v>137.5</v>
      </c>
      <c r="R108" s="164"/>
      <c r="S108" s="164"/>
    </row>
    <row r="109" spans="1:19" ht="27" customHeight="1" x14ac:dyDescent="0.25">
      <c r="A109" s="11" t="s">
        <v>242</v>
      </c>
      <c r="B109" s="231"/>
      <c r="C109" s="212" t="s">
        <v>722</v>
      </c>
      <c r="D109" s="26"/>
      <c r="E109" s="18">
        <f t="shared" si="1"/>
        <v>117</v>
      </c>
      <c r="F109" s="166">
        <f t="shared" si="21"/>
        <v>117</v>
      </c>
      <c r="G109" s="18">
        <v>117</v>
      </c>
      <c r="H109" s="18">
        <v>117</v>
      </c>
      <c r="I109" s="18"/>
      <c r="J109" s="18"/>
      <c r="K109" s="18"/>
      <c r="L109" s="14"/>
      <c r="M109" s="14"/>
      <c r="N109" s="14"/>
      <c r="P109" s="165"/>
      <c r="R109" s="164"/>
      <c r="S109" s="164"/>
    </row>
    <row r="110" spans="1:19" ht="27" customHeight="1" x14ac:dyDescent="0.25">
      <c r="A110" s="11" t="s">
        <v>244</v>
      </c>
      <c r="B110" s="231"/>
      <c r="C110" s="212" t="s">
        <v>723</v>
      </c>
      <c r="D110" s="26"/>
      <c r="E110" s="18">
        <f t="shared" si="1"/>
        <v>85.7</v>
      </c>
      <c r="F110" s="166">
        <f t="shared" si="21"/>
        <v>85.7</v>
      </c>
      <c r="G110" s="18">
        <f>116-30.3</f>
        <v>85.7</v>
      </c>
      <c r="H110" s="18">
        <v>85.7</v>
      </c>
      <c r="I110" s="18"/>
      <c r="J110" s="18"/>
      <c r="K110" s="18"/>
      <c r="L110" s="14"/>
      <c r="M110" s="14"/>
      <c r="N110" s="14"/>
      <c r="P110" s="165"/>
      <c r="R110" s="164"/>
      <c r="S110" s="164"/>
    </row>
    <row r="111" spans="1:19" ht="27" customHeight="1" x14ac:dyDescent="0.25">
      <c r="A111" s="11" t="s">
        <v>247</v>
      </c>
      <c r="B111" s="231"/>
      <c r="C111" s="212" t="s">
        <v>724</v>
      </c>
      <c r="D111" s="26"/>
      <c r="E111" s="18">
        <f t="shared" si="1"/>
        <v>17</v>
      </c>
      <c r="F111" s="166">
        <f t="shared" si="21"/>
        <v>16.8</v>
      </c>
      <c r="G111" s="18">
        <f>20-3</f>
        <v>17</v>
      </c>
      <c r="H111" s="18">
        <v>16.8</v>
      </c>
      <c r="I111" s="18"/>
      <c r="J111" s="18"/>
      <c r="K111" s="18"/>
      <c r="L111" s="14"/>
      <c r="M111" s="14"/>
      <c r="N111" s="14"/>
      <c r="P111" s="165"/>
      <c r="R111" s="164"/>
      <c r="S111" s="164"/>
    </row>
    <row r="112" spans="1:19" ht="27" customHeight="1" x14ac:dyDescent="0.25">
      <c r="A112" s="11" t="s">
        <v>249</v>
      </c>
      <c r="B112" s="231"/>
      <c r="C112" s="212" t="s">
        <v>725</v>
      </c>
      <c r="D112" s="26"/>
      <c r="E112" s="18">
        <f t="shared" si="1"/>
        <v>48</v>
      </c>
      <c r="F112" s="166">
        <f t="shared" si="21"/>
        <v>46.1</v>
      </c>
      <c r="G112" s="18">
        <f>52-4</f>
        <v>48</v>
      </c>
      <c r="H112" s="18">
        <v>46.1</v>
      </c>
      <c r="I112" s="18"/>
      <c r="J112" s="18"/>
      <c r="K112" s="18"/>
      <c r="L112" s="14"/>
      <c r="M112" s="14"/>
      <c r="N112" s="14"/>
      <c r="P112" s="165"/>
      <c r="R112" s="164"/>
      <c r="S112" s="164"/>
    </row>
    <row r="113" spans="1:19" ht="27" customHeight="1" x14ac:dyDescent="0.25">
      <c r="A113" s="11" t="s">
        <v>267</v>
      </c>
      <c r="B113" s="231"/>
      <c r="C113" s="212" t="s">
        <v>726</v>
      </c>
      <c r="D113" s="26"/>
      <c r="E113" s="18">
        <f t="shared" si="1"/>
        <v>99.399999999999991</v>
      </c>
      <c r="F113" s="166">
        <f t="shared" si="21"/>
        <v>99.3</v>
      </c>
      <c r="G113" s="18">
        <f>130-28.7-1.9</f>
        <v>99.399999999999991</v>
      </c>
      <c r="H113" s="18">
        <v>99.3</v>
      </c>
      <c r="I113" s="18"/>
      <c r="J113" s="18"/>
      <c r="K113" s="18"/>
      <c r="L113" s="14"/>
      <c r="M113" s="14"/>
      <c r="N113" s="14"/>
      <c r="P113" s="165"/>
      <c r="R113" s="164"/>
      <c r="S113" s="164"/>
    </row>
    <row r="114" spans="1:19" ht="27" customHeight="1" x14ac:dyDescent="0.25">
      <c r="A114" s="11" t="s">
        <v>777</v>
      </c>
      <c r="B114" s="231"/>
      <c r="C114" s="212" t="s">
        <v>727</v>
      </c>
      <c r="D114" s="26"/>
      <c r="E114" s="18">
        <f t="shared" si="1"/>
        <v>32.299999999999997</v>
      </c>
      <c r="F114" s="166">
        <f t="shared" si="21"/>
        <v>32.200000000000003</v>
      </c>
      <c r="G114" s="18">
        <f>72-39.7</f>
        <v>32.299999999999997</v>
      </c>
      <c r="H114" s="18">
        <v>32.200000000000003</v>
      </c>
      <c r="I114" s="18"/>
      <c r="J114" s="18"/>
      <c r="K114" s="18"/>
      <c r="L114" s="14"/>
      <c r="M114" s="14"/>
      <c r="N114" s="14"/>
      <c r="P114" s="165"/>
      <c r="R114" s="164"/>
      <c r="S114" s="164"/>
    </row>
    <row r="115" spans="1:19" ht="27" customHeight="1" x14ac:dyDescent="0.25">
      <c r="A115" s="11" t="s">
        <v>778</v>
      </c>
      <c r="B115" s="231"/>
      <c r="C115" s="212" t="s">
        <v>728</v>
      </c>
      <c r="D115" s="26"/>
      <c r="E115" s="18">
        <f t="shared" si="1"/>
        <v>18.2</v>
      </c>
      <c r="F115" s="166">
        <f t="shared" si="21"/>
        <v>17.5</v>
      </c>
      <c r="G115" s="18">
        <f>41-22.8</f>
        <v>18.2</v>
      </c>
      <c r="H115" s="18">
        <v>17.5</v>
      </c>
      <c r="I115" s="18"/>
      <c r="J115" s="18"/>
      <c r="K115" s="18"/>
      <c r="L115" s="14"/>
      <c r="M115" s="14"/>
      <c r="N115" s="14"/>
      <c r="P115" s="165"/>
      <c r="R115" s="164"/>
      <c r="S115" s="164"/>
    </row>
    <row r="116" spans="1:19" ht="27" customHeight="1" x14ac:dyDescent="0.25">
      <c r="A116" s="11" t="s">
        <v>779</v>
      </c>
      <c r="B116" s="231"/>
      <c r="C116" s="212" t="s">
        <v>729</v>
      </c>
      <c r="D116" s="26"/>
      <c r="E116" s="18">
        <f t="shared" si="1"/>
        <v>91</v>
      </c>
      <c r="F116" s="166">
        <f t="shared" si="21"/>
        <v>89.7</v>
      </c>
      <c r="G116" s="18">
        <f>102-11</f>
        <v>91</v>
      </c>
      <c r="H116" s="18">
        <v>89.7</v>
      </c>
      <c r="I116" s="18"/>
      <c r="J116" s="18"/>
      <c r="K116" s="18"/>
      <c r="L116" s="14"/>
      <c r="M116" s="14"/>
      <c r="N116" s="14"/>
      <c r="P116" s="165"/>
      <c r="R116" s="164"/>
      <c r="S116" s="164"/>
    </row>
    <row r="117" spans="1:19" ht="27" customHeight="1" x14ac:dyDescent="0.25">
      <c r="A117" s="11" t="s">
        <v>780</v>
      </c>
      <c r="B117" s="231"/>
      <c r="C117" s="212" t="s">
        <v>730</v>
      </c>
      <c r="D117" s="26"/>
      <c r="E117" s="18">
        <f t="shared" si="1"/>
        <v>50.8</v>
      </c>
      <c r="F117" s="166">
        <f t="shared" si="21"/>
        <v>50.8</v>
      </c>
      <c r="G117" s="18">
        <f>95-44.2</f>
        <v>50.8</v>
      </c>
      <c r="H117" s="18">
        <v>50.8</v>
      </c>
      <c r="I117" s="18"/>
      <c r="J117" s="18"/>
      <c r="K117" s="18"/>
      <c r="L117" s="14"/>
      <c r="M117" s="14"/>
      <c r="N117" s="14"/>
      <c r="P117" s="165"/>
      <c r="R117" s="164"/>
      <c r="S117" s="164"/>
    </row>
    <row r="118" spans="1:19" ht="27" customHeight="1" x14ac:dyDescent="0.25">
      <c r="A118" s="11" t="s">
        <v>781</v>
      </c>
      <c r="B118" s="231"/>
      <c r="C118" s="212" t="s">
        <v>731</v>
      </c>
      <c r="D118" s="26"/>
      <c r="E118" s="18">
        <f t="shared" si="1"/>
        <v>79.099999999999994</v>
      </c>
      <c r="F118" s="166">
        <f t="shared" si="21"/>
        <v>78.900000000000006</v>
      </c>
      <c r="G118" s="18">
        <f>87-7.9</f>
        <v>79.099999999999994</v>
      </c>
      <c r="H118" s="18">
        <v>78.900000000000006</v>
      </c>
      <c r="I118" s="18"/>
      <c r="J118" s="18"/>
      <c r="K118" s="18"/>
      <c r="L118" s="14"/>
      <c r="M118" s="14"/>
      <c r="N118" s="14"/>
      <c r="P118" s="165"/>
      <c r="R118" s="164"/>
      <c r="S118" s="164"/>
    </row>
    <row r="119" spans="1:19" ht="39.6" x14ac:dyDescent="0.25">
      <c r="A119" s="11" t="s">
        <v>782</v>
      </c>
      <c r="B119" s="231"/>
      <c r="C119" s="212" t="s">
        <v>732</v>
      </c>
      <c r="D119" s="26"/>
      <c r="E119" s="18">
        <f t="shared" si="1"/>
        <v>36</v>
      </c>
      <c r="F119" s="166">
        <f t="shared" si="21"/>
        <v>34.6</v>
      </c>
      <c r="G119" s="18">
        <v>36</v>
      </c>
      <c r="H119" s="18">
        <v>34.6</v>
      </c>
      <c r="I119" s="18"/>
      <c r="J119" s="18"/>
      <c r="K119" s="18"/>
      <c r="L119" s="14"/>
      <c r="M119" s="14"/>
      <c r="N119" s="14"/>
      <c r="P119" s="165"/>
      <c r="R119" s="164"/>
      <c r="S119" s="164"/>
    </row>
    <row r="120" spans="1:19" ht="26.4" x14ac:dyDescent="0.25">
      <c r="A120" s="11" t="s">
        <v>783</v>
      </c>
      <c r="B120" s="231"/>
      <c r="C120" s="212" t="s">
        <v>733</v>
      </c>
      <c r="D120" s="26"/>
      <c r="E120" s="18">
        <f t="shared" si="1"/>
        <v>36.700000000000003</v>
      </c>
      <c r="F120" s="166">
        <f t="shared" si="21"/>
        <v>36.6</v>
      </c>
      <c r="G120" s="18">
        <f>46-9.3</f>
        <v>36.700000000000003</v>
      </c>
      <c r="H120" s="18">
        <f>36.6</f>
        <v>36.6</v>
      </c>
      <c r="I120" s="18"/>
      <c r="J120" s="18"/>
      <c r="K120" s="18"/>
      <c r="L120" s="14"/>
      <c r="M120" s="14"/>
      <c r="N120" s="14"/>
      <c r="P120" s="165"/>
      <c r="R120" s="164"/>
      <c r="S120" s="164"/>
    </row>
    <row r="121" spans="1:19" ht="26.4" x14ac:dyDescent="0.25">
      <c r="A121" s="21" t="s">
        <v>784</v>
      </c>
      <c r="B121" s="213"/>
      <c r="C121" s="214" t="s">
        <v>734</v>
      </c>
      <c r="D121" s="188"/>
      <c r="E121" s="24">
        <f t="shared" si="1"/>
        <v>91.6</v>
      </c>
      <c r="F121" s="166">
        <f t="shared" si="21"/>
        <v>91.4</v>
      </c>
      <c r="G121" s="24">
        <f>100-8.4</f>
        <v>91.6</v>
      </c>
      <c r="H121" s="24">
        <f>91.4</f>
        <v>91.4</v>
      </c>
      <c r="I121" s="24"/>
      <c r="J121" s="24"/>
      <c r="K121" s="24"/>
      <c r="L121" s="170"/>
      <c r="M121" s="170"/>
      <c r="N121" s="170"/>
      <c r="O121" s="172"/>
      <c r="P121" s="171"/>
      <c r="R121" s="164"/>
      <c r="S121" s="164"/>
    </row>
    <row r="122" spans="1:19" ht="26.4" x14ac:dyDescent="0.25">
      <c r="A122" s="21" t="s">
        <v>785</v>
      </c>
      <c r="B122" s="213"/>
      <c r="C122" s="214" t="s">
        <v>735</v>
      </c>
      <c r="D122" s="188"/>
      <c r="E122" s="24">
        <f t="shared" si="1"/>
        <v>138.4</v>
      </c>
      <c r="F122" s="166">
        <f t="shared" si="21"/>
        <v>137.5</v>
      </c>
      <c r="G122" s="24"/>
      <c r="H122" s="24"/>
      <c r="I122" s="24"/>
      <c r="J122" s="24"/>
      <c r="K122" s="24">
        <f>142.6-4.2</f>
        <v>138.4</v>
      </c>
      <c r="L122" s="170"/>
      <c r="M122" s="170"/>
      <c r="N122" s="170"/>
      <c r="O122" s="172"/>
      <c r="P122" s="268">
        <v>137.5</v>
      </c>
      <c r="R122" s="164"/>
      <c r="S122" s="164"/>
    </row>
    <row r="123" spans="1:19" x14ac:dyDescent="0.25">
      <c r="A123" s="11">
        <v>76</v>
      </c>
      <c r="B123" s="231" t="s">
        <v>393</v>
      </c>
      <c r="C123" s="215" t="s">
        <v>394</v>
      </c>
      <c r="D123" s="26"/>
      <c r="E123" s="43">
        <f t="shared" ref="E123:E131" si="33">+G123+K123</f>
        <v>135.69999999999999</v>
      </c>
      <c r="F123" s="13">
        <f t="shared" si="21"/>
        <v>135.69999999999999</v>
      </c>
      <c r="G123" s="43">
        <f t="shared" ref="G123:P124" si="34">+G124</f>
        <v>135.69999999999999</v>
      </c>
      <c r="H123" s="43">
        <f t="shared" si="34"/>
        <v>135.69999999999999</v>
      </c>
      <c r="I123" s="43">
        <f t="shared" si="34"/>
        <v>0</v>
      </c>
      <c r="J123" s="43">
        <f t="shared" si="34"/>
        <v>0</v>
      </c>
      <c r="K123" s="43">
        <f t="shared" si="34"/>
        <v>0</v>
      </c>
      <c r="L123" s="43">
        <f t="shared" si="34"/>
        <v>0</v>
      </c>
      <c r="M123" s="43">
        <f t="shared" si="34"/>
        <v>0</v>
      </c>
      <c r="N123" s="43">
        <f t="shared" si="34"/>
        <v>0</v>
      </c>
      <c r="O123" s="43">
        <f t="shared" si="34"/>
        <v>0</v>
      </c>
      <c r="P123" s="43">
        <f t="shared" si="34"/>
        <v>0</v>
      </c>
      <c r="R123" s="164"/>
      <c r="S123" s="164"/>
    </row>
    <row r="124" spans="1:19" ht="26.4" x14ac:dyDescent="0.25">
      <c r="A124" s="11">
        <v>77</v>
      </c>
      <c r="B124" s="231"/>
      <c r="C124" s="196" t="s">
        <v>736</v>
      </c>
      <c r="D124" s="26"/>
      <c r="E124" s="200">
        <f t="shared" si="33"/>
        <v>135.69999999999999</v>
      </c>
      <c r="F124" s="163">
        <f t="shared" si="21"/>
        <v>135.69999999999999</v>
      </c>
      <c r="G124" s="167">
        <f t="shared" si="34"/>
        <v>135.69999999999999</v>
      </c>
      <c r="H124" s="167">
        <f t="shared" si="34"/>
        <v>135.69999999999999</v>
      </c>
      <c r="I124" s="198">
        <f t="shared" si="34"/>
        <v>0</v>
      </c>
      <c r="J124" s="198"/>
      <c r="K124" s="198">
        <f t="shared" si="34"/>
        <v>0</v>
      </c>
      <c r="L124" s="14"/>
      <c r="M124" s="14"/>
      <c r="N124" s="14"/>
      <c r="P124" s="165"/>
      <c r="R124" s="164"/>
      <c r="S124" s="164"/>
    </row>
    <row r="125" spans="1:19" x14ac:dyDescent="0.25">
      <c r="A125" s="11">
        <v>78</v>
      </c>
      <c r="B125" s="231"/>
      <c r="C125" s="143" t="s">
        <v>60</v>
      </c>
      <c r="D125" s="26" t="s">
        <v>402</v>
      </c>
      <c r="E125" s="18">
        <f t="shared" si="33"/>
        <v>135.69999999999999</v>
      </c>
      <c r="F125" s="166">
        <f t="shared" si="21"/>
        <v>135.69999999999999</v>
      </c>
      <c r="G125" s="18">
        <v>135.69999999999999</v>
      </c>
      <c r="H125" s="18">
        <v>135.69999999999999</v>
      </c>
      <c r="I125" s="18"/>
      <c r="J125" s="18"/>
      <c r="K125" s="18"/>
      <c r="L125" s="14"/>
      <c r="M125" s="14"/>
      <c r="N125" s="14"/>
      <c r="P125" s="165"/>
      <c r="R125" s="164"/>
      <c r="S125" s="164"/>
    </row>
    <row r="126" spans="1:19" ht="15.6" customHeight="1" x14ac:dyDescent="0.25">
      <c r="A126" s="11">
        <v>79</v>
      </c>
      <c r="B126" s="231" t="s">
        <v>431</v>
      </c>
      <c r="C126" s="42" t="s">
        <v>432</v>
      </c>
      <c r="D126" s="26"/>
      <c r="E126" s="43">
        <f t="shared" si="33"/>
        <v>408.09999999999997</v>
      </c>
      <c r="F126" s="13">
        <f t="shared" si="21"/>
        <v>406.5</v>
      </c>
      <c r="G126" s="43">
        <f t="shared" ref="G126:P126" si="35">+G127+G129</f>
        <v>408.09999999999997</v>
      </c>
      <c r="H126" s="43">
        <f t="shared" si="35"/>
        <v>406.5</v>
      </c>
      <c r="I126" s="43">
        <f t="shared" si="35"/>
        <v>17.100000000000001</v>
      </c>
      <c r="J126" s="43">
        <f t="shared" si="35"/>
        <v>16</v>
      </c>
      <c r="K126" s="43">
        <f t="shared" si="35"/>
        <v>0</v>
      </c>
      <c r="L126" s="43">
        <f t="shared" si="35"/>
        <v>0</v>
      </c>
      <c r="M126" s="43">
        <f t="shared" si="35"/>
        <v>0</v>
      </c>
      <c r="N126" s="43">
        <f t="shared" si="35"/>
        <v>0</v>
      </c>
      <c r="O126" s="43">
        <f t="shared" si="35"/>
        <v>0</v>
      </c>
      <c r="P126" s="43">
        <f t="shared" si="35"/>
        <v>0</v>
      </c>
      <c r="R126" s="164"/>
      <c r="S126" s="164"/>
    </row>
    <row r="127" spans="1:19" ht="31.95" customHeight="1" x14ac:dyDescent="0.25">
      <c r="A127" s="11">
        <v>80</v>
      </c>
      <c r="B127" s="232"/>
      <c r="C127" s="182" t="s">
        <v>737</v>
      </c>
      <c r="D127" s="216"/>
      <c r="E127" s="200">
        <f>+G127+K127</f>
        <v>17.7</v>
      </c>
      <c r="F127" s="163">
        <f t="shared" si="21"/>
        <v>16.2</v>
      </c>
      <c r="G127" s="167">
        <f>+G128</f>
        <v>17.7</v>
      </c>
      <c r="H127" s="167">
        <f>+H128</f>
        <v>16.2</v>
      </c>
      <c r="I127" s="167">
        <f>+I128</f>
        <v>17.100000000000001</v>
      </c>
      <c r="J127" s="167">
        <f>+J128</f>
        <v>16</v>
      </c>
      <c r="K127" s="198">
        <f>+K128</f>
        <v>0</v>
      </c>
      <c r="L127" s="14"/>
      <c r="M127" s="14"/>
      <c r="N127" s="14"/>
      <c r="P127" s="165"/>
      <c r="R127" s="164"/>
      <c r="S127" s="164"/>
    </row>
    <row r="128" spans="1:19" x14ac:dyDescent="0.25">
      <c r="A128" s="11">
        <v>81</v>
      </c>
      <c r="B128" s="232"/>
      <c r="C128" s="143" t="s">
        <v>60</v>
      </c>
      <c r="D128" s="199" t="s">
        <v>738</v>
      </c>
      <c r="E128" s="18">
        <f t="shared" si="33"/>
        <v>17.7</v>
      </c>
      <c r="F128" s="166">
        <f t="shared" si="21"/>
        <v>16.2</v>
      </c>
      <c r="G128" s="18">
        <v>17.7</v>
      </c>
      <c r="H128" s="18">
        <v>16.2</v>
      </c>
      <c r="I128" s="18">
        <v>17.100000000000001</v>
      </c>
      <c r="J128" s="18">
        <v>16</v>
      </c>
      <c r="K128" s="18"/>
      <c r="L128" s="14"/>
      <c r="M128" s="14"/>
      <c r="N128" s="14"/>
      <c r="P128" s="165"/>
      <c r="R128" s="164"/>
      <c r="S128" s="164"/>
    </row>
    <row r="129" spans="1:19" ht="55.2" customHeight="1" x14ac:dyDescent="0.25">
      <c r="A129" s="11">
        <v>82</v>
      </c>
      <c r="B129" s="232"/>
      <c r="C129" s="217" t="s">
        <v>739</v>
      </c>
      <c r="D129" s="199"/>
      <c r="E129" s="200">
        <f t="shared" si="33"/>
        <v>390.4</v>
      </c>
      <c r="F129" s="163">
        <f t="shared" si="21"/>
        <v>390.3</v>
      </c>
      <c r="G129" s="167">
        <f>+G130</f>
        <v>390.4</v>
      </c>
      <c r="H129" s="167">
        <f>+H130</f>
        <v>390.3</v>
      </c>
      <c r="I129" s="198">
        <f>+I130</f>
        <v>0</v>
      </c>
      <c r="J129" s="198"/>
      <c r="K129" s="198">
        <f>+K130</f>
        <v>0</v>
      </c>
      <c r="L129" s="280"/>
      <c r="M129" s="280"/>
      <c r="N129" s="280"/>
      <c r="O129" s="281"/>
      <c r="P129" s="282"/>
      <c r="R129" s="164"/>
      <c r="S129" s="164"/>
    </row>
    <row r="130" spans="1:19" s="172" customFormat="1" x14ac:dyDescent="0.25">
      <c r="A130" s="21">
        <v>83</v>
      </c>
      <c r="B130" s="22"/>
      <c r="C130" s="218" t="s">
        <v>60</v>
      </c>
      <c r="D130" s="219" t="s">
        <v>441</v>
      </c>
      <c r="E130" s="24">
        <f t="shared" si="33"/>
        <v>390.4</v>
      </c>
      <c r="F130" s="166">
        <f t="shared" si="21"/>
        <v>390.3</v>
      </c>
      <c r="G130" s="24">
        <f>268.5+92.9+29</f>
        <v>390.4</v>
      </c>
      <c r="H130" s="24">
        <v>390.3</v>
      </c>
      <c r="I130" s="24"/>
      <c r="J130" s="24"/>
      <c r="K130" s="24"/>
      <c r="L130" s="170"/>
      <c r="M130" s="170"/>
      <c r="N130" s="170"/>
      <c r="P130" s="171"/>
      <c r="Q130" s="170"/>
      <c r="R130" s="169"/>
      <c r="S130" s="169"/>
    </row>
    <row r="131" spans="1:19" x14ac:dyDescent="0.25">
      <c r="A131" s="11">
        <v>84</v>
      </c>
      <c r="B131" s="231"/>
      <c r="C131" s="130" t="s">
        <v>463</v>
      </c>
      <c r="D131" s="232"/>
      <c r="E131" s="43">
        <f t="shared" si="33"/>
        <v>9849.7999999999993</v>
      </c>
      <c r="F131" s="13">
        <f t="shared" si="21"/>
        <v>9803.4</v>
      </c>
      <c r="G131" s="43">
        <f>+G12+G46+G55+G78+G82+G86+G123+G126</f>
        <v>3678.2999999999997</v>
      </c>
      <c r="H131" s="43">
        <f>+H12+H46+H55+H78+H82+H86+H123+H126</f>
        <v>3674.7999999999997</v>
      </c>
      <c r="I131" s="43">
        <f>+I12+I46+I55+I78+I82+I86+I123+I126</f>
        <v>515.6</v>
      </c>
      <c r="J131" s="43">
        <f>+J12+J46+J55+J78+J82+J86+J123+J126</f>
        <v>514.20000000000005</v>
      </c>
      <c r="K131" s="43">
        <f>+K12+K46+K55+K78+K82+K86+K123+K126</f>
        <v>6171.5</v>
      </c>
      <c r="L131" s="43">
        <f t="shared" ref="L131:P131" si="36">+L12+L46+L55+L78+L82+L86+L123+L126</f>
        <v>0</v>
      </c>
      <c r="M131" s="43">
        <f t="shared" si="36"/>
        <v>0</v>
      </c>
      <c r="N131" s="43">
        <f t="shared" si="36"/>
        <v>0</v>
      </c>
      <c r="O131" s="43">
        <f t="shared" si="36"/>
        <v>0</v>
      </c>
      <c r="P131" s="43">
        <f t="shared" si="36"/>
        <v>6128.6</v>
      </c>
      <c r="Q131" s="14"/>
      <c r="R131" s="14"/>
      <c r="S131" s="14"/>
    </row>
    <row r="132" spans="1:19" x14ac:dyDescent="0.25">
      <c r="C132" s="176" t="s">
        <v>680</v>
      </c>
      <c r="D132" s="3"/>
      <c r="E132" s="110"/>
      <c r="F132" s="110"/>
      <c r="G132" s="110"/>
      <c r="H132" s="110"/>
      <c r="I132" s="110"/>
      <c r="J132" s="110"/>
      <c r="K132" s="110"/>
    </row>
    <row r="134" spans="1:19" hidden="1" x14ac:dyDescent="0.25">
      <c r="E134" s="110">
        <f>+G134+K134</f>
        <v>3390</v>
      </c>
      <c r="F134" s="110"/>
      <c r="G134" s="96">
        <v>1524.9</v>
      </c>
      <c r="H134" s="96"/>
      <c r="I134" s="96">
        <v>447.9</v>
      </c>
      <c r="J134" s="96"/>
      <c r="K134" s="96">
        <v>1865.1</v>
      </c>
    </row>
    <row r="135" spans="1:19" hidden="1" x14ac:dyDescent="0.25">
      <c r="E135" s="110">
        <f>+G135+K135</f>
        <v>6459.7999999999993</v>
      </c>
      <c r="F135" s="110"/>
      <c r="G135" s="96">
        <f>+G131-G134</f>
        <v>2153.3999999999996</v>
      </c>
      <c r="H135" s="96"/>
      <c r="I135" s="96">
        <f>+I131-I134</f>
        <v>67.700000000000045</v>
      </c>
      <c r="J135" s="96"/>
      <c r="K135" s="96">
        <f>+K131-K134</f>
        <v>4306.3999999999996</v>
      </c>
    </row>
    <row r="136" spans="1:19" x14ac:dyDescent="0.25">
      <c r="E136" s="110"/>
      <c r="F136" s="110"/>
      <c r="G136" s="110"/>
      <c r="H136" s="110"/>
      <c r="I136" s="110"/>
      <c r="J136" s="110"/>
      <c r="K136" s="110"/>
    </row>
    <row r="137" spans="1:19" x14ac:dyDescent="0.25">
      <c r="E137" s="110"/>
      <c r="F137" s="110"/>
      <c r="G137" s="110"/>
      <c r="H137" s="110"/>
      <c r="I137" s="110"/>
      <c r="J137" s="110"/>
      <c r="K137" s="110"/>
    </row>
    <row r="138" spans="1:19" x14ac:dyDescent="0.25">
      <c r="E138" s="110"/>
      <c r="F138" s="110"/>
      <c r="G138" s="110"/>
      <c r="H138" s="110"/>
      <c r="I138" s="110"/>
      <c r="J138" s="110"/>
      <c r="K138" s="110"/>
    </row>
    <row r="139" spans="1:19" x14ac:dyDescent="0.25">
      <c r="C139" s="160"/>
    </row>
    <row r="140" spans="1:19" x14ac:dyDescent="0.25">
      <c r="C140" s="160"/>
      <c r="Q140" s="211"/>
    </row>
    <row r="141" spans="1:19" x14ac:dyDescent="0.25">
      <c r="C141" s="220"/>
      <c r="D141" s="132"/>
    </row>
    <row r="142" spans="1:19" x14ac:dyDescent="0.25">
      <c r="C142" s="220"/>
      <c r="D142" s="132"/>
    </row>
    <row r="143" spans="1:19" x14ac:dyDescent="0.25">
      <c r="C143" s="221"/>
      <c r="D143" s="110"/>
    </row>
    <row r="144" spans="1:19" x14ac:dyDescent="0.25">
      <c r="C144" s="221"/>
      <c r="D144" s="110"/>
    </row>
    <row r="145" spans="3:4" x14ac:dyDescent="0.25">
      <c r="C145" s="221"/>
      <c r="D145" s="110"/>
    </row>
    <row r="146" spans="3:4" x14ac:dyDescent="0.25">
      <c r="C146" s="220"/>
      <c r="D146" s="110"/>
    </row>
    <row r="147" spans="3:4" x14ac:dyDescent="0.25">
      <c r="C147" s="221"/>
      <c r="D147" s="110"/>
    </row>
    <row r="148" spans="3:4" x14ac:dyDescent="0.25">
      <c r="C148" s="221"/>
      <c r="D148" s="110"/>
    </row>
    <row r="149" spans="3:4" x14ac:dyDescent="0.25">
      <c r="C149" s="221"/>
      <c r="D149" s="110"/>
    </row>
    <row r="150" spans="3:4" x14ac:dyDescent="0.25">
      <c r="C150" s="222"/>
      <c r="D150" s="89"/>
    </row>
    <row r="151" spans="3:4" x14ac:dyDescent="0.25">
      <c r="C151" s="222"/>
      <c r="D151" s="89"/>
    </row>
    <row r="152" spans="3:4" x14ac:dyDescent="0.25">
      <c r="C152" s="222"/>
      <c r="D152" s="89"/>
    </row>
    <row r="153" spans="3:4" x14ac:dyDescent="0.25">
      <c r="C153" s="222"/>
      <c r="D153" s="89"/>
    </row>
    <row r="154" spans="3:4" x14ac:dyDescent="0.25">
      <c r="C154" s="222"/>
      <c r="D154" s="89"/>
    </row>
    <row r="155" spans="3:4" x14ac:dyDescent="0.25">
      <c r="C155" s="222"/>
      <c r="D155" s="89"/>
    </row>
    <row r="156" spans="3:4" x14ac:dyDescent="0.25">
      <c r="D156" s="223"/>
    </row>
    <row r="157" spans="3:4" x14ac:dyDescent="0.25">
      <c r="D157" s="132"/>
    </row>
  </sheetData>
  <mergeCells count="19">
    <mergeCell ref="J6:P6"/>
    <mergeCell ref="C1:P1"/>
    <mergeCell ref="C2:P2"/>
    <mergeCell ref="E3:P3"/>
    <mergeCell ref="A5:K5"/>
    <mergeCell ref="G9:H9"/>
    <mergeCell ref="I9:J9"/>
    <mergeCell ref="K9:K10"/>
    <mergeCell ref="P9:P10"/>
    <mergeCell ref="A7:A10"/>
    <mergeCell ref="B7:B10"/>
    <mergeCell ref="C7:C10"/>
    <mergeCell ref="D7:D10"/>
    <mergeCell ref="E7:F8"/>
    <mergeCell ref="G7:P7"/>
    <mergeCell ref="G8:J8"/>
    <mergeCell ref="K8:P8"/>
    <mergeCell ref="E9:E10"/>
    <mergeCell ref="F9:F10"/>
  </mergeCells>
  <pageMargins left="0.70866141732283472" right="0.70866141732283472" top="0.39370078740157483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0"/>
  <sheetViews>
    <sheetView workbookViewId="0">
      <selection activeCell="P12" sqref="P12"/>
    </sheetView>
  </sheetViews>
  <sheetFormatPr defaultColWidth="9.109375" defaultRowHeight="13.2" x14ac:dyDescent="0.25"/>
  <cols>
    <col min="1" max="1" width="4.6640625" style="132" customWidth="1"/>
    <col min="2" max="2" width="6" style="3" customWidth="1"/>
    <col min="3" max="3" width="41.44140625" style="176" customWidth="1"/>
    <col min="4" max="4" width="9.33203125" style="1" customWidth="1"/>
    <col min="5" max="8" width="9.44140625" style="132" customWidth="1"/>
    <col min="9" max="10" width="9" style="132" customWidth="1"/>
    <col min="11" max="11" width="7.6640625" style="132" customWidth="1"/>
    <col min="12" max="12" width="9.109375" style="2" customWidth="1"/>
    <col min="13" max="13" width="11.109375" style="2" customWidth="1"/>
    <col min="14" max="15" width="9.109375" style="2" customWidth="1"/>
    <col min="16" max="259" width="9.109375" style="2"/>
    <col min="260" max="260" width="4.6640625" style="2" customWidth="1"/>
    <col min="261" max="261" width="6" style="2" customWidth="1"/>
    <col min="262" max="262" width="41.44140625" style="2" customWidth="1"/>
    <col min="263" max="263" width="9.33203125" style="2" customWidth="1"/>
    <col min="264" max="265" width="9.44140625" style="2" customWidth="1"/>
    <col min="266" max="266" width="9" style="2" customWidth="1"/>
    <col min="267" max="267" width="7.6640625" style="2" customWidth="1"/>
    <col min="268" max="271" width="9.109375" style="2" customWidth="1"/>
    <col min="272" max="515" width="9.109375" style="2"/>
    <col min="516" max="516" width="4.6640625" style="2" customWidth="1"/>
    <col min="517" max="517" width="6" style="2" customWidth="1"/>
    <col min="518" max="518" width="41.44140625" style="2" customWidth="1"/>
    <col min="519" max="519" width="9.33203125" style="2" customWidth="1"/>
    <col min="520" max="521" width="9.44140625" style="2" customWidth="1"/>
    <col min="522" max="522" width="9" style="2" customWidth="1"/>
    <col min="523" max="523" width="7.6640625" style="2" customWidth="1"/>
    <col min="524" max="527" width="9.109375" style="2" customWidth="1"/>
    <col min="528" max="771" width="9.109375" style="2"/>
    <col min="772" max="772" width="4.6640625" style="2" customWidth="1"/>
    <col min="773" max="773" width="6" style="2" customWidth="1"/>
    <col min="774" max="774" width="41.44140625" style="2" customWidth="1"/>
    <col min="775" max="775" width="9.33203125" style="2" customWidth="1"/>
    <col min="776" max="777" width="9.44140625" style="2" customWidth="1"/>
    <col min="778" max="778" width="9" style="2" customWidth="1"/>
    <col min="779" max="779" width="7.6640625" style="2" customWidth="1"/>
    <col min="780" max="783" width="9.109375" style="2" customWidth="1"/>
    <col min="784" max="1027" width="9.109375" style="2"/>
    <col min="1028" max="1028" width="4.6640625" style="2" customWidth="1"/>
    <col min="1029" max="1029" width="6" style="2" customWidth="1"/>
    <col min="1030" max="1030" width="41.44140625" style="2" customWidth="1"/>
    <col min="1031" max="1031" width="9.33203125" style="2" customWidth="1"/>
    <col min="1032" max="1033" width="9.44140625" style="2" customWidth="1"/>
    <col min="1034" max="1034" width="9" style="2" customWidth="1"/>
    <col min="1035" max="1035" width="7.6640625" style="2" customWidth="1"/>
    <col min="1036" max="1039" width="9.109375" style="2" customWidth="1"/>
    <col min="1040" max="1283" width="9.109375" style="2"/>
    <col min="1284" max="1284" width="4.6640625" style="2" customWidth="1"/>
    <col min="1285" max="1285" width="6" style="2" customWidth="1"/>
    <col min="1286" max="1286" width="41.44140625" style="2" customWidth="1"/>
    <col min="1287" max="1287" width="9.33203125" style="2" customWidth="1"/>
    <col min="1288" max="1289" width="9.44140625" style="2" customWidth="1"/>
    <col min="1290" max="1290" width="9" style="2" customWidth="1"/>
    <col min="1291" max="1291" width="7.6640625" style="2" customWidth="1"/>
    <col min="1292" max="1295" width="9.109375" style="2" customWidth="1"/>
    <col min="1296" max="1539" width="9.109375" style="2"/>
    <col min="1540" max="1540" width="4.6640625" style="2" customWidth="1"/>
    <col min="1541" max="1541" width="6" style="2" customWidth="1"/>
    <col min="1542" max="1542" width="41.44140625" style="2" customWidth="1"/>
    <col min="1543" max="1543" width="9.33203125" style="2" customWidth="1"/>
    <col min="1544" max="1545" width="9.44140625" style="2" customWidth="1"/>
    <col min="1546" max="1546" width="9" style="2" customWidth="1"/>
    <col min="1547" max="1547" width="7.6640625" style="2" customWidth="1"/>
    <col min="1548" max="1551" width="9.109375" style="2" customWidth="1"/>
    <col min="1552" max="1795" width="9.109375" style="2"/>
    <col min="1796" max="1796" width="4.6640625" style="2" customWidth="1"/>
    <col min="1797" max="1797" width="6" style="2" customWidth="1"/>
    <col min="1798" max="1798" width="41.44140625" style="2" customWidth="1"/>
    <col min="1799" max="1799" width="9.33203125" style="2" customWidth="1"/>
    <col min="1800" max="1801" width="9.44140625" style="2" customWidth="1"/>
    <col min="1802" max="1802" width="9" style="2" customWidth="1"/>
    <col min="1803" max="1803" width="7.6640625" style="2" customWidth="1"/>
    <col min="1804" max="1807" width="9.109375" style="2" customWidth="1"/>
    <col min="1808" max="2051" width="9.109375" style="2"/>
    <col min="2052" max="2052" width="4.6640625" style="2" customWidth="1"/>
    <col min="2053" max="2053" width="6" style="2" customWidth="1"/>
    <col min="2054" max="2054" width="41.44140625" style="2" customWidth="1"/>
    <col min="2055" max="2055" width="9.33203125" style="2" customWidth="1"/>
    <col min="2056" max="2057" width="9.44140625" style="2" customWidth="1"/>
    <col min="2058" max="2058" width="9" style="2" customWidth="1"/>
    <col min="2059" max="2059" width="7.6640625" style="2" customWidth="1"/>
    <col min="2060" max="2063" width="9.109375" style="2" customWidth="1"/>
    <col min="2064" max="2307" width="9.109375" style="2"/>
    <col min="2308" max="2308" width="4.6640625" style="2" customWidth="1"/>
    <col min="2309" max="2309" width="6" style="2" customWidth="1"/>
    <col min="2310" max="2310" width="41.44140625" style="2" customWidth="1"/>
    <col min="2311" max="2311" width="9.33203125" style="2" customWidth="1"/>
    <col min="2312" max="2313" width="9.44140625" style="2" customWidth="1"/>
    <col min="2314" max="2314" width="9" style="2" customWidth="1"/>
    <col min="2315" max="2315" width="7.6640625" style="2" customWidth="1"/>
    <col min="2316" max="2319" width="9.109375" style="2" customWidth="1"/>
    <col min="2320" max="2563" width="9.109375" style="2"/>
    <col min="2564" max="2564" width="4.6640625" style="2" customWidth="1"/>
    <col min="2565" max="2565" width="6" style="2" customWidth="1"/>
    <col min="2566" max="2566" width="41.44140625" style="2" customWidth="1"/>
    <col min="2567" max="2567" width="9.33203125" style="2" customWidth="1"/>
    <col min="2568" max="2569" width="9.44140625" style="2" customWidth="1"/>
    <col min="2570" max="2570" width="9" style="2" customWidth="1"/>
    <col min="2571" max="2571" width="7.6640625" style="2" customWidth="1"/>
    <col min="2572" max="2575" width="9.109375" style="2" customWidth="1"/>
    <col min="2576" max="2819" width="9.109375" style="2"/>
    <col min="2820" max="2820" width="4.6640625" style="2" customWidth="1"/>
    <col min="2821" max="2821" width="6" style="2" customWidth="1"/>
    <col min="2822" max="2822" width="41.44140625" style="2" customWidth="1"/>
    <col min="2823" max="2823" width="9.33203125" style="2" customWidth="1"/>
    <col min="2824" max="2825" width="9.44140625" style="2" customWidth="1"/>
    <col min="2826" max="2826" width="9" style="2" customWidth="1"/>
    <col min="2827" max="2827" width="7.6640625" style="2" customWidth="1"/>
    <col min="2828" max="2831" width="9.109375" style="2" customWidth="1"/>
    <col min="2832" max="3075" width="9.109375" style="2"/>
    <col min="3076" max="3076" width="4.6640625" style="2" customWidth="1"/>
    <col min="3077" max="3077" width="6" style="2" customWidth="1"/>
    <col min="3078" max="3078" width="41.44140625" style="2" customWidth="1"/>
    <col min="3079" max="3079" width="9.33203125" style="2" customWidth="1"/>
    <col min="3080" max="3081" width="9.44140625" style="2" customWidth="1"/>
    <col min="3082" max="3082" width="9" style="2" customWidth="1"/>
    <col min="3083" max="3083" width="7.6640625" style="2" customWidth="1"/>
    <col min="3084" max="3087" width="9.109375" style="2" customWidth="1"/>
    <col min="3088" max="3331" width="9.109375" style="2"/>
    <col min="3332" max="3332" width="4.6640625" style="2" customWidth="1"/>
    <col min="3333" max="3333" width="6" style="2" customWidth="1"/>
    <col min="3334" max="3334" width="41.44140625" style="2" customWidth="1"/>
    <col min="3335" max="3335" width="9.33203125" style="2" customWidth="1"/>
    <col min="3336" max="3337" width="9.44140625" style="2" customWidth="1"/>
    <col min="3338" max="3338" width="9" style="2" customWidth="1"/>
    <col min="3339" max="3339" width="7.6640625" style="2" customWidth="1"/>
    <col min="3340" max="3343" width="9.109375" style="2" customWidth="1"/>
    <col min="3344" max="3587" width="9.109375" style="2"/>
    <col min="3588" max="3588" width="4.6640625" style="2" customWidth="1"/>
    <col min="3589" max="3589" width="6" style="2" customWidth="1"/>
    <col min="3590" max="3590" width="41.44140625" style="2" customWidth="1"/>
    <col min="3591" max="3591" width="9.33203125" style="2" customWidth="1"/>
    <col min="3592" max="3593" width="9.44140625" style="2" customWidth="1"/>
    <col min="3594" max="3594" width="9" style="2" customWidth="1"/>
    <col min="3595" max="3595" width="7.6640625" style="2" customWidth="1"/>
    <col min="3596" max="3599" width="9.109375" style="2" customWidth="1"/>
    <col min="3600" max="3843" width="9.109375" style="2"/>
    <col min="3844" max="3844" width="4.6640625" style="2" customWidth="1"/>
    <col min="3845" max="3845" width="6" style="2" customWidth="1"/>
    <col min="3846" max="3846" width="41.44140625" style="2" customWidth="1"/>
    <col min="3847" max="3847" width="9.33203125" style="2" customWidth="1"/>
    <col min="3848" max="3849" width="9.44140625" style="2" customWidth="1"/>
    <col min="3850" max="3850" width="9" style="2" customWidth="1"/>
    <col min="3851" max="3851" width="7.6640625" style="2" customWidth="1"/>
    <col min="3852" max="3855" width="9.109375" style="2" customWidth="1"/>
    <col min="3856" max="4099" width="9.109375" style="2"/>
    <col min="4100" max="4100" width="4.6640625" style="2" customWidth="1"/>
    <col min="4101" max="4101" width="6" style="2" customWidth="1"/>
    <col min="4102" max="4102" width="41.44140625" style="2" customWidth="1"/>
    <col min="4103" max="4103" width="9.33203125" style="2" customWidth="1"/>
    <col min="4104" max="4105" width="9.44140625" style="2" customWidth="1"/>
    <col min="4106" max="4106" width="9" style="2" customWidth="1"/>
    <col min="4107" max="4107" width="7.6640625" style="2" customWidth="1"/>
    <col min="4108" max="4111" width="9.109375" style="2" customWidth="1"/>
    <col min="4112" max="4355" width="9.109375" style="2"/>
    <col min="4356" max="4356" width="4.6640625" style="2" customWidth="1"/>
    <col min="4357" max="4357" width="6" style="2" customWidth="1"/>
    <col min="4358" max="4358" width="41.44140625" style="2" customWidth="1"/>
    <col min="4359" max="4359" width="9.33203125" style="2" customWidth="1"/>
    <col min="4360" max="4361" width="9.44140625" style="2" customWidth="1"/>
    <col min="4362" max="4362" width="9" style="2" customWidth="1"/>
    <col min="4363" max="4363" width="7.6640625" style="2" customWidth="1"/>
    <col min="4364" max="4367" width="9.109375" style="2" customWidth="1"/>
    <col min="4368" max="4611" width="9.109375" style="2"/>
    <col min="4612" max="4612" width="4.6640625" style="2" customWidth="1"/>
    <col min="4613" max="4613" width="6" style="2" customWidth="1"/>
    <col min="4614" max="4614" width="41.44140625" style="2" customWidth="1"/>
    <col min="4615" max="4615" width="9.33203125" style="2" customWidth="1"/>
    <col min="4616" max="4617" width="9.44140625" style="2" customWidth="1"/>
    <col min="4618" max="4618" width="9" style="2" customWidth="1"/>
    <col min="4619" max="4619" width="7.6640625" style="2" customWidth="1"/>
    <col min="4620" max="4623" width="9.109375" style="2" customWidth="1"/>
    <col min="4624" max="4867" width="9.109375" style="2"/>
    <col min="4868" max="4868" width="4.6640625" style="2" customWidth="1"/>
    <col min="4869" max="4869" width="6" style="2" customWidth="1"/>
    <col min="4870" max="4870" width="41.44140625" style="2" customWidth="1"/>
    <col min="4871" max="4871" width="9.33203125" style="2" customWidth="1"/>
    <col min="4872" max="4873" width="9.44140625" style="2" customWidth="1"/>
    <col min="4874" max="4874" width="9" style="2" customWidth="1"/>
    <col min="4875" max="4875" width="7.6640625" style="2" customWidth="1"/>
    <col min="4876" max="4879" width="9.109375" style="2" customWidth="1"/>
    <col min="4880" max="5123" width="9.109375" style="2"/>
    <col min="5124" max="5124" width="4.6640625" style="2" customWidth="1"/>
    <col min="5125" max="5125" width="6" style="2" customWidth="1"/>
    <col min="5126" max="5126" width="41.44140625" style="2" customWidth="1"/>
    <col min="5127" max="5127" width="9.33203125" style="2" customWidth="1"/>
    <col min="5128" max="5129" width="9.44140625" style="2" customWidth="1"/>
    <col min="5130" max="5130" width="9" style="2" customWidth="1"/>
    <col min="5131" max="5131" width="7.6640625" style="2" customWidth="1"/>
    <col min="5132" max="5135" width="9.109375" style="2" customWidth="1"/>
    <col min="5136" max="5379" width="9.109375" style="2"/>
    <col min="5380" max="5380" width="4.6640625" style="2" customWidth="1"/>
    <col min="5381" max="5381" width="6" style="2" customWidth="1"/>
    <col min="5382" max="5382" width="41.44140625" style="2" customWidth="1"/>
    <col min="5383" max="5383" width="9.33203125" style="2" customWidth="1"/>
    <col min="5384" max="5385" width="9.44140625" style="2" customWidth="1"/>
    <col min="5386" max="5386" width="9" style="2" customWidth="1"/>
    <col min="5387" max="5387" width="7.6640625" style="2" customWidth="1"/>
    <col min="5388" max="5391" width="9.109375" style="2" customWidth="1"/>
    <col min="5392" max="5635" width="9.109375" style="2"/>
    <col min="5636" max="5636" width="4.6640625" style="2" customWidth="1"/>
    <col min="5637" max="5637" width="6" style="2" customWidth="1"/>
    <col min="5638" max="5638" width="41.44140625" style="2" customWidth="1"/>
    <col min="5639" max="5639" width="9.33203125" style="2" customWidth="1"/>
    <col min="5640" max="5641" width="9.44140625" style="2" customWidth="1"/>
    <col min="5642" max="5642" width="9" style="2" customWidth="1"/>
    <col min="5643" max="5643" width="7.6640625" style="2" customWidth="1"/>
    <col min="5644" max="5647" width="9.109375" style="2" customWidth="1"/>
    <col min="5648" max="5891" width="9.109375" style="2"/>
    <col min="5892" max="5892" width="4.6640625" style="2" customWidth="1"/>
    <col min="5893" max="5893" width="6" style="2" customWidth="1"/>
    <col min="5894" max="5894" width="41.44140625" style="2" customWidth="1"/>
    <col min="5895" max="5895" width="9.33203125" style="2" customWidth="1"/>
    <col min="5896" max="5897" width="9.44140625" style="2" customWidth="1"/>
    <col min="5898" max="5898" width="9" style="2" customWidth="1"/>
    <col min="5899" max="5899" width="7.6640625" style="2" customWidth="1"/>
    <col min="5900" max="5903" width="9.109375" style="2" customWidth="1"/>
    <col min="5904" max="6147" width="9.109375" style="2"/>
    <col min="6148" max="6148" width="4.6640625" style="2" customWidth="1"/>
    <col min="6149" max="6149" width="6" style="2" customWidth="1"/>
    <col min="6150" max="6150" width="41.44140625" style="2" customWidth="1"/>
    <col min="6151" max="6151" width="9.33203125" style="2" customWidth="1"/>
    <col min="6152" max="6153" width="9.44140625" style="2" customWidth="1"/>
    <col min="6154" max="6154" width="9" style="2" customWidth="1"/>
    <col min="6155" max="6155" width="7.6640625" style="2" customWidth="1"/>
    <col min="6156" max="6159" width="9.109375" style="2" customWidth="1"/>
    <col min="6160" max="6403" width="9.109375" style="2"/>
    <col min="6404" max="6404" width="4.6640625" style="2" customWidth="1"/>
    <col min="6405" max="6405" width="6" style="2" customWidth="1"/>
    <col min="6406" max="6406" width="41.44140625" style="2" customWidth="1"/>
    <col min="6407" max="6407" width="9.33203125" style="2" customWidth="1"/>
    <col min="6408" max="6409" width="9.44140625" style="2" customWidth="1"/>
    <col min="6410" max="6410" width="9" style="2" customWidth="1"/>
    <col min="6411" max="6411" width="7.6640625" style="2" customWidth="1"/>
    <col min="6412" max="6415" width="9.109375" style="2" customWidth="1"/>
    <col min="6416" max="6659" width="9.109375" style="2"/>
    <col min="6660" max="6660" width="4.6640625" style="2" customWidth="1"/>
    <col min="6661" max="6661" width="6" style="2" customWidth="1"/>
    <col min="6662" max="6662" width="41.44140625" style="2" customWidth="1"/>
    <col min="6663" max="6663" width="9.33203125" style="2" customWidth="1"/>
    <col min="6664" max="6665" width="9.44140625" style="2" customWidth="1"/>
    <col min="6666" max="6666" width="9" style="2" customWidth="1"/>
    <col min="6667" max="6667" width="7.6640625" style="2" customWidth="1"/>
    <col min="6668" max="6671" width="9.109375" style="2" customWidth="1"/>
    <col min="6672" max="6915" width="9.109375" style="2"/>
    <col min="6916" max="6916" width="4.6640625" style="2" customWidth="1"/>
    <col min="6917" max="6917" width="6" style="2" customWidth="1"/>
    <col min="6918" max="6918" width="41.44140625" style="2" customWidth="1"/>
    <col min="6919" max="6919" width="9.33203125" style="2" customWidth="1"/>
    <col min="6920" max="6921" width="9.44140625" style="2" customWidth="1"/>
    <col min="6922" max="6922" width="9" style="2" customWidth="1"/>
    <col min="6923" max="6923" width="7.6640625" style="2" customWidth="1"/>
    <col min="6924" max="6927" width="9.109375" style="2" customWidth="1"/>
    <col min="6928" max="7171" width="9.109375" style="2"/>
    <col min="7172" max="7172" width="4.6640625" style="2" customWidth="1"/>
    <col min="7173" max="7173" width="6" style="2" customWidth="1"/>
    <col min="7174" max="7174" width="41.44140625" style="2" customWidth="1"/>
    <col min="7175" max="7175" width="9.33203125" style="2" customWidth="1"/>
    <col min="7176" max="7177" width="9.44140625" style="2" customWidth="1"/>
    <col min="7178" max="7178" width="9" style="2" customWidth="1"/>
    <col min="7179" max="7179" width="7.6640625" style="2" customWidth="1"/>
    <col min="7180" max="7183" width="9.109375" style="2" customWidth="1"/>
    <col min="7184" max="7427" width="9.109375" style="2"/>
    <col min="7428" max="7428" width="4.6640625" style="2" customWidth="1"/>
    <col min="7429" max="7429" width="6" style="2" customWidth="1"/>
    <col min="7430" max="7430" width="41.44140625" style="2" customWidth="1"/>
    <col min="7431" max="7431" width="9.33203125" style="2" customWidth="1"/>
    <col min="7432" max="7433" width="9.44140625" style="2" customWidth="1"/>
    <col min="7434" max="7434" width="9" style="2" customWidth="1"/>
    <col min="7435" max="7435" width="7.6640625" style="2" customWidth="1"/>
    <col min="7436" max="7439" width="9.109375" style="2" customWidth="1"/>
    <col min="7440" max="7683" width="9.109375" style="2"/>
    <col min="7684" max="7684" width="4.6640625" style="2" customWidth="1"/>
    <col min="7685" max="7685" width="6" style="2" customWidth="1"/>
    <col min="7686" max="7686" width="41.44140625" style="2" customWidth="1"/>
    <col min="7687" max="7687" width="9.33203125" style="2" customWidth="1"/>
    <col min="7688" max="7689" width="9.44140625" style="2" customWidth="1"/>
    <col min="7690" max="7690" width="9" style="2" customWidth="1"/>
    <col min="7691" max="7691" width="7.6640625" style="2" customWidth="1"/>
    <col min="7692" max="7695" width="9.109375" style="2" customWidth="1"/>
    <col min="7696" max="7939" width="9.109375" style="2"/>
    <col min="7940" max="7940" width="4.6640625" style="2" customWidth="1"/>
    <col min="7941" max="7941" width="6" style="2" customWidth="1"/>
    <col min="7942" max="7942" width="41.44140625" style="2" customWidth="1"/>
    <col min="7943" max="7943" width="9.33203125" style="2" customWidth="1"/>
    <col min="7944" max="7945" width="9.44140625" style="2" customWidth="1"/>
    <col min="7946" max="7946" width="9" style="2" customWidth="1"/>
    <col min="7947" max="7947" width="7.6640625" style="2" customWidth="1"/>
    <col min="7948" max="7951" width="9.109375" style="2" customWidth="1"/>
    <col min="7952" max="8195" width="9.109375" style="2"/>
    <col min="8196" max="8196" width="4.6640625" style="2" customWidth="1"/>
    <col min="8197" max="8197" width="6" style="2" customWidth="1"/>
    <col min="8198" max="8198" width="41.44140625" style="2" customWidth="1"/>
    <col min="8199" max="8199" width="9.33203125" style="2" customWidth="1"/>
    <col min="8200" max="8201" width="9.44140625" style="2" customWidth="1"/>
    <col min="8202" max="8202" width="9" style="2" customWidth="1"/>
    <col min="8203" max="8203" width="7.6640625" style="2" customWidth="1"/>
    <col min="8204" max="8207" width="9.109375" style="2" customWidth="1"/>
    <col min="8208" max="8451" width="9.109375" style="2"/>
    <col min="8452" max="8452" width="4.6640625" style="2" customWidth="1"/>
    <col min="8453" max="8453" width="6" style="2" customWidth="1"/>
    <col min="8454" max="8454" width="41.44140625" style="2" customWidth="1"/>
    <col min="8455" max="8455" width="9.33203125" style="2" customWidth="1"/>
    <col min="8456" max="8457" width="9.44140625" style="2" customWidth="1"/>
    <col min="8458" max="8458" width="9" style="2" customWidth="1"/>
    <col min="8459" max="8459" width="7.6640625" style="2" customWidth="1"/>
    <col min="8460" max="8463" width="9.109375" style="2" customWidth="1"/>
    <col min="8464" max="8707" width="9.109375" style="2"/>
    <col min="8708" max="8708" width="4.6640625" style="2" customWidth="1"/>
    <col min="8709" max="8709" width="6" style="2" customWidth="1"/>
    <col min="8710" max="8710" width="41.44140625" style="2" customWidth="1"/>
    <col min="8711" max="8711" width="9.33203125" style="2" customWidth="1"/>
    <col min="8712" max="8713" width="9.44140625" style="2" customWidth="1"/>
    <col min="8714" max="8714" width="9" style="2" customWidth="1"/>
    <col min="8715" max="8715" width="7.6640625" style="2" customWidth="1"/>
    <col min="8716" max="8719" width="9.109375" style="2" customWidth="1"/>
    <col min="8720" max="8963" width="9.109375" style="2"/>
    <col min="8964" max="8964" width="4.6640625" style="2" customWidth="1"/>
    <col min="8965" max="8965" width="6" style="2" customWidth="1"/>
    <col min="8966" max="8966" width="41.44140625" style="2" customWidth="1"/>
    <col min="8967" max="8967" width="9.33203125" style="2" customWidth="1"/>
    <col min="8968" max="8969" width="9.44140625" style="2" customWidth="1"/>
    <col min="8970" max="8970" width="9" style="2" customWidth="1"/>
    <col min="8971" max="8971" width="7.6640625" style="2" customWidth="1"/>
    <col min="8972" max="8975" width="9.109375" style="2" customWidth="1"/>
    <col min="8976" max="9219" width="9.109375" style="2"/>
    <col min="9220" max="9220" width="4.6640625" style="2" customWidth="1"/>
    <col min="9221" max="9221" width="6" style="2" customWidth="1"/>
    <col min="9222" max="9222" width="41.44140625" style="2" customWidth="1"/>
    <col min="9223" max="9223" width="9.33203125" style="2" customWidth="1"/>
    <col min="9224" max="9225" width="9.44140625" style="2" customWidth="1"/>
    <col min="9226" max="9226" width="9" style="2" customWidth="1"/>
    <col min="9227" max="9227" width="7.6640625" style="2" customWidth="1"/>
    <col min="9228" max="9231" width="9.109375" style="2" customWidth="1"/>
    <col min="9232" max="9475" width="9.109375" style="2"/>
    <col min="9476" max="9476" width="4.6640625" style="2" customWidth="1"/>
    <col min="9477" max="9477" width="6" style="2" customWidth="1"/>
    <col min="9478" max="9478" width="41.44140625" style="2" customWidth="1"/>
    <col min="9479" max="9479" width="9.33203125" style="2" customWidth="1"/>
    <col min="9480" max="9481" width="9.44140625" style="2" customWidth="1"/>
    <col min="9482" max="9482" width="9" style="2" customWidth="1"/>
    <col min="9483" max="9483" width="7.6640625" style="2" customWidth="1"/>
    <col min="9484" max="9487" width="9.109375" style="2" customWidth="1"/>
    <col min="9488" max="9731" width="9.109375" style="2"/>
    <col min="9732" max="9732" width="4.6640625" style="2" customWidth="1"/>
    <col min="9733" max="9733" width="6" style="2" customWidth="1"/>
    <col min="9734" max="9734" width="41.44140625" style="2" customWidth="1"/>
    <col min="9735" max="9735" width="9.33203125" style="2" customWidth="1"/>
    <col min="9736" max="9737" width="9.44140625" style="2" customWidth="1"/>
    <col min="9738" max="9738" width="9" style="2" customWidth="1"/>
    <col min="9739" max="9739" width="7.6640625" style="2" customWidth="1"/>
    <col min="9740" max="9743" width="9.109375" style="2" customWidth="1"/>
    <col min="9744" max="9987" width="9.109375" style="2"/>
    <col min="9988" max="9988" width="4.6640625" style="2" customWidth="1"/>
    <col min="9989" max="9989" width="6" style="2" customWidth="1"/>
    <col min="9990" max="9990" width="41.44140625" style="2" customWidth="1"/>
    <col min="9991" max="9991" width="9.33203125" style="2" customWidth="1"/>
    <col min="9992" max="9993" width="9.44140625" style="2" customWidth="1"/>
    <col min="9994" max="9994" width="9" style="2" customWidth="1"/>
    <col min="9995" max="9995" width="7.6640625" style="2" customWidth="1"/>
    <col min="9996" max="9999" width="9.109375" style="2" customWidth="1"/>
    <col min="10000" max="10243" width="9.109375" style="2"/>
    <col min="10244" max="10244" width="4.6640625" style="2" customWidth="1"/>
    <col min="10245" max="10245" width="6" style="2" customWidth="1"/>
    <col min="10246" max="10246" width="41.44140625" style="2" customWidth="1"/>
    <col min="10247" max="10247" width="9.33203125" style="2" customWidth="1"/>
    <col min="10248" max="10249" width="9.44140625" style="2" customWidth="1"/>
    <col min="10250" max="10250" width="9" style="2" customWidth="1"/>
    <col min="10251" max="10251" width="7.6640625" style="2" customWidth="1"/>
    <col min="10252" max="10255" width="9.109375" style="2" customWidth="1"/>
    <col min="10256" max="10499" width="9.109375" style="2"/>
    <col min="10500" max="10500" width="4.6640625" style="2" customWidth="1"/>
    <col min="10501" max="10501" width="6" style="2" customWidth="1"/>
    <col min="10502" max="10502" width="41.44140625" style="2" customWidth="1"/>
    <col min="10503" max="10503" width="9.33203125" style="2" customWidth="1"/>
    <col min="10504" max="10505" width="9.44140625" style="2" customWidth="1"/>
    <col min="10506" max="10506" width="9" style="2" customWidth="1"/>
    <col min="10507" max="10507" width="7.6640625" style="2" customWidth="1"/>
    <col min="10508" max="10511" width="9.109375" style="2" customWidth="1"/>
    <col min="10512" max="10755" width="9.109375" style="2"/>
    <col min="10756" max="10756" width="4.6640625" style="2" customWidth="1"/>
    <col min="10757" max="10757" width="6" style="2" customWidth="1"/>
    <col min="10758" max="10758" width="41.44140625" style="2" customWidth="1"/>
    <col min="10759" max="10759" width="9.33203125" style="2" customWidth="1"/>
    <col min="10760" max="10761" width="9.44140625" style="2" customWidth="1"/>
    <col min="10762" max="10762" width="9" style="2" customWidth="1"/>
    <col min="10763" max="10763" width="7.6640625" style="2" customWidth="1"/>
    <col min="10764" max="10767" width="9.109375" style="2" customWidth="1"/>
    <col min="10768" max="11011" width="9.109375" style="2"/>
    <col min="11012" max="11012" width="4.6640625" style="2" customWidth="1"/>
    <col min="11013" max="11013" width="6" style="2" customWidth="1"/>
    <col min="11014" max="11014" width="41.44140625" style="2" customWidth="1"/>
    <col min="11015" max="11015" width="9.33203125" style="2" customWidth="1"/>
    <col min="11016" max="11017" width="9.44140625" style="2" customWidth="1"/>
    <col min="11018" max="11018" width="9" style="2" customWidth="1"/>
    <col min="11019" max="11019" width="7.6640625" style="2" customWidth="1"/>
    <col min="11020" max="11023" width="9.109375" style="2" customWidth="1"/>
    <col min="11024" max="11267" width="9.109375" style="2"/>
    <col min="11268" max="11268" width="4.6640625" style="2" customWidth="1"/>
    <col min="11269" max="11269" width="6" style="2" customWidth="1"/>
    <col min="11270" max="11270" width="41.44140625" style="2" customWidth="1"/>
    <col min="11271" max="11271" width="9.33203125" style="2" customWidth="1"/>
    <col min="11272" max="11273" width="9.44140625" style="2" customWidth="1"/>
    <col min="11274" max="11274" width="9" style="2" customWidth="1"/>
    <col min="11275" max="11275" width="7.6640625" style="2" customWidth="1"/>
    <col min="11276" max="11279" width="9.109375" style="2" customWidth="1"/>
    <col min="11280" max="11523" width="9.109375" style="2"/>
    <col min="11524" max="11524" width="4.6640625" style="2" customWidth="1"/>
    <col min="11525" max="11525" width="6" style="2" customWidth="1"/>
    <col min="11526" max="11526" width="41.44140625" style="2" customWidth="1"/>
    <col min="11527" max="11527" width="9.33203125" style="2" customWidth="1"/>
    <col min="11528" max="11529" width="9.44140625" style="2" customWidth="1"/>
    <col min="11530" max="11530" width="9" style="2" customWidth="1"/>
    <col min="11531" max="11531" width="7.6640625" style="2" customWidth="1"/>
    <col min="11532" max="11535" width="9.109375" style="2" customWidth="1"/>
    <col min="11536" max="11779" width="9.109375" style="2"/>
    <col min="11780" max="11780" width="4.6640625" style="2" customWidth="1"/>
    <col min="11781" max="11781" width="6" style="2" customWidth="1"/>
    <col min="11782" max="11782" width="41.44140625" style="2" customWidth="1"/>
    <col min="11783" max="11783" width="9.33203125" style="2" customWidth="1"/>
    <col min="11784" max="11785" width="9.44140625" style="2" customWidth="1"/>
    <col min="11786" max="11786" width="9" style="2" customWidth="1"/>
    <col min="11787" max="11787" width="7.6640625" style="2" customWidth="1"/>
    <col min="11788" max="11791" width="9.109375" style="2" customWidth="1"/>
    <col min="11792" max="12035" width="9.109375" style="2"/>
    <col min="12036" max="12036" width="4.6640625" style="2" customWidth="1"/>
    <col min="12037" max="12037" width="6" style="2" customWidth="1"/>
    <col min="12038" max="12038" width="41.44140625" style="2" customWidth="1"/>
    <col min="12039" max="12039" width="9.33203125" style="2" customWidth="1"/>
    <col min="12040" max="12041" width="9.44140625" style="2" customWidth="1"/>
    <col min="12042" max="12042" width="9" style="2" customWidth="1"/>
    <col min="12043" max="12043" width="7.6640625" style="2" customWidth="1"/>
    <col min="12044" max="12047" width="9.109375" style="2" customWidth="1"/>
    <col min="12048" max="12291" width="9.109375" style="2"/>
    <col min="12292" max="12292" width="4.6640625" style="2" customWidth="1"/>
    <col min="12293" max="12293" width="6" style="2" customWidth="1"/>
    <col min="12294" max="12294" width="41.44140625" style="2" customWidth="1"/>
    <col min="12295" max="12295" width="9.33203125" style="2" customWidth="1"/>
    <col min="12296" max="12297" width="9.44140625" style="2" customWidth="1"/>
    <col min="12298" max="12298" width="9" style="2" customWidth="1"/>
    <col min="12299" max="12299" width="7.6640625" style="2" customWidth="1"/>
    <col min="12300" max="12303" width="9.109375" style="2" customWidth="1"/>
    <col min="12304" max="12547" width="9.109375" style="2"/>
    <col min="12548" max="12548" width="4.6640625" style="2" customWidth="1"/>
    <col min="12549" max="12549" width="6" style="2" customWidth="1"/>
    <col min="12550" max="12550" width="41.44140625" style="2" customWidth="1"/>
    <col min="12551" max="12551" width="9.33203125" style="2" customWidth="1"/>
    <col min="12552" max="12553" width="9.44140625" style="2" customWidth="1"/>
    <col min="12554" max="12554" width="9" style="2" customWidth="1"/>
    <col min="12555" max="12555" width="7.6640625" style="2" customWidth="1"/>
    <col min="12556" max="12559" width="9.109375" style="2" customWidth="1"/>
    <col min="12560" max="12803" width="9.109375" style="2"/>
    <col min="12804" max="12804" width="4.6640625" style="2" customWidth="1"/>
    <col min="12805" max="12805" width="6" style="2" customWidth="1"/>
    <col min="12806" max="12806" width="41.44140625" style="2" customWidth="1"/>
    <col min="12807" max="12807" width="9.33203125" style="2" customWidth="1"/>
    <col min="12808" max="12809" width="9.44140625" style="2" customWidth="1"/>
    <col min="12810" max="12810" width="9" style="2" customWidth="1"/>
    <col min="12811" max="12811" width="7.6640625" style="2" customWidth="1"/>
    <col min="12812" max="12815" width="9.109375" style="2" customWidth="1"/>
    <col min="12816" max="13059" width="9.109375" style="2"/>
    <col min="13060" max="13060" width="4.6640625" style="2" customWidth="1"/>
    <col min="13061" max="13061" width="6" style="2" customWidth="1"/>
    <col min="13062" max="13062" width="41.44140625" style="2" customWidth="1"/>
    <col min="13063" max="13063" width="9.33203125" style="2" customWidth="1"/>
    <col min="13064" max="13065" width="9.44140625" style="2" customWidth="1"/>
    <col min="13066" max="13066" width="9" style="2" customWidth="1"/>
    <col min="13067" max="13067" width="7.6640625" style="2" customWidth="1"/>
    <col min="13068" max="13071" width="9.109375" style="2" customWidth="1"/>
    <col min="13072" max="13315" width="9.109375" style="2"/>
    <col min="13316" max="13316" width="4.6640625" style="2" customWidth="1"/>
    <col min="13317" max="13317" width="6" style="2" customWidth="1"/>
    <col min="13318" max="13318" width="41.44140625" style="2" customWidth="1"/>
    <col min="13319" max="13319" width="9.33203125" style="2" customWidth="1"/>
    <col min="13320" max="13321" width="9.44140625" style="2" customWidth="1"/>
    <col min="13322" max="13322" width="9" style="2" customWidth="1"/>
    <col min="13323" max="13323" width="7.6640625" style="2" customWidth="1"/>
    <col min="13324" max="13327" width="9.109375" style="2" customWidth="1"/>
    <col min="13328" max="13571" width="9.109375" style="2"/>
    <col min="13572" max="13572" width="4.6640625" style="2" customWidth="1"/>
    <col min="13573" max="13573" width="6" style="2" customWidth="1"/>
    <col min="13574" max="13574" width="41.44140625" style="2" customWidth="1"/>
    <col min="13575" max="13575" width="9.33203125" style="2" customWidth="1"/>
    <col min="13576" max="13577" width="9.44140625" style="2" customWidth="1"/>
    <col min="13578" max="13578" width="9" style="2" customWidth="1"/>
    <col min="13579" max="13579" width="7.6640625" style="2" customWidth="1"/>
    <col min="13580" max="13583" width="9.109375" style="2" customWidth="1"/>
    <col min="13584" max="13827" width="9.109375" style="2"/>
    <col min="13828" max="13828" width="4.6640625" style="2" customWidth="1"/>
    <col min="13829" max="13829" width="6" style="2" customWidth="1"/>
    <col min="13830" max="13830" width="41.44140625" style="2" customWidth="1"/>
    <col min="13831" max="13831" width="9.33203125" style="2" customWidth="1"/>
    <col min="13832" max="13833" width="9.44140625" style="2" customWidth="1"/>
    <col min="13834" max="13834" width="9" style="2" customWidth="1"/>
    <col min="13835" max="13835" width="7.6640625" style="2" customWidth="1"/>
    <col min="13836" max="13839" width="9.109375" style="2" customWidth="1"/>
    <col min="13840" max="14083" width="9.109375" style="2"/>
    <col min="14084" max="14084" width="4.6640625" style="2" customWidth="1"/>
    <col min="14085" max="14085" width="6" style="2" customWidth="1"/>
    <col min="14086" max="14086" width="41.44140625" style="2" customWidth="1"/>
    <col min="14087" max="14087" width="9.33203125" style="2" customWidth="1"/>
    <col min="14088" max="14089" width="9.44140625" style="2" customWidth="1"/>
    <col min="14090" max="14090" width="9" style="2" customWidth="1"/>
    <col min="14091" max="14091" width="7.6640625" style="2" customWidth="1"/>
    <col min="14092" max="14095" width="9.109375" style="2" customWidth="1"/>
    <col min="14096" max="14339" width="9.109375" style="2"/>
    <col min="14340" max="14340" width="4.6640625" style="2" customWidth="1"/>
    <col min="14341" max="14341" width="6" style="2" customWidth="1"/>
    <col min="14342" max="14342" width="41.44140625" style="2" customWidth="1"/>
    <col min="14343" max="14343" width="9.33203125" style="2" customWidth="1"/>
    <col min="14344" max="14345" width="9.44140625" style="2" customWidth="1"/>
    <col min="14346" max="14346" width="9" style="2" customWidth="1"/>
    <col min="14347" max="14347" width="7.6640625" style="2" customWidth="1"/>
    <col min="14348" max="14351" width="9.109375" style="2" customWidth="1"/>
    <col min="14352" max="14595" width="9.109375" style="2"/>
    <col min="14596" max="14596" width="4.6640625" style="2" customWidth="1"/>
    <col min="14597" max="14597" width="6" style="2" customWidth="1"/>
    <col min="14598" max="14598" width="41.44140625" style="2" customWidth="1"/>
    <col min="14599" max="14599" width="9.33203125" style="2" customWidth="1"/>
    <col min="14600" max="14601" width="9.44140625" style="2" customWidth="1"/>
    <col min="14602" max="14602" width="9" style="2" customWidth="1"/>
    <col min="14603" max="14603" width="7.6640625" style="2" customWidth="1"/>
    <col min="14604" max="14607" width="9.109375" style="2" customWidth="1"/>
    <col min="14608" max="14851" width="9.109375" style="2"/>
    <col min="14852" max="14852" width="4.6640625" style="2" customWidth="1"/>
    <col min="14853" max="14853" width="6" style="2" customWidth="1"/>
    <col min="14854" max="14854" width="41.44140625" style="2" customWidth="1"/>
    <col min="14855" max="14855" width="9.33203125" style="2" customWidth="1"/>
    <col min="14856" max="14857" width="9.44140625" style="2" customWidth="1"/>
    <col min="14858" max="14858" width="9" style="2" customWidth="1"/>
    <col min="14859" max="14859" width="7.6640625" style="2" customWidth="1"/>
    <col min="14860" max="14863" width="9.109375" style="2" customWidth="1"/>
    <col min="14864" max="15107" width="9.109375" style="2"/>
    <col min="15108" max="15108" width="4.6640625" style="2" customWidth="1"/>
    <col min="15109" max="15109" width="6" style="2" customWidth="1"/>
    <col min="15110" max="15110" width="41.44140625" style="2" customWidth="1"/>
    <col min="15111" max="15111" width="9.33203125" style="2" customWidth="1"/>
    <col min="15112" max="15113" width="9.44140625" style="2" customWidth="1"/>
    <col min="15114" max="15114" width="9" style="2" customWidth="1"/>
    <col min="15115" max="15115" width="7.6640625" style="2" customWidth="1"/>
    <col min="15116" max="15119" width="9.109375" style="2" customWidth="1"/>
    <col min="15120" max="15363" width="9.109375" style="2"/>
    <col min="15364" max="15364" width="4.6640625" style="2" customWidth="1"/>
    <col min="15365" max="15365" width="6" style="2" customWidth="1"/>
    <col min="15366" max="15366" width="41.44140625" style="2" customWidth="1"/>
    <col min="15367" max="15367" width="9.33203125" style="2" customWidth="1"/>
    <col min="15368" max="15369" width="9.44140625" style="2" customWidth="1"/>
    <col min="15370" max="15370" width="9" style="2" customWidth="1"/>
    <col min="15371" max="15371" width="7.6640625" style="2" customWidth="1"/>
    <col min="15372" max="15375" width="9.109375" style="2" customWidth="1"/>
    <col min="15376" max="15619" width="9.109375" style="2"/>
    <col min="15620" max="15620" width="4.6640625" style="2" customWidth="1"/>
    <col min="15621" max="15621" width="6" style="2" customWidth="1"/>
    <col min="15622" max="15622" width="41.44140625" style="2" customWidth="1"/>
    <col min="15623" max="15623" width="9.33203125" style="2" customWidth="1"/>
    <col min="15624" max="15625" width="9.44140625" style="2" customWidth="1"/>
    <col min="15626" max="15626" width="9" style="2" customWidth="1"/>
    <col min="15627" max="15627" width="7.6640625" style="2" customWidth="1"/>
    <col min="15628" max="15631" width="9.109375" style="2" customWidth="1"/>
    <col min="15632" max="15875" width="9.109375" style="2"/>
    <col min="15876" max="15876" width="4.6640625" style="2" customWidth="1"/>
    <col min="15877" max="15877" width="6" style="2" customWidth="1"/>
    <col min="15878" max="15878" width="41.44140625" style="2" customWidth="1"/>
    <col min="15879" max="15879" width="9.33203125" style="2" customWidth="1"/>
    <col min="15880" max="15881" width="9.44140625" style="2" customWidth="1"/>
    <col min="15882" max="15882" width="9" style="2" customWidth="1"/>
    <col min="15883" max="15883" width="7.6640625" style="2" customWidth="1"/>
    <col min="15884" max="15887" width="9.109375" style="2" customWidth="1"/>
    <col min="15888" max="16131" width="9.109375" style="2"/>
    <col min="16132" max="16132" width="4.6640625" style="2" customWidth="1"/>
    <col min="16133" max="16133" width="6" style="2" customWidth="1"/>
    <col min="16134" max="16134" width="41.44140625" style="2" customWidth="1"/>
    <col min="16135" max="16135" width="9.33203125" style="2" customWidth="1"/>
    <col min="16136" max="16137" width="9.44140625" style="2" customWidth="1"/>
    <col min="16138" max="16138" width="9" style="2" customWidth="1"/>
    <col min="16139" max="16139" width="7.6640625" style="2" customWidth="1"/>
    <col min="16140" max="16143" width="9.109375" style="2" customWidth="1"/>
    <col min="16144" max="16384" width="9.109375" style="2"/>
  </cols>
  <sheetData>
    <row r="1" spans="1:22" ht="15.6" x14ac:dyDescent="0.3">
      <c r="C1" s="278" t="s">
        <v>797</v>
      </c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</row>
    <row r="2" spans="1:22" ht="15.6" x14ac:dyDescent="0.3">
      <c r="C2" s="278" t="s">
        <v>798</v>
      </c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</row>
    <row r="3" spans="1:22" ht="15.6" x14ac:dyDescent="0.25">
      <c r="E3" s="307" t="s">
        <v>802</v>
      </c>
      <c r="F3" s="307"/>
      <c r="G3" s="307"/>
      <c r="H3" s="307"/>
      <c r="I3" s="307"/>
      <c r="J3" s="307"/>
      <c r="K3" s="307"/>
      <c r="L3" s="307"/>
    </row>
    <row r="4" spans="1:22" ht="15.6" x14ac:dyDescent="0.25">
      <c r="E4" s="5"/>
      <c r="F4" s="5"/>
      <c r="G4" s="5"/>
      <c r="H4" s="5"/>
      <c r="I4" s="5"/>
      <c r="J4" s="5"/>
      <c r="K4" s="5"/>
    </row>
    <row r="5" spans="1:22" ht="35.25" customHeight="1" x14ac:dyDescent="0.25">
      <c r="A5" s="321" t="s">
        <v>740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spans="1:22" x14ac:dyDescent="0.25">
      <c r="A6" s="181"/>
      <c r="B6" s="178"/>
      <c r="C6" s="179"/>
      <c r="D6" s="180"/>
      <c r="E6" s="181"/>
      <c r="F6" s="181"/>
      <c r="G6" s="181"/>
      <c r="H6" s="181"/>
      <c r="I6" s="181"/>
      <c r="J6" s="181"/>
      <c r="K6" s="309" t="s">
        <v>1</v>
      </c>
      <c r="L6" s="309"/>
    </row>
    <row r="7" spans="1:22" ht="12.75" customHeight="1" x14ac:dyDescent="0.25">
      <c r="A7" s="297" t="s">
        <v>466</v>
      </c>
      <c r="B7" s="303" t="s">
        <v>467</v>
      </c>
      <c r="C7" s="303" t="s">
        <v>4</v>
      </c>
      <c r="D7" s="297" t="s">
        <v>5</v>
      </c>
      <c r="E7" s="314" t="s">
        <v>6</v>
      </c>
      <c r="F7" s="316"/>
      <c r="G7" s="310" t="s">
        <v>665</v>
      </c>
      <c r="H7" s="322"/>
      <c r="I7" s="322"/>
      <c r="J7" s="322"/>
      <c r="K7" s="322"/>
      <c r="L7" s="311"/>
    </row>
    <row r="8" spans="1:22" ht="12.75" customHeight="1" x14ac:dyDescent="0.25">
      <c r="A8" s="298"/>
      <c r="B8" s="304"/>
      <c r="C8" s="304"/>
      <c r="D8" s="298"/>
      <c r="E8" s="315"/>
      <c r="F8" s="317"/>
      <c r="G8" s="310" t="s">
        <v>8</v>
      </c>
      <c r="H8" s="322"/>
      <c r="I8" s="322"/>
      <c r="J8" s="311"/>
      <c r="K8" s="310" t="s">
        <v>9</v>
      </c>
      <c r="L8" s="311"/>
    </row>
    <row r="9" spans="1:22" ht="18" customHeight="1" x14ac:dyDescent="0.25">
      <c r="A9" s="298"/>
      <c r="B9" s="304"/>
      <c r="C9" s="304"/>
      <c r="D9" s="298"/>
      <c r="E9" s="297" t="s">
        <v>10</v>
      </c>
      <c r="F9" s="297" t="s">
        <v>11</v>
      </c>
      <c r="G9" s="310" t="s">
        <v>12</v>
      </c>
      <c r="H9" s="311"/>
      <c r="I9" s="312" t="s">
        <v>13</v>
      </c>
      <c r="J9" s="313"/>
      <c r="K9" s="297" t="s">
        <v>10</v>
      </c>
      <c r="L9" s="323" t="s">
        <v>11</v>
      </c>
      <c r="V9" s="116"/>
    </row>
    <row r="10" spans="1:22" ht="20.399999999999999" customHeight="1" x14ac:dyDescent="0.25">
      <c r="A10" s="299"/>
      <c r="B10" s="305"/>
      <c r="C10" s="305"/>
      <c r="D10" s="299"/>
      <c r="E10" s="299"/>
      <c r="F10" s="299"/>
      <c r="G10" s="7" t="s">
        <v>741</v>
      </c>
      <c r="H10" s="7" t="s">
        <v>11</v>
      </c>
      <c r="I10" s="7" t="s">
        <v>10</v>
      </c>
      <c r="J10" s="7" t="s">
        <v>11</v>
      </c>
      <c r="K10" s="299"/>
      <c r="L10" s="324"/>
      <c r="V10" s="116"/>
    </row>
    <row r="11" spans="1:22" s="116" customFormat="1" ht="12.75" customHeight="1" x14ac:dyDescent="0.25">
      <c r="A11" s="40">
        <v>1</v>
      </c>
      <c r="B11" s="9" t="s">
        <v>14</v>
      </c>
      <c r="C11" s="9" t="s">
        <v>666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98">
        <v>11</v>
      </c>
      <c r="L11" s="10">
        <v>12</v>
      </c>
      <c r="M11" s="2"/>
      <c r="N11" s="2"/>
      <c r="O11" s="2"/>
    </row>
    <row r="12" spans="1:22" s="116" customFormat="1" ht="12.75" customHeight="1" x14ac:dyDescent="0.25">
      <c r="A12" s="11">
        <v>1</v>
      </c>
      <c r="B12" s="231" t="s">
        <v>15</v>
      </c>
      <c r="C12" s="12" t="s">
        <v>16</v>
      </c>
      <c r="D12" s="7"/>
      <c r="E12" s="43">
        <f t="shared" ref="E12:F53" si="0">+G12+K12</f>
        <v>41.4</v>
      </c>
      <c r="F12" s="43">
        <f t="shared" si="0"/>
        <v>33.9</v>
      </c>
      <c r="G12" s="13">
        <f t="shared" ref="G12:L12" si="1">+G13+G17</f>
        <v>9.5</v>
      </c>
      <c r="H12" s="13">
        <f t="shared" si="1"/>
        <v>8.3000000000000007</v>
      </c>
      <c r="I12" s="13">
        <f t="shared" si="1"/>
        <v>1.2</v>
      </c>
      <c r="J12" s="13">
        <f t="shared" si="1"/>
        <v>0.70000000000000007</v>
      </c>
      <c r="K12" s="13">
        <f t="shared" si="1"/>
        <v>31.9</v>
      </c>
      <c r="L12" s="13">
        <f t="shared" si="1"/>
        <v>25.599999999999998</v>
      </c>
      <c r="M12" s="2"/>
      <c r="N12" s="2"/>
      <c r="O12" s="2"/>
      <c r="P12" s="224"/>
      <c r="Q12" s="164"/>
      <c r="R12" s="164"/>
      <c r="S12" s="164"/>
    </row>
    <row r="13" spans="1:22" s="116" customFormat="1" ht="24" customHeight="1" x14ac:dyDescent="0.25">
      <c r="A13" s="11">
        <v>2</v>
      </c>
      <c r="B13" s="231"/>
      <c r="C13" s="38" t="s">
        <v>497</v>
      </c>
      <c r="D13" s="232"/>
      <c r="E13" s="18">
        <f>+G13+K13</f>
        <v>6.5</v>
      </c>
      <c r="F13" s="43">
        <f t="shared" si="0"/>
        <v>5</v>
      </c>
      <c r="G13" s="166">
        <f t="shared" ref="G13:L13" si="2">SUM(G14:G16)</f>
        <v>5.6</v>
      </c>
      <c r="H13" s="166">
        <f t="shared" si="2"/>
        <v>4.8</v>
      </c>
      <c r="I13" s="166">
        <f t="shared" si="2"/>
        <v>1.2</v>
      </c>
      <c r="J13" s="166">
        <f t="shared" si="2"/>
        <v>0.70000000000000007</v>
      </c>
      <c r="K13" s="166">
        <f t="shared" si="2"/>
        <v>0.89999999999999991</v>
      </c>
      <c r="L13" s="166">
        <f t="shared" si="2"/>
        <v>0.2</v>
      </c>
      <c r="M13" s="2"/>
      <c r="N13" s="2"/>
      <c r="O13" s="2"/>
      <c r="P13" s="224"/>
      <c r="Q13" s="164"/>
      <c r="R13" s="164"/>
      <c r="S13" s="164"/>
    </row>
    <row r="14" spans="1:22" s="116" customFormat="1" ht="26.4" customHeight="1" x14ac:dyDescent="0.25">
      <c r="A14" s="11" t="s">
        <v>493</v>
      </c>
      <c r="B14" s="231"/>
      <c r="C14" s="44" t="s">
        <v>499</v>
      </c>
      <c r="D14" s="232" t="s">
        <v>29</v>
      </c>
      <c r="E14" s="18">
        <f>+G14+K14</f>
        <v>1.5</v>
      </c>
      <c r="F14" s="43">
        <f t="shared" si="0"/>
        <v>1</v>
      </c>
      <c r="G14" s="166">
        <v>1.2</v>
      </c>
      <c r="H14" s="166">
        <v>0.9</v>
      </c>
      <c r="I14" s="166">
        <v>0.3</v>
      </c>
      <c r="J14" s="166">
        <v>0.2</v>
      </c>
      <c r="K14" s="166">
        <v>0.3</v>
      </c>
      <c r="L14" s="19">
        <v>0.1</v>
      </c>
      <c r="M14" s="2"/>
      <c r="N14" s="2"/>
      <c r="O14" s="2"/>
      <c r="P14" s="224"/>
      <c r="Q14" s="164"/>
      <c r="R14" s="164"/>
      <c r="S14" s="164"/>
    </row>
    <row r="15" spans="1:22" s="116" customFormat="1" ht="12.75" customHeight="1" x14ac:dyDescent="0.25">
      <c r="A15" s="11" t="s">
        <v>742</v>
      </c>
      <c r="B15" s="231"/>
      <c r="C15" s="44" t="s">
        <v>501</v>
      </c>
      <c r="D15" s="52" t="s">
        <v>49</v>
      </c>
      <c r="E15" s="18">
        <f>+G15+K15</f>
        <v>2</v>
      </c>
      <c r="F15" s="43">
        <f t="shared" si="0"/>
        <v>1.6</v>
      </c>
      <c r="G15" s="166">
        <v>1.7</v>
      </c>
      <c r="H15" s="166">
        <v>1.6</v>
      </c>
      <c r="I15" s="166">
        <v>0.3</v>
      </c>
      <c r="J15" s="166">
        <v>0.1</v>
      </c>
      <c r="K15" s="166">
        <v>0.3</v>
      </c>
      <c r="L15" s="19">
        <v>0</v>
      </c>
      <c r="M15" s="2"/>
      <c r="N15" s="2"/>
      <c r="O15" s="2"/>
      <c r="P15" s="224"/>
      <c r="Q15" s="164"/>
      <c r="R15" s="164"/>
      <c r="S15" s="164"/>
    </row>
    <row r="16" spans="1:22" s="116" customFormat="1" ht="12.75" customHeight="1" x14ac:dyDescent="0.25">
      <c r="A16" s="11" t="s">
        <v>743</v>
      </c>
      <c r="B16" s="231"/>
      <c r="C16" s="44" t="s">
        <v>503</v>
      </c>
      <c r="D16" s="52" t="s">
        <v>504</v>
      </c>
      <c r="E16" s="18">
        <f>+G16+K16</f>
        <v>3</v>
      </c>
      <c r="F16" s="43">
        <f t="shared" si="0"/>
        <v>2.4</v>
      </c>
      <c r="G16" s="166">
        <v>2.7</v>
      </c>
      <c r="H16" s="166">
        <v>2.2999999999999998</v>
      </c>
      <c r="I16" s="166">
        <v>0.6</v>
      </c>
      <c r="J16" s="166">
        <v>0.4</v>
      </c>
      <c r="K16" s="166">
        <v>0.3</v>
      </c>
      <c r="L16" s="19">
        <v>0.1</v>
      </c>
      <c r="M16" s="2"/>
      <c r="N16" s="2"/>
      <c r="O16" s="2"/>
      <c r="P16" s="224"/>
      <c r="Q16" s="164"/>
      <c r="R16" s="164"/>
      <c r="S16" s="164"/>
    </row>
    <row r="17" spans="1:24" s="116" customFormat="1" ht="12.75" customHeight="1" x14ac:dyDescent="0.25">
      <c r="A17" s="11">
        <v>3</v>
      </c>
      <c r="B17" s="9"/>
      <c r="C17" s="29" t="s">
        <v>505</v>
      </c>
      <c r="D17" s="7"/>
      <c r="E17" s="166">
        <f t="shared" si="0"/>
        <v>34.9</v>
      </c>
      <c r="F17" s="43">
        <f t="shared" si="0"/>
        <v>28.9</v>
      </c>
      <c r="G17" s="166">
        <f t="shared" ref="G17:L17" si="3">+G18+G19+G20</f>
        <v>3.9000000000000012</v>
      </c>
      <c r="H17" s="166">
        <f t="shared" si="3"/>
        <v>3.5</v>
      </c>
      <c r="I17" s="166">
        <f t="shared" si="3"/>
        <v>0</v>
      </c>
      <c r="J17" s="166">
        <f t="shared" si="3"/>
        <v>0</v>
      </c>
      <c r="K17" s="166">
        <f t="shared" si="3"/>
        <v>31</v>
      </c>
      <c r="L17" s="166">
        <f t="shared" si="3"/>
        <v>25.4</v>
      </c>
      <c r="M17" s="2"/>
      <c r="N17" s="2"/>
      <c r="O17" s="2"/>
      <c r="P17" s="224"/>
      <c r="Q17" s="164"/>
      <c r="R17" s="164"/>
      <c r="S17" s="164"/>
    </row>
    <row r="18" spans="1:24" s="116" customFormat="1" ht="26.4" x14ac:dyDescent="0.25">
      <c r="A18" s="11" t="s">
        <v>495</v>
      </c>
      <c r="B18" s="9"/>
      <c r="C18" s="38" t="s">
        <v>76</v>
      </c>
      <c r="D18" s="52" t="s">
        <v>20</v>
      </c>
      <c r="E18" s="166">
        <f t="shared" si="0"/>
        <v>11.6</v>
      </c>
      <c r="F18" s="43">
        <f t="shared" si="0"/>
        <v>11.3</v>
      </c>
      <c r="G18" s="166">
        <f>(5+7.6)-11.7+0.4-0.3</f>
        <v>1.0000000000000002</v>
      </c>
      <c r="H18" s="166">
        <f>0.8+0.1</f>
        <v>0.9</v>
      </c>
      <c r="I18" s="166"/>
      <c r="J18" s="166"/>
      <c r="K18" s="18">
        <f>11.7+1-2.1</f>
        <v>10.6</v>
      </c>
      <c r="L18" s="201">
        <f>10.4</f>
        <v>10.4</v>
      </c>
      <c r="M18" s="2"/>
      <c r="N18" s="2"/>
      <c r="O18" s="2"/>
      <c r="P18" s="224"/>
      <c r="Q18" s="164"/>
      <c r="R18" s="164"/>
      <c r="S18" s="164"/>
    </row>
    <row r="19" spans="1:24" s="116" customFormat="1" ht="26.4" x14ac:dyDescent="0.25">
      <c r="A19" s="11" t="s">
        <v>744</v>
      </c>
      <c r="B19" s="9"/>
      <c r="C19" s="29" t="s">
        <v>78</v>
      </c>
      <c r="D19" s="52" t="s">
        <v>20</v>
      </c>
      <c r="E19" s="166">
        <f t="shared" si="0"/>
        <v>10.199999999999999</v>
      </c>
      <c r="F19" s="43">
        <f t="shared" si="0"/>
        <v>10</v>
      </c>
      <c r="G19" s="166">
        <f>(2.7+17.3)-19.3+0.3-0.2</f>
        <v>0.79999999999999938</v>
      </c>
      <c r="H19" s="166">
        <v>0.6</v>
      </c>
      <c r="I19" s="166"/>
      <c r="J19" s="166"/>
      <c r="K19" s="18">
        <f>19.3-0.3-9.6</f>
        <v>9.4</v>
      </c>
      <c r="L19" s="16">
        <v>9.4</v>
      </c>
      <c r="M19" s="2"/>
      <c r="N19" s="2"/>
      <c r="O19" s="2"/>
      <c r="P19" s="224"/>
      <c r="Q19" s="164"/>
      <c r="R19" s="164"/>
      <c r="S19" s="164"/>
    </row>
    <row r="20" spans="1:24" s="116" customFormat="1" ht="36.75" customHeight="1" x14ac:dyDescent="0.25">
      <c r="A20" s="11" t="s">
        <v>745</v>
      </c>
      <c r="B20" s="9"/>
      <c r="C20" s="143" t="s">
        <v>74</v>
      </c>
      <c r="D20" s="232" t="s">
        <v>37</v>
      </c>
      <c r="E20" s="166">
        <f t="shared" si="0"/>
        <v>13.100000000000001</v>
      </c>
      <c r="F20" s="43">
        <f t="shared" si="0"/>
        <v>7.6</v>
      </c>
      <c r="G20" s="17">
        <f>(6.7+6.4)-11.1+0.1</f>
        <v>2.1000000000000019</v>
      </c>
      <c r="H20" s="17">
        <v>2</v>
      </c>
      <c r="I20" s="18"/>
      <c r="J20" s="18"/>
      <c r="K20" s="18">
        <f>11.1-0.1</f>
        <v>11</v>
      </c>
      <c r="L20" s="16">
        <v>5.6</v>
      </c>
      <c r="M20" s="2"/>
      <c r="N20" s="2"/>
      <c r="O20" s="2"/>
      <c r="P20" s="224"/>
      <c r="Q20" s="164"/>
      <c r="R20" s="164"/>
      <c r="S20" s="164"/>
    </row>
    <row r="21" spans="1:24" s="116" customFormat="1" x14ac:dyDescent="0.25">
      <c r="A21" s="11">
        <v>4</v>
      </c>
      <c r="B21" s="231" t="s">
        <v>93</v>
      </c>
      <c r="C21" s="42" t="s">
        <v>94</v>
      </c>
      <c r="D21" s="232"/>
      <c r="E21" s="142">
        <f t="shared" si="0"/>
        <v>24.099999999999998</v>
      </c>
      <c r="F21" s="43">
        <f t="shared" si="0"/>
        <v>21.700000000000003</v>
      </c>
      <c r="G21" s="142">
        <f t="shared" ref="G21:L21" si="4">+G22+G24</f>
        <v>6.2</v>
      </c>
      <c r="H21" s="142">
        <f t="shared" si="4"/>
        <v>3.9000000000000004</v>
      </c>
      <c r="I21" s="142">
        <f t="shared" si="4"/>
        <v>0</v>
      </c>
      <c r="J21" s="142">
        <f t="shared" si="4"/>
        <v>0</v>
      </c>
      <c r="K21" s="142">
        <f t="shared" si="4"/>
        <v>17.899999999999999</v>
      </c>
      <c r="L21" s="142">
        <f t="shared" si="4"/>
        <v>17.8</v>
      </c>
      <c r="M21" s="2"/>
      <c r="N21" s="2"/>
      <c r="O21" s="2"/>
      <c r="P21" s="224"/>
      <c r="Q21" s="164"/>
      <c r="R21" s="164"/>
      <c r="S21" s="164"/>
    </row>
    <row r="22" spans="1:24" s="116" customFormat="1" ht="26.4" x14ac:dyDescent="0.25">
      <c r="A22" s="11">
        <v>5</v>
      </c>
      <c r="B22" s="231"/>
      <c r="C22" s="20" t="s">
        <v>95</v>
      </c>
      <c r="D22" s="232"/>
      <c r="E22" s="36">
        <f>+G22+K22</f>
        <v>1.3</v>
      </c>
      <c r="F22" s="43">
        <f t="shared" si="0"/>
        <v>1.3</v>
      </c>
      <c r="G22" s="36">
        <f t="shared" ref="G22:L22" si="5">+G23</f>
        <v>1.3</v>
      </c>
      <c r="H22" s="36">
        <f t="shared" si="5"/>
        <v>1.3</v>
      </c>
      <c r="I22" s="36">
        <f t="shared" si="5"/>
        <v>0</v>
      </c>
      <c r="J22" s="36">
        <f t="shared" si="5"/>
        <v>0</v>
      </c>
      <c r="K22" s="36">
        <f t="shared" si="5"/>
        <v>0</v>
      </c>
      <c r="L22" s="36">
        <f t="shared" si="5"/>
        <v>0</v>
      </c>
      <c r="M22" s="2"/>
      <c r="N22" s="2"/>
      <c r="O22" s="2"/>
      <c r="P22" s="224"/>
      <c r="Q22" s="164"/>
      <c r="R22" s="164"/>
      <c r="S22" s="164"/>
    </row>
    <row r="23" spans="1:24" s="116" customFormat="1" ht="26.4" x14ac:dyDescent="0.25">
      <c r="A23" s="11" t="s">
        <v>498</v>
      </c>
      <c r="B23" s="231"/>
      <c r="C23" s="44" t="s">
        <v>97</v>
      </c>
      <c r="D23" s="232" t="s">
        <v>98</v>
      </c>
      <c r="E23" s="36">
        <f>+G23+K23</f>
        <v>1.3</v>
      </c>
      <c r="F23" s="43">
        <f t="shared" si="0"/>
        <v>1.3</v>
      </c>
      <c r="G23" s="36">
        <v>1.3</v>
      </c>
      <c r="H23" s="36">
        <v>1.3</v>
      </c>
      <c r="I23" s="36"/>
      <c r="J23" s="36"/>
      <c r="K23" s="36"/>
      <c r="L23" s="19"/>
      <c r="M23" s="2"/>
      <c r="N23" s="2"/>
      <c r="O23" s="2"/>
      <c r="P23" s="224"/>
      <c r="Q23" s="164"/>
      <c r="R23" s="164"/>
      <c r="S23" s="164"/>
    </row>
    <row r="24" spans="1:24" s="116" customFormat="1" x14ac:dyDescent="0.25">
      <c r="A24" s="11">
        <v>6</v>
      </c>
      <c r="B24" s="231"/>
      <c r="C24" s="29" t="s">
        <v>505</v>
      </c>
      <c r="D24" s="232"/>
      <c r="E24" s="17">
        <f>+G24+K24</f>
        <v>22.799999999999997</v>
      </c>
      <c r="F24" s="43">
        <f t="shared" si="0"/>
        <v>20.400000000000002</v>
      </c>
      <c r="G24" s="17">
        <f t="shared" ref="G24:L24" si="6">+G25+G26</f>
        <v>4.9000000000000004</v>
      </c>
      <c r="H24" s="17">
        <f t="shared" si="6"/>
        <v>2.6</v>
      </c>
      <c r="I24" s="17">
        <f t="shared" si="6"/>
        <v>0</v>
      </c>
      <c r="J24" s="17">
        <f t="shared" si="6"/>
        <v>0</v>
      </c>
      <c r="K24" s="17">
        <f t="shared" si="6"/>
        <v>17.899999999999999</v>
      </c>
      <c r="L24" s="17">
        <f t="shared" si="6"/>
        <v>17.8</v>
      </c>
      <c r="M24" s="2"/>
      <c r="N24" s="2"/>
      <c r="O24" s="2"/>
      <c r="P24" s="224"/>
      <c r="Q24" s="164"/>
      <c r="R24" s="164"/>
      <c r="S24" s="164"/>
    </row>
    <row r="25" spans="1:24" s="116" customFormat="1" ht="39.6" x14ac:dyDescent="0.25">
      <c r="A25" s="11" t="s">
        <v>746</v>
      </c>
      <c r="B25" s="231"/>
      <c r="C25" s="29" t="s">
        <v>514</v>
      </c>
      <c r="D25" s="232" t="s">
        <v>515</v>
      </c>
      <c r="E25" s="17">
        <f t="shared" si="0"/>
        <v>4</v>
      </c>
      <c r="F25" s="43">
        <f t="shared" si="0"/>
        <v>2.6</v>
      </c>
      <c r="G25" s="17">
        <v>4</v>
      </c>
      <c r="H25" s="17">
        <v>2.6</v>
      </c>
      <c r="I25" s="17"/>
      <c r="J25" s="17"/>
      <c r="K25" s="17"/>
      <c r="L25" s="19"/>
      <c r="M25" s="2"/>
      <c r="N25" s="2"/>
      <c r="O25" s="2"/>
      <c r="P25" s="224"/>
      <c r="Q25" s="164"/>
      <c r="R25" s="164"/>
      <c r="S25" s="164"/>
    </row>
    <row r="26" spans="1:24" s="116" customFormat="1" ht="36.75" customHeight="1" x14ac:dyDescent="0.25">
      <c r="A26" s="11" t="s">
        <v>747</v>
      </c>
      <c r="B26" s="231"/>
      <c r="C26" s="143" t="s">
        <v>140</v>
      </c>
      <c r="D26" s="232" t="s">
        <v>126</v>
      </c>
      <c r="E26" s="17">
        <f t="shared" si="0"/>
        <v>18.8</v>
      </c>
      <c r="F26" s="43">
        <f t="shared" si="0"/>
        <v>17.8</v>
      </c>
      <c r="G26" s="17">
        <f>22.5-18.2-3.4</f>
        <v>0.9000000000000008</v>
      </c>
      <c r="H26" s="17">
        <v>0</v>
      </c>
      <c r="I26" s="18"/>
      <c r="J26" s="18"/>
      <c r="K26" s="18">
        <f>18.2-0.3</f>
        <v>17.899999999999999</v>
      </c>
      <c r="L26" s="16">
        <v>17.8</v>
      </c>
      <c r="M26" s="2"/>
      <c r="N26" s="2"/>
      <c r="O26" s="2"/>
      <c r="P26" s="224"/>
      <c r="Q26" s="164"/>
      <c r="R26" s="164"/>
      <c r="S26" s="164"/>
    </row>
    <row r="27" spans="1:24" s="116" customFormat="1" x14ac:dyDescent="0.25">
      <c r="A27" s="11">
        <v>7</v>
      </c>
      <c r="B27" s="231" t="s">
        <v>204</v>
      </c>
      <c r="C27" s="42" t="s">
        <v>205</v>
      </c>
      <c r="D27" s="232"/>
      <c r="E27" s="142">
        <f t="shared" si="0"/>
        <v>3.5</v>
      </c>
      <c r="F27" s="43">
        <f t="shared" si="0"/>
        <v>0</v>
      </c>
      <c r="G27" s="142">
        <f t="shared" ref="G27:L28" si="7">+G28</f>
        <v>0</v>
      </c>
      <c r="H27" s="142">
        <f t="shared" si="7"/>
        <v>0</v>
      </c>
      <c r="I27" s="142">
        <f t="shared" si="7"/>
        <v>0</v>
      </c>
      <c r="J27" s="142">
        <f t="shared" si="7"/>
        <v>0</v>
      </c>
      <c r="K27" s="142">
        <f t="shared" si="7"/>
        <v>3.5</v>
      </c>
      <c r="L27" s="142">
        <f t="shared" si="7"/>
        <v>0</v>
      </c>
      <c r="M27" s="2"/>
      <c r="N27" s="2"/>
      <c r="O27" s="2"/>
      <c r="P27" s="224"/>
      <c r="Q27" s="164"/>
      <c r="R27" s="164"/>
      <c r="S27" s="164"/>
    </row>
    <row r="28" spans="1:24" s="116" customFormat="1" x14ac:dyDescent="0.25">
      <c r="A28" s="11">
        <v>8</v>
      </c>
      <c r="B28" s="231"/>
      <c r="C28" s="29" t="s">
        <v>505</v>
      </c>
      <c r="D28" s="232"/>
      <c r="E28" s="17">
        <f t="shared" si="0"/>
        <v>3.5</v>
      </c>
      <c r="F28" s="43">
        <f t="shared" si="0"/>
        <v>0</v>
      </c>
      <c r="G28" s="17">
        <f t="shared" si="7"/>
        <v>0</v>
      </c>
      <c r="H28" s="17">
        <f t="shared" si="7"/>
        <v>0</v>
      </c>
      <c r="I28" s="17">
        <f t="shared" si="7"/>
        <v>0</v>
      </c>
      <c r="J28" s="17"/>
      <c r="K28" s="17">
        <f t="shared" si="7"/>
        <v>3.5</v>
      </c>
      <c r="L28" s="17">
        <f t="shared" si="7"/>
        <v>0</v>
      </c>
      <c r="M28" s="2"/>
      <c r="N28" s="2"/>
      <c r="O28" s="2"/>
      <c r="P28" s="224"/>
      <c r="Q28" s="164"/>
      <c r="R28" s="164"/>
      <c r="S28" s="164"/>
    </row>
    <row r="29" spans="1:24" s="116" customFormat="1" ht="52.8" x14ac:dyDescent="0.25">
      <c r="A29" s="11" t="s">
        <v>748</v>
      </c>
      <c r="B29" s="231"/>
      <c r="C29" s="20" t="s">
        <v>527</v>
      </c>
      <c r="D29" s="232" t="s">
        <v>528</v>
      </c>
      <c r="E29" s="17">
        <f t="shared" si="0"/>
        <v>3.5</v>
      </c>
      <c r="F29" s="43">
        <f t="shared" si="0"/>
        <v>0</v>
      </c>
      <c r="G29" s="43"/>
      <c r="H29" s="17"/>
      <c r="I29" s="18"/>
      <c r="J29" s="18"/>
      <c r="K29" s="18">
        <v>3.5</v>
      </c>
      <c r="L29" s="16">
        <v>0</v>
      </c>
      <c r="M29" s="2"/>
      <c r="N29" s="2"/>
      <c r="O29" s="2"/>
      <c r="P29" s="224"/>
      <c r="Q29" s="164"/>
      <c r="R29" s="164"/>
      <c r="S29" s="164"/>
    </row>
    <row r="30" spans="1:24" s="116" customFormat="1" x14ac:dyDescent="0.25">
      <c r="A30" s="11">
        <v>9</v>
      </c>
      <c r="B30" s="231" t="s">
        <v>228</v>
      </c>
      <c r="C30" s="42" t="s">
        <v>229</v>
      </c>
      <c r="D30" s="232"/>
      <c r="E30" s="142">
        <f t="shared" si="0"/>
        <v>45.4</v>
      </c>
      <c r="F30" s="43">
        <f t="shared" si="0"/>
        <v>37.700000000000003</v>
      </c>
      <c r="G30" s="142">
        <f>+G31+G33</f>
        <v>11.9</v>
      </c>
      <c r="H30" s="142">
        <f>+H31+H33</f>
        <v>4.6999999999999993</v>
      </c>
      <c r="J30" s="142"/>
      <c r="K30" s="142">
        <f>+K31+K33</f>
        <v>33.5</v>
      </c>
      <c r="L30" s="142">
        <f>+L31+L33</f>
        <v>33</v>
      </c>
      <c r="M30" s="225"/>
      <c r="N30" s="225"/>
      <c r="O30" s="225"/>
      <c r="P30" s="226"/>
      <c r="Q30" s="227"/>
      <c r="R30" s="227"/>
      <c r="S30" s="227"/>
      <c r="T30" s="228"/>
      <c r="U30" s="228"/>
      <c r="V30" s="228"/>
      <c r="W30" s="228"/>
      <c r="X30" s="229">
        <f>+Y30+AA30</f>
        <v>0</v>
      </c>
    </row>
    <row r="31" spans="1:24" s="116" customFormat="1" x14ac:dyDescent="0.25">
      <c r="A31" s="11">
        <v>10</v>
      </c>
      <c r="B31" s="231"/>
      <c r="C31" s="144" t="s">
        <v>529</v>
      </c>
      <c r="D31" s="7"/>
      <c r="E31" s="36">
        <f>+G31+K31</f>
        <v>1.4</v>
      </c>
      <c r="F31" s="43">
        <f t="shared" si="0"/>
        <v>1.4</v>
      </c>
      <c r="G31" s="36">
        <f>+G32</f>
        <v>1.4</v>
      </c>
      <c r="H31" s="36">
        <f>+H32</f>
        <v>1.4</v>
      </c>
      <c r="I31" s="36"/>
      <c r="J31" s="36"/>
      <c r="K31" s="36">
        <f>+K32</f>
        <v>0</v>
      </c>
      <c r="L31" s="36">
        <f>+L32</f>
        <v>0</v>
      </c>
      <c r="M31" s="225"/>
      <c r="N31" s="225"/>
      <c r="O31" s="225"/>
      <c r="P31" s="226"/>
      <c r="Q31" s="227"/>
      <c r="R31" s="227"/>
      <c r="S31" s="227"/>
      <c r="T31" s="228"/>
      <c r="U31" s="228"/>
      <c r="V31" s="228"/>
      <c r="W31" s="228"/>
      <c r="X31" s="229"/>
    </row>
    <row r="32" spans="1:24" s="116" customFormat="1" ht="26.4" x14ac:dyDescent="0.25">
      <c r="A32" s="11" t="s">
        <v>513</v>
      </c>
      <c r="B32" s="231"/>
      <c r="C32" s="146" t="s">
        <v>531</v>
      </c>
      <c r="D32" s="233" t="s">
        <v>231</v>
      </c>
      <c r="E32" s="36">
        <f>+G32+K32</f>
        <v>1.4</v>
      </c>
      <c r="F32" s="43">
        <f t="shared" si="0"/>
        <v>1.4</v>
      </c>
      <c r="G32" s="36">
        <v>1.4</v>
      </c>
      <c r="H32" s="36">
        <v>1.4</v>
      </c>
      <c r="I32" s="36"/>
      <c r="J32" s="36"/>
      <c r="K32" s="36"/>
      <c r="L32" s="19"/>
      <c r="M32" s="225"/>
      <c r="N32" s="225"/>
      <c r="O32" s="225"/>
      <c r="P32" s="226"/>
      <c r="Q32" s="227"/>
      <c r="R32" s="227"/>
      <c r="S32" s="227"/>
      <c r="T32" s="228"/>
      <c r="U32" s="228"/>
      <c r="V32" s="228"/>
      <c r="W32" s="228"/>
      <c r="X32" s="229"/>
    </row>
    <row r="33" spans="1:24" s="116" customFormat="1" x14ac:dyDescent="0.25">
      <c r="A33" s="11">
        <v>11</v>
      </c>
      <c r="B33" s="9"/>
      <c r="C33" s="29" t="s">
        <v>505</v>
      </c>
      <c r="D33" s="232"/>
      <c r="E33" s="17">
        <f>+G33+K33</f>
        <v>44</v>
      </c>
      <c r="F33" s="43">
        <f t="shared" si="0"/>
        <v>36.299999999999997</v>
      </c>
      <c r="G33" s="17">
        <f>+G34+G35+G36+G37</f>
        <v>10.5</v>
      </c>
      <c r="H33" s="17">
        <f>+H34+H35+H36+H37</f>
        <v>3.3</v>
      </c>
      <c r="I33" s="17"/>
      <c r="J33" s="17"/>
      <c r="K33" s="17">
        <f>+K34+K35+K36+K37</f>
        <v>33.5</v>
      </c>
      <c r="L33" s="17">
        <f>+L34+L35+L36+L37</f>
        <v>33</v>
      </c>
      <c r="M33" s="229"/>
      <c r="N33" s="229"/>
      <c r="O33" s="229"/>
      <c r="P33" s="226"/>
      <c r="Q33" s="227"/>
      <c r="R33" s="227"/>
      <c r="S33" s="227"/>
      <c r="T33" s="228"/>
      <c r="U33" s="228"/>
      <c r="V33" s="228"/>
      <c r="W33" s="228"/>
      <c r="X33" s="228"/>
    </row>
    <row r="34" spans="1:24" s="116" customFormat="1" ht="26.4" x14ac:dyDescent="0.25">
      <c r="A34" s="11" t="s">
        <v>601</v>
      </c>
      <c r="B34" s="9"/>
      <c r="C34" s="29" t="s">
        <v>258</v>
      </c>
      <c r="D34" s="232" t="s">
        <v>231</v>
      </c>
      <c r="E34" s="17">
        <f>+G34+K34</f>
        <v>30</v>
      </c>
      <c r="F34" s="43">
        <f t="shared" si="0"/>
        <v>25.3</v>
      </c>
      <c r="G34" s="17">
        <f>(5.9+24.1)-23</f>
        <v>7</v>
      </c>
      <c r="H34" s="17">
        <v>2.2999999999999998</v>
      </c>
      <c r="I34" s="18"/>
      <c r="J34" s="18"/>
      <c r="K34" s="18">
        <v>23</v>
      </c>
      <c r="L34" s="16">
        <v>23</v>
      </c>
      <c r="M34" s="2"/>
      <c r="N34" s="2"/>
      <c r="O34" s="2"/>
      <c r="P34" s="224"/>
      <c r="Q34" s="164"/>
      <c r="R34" s="164"/>
      <c r="S34" s="164"/>
    </row>
    <row r="35" spans="1:24" s="116" customFormat="1" ht="39.6" x14ac:dyDescent="0.25">
      <c r="A35" s="11" t="s">
        <v>605</v>
      </c>
      <c r="B35" s="9"/>
      <c r="C35" s="29" t="s">
        <v>262</v>
      </c>
      <c r="D35" s="232" t="s">
        <v>231</v>
      </c>
      <c r="E35" s="17">
        <f t="shared" si="0"/>
        <v>0.5</v>
      </c>
      <c r="F35" s="43">
        <f t="shared" si="0"/>
        <v>0</v>
      </c>
      <c r="G35" s="17"/>
      <c r="H35" s="17"/>
      <c r="I35" s="18"/>
      <c r="J35" s="18"/>
      <c r="K35" s="18">
        <f>2-1.5</f>
        <v>0.5</v>
      </c>
      <c r="L35" s="16">
        <v>0</v>
      </c>
      <c r="M35" s="2"/>
      <c r="N35" s="2"/>
      <c r="O35" s="2"/>
      <c r="P35" s="224"/>
      <c r="Q35" s="164"/>
      <c r="R35" s="164"/>
      <c r="S35" s="164"/>
    </row>
    <row r="36" spans="1:24" s="116" customFormat="1" ht="26.4" x14ac:dyDescent="0.25">
      <c r="A36" s="11" t="s">
        <v>610</v>
      </c>
      <c r="B36" s="9"/>
      <c r="C36" s="29" t="s">
        <v>260</v>
      </c>
      <c r="D36" s="232" t="s">
        <v>231</v>
      </c>
      <c r="E36" s="17">
        <f t="shared" si="0"/>
        <v>4.4000000000000004</v>
      </c>
      <c r="F36" s="43">
        <f t="shared" si="0"/>
        <v>4.4000000000000004</v>
      </c>
      <c r="G36" s="17"/>
      <c r="H36" s="17"/>
      <c r="I36" s="18"/>
      <c r="J36" s="18"/>
      <c r="K36" s="18">
        <v>4.4000000000000004</v>
      </c>
      <c r="L36" s="16">
        <v>4.4000000000000004</v>
      </c>
      <c r="M36" s="2"/>
      <c r="N36" s="2"/>
      <c r="O36" s="2"/>
      <c r="P36" s="224"/>
      <c r="Q36" s="164"/>
      <c r="R36" s="164"/>
      <c r="S36" s="164"/>
    </row>
    <row r="37" spans="1:24" s="116" customFormat="1" ht="52.8" x14ac:dyDescent="0.25">
      <c r="A37" s="11" t="s">
        <v>614</v>
      </c>
      <c r="B37" s="9"/>
      <c r="C37" s="29" t="s">
        <v>264</v>
      </c>
      <c r="D37" s="233" t="s">
        <v>231</v>
      </c>
      <c r="E37" s="17">
        <f t="shared" si="0"/>
        <v>9.1</v>
      </c>
      <c r="F37" s="43">
        <f t="shared" si="0"/>
        <v>6.6</v>
      </c>
      <c r="G37" s="17">
        <v>3.5</v>
      </c>
      <c r="H37" s="17">
        <v>1</v>
      </c>
      <c r="I37" s="18"/>
      <c r="J37" s="18"/>
      <c r="K37" s="18">
        <f>5.6</f>
        <v>5.6</v>
      </c>
      <c r="L37" s="16">
        <v>5.6</v>
      </c>
      <c r="M37" s="4"/>
      <c r="N37" s="2"/>
      <c r="O37" s="2"/>
      <c r="P37" s="224"/>
      <c r="Q37" s="164"/>
      <c r="R37" s="164"/>
      <c r="S37" s="164"/>
    </row>
    <row r="38" spans="1:24" ht="26.4" x14ac:dyDescent="0.25">
      <c r="A38" s="11">
        <v>12</v>
      </c>
      <c r="B38" s="231" t="s">
        <v>268</v>
      </c>
      <c r="C38" s="71" t="s">
        <v>269</v>
      </c>
      <c r="D38" s="232"/>
      <c r="E38" s="43">
        <f t="shared" si="0"/>
        <v>240.60000000000002</v>
      </c>
      <c r="F38" s="43">
        <f t="shared" si="0"/>
        <v>239.29999999999998</v>
      </c>
      <c r="G38" s="43">
        <f t="shared" ref="G38:L38" si="8">+G39</f>
        <v>2.6000000000000085</v>
      </c>
      <c r="H38" s="43">
        <f t="shared" si="8"/>
        <v>1.5999999999999999</v>
      </c>
      <c r="I38" s="43">
        <f t="shared" si="8"/>
        <v>0</v>
      </c>
      <c r="J38" s="43">
        <f t="shared" si="8"/>
        <v>0</v>
      </c>
      <c r="K38" s="43">
        <f t="shared" si="8"/>
        <v>238</v>
      </c>
      <c r="L38" s="43">
        <f t="shared" si="8"/>
        <v>237.7</v>
      </c>
      <c r="P38" s="224"/>
      <c r="Q38" s="164"/>
      <c r="R38" s="164"/>
      <c r="S38" s="164"/>
    </row>
    <row r="39" spans="1:24" ht="18" customHeight="1" x14ac:dyDescent="0.25">
      <c r="A39" s="11">
        <v>13</v>
      </c>
      <c r="B39" s="231"/>
      <c r="C39" s="29" t="s">
        <v>505</v>
      </c>
      <c r="D39" s="232"/>
      <c r="E39" s="18">
        <f t="shared" si="0"/>
        <v>240.60000000000002</v>
      </c>
      <c r="F39" s="43">
        <f t="shared" si="0"/>
        <v>239.29999999999998</v>
      </c>
      <c r="G39" s="18">
        <f>+G40+G42+G44</f>
        <v>2.6000000000000085</v>
      </c>
      <c r="H39" s="18">
        <f>+H40+H42+H44</f>
        <v>1.5999999999999999</v>
      </c>
      <c r="I39" s="17"/>
      <c r="J39" s="17"/>
      <c r="K39" s="18">
        <f>+K40+K42+K44</f>
        <v>238</v>
      </c>
      <c r="L39" s="18">
        <f>+L40+L42+L44</f>
        <v>237.7</v>
      </c>
      <c r="P39" s="224"/>
      <c r="Q39" s="164"/>
      <c r="R39" s="164"/>
      <c r="S39" s="164"/>
    </row>
    <row r="40" spans="1:24" ht="43.2" customHeight="1" x14ac:dyDescent="0.25">
      <c r="A40" s="343" t="s">
        <v>518</v>
      </c>
      <c r="B40" s="344"/>
      <c r="C40" s="20" t="s">
        <v>542</v>
      </c>
      <c r="D40" s="346" t="s">
        <v>272</v>
      </c>
      <c r="E40" s="18">
        <f t="shared" si="0"/>
        <v>14.700000000000001</v>
      </c>
      <c r="F40" s="43">
        <f t="shared" si="0"/>
        <v>14.4</v>
      </c>
      <c r="G40" s="18">
        <f>(3.2+37.7)+(3.9+30.4)-74-0.2</f>
        <v>1.0000000000000029</v>
      </c>
      <c r="H40" s="18">
        <v>0.8</v>
      </c>
      <c r="I40" s="18"/>
      <c r="J40" s="18"/>
      <c r="K40" s="18">
        <f>74-58.2-2.1</f>
        <v>13.699999999999998</v>
      </c>
      <c r="L40" s="16">
        <v>13.6</v>
      </c>
      <c r="P40" s="224"/>
      <c r="Q40" s="164"/>
      <c r="R40" s="164"/>
      <c r="S40" s="164"/>
    </row>
    <row r="41" spans="1:24" ht="25.5" customHeight="1" x14ac:dyDescent="0.25">
      <c r="A41" s="343"/>
      <c r="B41" s="344"/>
      <c r="C41" s="49" t="s">
        <v>749</v>
      </c>
      <c r="D41" s="346"/>
      <c r="E41" s="18">
        <f t="shared" si="0"/>
        <v>7.6999999999999966</v>
      </c>
      <c r="F41" s="43">
        <f t="shared" si="0"/>
        <v>7.5</v>
      </c>
      <c r="G41" s="18">
        <f>(3.9+30.4)-33.7-0.1</f>
        <v>0.49999999999999434</v>
      </c>
      <c r="H41" s="18">
        <v>0.4</v>
      </c>
      <c r="I41" s="18"/>
      <c r="J41" s="18"/>
      <c r="K41" s="18">
        <f>33.7-26.3-0.2</f>
        <v>7.200000000000002</v>
      </c>
      <c r="L41" s="16">
        <v>7.1</v>
      </c>
      <c r="M41" s="211"/>
      <c r="P41" s="224"/>
      <c r="Q41" s="164"/>
      <c r="R41" s="164"/>
      <c r="S41" s="164"/>
      <c r="T41" s="37"/>
    </row>
    <row r="42" spans="1:24" ht="55.5" customHeight="1" x14ac:dyDescent="0.25">
      <c r="A42" s="343" t="s">
        <v>519</v>
      </c>
      <c r="B42" s="231"/>
      <c r="C42" s="20" t="s">
        <v>750</v>
      </c>
      <c r="D42" s="346" t="s">
        <v>272</v>
      </c>
      <c r="E42" s="18">
        <f t="shared" si="0"/>
        <v>223.10000000000002</v>
      </c>
      <c r="F42" s="43">
        <f t="shared" si="0"/>
        <v>222.2</v>
      </c>
      <c r="G42" s="18">
        <f>(20.7+107.5)+(4+101.9)-232.7+0.1-0.2</f>
        <v>1.3000000000000058</v>
      </c>
      <c r="H42" s="18">
        <v>0.6</v>
      </c>
      <c r="I42" s="18"/>
      <c r="J42" s="18"/>
      <c r="K42" s="18">
        <f>232.7+2.3-13.2</f>
        <v>221.8</v>
      </c>
      <c r="L42" s="16">
        <v>221.6</v>
      </c>
      <c r="P42" s="224"/>
      <c r="Q42" s="164"/>
      <c r="R42" s="164"/>
      <c r="S42" s="164"/>
      <c r="T42" s="37"/>
    </row>
    <row r="43" spans="1:24" ht="26.4" x14ac:dyDescent="0.25">
      <c r="A43" s="343"/>
      <c r="B43" s="231"/>
      <c r="C43" s="49" t="s">
        <v>749</v>
      </c>
      <c r="D43" s="346"/>
      <c r="E43" s="18">
        <f t="shared" si="0"/>
        <v>105.3</v>
      </c>
      <c r="F43" s="43">
        <f t="shared" si="0"/>
        <v>105.10000000000001</v>
      </c>
      <c r="G43" s="18">
        <f>(4+101.9)-105.2+0.5-0.7</f>
        <v>0.50000000000000289</v>
      </c>
      <c r="H43" s="18">
        <v>0.4</v>
      </c>
      <c r="I43" s="18"/>
      <c r="J43" s="18"/>
      <c r="K43" s="18">
        <f>105.2+1.8-2.2</f>
        <v>104.8</v>
      </c>
      <c r="L43" s="16">
        <v>104.7</v>
      </c>
      <c r="M43" s="37"/>
      <c r="O43" s="37"/>
      <c r="P43" s="224"/>
      <c r="Q43" s="164"/>
      <c r="R43" s="164"/>
      <c r="S43" s="164"/>
      <c r="T43" s="37"/>
    </row>
    <row r="44" spans="1:24" ht="26.4" x14ac:dyDescent="0.25">
      <c r="A44" s="230" t="s">
        <v>522</v>
      </c>
      <c r="B44" s="231"/>
      <c r="C44" s="20" t="s">
        <v>302</v>
      </c>
      <c r="D44" s="232" t="s">
        <v>303</v>
      </c>
      <c r="E44" s="18">
        <f t="shared" si="0"/>
        <v>2.8</v>
      </c>
      <c r="F44" s="43">
        <f t="shared" si="0"/>
        <v>2.7</v>
      </c>
      <c r="G44" s="18">
        <f>(1.2+6.8)-7.7</f>
        <v>0.29999999999999982</v>
      </c>
      <c r="H44" s="24">
        <f>0.2</f>
        <v>0.2</v>
      </c>
      <c r="I44" s="18"/>
      <c r="J44" s="18"/>
      <c r="K44" s="18">
        <f>7.7-5-0.2</f>
        <v>2.5</v>
      </c>
      <c r="L44" s="16">
        <v>2.5</v>
      </c>
      <c r="P44" s="224"/>
      <c r="Q44" s="164"/>
      <c r="R44" s="164"/>
      <c r="S44" s="164"/>
      <c r="T44" s="37"/>
    </row>
    <row r="45" spans="1:24" ht="22.8" x14ac:dyDescent="0.25">
      <c r="A45" s="230" t="s">
        <v>523</v>
      </c>
      <c r="B45" s="231" t="s">
        <v>315</v>
      </c>
      <c r="C45" s="75" t="s">
        <v>316</v>
      </c>
      <c r="D45" s="232"/>
      <c r="E45" s="43">
        <f t="shared" si="0"/>
        <v>1069.6999999999998</v>
      </c>
      <c r="F45" s="43">
        <f t="shared" si="0"/>
        <v>965</v>
      </c>
      <c r="G45" s="43">
        <f t="shared" ref="G45:L45" si="9">+G46</f>
        <v>6.6999999999999984</v>
      </c>
      <c r="H45" s="43">
        <f t="shared" si="9"/>
        <v>5.2</v>
      </c>
      <c r="I45" s="43">
        <f t="shared" si="9"/>
        <v>0</v>
      </c>
      <c r="J45" s="43">
        <f t="shared" si="9"/>
        <v>0</v>
      </c>
      <c r="K45" s="43">
        <f t="shared" si="9"/>
        <v>1062.9999999999998</v>
      </c>
      <c r="L45" s="43">
        <f t="shared" si="9"/>
        <v>959.8</v>
      </c>
      <c r="P45" s="224"/>
      <c r="Q45" s="164"/>
      <c r="R45" s="164"/>
      <c r="S45" s="164"/>
      <c r="T45" s="37"/>
    </row>
    <row r="46" spans="1:24" x14ac:dyDescent="0.25">
      <c r="A46" s="230" t="s">
        <v>524</v>
      </c>
      <c r="B46" s="231"/>
      <c r="C46" s="29" t="s">
        <v>505</v>
      </c>
      <c r="D46" s="232"/>
      <c r="E46" s="18">
        <f>+G46+K46</f>
        <v>1069.6999999999998</v>
      </c>
      <c r="F46" s="43">
        <f t="shared" si="0"/>
        <v>965</v>
      </c>
      <c r="G46" s="18">
        <f>+G47+G48+G50+G52+G53</f>
        <v>6.6999999999999984</v>
      </c>
      <c r="H46" s="18">
        <f>+H47+H48+H50+H52+H53</f>
        <v>5.2</v>
      </c>
      <c r="I46" s="18"/>
      <c r="J46" s="18"/>
      <c r="K46" s="18">
        <f>+K47+K48+K50+K52+K53</f>
        <v>1062.9999999999998</v>
      </c>
      <c r="L46" s="18">
        <f>+L47+L48+L50+L52+L53</f>
        <v>959.8</v>
      </c>
      <c r="P46" s="224"/>
      <c r="Q46" s="164"/>
      <c r="R46" s="164"/>
      <c r="S46" s="164"/>
      <c r="T46" s="37"/>
    </row>
    <row r="47" spans="1:24" ht="39.6" x14ac:dyDescent="0.25">
      <c r="A47" s="230" t="s">
        <v>525</v>
      </c>
      <c r="B47" s="231"/>
      <c r="C47" s="29" t="s">
        <v>551</v>
      </c>
      <c r="D47" s="233" t="s">
        <v>358</v>
      </c>
      <c r="E47" s="18">
        <f t="shared" si="0"/>
        <v>2.6</v>
      </c>
      <c r="F47" s="43">
        <f t="shared" si="0"/>
        <v>2.5</v>
      </c>
      <c r="G47" s="18"/>
      <c r="H47" s="18"/>
      <c r="I47" s="18"/>
      <c r="J47" s="18"/>
      <c r="K47" s="18">
        <v>2.6</v>
      </c>
      <c r="L47" s="16">
        <v>2.5</v>
      </c>
      <c r="P47" s="224"/>
      <c r="Q47" s="164"/>
      <c r="R47" s="164"/>
      <c r="S47" s="164"/>
      <c r="T47" s="37"/>
    </row>
    <row r="48" spans="1:24" ht="41.25" customHeight="1" x14ac:dyDescent="0.25">
      <c r="A48" s="343" t="s">
        <v>526</v>
      </c>
      <c r="B48" s="344"/>
      <c r="C48" s="20" t="s">
        <v>383</v>
      </c>
      <c r="D48" s="345" t="s">
        <v>384</v>
      </c>
      <c r="E48" s="18">
        <f t="shared" si="0"/>
        <v>282.8</v>
      </c>
      <c r="F48" s="43">
        <f t="shared" si="0"/>
        <v>266.5</v>
      </c>
      <c r="G48" s="18">
        <f>(26.3+26.2+101.2)-151.2-0.4</f>
        <v>2.1</v>
      </c>
      <c r="H48" s="18">
        <v>1.6</v>
      </c>
      <c r="I48" s="18"/>
      <c r="J48" s="18"/>
      <c r="K48" s="18">
        <f>151.2+85.4+9.5+18.3+16.3</f>
        <v>280.7</v>
      </c>
      <c r="L48" s="18">
        <v>264.89999999999998</v>
      </c>
      <c r="O48" s="14"/>
      <c r="P48" s="224"/>
      <c r="Q48" s="164"/>
      <c r="R48" s="164"/>
      <c r="S48" s="164"/>
      <c r="T48" s="37"/>
    </row>
    <row r="49" spans="1:20" ht="26.4" x14ac:dyDescent="0.25">
      <c r="A49" s="343"/>
      <c r="B49" s="344"/>
      <c r="C49" s="49" t="s">
        <v>749</v>
      </c>
      <c r="D49" s="345"/>
      <c r="E49" s="18">
        <f t="shared" si="0"/>
        <v>186.20000000000002</v>
      </c>
      <c r="F49" s="43">
        <f t="shared" si="0"/>
        <v>186.1</v>
      </c>
      <c r="G49" s="18">
        <f>1.5-0.4</f>
        <v>1.1000000000000001</v>
      </c>
      <c r="H49" s="18">
        <v>1.1000000000000001</v>
      </c>
      <c r="I49" s="18"/>
      <c r="J49" s="18"/>
      <c r="K49" s="18">
        <f>99.7+85.4+18.3-18.3</f>
        <v>185.10000000000002</v>
      </c>
      <c r="L49" s="16">
        <v>185</v>
      </c>
      <c r="N49" s="211"/>
      <c r="O49" s="14"/>
      <c r="P49" s="224"/>
      <c r="Q49" s="164"/>
      <c r="R49" s="164"/>
      <c r="S49" s="164"/>
      <c r="T49" s="37"/>
    </row>
    <row r="50" spans="1:20" ht="26.4" x14ac:dyDescent="0.25">
      <c r="A50" s="343" t="s">
        <v>751</v>
      </c>
      <c r="B50" s="344"/>
      <c r="C50" s="20" t="s">
        <v>386</v>
      </c>
      <c r="D50" s="345" t="s">
        <v>384</v>
      </c>
      <c r="E50" s="18">
        <f>+G50+K50</f>
        <v>731.39999999999986</v>
      </c>
      <c r="F50" s="43">
        <f t="shared" si="0"/>
        <v>643.4</v>
      </c>
      <c r="G50" s="18">
        <f>(51.2+71.9+123.1)-243.2+1</f>
        <v>4</v>
      </c>
      <c r="H50" s="18">
        <f>3+0.1</f>
        <v>3.1</v>
      </c>
      <c r="I50" s="18"/>
      <c r="J50" s="18"/>
      <c r="K50" s="18">
        <f>243.2+288.3+118.8+118.8-41.7</f>
        <v>727.39999999999986</v>
      </c>
      <c r="L50" s="18">
        <v>640.29999999999995</v>
      </c>
      <c r="O50" s="14"/>
      <c r="P50" s="224"/>
      <c r="Q50" s="164"/>
      <c r="R50" s="164"/>
      <c r="S50" s="164"/>
      <c r="T50" s="37"/>
    </row>
    <row r="51" spans="1:20" ht="26.4" x14ac:dyDescent="0.25">
      <c r="A51" s="343"/>
      <c r="B51" s="344"/>
      <c r="C51" s="49" t="s">
        <v>749</v>
      </c>
      <c r="D51" s="345"/>
      <c r="E51" s="18">
        <f>+G51+K51</f>
        <v>412.39999999999992</v>
      </c>
      <c r="F51" s="43">
        <f t="shared" si="0"/>
        <v>412.29999999999995</v>
      </c>
      <c r="G51" s="18">
        <f>1.5+1</f>
        <v>2.5</v>
      </c>
      <c r="H51" s="18">
        <v>2.4</v>
      </c>
      <c r="I51" s="18"/>
      <c r="J51" s="18"/>
      <c r="K51" s="18">
        <f>121.6+288.3+118.8-118.8</f>
        <v>409.89999999999992</v>
      </c>
      <c r="L51" s="16">
        <v>409.9</v>
      </c>
      <c r="O51" s="14"/>
      <c r="P51" s="224"/>
      <c r="Q51" s="164"/>
      <c r="R51" s="164"/>
      <c r="S51" s="164"/>
      <c r="T51" s="37"/>
    </row>
    <row r="52" spans="1:20" ht="26.4" x14ac:dyDescent="0.25">
      <c r="A52" s="230" t="s">
        <v>752</v>
      </c>
      <c r="B52" s="231"/>
      <c r="C52" s="20" t="s">
        <v>392</v>
      </c>
      <c r="D52" s="233" t="s">
        <v>384</v>
      </c>
      <c r="E52" s="18">
        <f t="shared" si="0"/>
        <v>24.6</v>
      </c>
      <c r="F52" s="43">
        <f t="shared" si="0"/>
        <v>24.5</v>
      </c>
      <c r="G52" s="18">
        <f>(0.3+2.2)-2.2</f>
        <v>0.29999999999999982</v>
      </c>
      <c r="H52" s="18">
        <v>0.3</v>
      </c>
      <c r="I52" s="18"/>
      <c r="J52" s="18"/>
      <c r="K52" s="18">
        <f>2.2+22.1</f>
        <v>24.3</v>
      </c>
      <c r="L52" s="16">
        <v>24.2</v>
      </c>
      <c r="P52" s="224"/>
      <c r="Q52" s="164"/>
      <c r="R52" s="164"/>
      <c r="S52" s="164"/>
    </row>
    <row r="53" spans="1:20" ht="26.4" x14ac:dyDescent="0.25">
      <c r="A53" s="230" t="s">
        <v>753</v>
      </c>
      <c r="B53" s="231"/>
      <c r="C53" s="20" t="s">
        <v>558</v>
      </c>
      <c r="D53" s="233" t="s">
        <v>384</v>
      </c>
      <c r="E53" s="18">
        <f t="shared" si="0"/>
        <v>28.299999999999997</v>
      </c>
      <c r="F53" s="43">
        <f t="shared" si="0"/>
        <v>28.099999999999998</v>
      </c>
      <c r="G53" s="18">
        <f>(0.9+10.2)-10.8</f>
        <v>0.29999999999999893</v>
      </c>
      <c r="H53" s="18">
        <v>0.2</v>
      </c>
      <c r="I53" s="18"/>
      <c r="J53" s="18"/>
      <c r="K53" s="18">
        <f>10.8+17.2-0.2+0.2</f>
        <v>28</v>
      </c>
      <c r="L53" s="16">
        <v>27.9</v>
      </c>
      <c r="P53" s="224"/>
      <c r="Q53" s="164"/>
      <c r="R53" s="164"/>
      <c r="S53" s="164"/>
    </row>
    <row r="54" spans="1:20" ht="12.75" customHeight="1" x14ac:dyDescent="0.25">
      <c r="A54" s="11">
        <v>16</v>
      </c>
      <c r="B54" s="231"/>
      <c r="C54" s="109" t="s">
        <v>463</v>
      </c>
      <c r="D54" s="232"/>
      <c r="E54" s="43">
        <f>+G54+K54</f>
        <v>1424.6999999999998</v>
      </c>
      <c r="F54" s="43">
        <f>+H54+L54</f>
        <v>1297.6000000000001</v>
      </c>
      <c r="G54" s="43">
        <f>+G12+G21+G27+G30+G38+G45</f>
        <v>36.900000000000006</v>
      </c>
      <c r="H54" s="43">
        <f>+H12+H21+H27+H30+H38+H45</f>
        <v>23.7</v>
      </c>
      <c r="I54" s="43">
        <f>+I12+I21+I27+J30+I38+I45</f>
        <v>1.2</v>
      </c>
      <c r="J54" s="43">
        <f>+J12+J21+J27+J30+J38+J45</f>
        <v>0.70000000000000007</v>
      </c>
      <c r="K54" s="43">
        <f>+K12+K21+K27+K30+K38+K45</f>
        <v>1387.7999999999997</v>
      </c>
      <c r="L54" s="43">
        <f>+L12+L21+L27+L30+L38+L45</f>
        <v>1273.9000000000001</v>
      </c>
      <c r="M54" s="14"/>
      <c r="N54" s="14"/>
      <c r="O54" s="14"/>
      <c r="P54" s="14"/>
      <c r="Q54" s="14"/>
      <c r="R54" s="14"/>
      <c r="S54" s="14"/>
    </row>
    <row r="55" spans="1:20" x14ac:dyDescent="0.25">
      <c r="A55" s="160"/>
      <c r="C55" s="176" t="s">
        <v>680</v>
      </c>
      <c r="D55" s="3"/>
      <c r="E55" s="110"/>
      <c r="F55" s="110"/>
      <c r="G55" s="110"/>
      <c r="H55" s="110"/>
      <c r="I55" s="110"/>
      <c r="J55" s="110"/>
      <c r="K55" s="110"/>
    </row>
    <row r="56" spans="1:20" x14ac:dyDescent="0.25">
      <c r="C56" s="234"/>
      <c r="D56" s="3"/>
      <c r="E56" s="110"/>
      <c r="F56" s="110"/>
      <c r="G56" s="110"/>
      <c r="H56" s="110"/>
      <c r="I56" s="110"/>
      <c r="J56" s="110"/>
      <c r="K56" s="110"/>
    </row>
    <row r="57" spans="1:20" x14ac:dyDescent="0.25">
      <c r="C57" s="132"/>
      <c r="E57" s="110"/>
      <c r="F57" s="110"/>
      <c r="G57" s="110"/>
      <c r="H57" s="110"/>
      <c r="I57" s="110"/>
      <c r="J57" s="110"/>
      <c r="K57" s="110"/>
      <c r="R57" s="14"/>
    </row>
    <row r="58" spans="1:20" x14ac:dyDescent="0.25">
      <c r="C58" s="132"/>
      <c r="E58" s="110"/>
      <c r="F58" s="110"/>
      <c r="G58" s="88"/>
      <c r="H58" s="88"/>
      <c r="I58" s="88"/>
      <c r="J58" s="88"/>
      <c r="K58" s="88"/>
    </row>
    <row r="59" spans="1:20" x14ac:dyDescent="0.25">
      <c r="E59" s="110"/>
      <c r="F59" s="110"/>
      <c r="G59" s="88"/>
      <c r="H59" s="88"/>
      <c r="I59" s="88"/>
      <c r="J59" s="88"/>
      <c r="K59" s="88"/>
    </row>
    <row r="60" spans="1:20" x14ac:dyDescent="0.25">
      <c r="C60" s="221"/>
      <c r="E60" s="110"/>
      <c r="F60" s="110"/>
      <c r="G60" s="88"/>
      <c r="H60" s="88"/>
      <c r="I60" s="88"/>
      <c r="J60" s="88"/>
      <c r="K60" s="88"/>
    </row>
    <row r="61" spans="1:20" x14ac:dyDescent="0.25">
      <c r="C61" s="221"/>
      <c r="E61" s="110"/>
      <c r="F61" s="110"/>
      <c r="G61" s="88"/>
      <c r="H61" s="88"/>
      <c r="I61" s="88"/>
      <c r="J61" s="88"/>
      <c r="K61" s="88"/>
      <c r="L61" s="14"/>
    </row>
    <row r="62" spans="1:20" x14ac:dyDescent="0.25">
      <c r="E62" s="110"/>
      <c r="F62" s="110"/>
      <c r="G62" s="88"/>
      <c r="H62" s="88"/>
      <c r="I62" s="88"/>
      <c r="J62" s="88"/>
      <c r="K62" s="88"/>
    </row>
    <row r="63" spans="1:20" x14ac:dyDescent="0.25">
      <c r="E63" s="110"/>
      <c r="F63" s="110"/>
      <c r="G63" s="110"/>
      <c r="H63" s="110"/>
      <c r="I63" s="110"/>
      <c r="J63" s="110"/>
      <c r="K63" s="110"/>
    </row>
    <row r="64" spans="1:20" x14ac:dyDescent="0.25">
      <c r="E64" s="110"/>
      <c r="F64" s="110"/>
      <c r="G64" s="88"/>
      <c r="H64" s="88"/>
      <c r="I64" s="88"/>
      <c r="J64" s="88"/>
      <c r="K64" s="88"/>
    </row>
    <row r="65" spans="3:11" x14ac:dyDescent="0.25">
      <c r="E65" s="110"/>
      <c r="F65" s="110"/>
      <c r="G65" s="88"/>
      <c r="H65" s="88"/>
      <c r="I65" s="88"/>
      <c r="J65" s="88"/>
      <c r="K65" s="88"/>
    </row>
    <row r="66" spans="3:11" x14ac:dyDescent="0.25">
      <c r="E66" s="88"/>
      <c r="F66" s="88"/>
      <c r="G66" s="88"/>
      <c r="H66" s="88"/>
      <c r="I66" s="88"/>
      <c r="J66" s="88"/>
      <c r="K66" s="88"/>
    </row>
    <row r="67" spans="3:11" x14ac:dyDescent="0.25">
      <c r="C67" s="160"/>
      <c r="E67" s="88"/>
      <c r="F67" s="88"/>
      <c r="G67" s="88"/>
      <c r="H67" s="88"/>
      <c r="I67" s="88"/>
      <c r="J67" s="88"/>
      <c r="K67" s="88"/>
    </row>
    <row r="68" spans="3:11" x14ac:dyDescent="0.25">
      <c r="C68" s="160"/>
      <c r="E68" s="4"/>
      <c r="F68" s="4"/>
      <c r="G68" s="88"/>
      <c r="H68" s="88"/>
      <c r="I68" s="88"/>
      <c r="J68" s="88"/>
      <c r="K68" s="88"/>
    </row>
    <row r="69" spans="3:11" x14ac:dyDescent="0.25">
      <c r="C69" s="160"/>
      <c r="E69" s="88"/>
      <c r="F69" s="88"/>
      <c r="G69" s="4"/>
      <c r="H69" s="4"/>
      <c r="I69" s="4"/>
      <c r="J69" s="4"/>
      <c r="K69" s="4"/>
    </row>
    <row r="70" spans="3:11" x14ac:dyDescent="0.25">
      <c r="C70" s="160"/>
      <c r="E70" s="88"/>
      <c r="F70" s="88"/>
      <c r="G70" s="4"/>
      <c r="H70" s="4"/>
      <c r="I70" s="4"/>
      <c r="J70" s="4"/>
      <c r="K70" s="4"/>
    </row>
    <row r="71" spans="3:11" x14ac:dyDescent="0.25">
      <c r="C71" s="157"/>
      <c r="D71" s="89"/>
    </row>
    <row r="72" spans="3:11" x14ac:dyDescent="0.25">
      <c r="C72" s="158"/>
      <c r="D72" s="89"/>
    </row>
    <row r="73" spans="3:11" x14ac:dyDescent="0.25">
      <c r="C73" s="160"/>
    </row>
    <row r="74" spans="3:11" x14ac:dyDescent="0.25">
      <c r="C74" s="221"/>
      <c r="D74" s="90"/>
    </row>
    <row r="75" spans="3:11" x14ac:dyDescent="0.25">
      <c r="D75" s="90"/>
    </row>
    <row r="76" spans="3:11" x14ac:dyDescent="0.25">
      <c r="C76" s="160"/>
      <c r="D76" s="67"/>
    </row>
    <row r="77" spans="3:11" x14ac:dyDescent="0.25">
      <c r="E77" s="96"/>
      <c r="F77" s="96"/>
    </row>
    <row r="80" spans="3:11" x14ac:dyDescent="0.25">
      <c r="K80" s="235"/>
    </row>
  </sheetData>
  <mergeCells count="28">
    <mergeCell ref="E3:L3"/>
    <mergeCell ref="A5:K5"/>
    <mergeCell ref="K6:L6"/>
    <mergeCell ref="G7:L7"/>
    <mergeCell ref="G8:J8"/>
    <mergeCell ref="K8:L8"/>
    <mergeCell ref="A7:A10"/>
    <mergeCell ref="B7:B10"/>
    <mergeCell ref="C7:C10"/>
    <mergeCell ref="D7:D10"/>
    <mergeCell ref="E7:F8"/>
    <mergeCell ref="E9:E10"/>
    <mergeCell ref="F9:F10"/>
    <mergeCell ref="G9:H9"/>
    <mergeCell ref="I9:J9"/>
    <mergeCell ref="K9:K10"/>
    <mergeCell ref="L9:L10"/>
    <mergeCell ref="A50:A51"/>
    <mergeCell ref="B50:B51"/>
    <mergeCell ref="D50:D51"/>
    <mergeCell ref="A40:A41"/>
    <mergeCell ref="B40:B41"/>
    <mergeCell ref="D40:D41"/>
    <mergeCell ref="A42:A43"/>
    <mergeCell ref="D42:D43"/>
    <mergeCell ref="A48:A49"/>
    <mergeCell ref="B48:B49"/>
    <mergeCell ref="D48:D49"/>
  </mergeCells>
  <pageMargins left="0.31496062992125984" right="0.11811023622047245" top="0.35433070866141736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10</vt:i4>
      </vt:variant>
      <vt:variant>
        <vt:lpstr>Įvardinti diapazonai</vt:lpstr>
      </vt:variant>
      <vt:variant>
        <vt:i4>18</vt:i4>
      </vt:variant>
    </vt:vector>
  </HeadingPairs>
  <TitlesOfParts>
    <vt:vector size="28" baseType="lpstr">
      <vt:lpstr>1 priedas</vt:lpstr>
      <vt:lpstr>2 priedas</vt:lpstr>
      <vt:lpstr>3 priedas</vt:lpstr>
      <vt:lpstr>4 priedas</vt:lpstr>
      <vt:lpstr>5 priedas</vt:lpstr>
      <vt:lpstr>6 priedas </vt:lpstr>
      <vt:lpstr>7 priedas </vt:lpstr>
      <vt:lpstr>8 priedas</vt:lpstr>
      <vt:lpstr>9 priedas</vt:lpstr>
      <vt:lpstr>10 priedas</vt:lpstr>
      <vt:lpstr>'1 priedas'!Print_Area</vt:lpstr>
      <vt:lpstr>'2 priedas'!Print_Area</vt:lpstr>
      <vt:lpstr>'3 priedas'!Print_Area</vt:lpstr>
      <vt:lpstr>'4 priedas'!Print_Area</vt:lpstr>
      <vt:lpstr>'5 priedas'!Print_Area</vt:lpstr>
      <vt:lpstr>'6 priedas '!Print_Area</vt:lpstr>
      <vt:lpstr>'7 priedas '!Print_Area</vt:lpstr>
      <vt:lpstr>'8 priedas'!Print_Area</vt:lpstr>
      <vt:lpstr>'9 priedas'!Print_Area</vt:lpstr>
      <vt:lpstr>'1 priedas'!Print_Titles</vt:lpstr>
      <vt:lpstr>'2 priedas'!Print_Titles</vt:lpstr>
      <vt:lpstr>'3 priedas'!Print_Titles</vt:lpstr>
      <vt:lpstr>'4 priedas'!Print_Titles</vt:lpstr>
      <vt:lpstr>'5 priedas'!Print_Titles</vt:lpstr>
      <vt:lpstr>'6 priedas '!Print_Titles</vt:lpstr>
      <vt:lpstr>'7 priedas '!Print_Titles</vt:lpstr>
      <vt:lpstr>'8 priedas'!Print_Titles</vt:lpstr>
      <vt:lpstr>'9 priedas'!Print_Titles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</dc:creator>
  <cp:lastModifiedBy>Vartotoja</cp:lastModifiedBy>
  <cp:lastPrinted>2021-06-30T09:26:44Z</cp:lastPrinted>
  <dcterms:created xsi:type="dcterms:W3CDTF">2021-03-01T06:58:58Z</dcterms:created>
  <dcterms:modified xsi:type="dcterms:W3CDTF">2021-07-02T10:24:34Z</dcterms:modified>
</cp:coreProperties>
</file>