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esktop\28 POSĖDIS\SP\"/>
    </mc:Choice>
  </mc:AlternateContent>
  <bookViews>
    <workbookView xWindow="0" yWindow="0" windowWidth="19200" windowHeight="7248" tabRatio="897"/>
  </bookViews>
  <sheets>
    <sheet name="1 pr" sheetId="9" r:id="rId1"/>
    <sheet name="3 pr" sheetId="26" r:id="rId2"/>
    <sheet name="7 pr" sheetId="41" r:id="rId3"/>
    <sheet name="10 pr" sheetId="49" r:id="rId4"/>
    <sheet name="13 pr" sheetId="65" r:id="rId5"/>
  </sheets>
  <definedNames>
    <definedName name="_xlnm.Print_Area" localSheetId="0">'1 pr'!$A$1:$D$106</definedName>
    <definedName name="_xlnm.Print_Area" localSheetId="3">'10 pr'!$A$1:$H$122</definedName>
    <definedName name="_xlnm.Print_Area" localSheetId="4">'13 pr'!$A$1:$D$92</definedName>
    <definedName name="_xlnm.Print_Area" localSheetId="1">'3 pr'!$A$1:$H$304</definedName>
    <definedName name="_xlnm.Print_Area" localSheetId="2">'7 pr'!$A$1:$H$61</definedName>
    <definedName name="_xlnm.Print_Titles" localSheetId="0">'1 pr'!$7:$7</definedName>
    <definedName name="_xlnm.Print_Titles" localSheetId="3">'10 pr'!$11:$11</definedName>
    <definedName name="_xlnm.Print_Titles" localSheetId="1">'3 pr'!$11:$11</definedName>
    <definedName name="_xlnm.Print_Titles" localSheetId="2">'7 pr'!$11:$11</definedName>
  </definedNames>
  <calcPr calcId="152511"/>
  <fileRecoveryPr autoRecover="0"/>
</workbook>
</file>

<file path=xl/calcChain.xml><?xml version="1.0" encoding="utf-8"?>
<calcChain xmlns="http://schemas.openxmlformats.org/spreadsheetml/2006/main">
  <c r="E116" i="49" l="1"/>
  <c r="H115" i="49"/>
  <c r="H114" i="49" s="1"/>
  <c r="G115" i="49"/>
  <c r="G114" i="49"/>
  <c r="F115" i="49"/>
  <c r="E115" i="49" s="1"/>
  <c r="F114" i="49"/>
  <c r="E114" i="49"/>
  <c r="G97" i="26"/>
  <c r="H97" i="26"/>
  <c r="F97" i="26"/>
  <c r="E97" i="26" s="1"/>
  <c r="C18" i="9"/>
  <c r="H39" i="41"/>
  <c r="G42" i="41"/>
  <c r="H42" i="41"/>
  <c r="F42" i="41"/>
  <c r="F41" i="41"/>
  <c r="C19" i="9"/>
  <c r="C17" i="9" s="1"/>
  <c r="G48" i="26"/>
  <c r="H29" i="41"/>
  <c r="F29" i="41"/>
  <c r="F28" i="41"/>
  <c r="F27" i="41" s="1"/>
  <c r="H28" i="41"/>
  <c r="H27" i="41" s="1"/>
  <c r="H108" i="49"/>
  <c r="H107" i="49" s="1"/>
  <c r="F108" i="49"/>
  <c r="F107" i="49"/>
  <c r="F106" i="49"/>
  <c r="F79" i="49"/>
  <c r="G79" i="49"/>
  <c r="H79" i="49"/>
  <c r="E80" i="49"/>
  <c r="E81" i="49"/>
  <c r="E82" i="49"/>
  <c r="E83" i="49"/>
  <c r="E84" i="49"/>
  <c r="E55" i="26"/>
  <c r="H75" i="26"/>
  <c r="H72" i="26" s="1"/>
  <c r="F75" i="26"/>
  <c r="H110" i="49"/>
  <c r="F110" i="49"/>
  <c r="C64" i="9"/>
  <c r="C66" i="9"/>
  <c r="C57" i="9"/>
  <c r="C50" i="9" s="1"/>
  <c r="G78" i="49"/>
  <c r="G77" i="49"/>
  <c r="F78" i="49"/>
  <c r="F77" i="49" s="1"/>
  <c r="E77" i="49" s="1"/>
  <c r="F71" i="49"/>
  <c r="F70" i="49" s="1"/>
  <c r="C63" i="9"/>
  <c r="F272" i="26"/>
  <c r="F211" i="26"/>
  <c r="E211" i="26" s="1"/>
  <c r="D48" i="65"/>
  <c r="D47" i="65"/>
  <c r="D73" i="65"/>
  <c r="D72" i="65" s="1"/>
  <c r="D58" i="65"/>
  <c r="D38" i="65"/>
  <c r="D30" i="65"/>
  <c r="D25" i="65"/>
  <c r="D19" i="65"/>
  <c r="D16" i="65"/>
  <c r="D20" i="65" s="1"/>
  <c r="D70" i="65"/>
  <c r="D69" i="65"/>
  <c r="G251" i="26"/>
  <c r="F277" i="26"/>
  <c r="E277" i="26" s="1"/>
  <c r="F269" i="26"/>
  <c r="E269" i="26"/>
  <c r="F151" i="26"/>
  <c r="E151" i="26" s="1"/>
  <c r="C67" i="9"/>
  <c r="C97" i="9"/>
  <c r="C90" i="9" s="1"/>
  <c r="F92" i="26"/>
  <c r="E92" i="26" s="1"/>
  <c r="G267" i="26"/>
  <c r="F267" i="26"/>
  <c r="F89" i="26"/>
  <c r="E89" i="26"/>
  <c r="G110" i="26"/>
  <c r="F110" i="26"/>
  <c r="E110" i="26" s="1"/>
  <c r="G252" i="26"/>
  <c r="F252" i="26"/>
  <c r="E252" i="26" s="1"/>
  <c r="G294" i="26"/>
  <c r="F294" i="26"/>
  <c r="E294" i="26"/>
  <c r="G292" i="26"/>
  <c r="F292" i="26"/>
  <c r="E292" i="26"/>
  <c r="F251" i="26"/>
  <c r="E251" i="26" s="1"/>
  <c r="G109" i="26"/>
  <c r="F109" i="26"/>
  <c r="E109" i="26"/>
  <c r="G57" i="49"/>
  <c r="H57" i="49"/>
  <c r="G289" i="26"/>
  <c r="F289" i="26"/>
  <c r="E289" i="26" s="1"/>
  <c r="F249" i="26"/>
  <c r="E249" i="26"/>
  <c r="G161" i="26"/>
  <c r="F161" i="26"/>
  <c r="E161" i="26" s="1"/>
  <c r="G133" i="26"/>
  <c r="F133" i="26"/>
  <c r="E133" i="26" s="1"/>
  <c r="G107" i="26"/>
  <c r="F107" i="26"/>
  <c r="E107" i="26" s="1"/>
  <c r="G290" i="26"/>
  <c r="F290" i="26"/>
  <c r="E290" i="26" s="1"/>
  <c r="G250" i="26"/>
  <c r="F250" i="26"/>
  <c r="E250" i="26" s="1"/>
  <c r="G134" i="26"/>
  <c r="F134" i="26"/>
  <c r="E134" i="26" s="1"/>
  <c r="G108" i="26"/>
  <c r="F108" i="26"/>
  <c r="E108" i="26"/>
  <c r="G281" i="26"/>
  <c r="F281" i="26"/>
  <c r="E281" i="26"/>
  <c r="G103" i="26"/>
  <c r="F103" i="26"/>
  <c r="E103" i="26" s="1"/>
  <c r="G245" i="26"/>
  <c r="F245" i="26"/>
  <c r="E245" i="26" s="1"/>
  <c r="E58" i="49"/>
  <c r="E59" i="49"/>
  <c r="E60" i="49"/>
  <c r="E61" i="49"/>
  <c r="E62" i="49"/>
  <c r="E63" i="49"/>
  <c r="E64" i="49"/>
  <c r="E65" i="49"/>
  <c r="F57" i="49"/>
  <c r="E57" i="49"/>
  <c r="C26" i="9"/>
  <c r="C24" i="9"/>
  <c r="C21" i="9" s="1"/>
  <c r="G48" i="49"/>
  <c r="G36" i="49" s="1"/>
  <c r="G269" i="26"/>
  <c r="G268" i="26"/>
  <c r="G151" i="26"/>
  <c r="G86" i="26"/>
  <c r="G85" i="26" s="1"/>
  <c r="F86" i="26"/>
  <c r="F85" i="26" s="1"/>
  <c r="E85" i="26" s="1"/>
  <c r="G44" i="26"/>
  <c r="G43" i="26" s="1"/>
  <c r="F44" i="26"/>
  <c r="E44" i="26"/>
  <c r="G296" i="26"/>
  <c r="F296" i="26"/>
  <c r="E296" i="26"/>
  <c r="G253" i="26"/>
  <c r="F253" i="26"/>
  <c r="E253" i="26" s="1"/>
  <c r="G137" i="26"/>
  <c r="F137" i="26"/>
  <c r="E137" i="26" s="1"/>
  <c r="G111" i="26"/>
  <c r="F111" i="26"/>
  <c r="E111" i="26"/>
  <c r="G285" i="26"/>
  <c r="F285" i="26"/>
  <c r="G247" i="26"/>
  <c r="G231" i="26" s="1"/>
  <c r="F247" i="26"/>
  <c r="E247" i="26" s="1"/>
  <c r="G105" i="26"/>
  <c r="F105" i="26"/>
  <c r="E105" i="26" s="1"/>
  <c r="G283" i="26"/>
  <c r="F283" i="26"/>
  <c r="E283" i="26" s="1"/>
  <c r="G246" i="26"/>
  <c r="F246" i="26"/>
  <c r="E246" i="26"/>
  <c r="G130" i="26"/>
  <c r="F130" i="26"/>
  <c r="E130" i="26"/>
  <c r="G104" i="26"/>
  <c r="F104" i="26"/>
  <c r="E104" i="26" s="1"/>
  <c r="G287" i="26"/>
  <c r="F287" i="26"/>
  <c r="E287" i="26" s="1"/>
  <c r="F248" i="26"/>
  <c r="E248" i="26"/>
  <c r="G106" i="26"/>
  <c r="F106" i="26"/>
  <c r="E106" i="26" s="1"/>
  <c r="G300" i="26"/>
  <c r="F300" i="26"/>
  <c r="E300" i="26" s="1"/>
  <c r="G255" i="26"/>
  <c r="F255" i="26"/>
  <c r="E255" i="26"/>
  <c r="G139" i="26"/>
  <c r="F139" i="26"/>
  <c r="E139" i="26"/>
  <c r="G113" i="26"/>
  <c r="F113" i="26"/>
  <c r="E113" i="26" s="1"/>
  <c r="G254" i="26"/>
  <c r="F254" i="26"/>
  <c r="E254" i="26" s="1"/>
  <c r="G298" i="26"/>
  <c r="F298" i="26"/>
  <c r="E298" i="26"/>
  <c r="G57" i="26"/>
  <c r="G56" i="26" s="1"/>
  <c r="F57" i="26"/>
  <c r="E57" i="26" s="1"/>
  <c r="G84" i="26"/>
  <c r="F84" i="26"/>
  <c r="E84" i="26"/>
  <c r="G42" i="26"/>
  <c r="F42" i="26"/>
  <c r="E42" i="26" s="1"/>
  <c r="G83" i="26"/>
  <c r="F83" i="26"/>
  <c r="E83" i="26" s="1"/>
  <c r="G82" i="26"/>
  <c r="F82" i="26"/>
  <c r="E82" i="26"/>
  <c r="G81" i="26"/>
  <c r="F81" i="26"/>
  <c r="G78" i="26"/>
  <c r="F78" i="26"/>
  <c r="E78" i="26" s="1"/>
  <c r="G148" i="26"/>
  <c r="F148" i="26"/>
  <c r="E148" i="26"/>
  <c r="G147" i="26"/>
  <c r="F147" i="26"/>
  <c r="E147" i="26" s="1"/>
  <c r="G146" i="26"/>
  <c r="F146" i="26"/>
  <c r="E146" i="26" s="1"/>
  <c r="G145" i="26"/>
  <c r="F145" i="26"/>
  <c r="E145" i="26"/>
  <c r="G144" i="26"/>
  <c r="F144" i="26"/>
  <c r="E144" i="26" s="1"/>
  <c r="G143" i="26"/>
  <c r="F143" i="26"/>
  <c r="E143" i="26" s="1"/>
  <c r="G142" i="26"/>
  <c r="F142" i="26"/>
  <c r="F140" i="26" s="1"/>
  <c r="E142" i="26"/>
  <c r="G141" i="26"/>
  <c r="F141" i="26"/>
  <c r="E141" i="26"/>
  <c r="G40" i="26"/>
  <c r="F40" i="26"/>
  <c r="G115" i="26"/>
  <c r="F115" i="26"/>
  <c r="E115" i="26"/>
  <c r="G37" i="26"/>
  <c r="F37" i="26"/>
  <c r="E37" i="26"/>
  <c r="F38" i="26"/>
  <c r="E38" i="26" s="1"/>
  <c r="G35" i="26"/>
  <c r="F35" i="26"/>
  <c r="E35" i="26"/>
  <c r="G34" i="26"/>
  <c r="F34" i="26"/>
  <c r="E34" i="26"/>
  <c r="G33" i="26"/>
  <c r="F33" i="26"/>
  <c r="G32" i="26"/>
  <c r="F32" i="26"/>
  <c r="E32" i="26"/>
  <c r="G31" i="26"/>
  <c r="F31" i="26"/>
  <c r="E31" i="26"/>
  <c r="G30" i="26"/>
  <c r="F30" i="26"/>
  <c r="E30" i="26" s="1"/>
  <c r="G29" i="26"/>
  <c r="F29" i="26"/>
  <c r="E29" i="26" s="1"/>
  <c r="G28" i="26"/>
  <c r="F28" i="26"/>
  <c r="E28" i="26"/>
  <c r="G27" i="26"/>
  <c r="F27" i="26"/>
  <c r="G26" i="26"/>
  <c r="F26" i="26"/>
  <c r="E26" i="26" s="1"/>
  <c r="G25" i="26"/>
  <c r="F25" i="26"/>
  <c r="E25" i="26" s="1"/>
  <c r="G24" i="26"/>
  <c r="F24" i="26"/>
  <c r="E24" i="26"/>
  <c r="G23" i="26"/>
  <c r="F23" i="26"/>
  <c r="E23" i="26" s="1"/>
  <c r="G22" i="26"/>
  <c r="F22" i="26"/>
  <c r="E22" i="26" s="1"/>
  <c r="G21" i="26"/>
  <c r="F21" i="26"/>
  <c r="E21" i="26"/>
  <c r="G20" i="26"/>
  <c r="F20" i="26"/>
  <c r="E20" i="26"/>
  <c r="G19" i="26"/>
  <c r="F19" i="26"/>
  <c r="E19" i="26" s="1"/>
  <c r="F18" i="26"/>
  <c r="E18" i="26"/>
  <c r="G18" i="26"/>
  <c r="G17" i="26"/>
  <c r="F17" i="26"/>
  <c r="E17" i="26"/>
  <c r="G16" i="26"/>
  <c r="F16" i="26"/>
  <c r="E16" i="26"/>
  <c r="G15" i="26"/>
  <c r="F15" i="26"/>
  <c r="E15" i="26" s="1"/>
  <c r="G14" i="26"/>
  <c r="F14" i="26"/>
  <c r="E14" i="26" s="1"/>
  <c r="G13" i="26"/>
  <c r="F13" i="26"/>
  <c r="F12" i="26" s="1"/>
  <c r="E13" i="26"/>
  <c r="F128" i="26"/>
  <c r="E128" i="26" s="1"/>
  <c r="F125" i="26"/>
  <c r="C9" i="9"/>
  <c r="H268" i="26"/>
  <c r="H265" i="26"/>
  <c r="E278" i="26"/>
  <c r="F155" i="26"/>
  <c r="F154" i="26"/>
  <c r="F150" i="26"/>
  <c r="F112" i="26"/>
  <c r="E112" i="26" s="1"/>
  <c r="F220" i="26"/>
  <c r="E220" i="26"/>
  <c r="F53" i="26"/>
  <c r="F48" i="26" s="1"/>
  <c r="F43" i="26"/>
  <c r="G41" i="26"/>
  <c r="F41" i="26"/>
  <c r="E41" i="26"/>
  <c r="G39" i="26"/>
  <c r="F39" i="26"/>
  <c r="E260" i="26"/>
  <c r="G258" i="26"/>
  <c r="G257" i="26"/>
  <c r="G256" i="26" s="1"/>
  <c r="H258" i="26"/>
  <c r="F258" i="26"/>
  <c r="E258" i="26" s="1"/>
  <c r="F257" i="26"/>
  <c r="E102" i="26"/>
  <c r="F65" i="26"/>
  <c r="G72" i="26"/>
  <c r="G58" i="26" s="1"/>
  <c r="E76" i="26"/>
  <c r="F95" i="26"/>
  <c r="H180" i="26"/>
  <c r="H158" i="26"/>
  <c r="E158" i="26"/>
  <c r="H49" i="26"/>
  <c r="H197" i="26"/>
  <c r="E197" i="26"/>
  <c r="H196" i="26"/>
  <c r="F194" i="26"/>
  <c r="F190" i="26" s="1"/>
  <c r="F189" i="26" s="1"/>
  <c r="E194" i="26"/>
  <c r="H187" i="26"/>
  <c r="H169" i="26" s="1"/>
  <c r="E187" i="26"/>
  <c r="H127" i="26"/>
  <c r="E127" i="26"/>
  <c r="F99" i="26"/>
  <c r="E99" i="26"/>
  <c r="E272" i="26"/>
  <c r="E285" i="26"/>
  <c r="E81" i="26"/>
  <c r="C62" i="9"/>
  <c r="F119" i="49"/>
  <c r="F118" i="49"/>
  <c r="F117" i="49" s="1"/>
  <c r="C99" i="9"/>
  <c r="C98" i="9"/>
  <c r="C91" i="9"/>
  <c r="C88" i="9"/>
  <c r="C81" i="9"/>
  <c r="C77" i="9"/>
  <c r="C76" i="9"/>
  <c r="C72" i="9"/>
  <c r="C71" i="9" s="1"/>
  <c r="C65" i="9"/>
  <c r="C48" i="9"/>
  <c r="C20" i="9" s="1"/>
  <c r="C16" i="9" s="1"/>
  <c r="C87" i="9" s="1"/>
  <c r="C89" i="9" s="1"/>
  <c r="C101" i="9" s="1"/>
  <c r="C46" i="9"/>
  <c r="C14" i="9"/>
  <c r="C10" i="9"/>
  <c r="H16" i="41"/>
  <c r="H14" i="41" s="1"/>
  <c r="H12" i="41" s="1"/>
  <c r="F16" i="41"/>
  <c r="F14" i="41"/>
  <c r="G118" i="49"/>
  <c r="G117" i="49" s="1"/>
  <c r="H117" i="49"/>
  <c r="E113" i="49"/>
  <c r="H112" i="49"/>
  <c r="G112" i="49"/>
  <c r="F112" i="49"/>
  <c r="E111" i="49"/>
  <c r="G110" i="49"/>
  <c r="G107" i="49"/>
  <c r="G106" i="49"/>
  <c r="E105" i="49"/>
  <c r="H104" i="49"/>
  <c r="H103" i="49" s="1"/>
  <c r="G104" i="49"/>
  <c r="G103" i="49"/>
  <c r="F104" i="49"/>
  <c r="F103" i="49" s="1"/>
  <c r="E102" i="49"/>
  <c r="E101" i="49"/>
  <c r="E100" i="49"/>
  <c r="E99" i="49"/>
  <c r="E98" i="49"/>
  <c r="E97" i="49"/>
  <c r="E96" i="49"/>
  <c r="E95" i="49"/>
  <c r="E94" i="49"/>
  <c r="E93" i="49"/>
  <c r="H92" i="49"/>
  <c r="E92" i="49" s="1"/>
  <c r="G92" i="49"/>
  <c r="F92" i="49"/>
  <c r="E91" i="49"/>
  <c r="H90" i="49"/>
  <c r="G90" i="49"/>
  <c r="F90" i="49"/>
  <c r="E88" i="49"/>
  <c r="H87" i="49"/>
  <c r="H86" i="49"/>
  <c r="H85" i="49"/>
  <c r="G87" i="49"/>
  <c r="G86" i="49" s="1"/>
  <c r="G85" i="49" s="1"/>
  <c r="F87" i="49"/>
  <c r="E87" i="49" s="1"/>
  <c r="E76" i="49"/>
  <c r="E75" i="49"/>
  <c r="E74" i="49"/>
  <c r="H73" i="49"/>
  <c r="E73" i="49" s="1"/>
  <c r="H72" i="49"/>
  <c r="G73" i="49"/>
  <c r="F73" i="49"/>
  <c r="H70" i="49"/>
  <c r="H69" i="49" s="1"/>
  <c r="G70" i="49"/>
  <c r="G69" i="49"/>
  <c r="E68" i="49"/>
  <c r="H67" i="49"/>
  <c r="H66" i="49"/>
  <c r="G67" i="49"/>
  <c r="G66" i="49"/>
  <c r="F67" i="49"/>
  <c r="F66" i="49" s="1"/>
  <c r="E66" i="49" s="1"/>
  <c r="E56" i="49"/>
  <c r="E55" i="49"/>
  <c r="E54" i="49"/>
  <c r="E53" i="49"/>
  <c r="E52" i="49"/>
  <c r="E51" i="49"/>
  <c r="H50" i="49"/>
  <c r="G50" i="49"/>
  <c r="F50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H36" i="49"/>
  <c r="F36" i="49"/>
  <c r="E36" i="49"/>
  <c r="E35" i="49"/>
  <c r="G34" i="49"/>
  <c r="G16" i="49"/>
  <c r="F34" i="49"/>
  <c r="E34" i="49" s="1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H16" i="49"/>
  <c r="E16" i="49" s="1"/>
  <c r="E15" i="49"/>
  <c r="F14" i="49"/>
  <c r="F13" i="49" s="1"/>
  <c r="H13" i="49"/>
  <c r="H12" i="49" s="1"/>
  <c r="G13" i="49"/>
  <c r="G12" i="49" s="1"/>
  <c r="G120" i="49" s="1"/>
  <c r="E301" i="26"/>
  <c r="E299" i="26"/>
  <c r="E297" i="26"/>
  <c r="E295" i="26"/>
  <c r="E293" i="26"/>
  <c r="E291" i="26"/>
  <c r="E288" i="26"/>
  <c r="E286" i="26"/>
  <c r="E284" i="26"/>
  <c r="E282" i="26"/>
  <c r="F280" i="26"/>
  <c r="E280" i="26" s="1"/>
  <c r="F279" i="26"/>
  <c r="E279" i="26" s="1"/>
  <c r="E276" i="26"/>
  <c r="E275" i="26"/>
  <c r="E274" i="26"/>
  <c r="E273" i="26"/>
  <c r="E271" i="26"/>
  <c r="F270" i="26"/>
  <c r="E270" i="26"/>
  <c r="E266" i="26"/>
  <c r="E264" i="26"/>
  <c r="E263" i="26"/>
  <c r="H262" i="26"/>
  <c r="H261" i="26" s="1"/>
  <c r="G262" i="26"/>
  <c r="G261" i="26"/>
  <c r="F262" i="26"/>
  <c r="E259" i="26"/>
  <c r="E244" i="26"/>
  <c r="F243" i="26"/>
  <c r="E243" i="26" s="1"/>
  <c r="E242" i="26"/>
  <c r="E241" i="26"/>
  <c r="E240" i="26"/>
  <c r="E239" i="26"/>
  <c r="E238" i="26"/>
  <c r="E237" i="26"/>
  <c r="E236" i="26"/>
  <c r="E235" i="26"/>
  <c r="H234" i="26"/>
  <c r="H232" i="26"/>
  <c r="H231" i="26"/>
  <c r="G234" i="26"/>
  <c r="G232" i="26"/>
  <c r="F234" i="26"/>
  <c r="F232" i="26" s="1"/>
  <c r="E232" i="26" s="1"/>
  <c r="E234" i="26"/>
  <c r="E233" i="26"/>
  <c r="E230" i="26"/>
  <c r="E229" i="26"/>
  <c r="E228" i="26"/>
  <c r="E227" i="26"/>
  <c r="E226" i="26"/>
  <c r="E225" i="26"/>
  <c r="E224" i="26"/>
  <c r="E223" i="26"/>
  <c r="E222" i="26"/>
  <c r="E221" i="26"/>
  <c r="E219" i="26"/>
  <c r="E218" i="26"/>
  <c r="H217" i="26"/>
  <c r="E217" i="26"/>
  <c r="E216" i="26"/>
  <c r="E215" i="26"/>
  <c r="E214" i="26"/>
  <c r="E213" i="26"/>
  <c r="E212" i="26"/>
  <c r="E210" i="26"/>
  <c r="E209" i="26"/>
  <c r="E208" i="26"/>
  <c r="E207" i="26"/>
  <c r="E206" i="26"/>
  <c r="E205" i="26"/>
  <c r="E204" i="26"/>
  <c r="E203" i="26"/>
  <c r="E202" i="26"/>
  <c r="E201" i="26"/>
  <c r="E200" i="26"/>
  <c r="E199" i="26"/>
  <c r="E198" i="26"/>
  <c r="E195" i="26"/>
  <c r="E193" i="26"/>
  <c r="E192" i="26"/>
  <c r="E191" i="26"/>
  <c r="G190" i="26"/>
  <c r="G189" i="26"/>
  <c r="G188" i="26" s="1"/>
  <c r="E186" i="26"/>
  <c r="E185" i="26"/>
  <c r="E184" i="26"/>
  <c r="E183" i="26"/>
  <c r="E182" i="26"/>
  <c r="E181" i="26"/>
  <c r="E179" i="26"/>
  <c r="E178" i="26"/>
  <c r="E177" i="26"/>
  <c r="E176" i="26"/>
  <c r="E175" i="26"/>
  <c r="E174" i="26"/>
  <c r="E173" i="26"/>
  <c r="E172" i="26"/>
  <c r="E171" i="26"/>
  <c r="E170" i="26"/>
  <c r="G169" i="26"/>
  <c r="G165" i="26"/>
  <c r="G162" i="26"/>
  <c r="F169" i="26"/>
  <c r="F165" i="26" s="1"/>
  <c r="E168" i="26"/>
  <c r="E167" i="26"/>
  <c r="E166" i="26"/>
  <c r="E164" i="26"/>
  <c r="F163" i="26"/>
  <c r="E163" i="26" s="1"/>
  <c r="E160" i="26"/>
  <c r="E159" i="26"/>
  <c r="E157" i="26"/>
  <c r="E156" i="26"/>
  <c r="G154" i="26"/>
  <c r="E153" i="26"/>
  <c r="E152" i="26"/>
  <c r="E149" i="26"/>
  <c r="E138" i="26"/>
  <c r="E136" i="26"/>
  <c r="E135" i="26"/>
  <c r="E132" i="26"/>
  <c r="E131" i="26"/>
  <c r="E129" i="26"/>
  <c r="E126" i="26"/>
  <c r="H125" i="26"/>
  <c r="G125" i="26"/>
  <c r="E124" i="26"/>
  <c r="E123" i="26"/>
  <c r="E122" i="26"/>
  <c r="E121" i="26"/>
  <c r="E120" i="26"/>
  <c r="E119" i="26"/>
  <c r="H118" i="26"/>
  <c r="H116" i="26" s="1"/>
  <c r="H114" i="26" s="1"/>
  <c r="G118" i="26"/>
  <c r="G116" i="26" s="1"/>
  <c r="F118" i="26"/>
  <c r="F116" i="26" s="1"/>
  <c r="E117" i="26"/>
  <c r="E101" i="26"/>
  <c r="E100" i="26"/>
  <c r="E98" i="26"/>
  <c r="E96" i="26"/>
  <c r="E94" i="26"/>
  <c r="E93" i="26"/>
  <c r="F91" i="26"/>
  <c r="E91" i="26" s="1"/>
  <c r="E90" i="26"/>
  <c r="E88" i="26"/>
  <c r="E87" i="26"/>
  <c r="E86" i="26"/>
  <c r="E80" i="26"/>
  <c r="E79" i="26"/>
  <c r="E74" i="26"/>
  <c r="E73" i="26"/>
  <c r="E71" i="26"/>
  <c r="E70" i="26"/>
  <c r="E69" i="26"/>
  <c r="E68" i="26"/>
  <c r="E67" i="26"/>
  <c r="E66" i="26"/>
  <c r="E64" i="26"/>
  <c r="E63" i="26"/>
  <c r="E62" i="26"/>
  <c r="E61" i="26"/>
  <c r="E60" i="26"/>
  <c r="E59" i="26"/>
  <c r="E54" i="26"/>
  <c r="H53" i="26"/>
  <c r="E52" i="26"/>
  <c r="E51" i="26"/>
  <c r="E50" i="26"/>
  <c r="E47" i="26"/>
  <c r="E46" i="26"/>
  <c r="E45" i="26"/>
  <c r="E40" i="26"/>
  <c r="E39" i="26"/>
  <c r="G38" i="26"/>
  <c r="E36" i="26"/>
  <c r="E33" i="26"/>
  <c r="F13" i="41"/>
  <c r="F12" i="41" s="1"/>
  <c r="E12" i="41" s="1"/>
  <c r="E13" i="41"/>
  <c r="G14" i="41"/>
  <c r="G12" i="41" s="1"/>
  <c r="G59" i="41" s="1"/>
  <c r="G41" i="41"/>
  <c r="E50" i="41"/>
  <c r="G36" i="41"/>
  <c r="G35" i="41" s="1"/>
  <c r="H36" i="41"/>
  <c r="H35" i="41" s="1"/>
  <c r="G52" i="41"/>
  <c r="G51" i="41" s="1"/>
  <c r="H52" i="41"/>
  <c r="H51" i="41"/>
  <c r="G31" i="41"/>
  <c r="G30" i="41" s="1"/>
  <c r="H31" i="41"/>
  <c r="E31" i="41" s="1"/>
  <c r="H30" i="41"/>
  <c r="E30" i="41" s="1"/>
  <c r="G28" i="41"/>
  <c r="G27" i="41" s="1"/>
  <c r="G23" i="41"/>
  <c r="G22" i="41"/>
  <c r="H23" i="41"/>
  <c r="H22" i="41" s="1"/>
  <c r="G19" i="41"/>
  <c r="G18" i="41" s="1"/>
  <c r="H19" i="41"/>
  <c r="H18" i="41" s="1"/>
  <c r="E26" i="41"/>
  <c r="G57" i="41"/>
  <c r="G56" i="41" s="1"/>
  <c r="H57" i="41"/>
  <c r="F57" i="41"/>
  <c r="F56" i="41"/>
  <c r="F55" i="41"/>
  <c r="F52" i="41" s="1"/>
  <c r="F51" i="41" s="1"/>
  <c r="E51" i="41" s="1"/>
  <c r="E53" i="41"/>
  <c r="E48" i="41"/>
  <c r="F36" i="41"/>
  <c r="F35" i="41" s="1"/>
  <c r="E38" i="41"/>
  <c r="E40" i="41"/>
  <c r="F31" i="41"/>
  <c r="F30" i="41" s="1"/>
  <c r="E33" i="41"/>
  <c r="F21" i="41"/>
  <c r="F24" i="41"/>
  <c r="F23" i="41"/>
  <c r="F22" i="41" s="1"/>
  <c r="E20" i="41"/>
  <c r="E15" i="41"/>
  <c r="E17" i="41"/>
  <c r="E54" i="41"/>
  <c r="E47" i="41"/>
  <c r="E46" i="41"/>
  <c r="E45" i="41"/>
  <c r="E43" i="41"/>
  <c r="E25" i="41"/>
  <c r="E39" i="41"/>
  <c r="E32" i="41"/>
  <c r="E37" i="41"/>
  <c r="E58" i="41"/>
  <c r="E44" i="41"/>
  <c r="E34" i="41"/>
  <c r="E49" i="41"/>
  <c r="H154" i="26"/>
  <c r="E118" i="26"/>
  <c r="H58" i="26"/>
  <c r="H56" i="26" s="1"/>
  <c r="E55" i="41"/>
  <c r="H257" i="26"/>
  <c r="H256" i="26" s="1"/>
  <c r="H56" i="41"/>
  <c r="E29" i="41"/>
  <c r="E57" i="41"/>
  <c r="E22" i="41"/>
  <c r="E24" i="41"/>
  <c r="E155" i="26"/>
  <c r="G150" i="26"/>
  <c r="E169" i="26"/>
  <c r="E53" i="26"/>
  <c r="E180" i="26"/>
  <c r="G140" i="26"/>
  <c r="E65" i="26"/>
  <c r="E28" i="41"/>
  <c r="E27" i="26"/>
  <c r="E95" i="26"/>
  <c r="C8" i="9"/>
  <c r="F188" i="26"/>
  <c r="H165" i="26"/>
  <c r="H162" i="26"/>
  <c r="H85" i="26"/>
  <c r="H77" i="26"/>
  <c r="E125" i="26"/>
  <c r="E118" i="49"/>
  <c r="E117" i="49"/>
  <c r="H89" i="49"/>
  <c r="E119" i="49"/>
  <c r="F109" i="49"/>
  <c r="E14" i="49"/>
  <c r="G89" i="49"/>
  <c r="E110" i="49"/>
  <c r="F89" i="49"/>
  <c r="E89" i="49" s="1"/>
  <c r="E78" i="49"/>
  <c r="G109" i="49"/>
  <c r="G72" i="49"/>
  <c r="E90" i="49"/>
  <c r="E67" i="49"/>
  <c r="E71" i="49"/>
  <c r="F16" i="49"/>
  <c r="E116" i="26" l="1"/>
  <c r="F114" i="26"/>
  <c r="E114" i="26" s="1"/>
  <c r="H106" i="49"/>
  <c r="E107" i="49"/>
  <c r="H59" i="41"/>
  <c r="F69" i="49"/>
  <c r="E69" i="49" s="1"/>
  <c r="E70" i="49"/>
  <c r="E106" i="49"/>
  <c r="E35" i="41"/>
  <c r="E21" i="41"/>
  <c r="F19" i="41"/>
  <c r="E112" i="49"/>
  <c r="H109" i="49"/>
  <c r="H120" i="49" s="1"/>
  <c r="E49" i="26"/>
  <c r="H48" i="26"/>
  <c r="H43" i="26" s="1"/>
  <c r="H150" i="26"/>
  <c r="E154" i="26"/>
  <c r="E56" i="41"/>
  <c r="G114" i="26"/>
  <c r="F162" i="26"/>
  <c r="E162" i="26" s="1"/>
  <c r="E165" i="26"/>
  <c r="E103" i="49"/>
  <c r="E196" i="26"/>
  <c r="H190" i="26"/>
  <c r="H189" i="26" s="1"/>
  <c r="H188" i="26" s="1"/>
  <c r="F231" i="26"/>
  <c r="E231" i="26" s="1"/>
  <c r="D90" i="65"/>
  <c r="E75" i="26"/>
  <c r="F72" i="26"/>
  <c r="E72" i="26" s="1"/>
  <c r="H41" i="41"/>
  <c r="E41" i="41" s="1"/>
  <c r="E42" i="41"/>
  <c r="F12" i="49"/>
  <c r="F72" i="49"/>
  <c r="E72" i="49" s="1"/>
  <c r="F77" i="26"/>
  <c r="E77" i="26" s="1"/>
  <c r="E14" i="41"/>
  <c r="E104" i="49"/>
  <c r="E52" i="41"/>
  <c r="E262" i="26"/>
  <c r="E48" i="26"/>
  <c r="G77" i="26"/>
  <c r="E267" i="26"/>
  <c r="F265" i="26"/>
  <c r="E265" i="26" s="1"/>
  <c r="E27" i="41"/>
  <c r="E188" i="26"/>
  <c r="G12" i="26"/>
  <c r="E257" i="26"/>
  <c r="F256" i="26"/>
  <c r="E256" i="26" s="1"/>
  <c r="F268" i="26"/>
  <c r="E268" i="26" s="1"/>
  <c r="E108" i="49"/>
  <c r="F86" i="49"/>
  <c r="E13" i="49"/>
  <c r="E190" i="26"/>
  <c r="F261" i="26"/>
  <c r="E261" i="26" s="1"/>
  <c r="E36" i="41"/>
  <c r="E23" i="41"/>
  <c r="E16" i="41"/>
  <c r="F58" i="26"/>
  <c r="E58" i="26" s="1"/>
  <c r="G265" i="26"/>
  <c r="E79" i="49"/>
  <c r="G302" i="26" l="1"/>
  <c r="F56" i="26"/>
  <c r="E109" i="49"/>
  <c r="F85" i="49"/>
  <c r="E85" i="49" s="1"/>
  <c r="E86" i="49"/>
  <c r="H140" i="26"/>
  <c r="E140" i="26" s="1"/>
  <c r="E150" i="26"/>
  <c r="F120" i="49"/>
  <c r="E120" i="49" s="1"/>
  <c r="E12" i="49"/>
  <c r="H12" i="26"/>
  <c r="E43" i="26"/>
  <c r="F18" i="41"/>
  <c r="E19" i="41"/>
  <c r="E189" i="26"/>
  <c r="H302" i="26" l="1"/>
  <c r="E12" i="26"/>
  <c r="E18" i="41"/>
  <c r="F59" i="41"/>
  <c r="E59" i="41" s="1"/>
  <c r="E56" i="26"/>
  <c r="F302" i="26"/>
  <c r="E302" i="26" s="1"/>
</calcChain>
</file>

<file path=xl/sharedStrings.xml><?xml version="1.0" encoding="utf-8"?>
<sst xmlns="http://schemas.openxmlformats.org/spreadsheetml/2006/main" count="1387" uniqueCount="855">
  <si>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</si>
  <si>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</si>
  <si>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</si>
  <si>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</si>
  <si>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</si>
  <si>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</si>
  <si>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</si>
  <si>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</si>
  <si>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</si>
  <si>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</si>
  <si>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</si>
  <si>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</si>
  <si>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</si>
  <si>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</si>
  <si>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</si>
  <si>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</si>
  <si>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</si>
  <si>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</si>
  <si>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Iš jų: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</si>
  <si>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</si>
  <si>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</si>
  <si>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</si>
  <si>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</si>
  <si>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</si>
  <si>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</si>
  <si>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</si>
  <si>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</si>
  <si>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</si>
  <si>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</si>
  <si>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</si>
  <si>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Programos Nr.</t>
  </si>
  <si>
    <t>turtui įsigyti</t>
  </si>
  <si>
    <t>iš viso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</si>
  <si>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</si>
  <si>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</si>
  <si>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</si>
  <si>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</si>
  <si>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</si>
  <si>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</si>
  <si>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</si>
  <si>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</si>
  <si>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</si>
  <si>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</si>
  <si>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</si>
  <si>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</si>
  <si>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</si>
  <si>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</si>
  <si>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</si>
  <si>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</si>
  <si>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</si>
  <si>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</si>
  <si>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</si>
  <si>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Kėdainių specialioji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</si>
  <si>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</si>
  <si>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</si>
  <si>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</si>
  <si>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</si>
  <si>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</si>
  <si>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</si>
  <si>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Programos kodas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</si>
  <si>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</si>
  <si>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</si>
  <si>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</si>
  <si>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</si>
  <si>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</si>
  <si>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</si>
  <si>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</si>
  <si>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</si>
  <si>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</si>
  <si>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</si>
  <si>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</si>
  <si>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</si>
  <si>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</si>
  <si>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07.02.03.01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</si>
  <si>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</si>
  <si>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</si>
  <si>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</si>
  <si>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</si>
  <si>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</si>
  <si>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</si>
  <si>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</si>
  <si>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</si>
  <si>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</si>
  <si>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</si>
  <si>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</si>
  <si>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</si>
  <si>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</si>
  <si>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</si>
  <si>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</si>
  <si>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</si>
  <si>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</si>
  <si>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</si>
  <si>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</si>
  <si>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</si>
  <si>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</si>
  <si>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</si>
  <si>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</si>
  <si>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</si>
  <si>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</si>
  <si>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</si>
  <si>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</si>
  <si>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</si>
  <si>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</si>
  <si>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</si>
  <si>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</si>
  <si>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</si>
  <si>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</si>
  <si>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</si>
  <si>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</si>
  <si>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>3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</si>
  <si>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</si>
  <si>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</si>
  <si>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</si>
  <si>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</si>
  <si>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</si>
  <si>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</si>
  <si>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09.02.01.01
09.02.02.01 
09.05.01.01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</si>
  <si>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</si>
  <si>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</si>
  <si>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</si>
  <si>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</si>
  <si>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</si>
  <si>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</si>
  <si>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</si>
  <si>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</si>
  <si>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04.05.01.02</t>
  </si>
  <si>
    <t>Kėdainių rajono savivaldybės administracijos Šėtos   seniūnija</t>
  </si>
  <si>
    <t>7 priedas</t>
  </si>
  <si>
    <t>Eil.   Nr.</t>
  </si>
  <si>
    <t>09.01.01.01
09.05.01.01</t>
  </si>
  <si>
    <t>09.02.02.01
09.05.01.01</t>
  </si>
  <si>
    <t>Kėdainių Juozo Paukštelio progimnazija</t>
  </si>
  <si>
    <t>01.06.01.04</t>
  </si>
  <si>
    <t xml:space="preserve">Atlikti turto inventorizavimą, teisinę registraciją, parengti  dokumentus turto privatizavimui 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</si>
  <si>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</si>
  <si>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</si>
  <si>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</si>
  <si>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</si>
  <si>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</si>
  <si>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Rengti specialiuosius, detaliuosius, geodezinius planus bei  topografines nuotraukas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</si>
  <si>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</si>
  <si>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</si>
  <si>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</si>
  <si>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</si>
  <si>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</si>
  <si>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</si>
  <si>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>04.01.02.09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</si>
  <si>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</si>
  <si>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</si>
  <si>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</si>
  <si>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</si>
  <si>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Truskavos pagrindinė mokykla</t>
  </si>
  <si>
    <t>Kėdainių r. Šėtos  gimnazija</t>
  </si>
  <si>
    <t>10.06.01.01 10.07.01.01
10.09.01.09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</si>
  <si>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</si>
  <si>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</si>
  <si>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Rekonstruoti ir plėsti Kėdainių miesto paviršinių nuotekų tinklus</t>
  </si>
  <si>
    <t xml:space="preserve">Dalyvauti energinio efektyvumo didinimo daugiabučiuose namuose programoje, kompensuojant Savivaldybei priklausančių būstų renovacijos išlaidas </t>
  </si>
  <si>
    <t>Įgyvendinti Kėdainių rajono savivaldybės bažnyčių rėmimo programą</t>
  </si>
  <si>
    <t>10.01.02.02
10.06.01.01
10.09.01.01 
10.09.01.09</t>
  </si>
  <si>
    <t>08.02.01.06
08.06.01.09</t>
  </si>
  <si>
    <t>08.04.01.02</t>
  </si>
  <si>
    <t xml:space="preserve">04.07.03.01. </t>
  </si>
  <si>
    <t>05.06.01.01</t>
  </si>
  <si>
    <t>05.02.01.01.</t>
  </si>
  <si>
    <t>Organizuoti nemokamą socialiai remtinų vaikų maitinimą ikimokyklinėse įstaigose</t>
  </si>
  <si>
    <t xml:space="preserve">Kompensuoti nemokamo mokinių maitinimo kainą bendrojo lavinimo mokyklose </t>
  </si>
  <si>
    <t xml:space="preserve">Dengti kainų skirtumą gyventojams už šildymą </t>
  </si>
  <si>
    <t xml:space="preserve">Kompensuoti kelionės išlaidas už lengvatinį keleivių vežimą </t>
  </si>
  <si>
    <t>Organizuoti socialinės reabilitacijos paslaugų neįgaliesiems bendruomenėje projektų konkursus</t>
  </si>
  <si>
    <t>Vykdyti savivaldybės viešųjų teritorijų tvarkymą</t>
  </si>
  <si>
    <t>Įgyvendinti priemones, finansuojamas iš Savivaldybės administracijos direktoriaus rezervo</t>
  </si>
  <si>
    <t>Įgyvendinti priemones, finansuojamas iš Savivaldybės mero fondo</t>
  </si>
  <si>
    <t xml:space="preserve">Sudaryti sąlygas bendruomeninių organizacijų veiklai </t>
  </si>
  <si>
    <t>Kėdainių r. Miegėnų pagrindinė mokykla</t>
  </si>
  <si>
    <t>3.1</t>
  </si>
  <si>
    <t>5.1</t>
  </si>
  <si>
    <t>Kėdainių pagalbos šeimai centras</t>
  </si>
  <si>
    <t xml:space="preserve">                                                                  Kėdainių rajono savivaldybės tarybos</t>
  </si>
  <si>
    <t>09.05.01.01  09.05.01.02 09.05.01.03</t>
  </si>
  <si>
    <t>Atnaujinti Lietuvos sporto universiteto Kėdainių  „Aušros“ progimnaziją, kuriant modernias ir saugias erdves</t>
  </si>
  <si>
    <t>Rekonstruoti/įrengti/modernizuoti Kėdainių rajono gatvių apšvietimą</t>
  </si>
  <si>
    <t>Atnaujinti Dotnuvos seniūnijos Akademijos miestelio visuomeninės paskirties pastatą, pritaikant jį kaimo bendruomenės poreikiams</t>
  </si>
  <si>
    <t xml:space="preserve">Užtikrinti socialinio būsto fondo plėtrą Kėdainiuose </t>
  </si>
  <si>
    <t>Atnaujinti Krakių miestelio kultūros centrą, pritaikant jį kaimo bendruomenės poreikiams</t>
  </si>
  <si>
    <t>Kompleksiškai sutvaryti Kėdainių Sinagogą (Smilgos g. 5A, Kėdainiai), pritaikant kultūrinėms bei kitoms reikmėms</t>
  </si>
  <si>
    <t xml:space="preserve">Įrengti pėsčiųjų ir dviračių takus Pramonės g. Kėdainių mieste  </t>
  </si>
  <si>
    <t>Kompleksiškai atnaujinti daugiabučių namų kvartalus (I etapas)</t>
  </si>
  <si>
    <t>Kompleksiškai atnaujinti daugiabučių namų kvartalus (II etapas)</t>
  </si>
  <si>
    <t>Atnaujinti ir plėsti komunalinių atliekų tvarkymo infrastruktūrą Kėdainių rajono savivaldybėje</t>
  </si>
  <si>
    <t>Sutvarkyti atvirais kasiniais pažeistas žemes Kėdainių rajone</t>
  </si>
  <si>
    <t>Remontuoti savivaldybės ir socialinį būstą</t>
  </si>
  <si>
    <t xml:space="preserve">08.02.01.07
</t>
  </si>
  <si>
    <t>06.03.01.01</t>
  </si>
  <si>
    <t>04-08</t>
  </si>
  <si>
    <t>04.07.03.01.</t>
  </si>
  <si>
    <t>3.2</t>
  </si>
  <si>
    <t>Rekonstruoti ir plėsti vandentiekio ir buitinių nuotekų infrastruktūrą Šėtos miestelyje, Kunionių kaime bei Kėdainių mieste</t>
  </si>
  <si>
    <t>09.</t>
  </si>
  <si>
    <t>01-10</t>
  </si>
  <si>
    <t>Kompleksiškai sutvarkyti ir pritaikyti bendruomenei ir verslui Kėdainių miesto viešąsias erdves (Kėdainių miesto, Vytauto parko, universalaus daugiafunkcio aikštyno, lauko teniso kortų prieigas)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</si>
  <si>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</si>
  <si>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</si>
  <si>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</si>
  <si>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</si>
  <si>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</si>
  <si>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</si>
  <si>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</si>
  <si>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</si>
  <si>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</si>
  <si>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</si>
  <si>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>Įgyvendinti projektą „Jonavos, Kėdainių ir Raseinių rajonų savivaldybes jungiančių trasų ir turizmo maršrutų informacinės infrastruktūros plėtra“</t>
  </si>
  <si>
    <t xml:space="preserve">Kompensuoti UAB "Kėdbusas“ nuostolingus maršrutus </t>
  </si>
  <si>
    <t>Teikti kompleksines paslaugas šeimai Kėdainių rajone</t>
  </si>
  <si>
    <t>Tobulinti Kėdainių sporto centro infrastruktūrą (Parko g. 4, Vilainiai)</t>
  </si>
  <si>
    <t>56.1</t>
  </si>
  <si>
    <t>56.2</t>
  </si>
  <si>
    <t>56.3</t>
  </si>
  <si>
    <t>56.5</t>
  </si>
  <si>
    <t>Finansuoti inžinierines paslaugas, darbus ir įrengimus</t>
  </si>
  <si>
    <t>10  priedas</t>
  </si>
  <si>
    <t xml:space="preserve">Kėdainių rajono savivaldybės administracija iš viso: </t>
  </si>
  <si>
    <t>10.1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</si>
  <si>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</si>
  <si>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</si>
  <si>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</si>
  <si>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</si>
  <si>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</si>
  <si>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</si>
  <si>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</si>
  <si>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>Atnaujinti Kėdainių rajono teritorijos bendrąjį planą</t>
  </si>
  <si>
    <t>Atnaujinti Kėdainių miesto teritorijos bendrąjį planą</t>
  </si>
  <si>
    <t xml:space="preserve">Rekonstruoti/įrengti/modernizuoti Kėdainių miesto gatvių apšvietimą </t>
  </si>
  <si>
    <t>56.5.2</t>
  </si>
  <si>
    <t>Modernizuoti Kėdainių lopšelio-darželio „Vaikystė“ infrastruktūrą</t>
  </si>
  <si>
    <t>Modernizuoti Kėdainių lopšelio-darželio „Žilvitis“ infrastruktūrą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</si>
  <si>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</si>
  <si>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</si>
  <si>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3.3</t>
  </si>
  <si>
    <t>13.2</t>
  </si>
  <si>
    <t>15.1</t>
  </si>
  <si>
    <t>15.3</t>
  </si>
  <si>
    <t>15.4</t>
  </si>
  <si>
    <t>15.5</t>
  </si>
  <si>
    <t>07.02.01.01</t>
  </si>
  <si>
    <t>10.06.01.40 06.01.01.01</t>
  </si>
  <si>
    <t>04.06.01.01</t>
  </si>
  <si>
    <t>Gerinti pirminės asmens sveikatos priežiūros paslaugų teikimo prieinamumą tuberkuliozės srityje</t>
  </si>
  <si>
    <t xml:space="preserve">iš jų: teikti integralią pagalbą į namus Kėdainių rajone </t>
  </si>
  <si>
    <t xml:space="preserve">Gerinti Kėdainių rajono savivaldybėje teikiamų paslaugų ir asmenų aptarnavimo kokybę  </t>
  </si>
  <si>
    <t>Kėdainių rajono savivaldybės administracija iš viso:</t>
  </si>
  <si>
    <t>Kompensuoti karšto ir šalto vandens pardavimo kainą socialiai remtiniems asmenims</t>
  </si>
  <si>
    <t>Finansuoti VšĮ Kėdainių turizmo ir verslo informacijos centro turizmo veiklos programą</t>
  </si>
  <si>
    <t xml:space="preserve">Įgyvendinti priemones, skirtas kovų už Lietuvos Nepriklausomybę vietoms ir paminklams įamžinti </t>
  </si>
  <si>
    <t>Kompleksiškai sutvarkyti Kėdainių Sinagogą (Smilgos g. 5A, Kėdainiai), pritaikant kultūrinėms bei kitoms reikmėms</t>
  </si>
  <si>
    <t>Atlikti paveldo objektams parengtų tvarkybos projektų ekspertizę, parengti sąmatas</t>
  </si>
  <si>
    <t>Apmokėti Europos Sąjungos projektų, kuriems taikomas apmokėjimas  kompensavimo būdu,  išlaidas</t>
  </si>
  <si>
    <t>Finansuoti Kėdainių miesto vietos veiklos grupės 2016–2022 m. vietos plėtros strategijos įgyvendinimą</t>
  </si>
  <si>
    <t>15.7</t>
  </si>
  <si>
    <t>Mokesčiai už valstybinius gamtos išteklius</t>
  </si>
  <si>
    <t>Kėdainių r. Vilainių mokykla-darželis „Obelėlė“</t>
  </si>
  <si>
    <t>10.2</t>
  </si>
  <si>
    <t>Įgyvendinti  Kėdainių rajono savivaldybės mokytojų motyvacijos programą</t>
  </si>
  <si>
    <t>Koofinansuoti  švietimo įstaigų dalyvavimą infrastruktūros gerinimo/modernizavimo projektuose</t>
  </si>
  <si>
    <t xml:space="preserve">Vykdyti akušerinės pagalbos kokybės gerinimo Kėdainių rajono savivaldybės moterims 2020-2021 m. programą </t>
  </si>
  <si>
    <t>Finansuoti vaikų dienos centrų veiklos programas</t>
  </si>
  <si>
    <t>Pritaikyti viešąją aplinką specialiųjų poreikių turintiems gyventojams</t>
  </si>
  <si>
    <t>Finansuoti strateginių sporto šakų programas, iš jų:</t>
  </si>
  <si>
    <t>Finansuoti fizinio aktyvumo ir sporto veiklos projektus</t>
  </si>
  <si>
    <t>Atnaujinti Kėdainių  „Ryto“ progimnazijos stadioną ir sporto aikštyną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</si>
  <si>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</si>
  <si>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Atnaujinti Truskavos kultūros centrą, pritaikant jį kaimo bendruomenės poreikiams bei kultūrinei veiklai</t>
  </si>
  <si>
    <t>Įsigyti Kėdainių kultūros centro Labūnavos skyriaus pastatą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</si>
  <si>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</si>
  <si>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</si>
  <si>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</si>
  <si>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</si>
  <si>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 xml:space="preserve">                                                                           Kėdainių rajono savivaldybės tarybos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</si>
  <si>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</si>
  <si>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</si>
  <si>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</si>
  <si>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</si>
  <si>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5.2</t>
  </si>
  <si>
    <t>7.2</t>
  </si>
  <si>
    <t>7.3</t>
  </si>
  <si>
    <t>8</t>
  </si>
  <si>
    <t>15.6</t>
  </si>
  <si>
    <t>56.5.1</t>
  </si>
  <si>
    <t>05.02.01.01 
06.03.01.01</t>
  </si>
  <si>
    <t>05.02.01.01</t>
  </si>
  <si>
    <t>VšĮ „Sporto perspektyvos" veiklos programai</t>
  </si>
  <si>
    <t>Kėdainių bokso federacijos veiklos programai</t>
  </si>
  <si>
    <t>VšĮ „Sporto perspektyvos" vaikų ir jaunimo futbolo plėtros veiklos programai</t>
  </si>
  <si>
    <t>Dalyvauti Kauno regiono plėtros agentūros veikloje</t>
  </si>
  <si>
    <t>Vykdyti endoskopinių paslaugų prieinamumo ir kokybės gerinimo Kėdainių rajono savivaldybėje 2020-2025 m. programą</t>
  </si>
  <si>
    <t>15.8</t>
  </si>
  <si>
    <t>Rekonstruoti Kėdainių miesto nuotekų valyklą</t>
  </si>
  <si>
    <t xml:space="preserve">                                                                                Kėdainių rajono savivaldybės tarybos</t>
  </si>
  <si>
    <t>01.03.02.01</t>
  </si>
  <si>
    <t>Kėdainių r. Miegenų pagrindinė mokykla</t>
  </si>
  <si>
    <t>Kėdainių švietimo pagalbos tarnyba</t>
  </si>
  <si>
    <t xml:space="preserve">                                                                   _____________________________________                                                                                       </t>
  </si>
  <si>
    <t>išlaidoms</t>
  </si>
  <si>
    <t xml:space="preserve">09.02.01.01   </t>
  </si>
  <si>
    <t>03.1</t>
  </si>
  <si>
    <t>03.2</t>
  </si>
  <si>
    <t>03.3</t>
  </si>
  <si>
    <t>04.02.01.01</t>
  </si>
  <si>
    <t>Vykdyti aplinkos apsaugos rėmimo specialiąją programą (pridedama 13 priedas)</t>
  </si>
  <si>
    <t>Vykdyti mamografijos paslaugų tęstinumo, kokybės gerinimo Kėdainių rajono savivaldybėje 2020-2025 m. programą</t>
  </si>
  <si>
    <t>Atlikti Kėdainių r. Šėtos mstl. Sodų g. kapitalinį remontą</t>
  </si>
  <si>
    <t>Atlikti Kėdainių r. Pelėdnagių k. Ateities g. kapitalinį remontą</t>
  </si>
  <si>
    <t>Atlikti Kėdainių r. Šlapaberžės k. Linksmosios g.  ir Kalnaberžės k. Vyšnių g. kapitalinį remontą</t>
  </si>
  <si>
    <t>Išlaidoms</t>
  </si>
  <si>
    <t>09.02.01.01
09.02.02.01</t>
  </si>
  <si>
    <t>Kėdainių švietimo pagalbos tarnyba iš viso:</t>
  </si>
  <si>
    <t xml:space="preserve">     VšĮ „Pažinimo taku“</t>
  </si>
  <si>
    <t>2.1.</t>
  </si>
  <si>
    <t>13 priedas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</si>
  <si>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</si>
  <si>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</si>
  <si>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</si>
  <si>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</si>
  <si>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</si>
  <si>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</si>
  <si>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</si>
  <si>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</si>
  <si>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</si>
  <si>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</si>
  <si>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</si>
  <si>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</si>
  <si>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1.5.</t>
  </si>
  <si>
    <t>Iš viso (1.1 + 1.2 + 1.3 + 1.4):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</si>
  <si>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</si>
  <si>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</si>
  <si>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</si>
  <si>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</si>
  <si>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</si>
  <si>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Iš viso (1.6 + 1.7):</t>
  </si>
  <si>
    <t>1.9.</t>
  </si>
  <si>
    <t>Faktinės Programos lėšos (1.5 + 1.8)</t>
  </si>
  <si>
    <t>(2) Savivaldybės visuomenės sveikatos rėmimo specialiajai programai skirtinos lėšos</t>
  </si>
  <si>
    <t>Lėšos,                 tūkst. Eur</t>
  </si>
  <si>
    <t>1.10.</t>
  </si>
  <si>
    <r>
      <t xml:space="preserve">20 procentų Savivaldybės aplinkos apsaugos rėmimo specialiosios programos lėšų, neįskaitant įplaukų už </t>
    </r>
    <r>
      <rPr>
        <sz val="10"/>
        <color indexed="8"/>
        <rFont val="Times New Roman"/>
        <family val="1"/>
        <charset val="186"/>
      </rPr>
      <t>medžioklės plotų naudotojų mokesčius, mokamus įstatymų nustatytomis proporcijomis ir tvarka už medžiojamųjų gyvūnų išteklių naudojimą</t>
    </r>
  </si>
  <si>
    <t>1.11.</t>
  </si>
  <si>
    <t>1.12.</t>
  </si>
  <si>
    <t>Iš viso (1.10 + 1.11):</t>
  </si>
  <si>
    <t>(3) Kitoms Programos priemonėms skirtinos lėšos</t>
  </si>
  <si>
    <t>1.13.</t>
  </si>
  <si>
    <r>
      <t xml:space="preserve">80 procentų Savivaldybės aplinkos apsaugos rėmimo specialiosios programos lėšų, neįskaitant įplaukų už </t>
    </r>
    <r>
      <rPr>
        <sz val="10"/>
        <color indexed="8"/>
        <rFont val="Times New Roman"/>
        <family val="1"/>
        <charset val="186"/>
      </rPr>
      <t>medžioklės plotų naudotojų mokesčius, mokamus įstatymų nustatytomis proporcijomis ir tvarka už medžiojamųjų gyvūnų išteklių naudojimą</t>
    </r>
  </si>
  <si>
    <t>1.14.</t>
  </si>
  <si>
    <t>1.15.</t>
  </si>
  <si>
    <t>Iš viso (1.13 + 1.14):</t>
  </si>
  <si>
    <t>Priemonės pavadinimas</t>
  </si>
  <si>
    <t>Miško sklypų, kuriuose medžioklė nėra uždrausta, savininkų, valdytojų ir naudotojų, įgyvendinamos žalos prevencijos priemonės, kuriomis jie siekia išvengti medžiojamųjų gyvūnų daromos žalos miškui</t>
  </si>
  <si>
    <t>2.1.1.</t>
  </si>
  <si>
    <t>Privačių miškų savininkams, naudotojams, valdytojams želdinių apdorojimui repelentais, aptvėrimui tvoromis, želdinių, gerinančių laukinių gyvūnų mitybos sąlygas, ir kt. priemonėms</t>
  </si>
  <si>
    <t>2.1.2.</t>
  </si>
  <si>
    <t>VĮ Valstybinių miškų urėdijos Radviliškio regioniniam padaliniui repelentams įsigyti ir jais apdoroti medelius, ąžuoliukų apsaugoms įsigyti ir uždėti, ir kt. priemonėms</t>
  </si>
  <si>
    <t>2.1.3.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</si>
  <si>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</si>
  <si>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</si>
  <si>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</si>
  <si>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 xml:space="preserve">Iš viso: 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</si>
  <si>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</si>
  <si>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</si>
  <si>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</si>
  <si>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</si>
  <si>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</si>
  <si>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</si>
  <si>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</si>
  <si>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</si>
  <si>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</si>
  <si>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</si>
  <si>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</si>
  <si>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</si>
  <si>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</si>
  <si>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 xml:space="preserve">Kėdainių miesto seniūnijai </t>
  </si>
  <si>
    <t>4.1.1.3.</t>
  </si>
  <si>
    <t>Krakių seniūnijai</t>
  </si>
  <si>
    <t>4.1.1.4.</t>
  </si>
  <si>
    <t>Pelėdnagių seniūnijai</t>
  </si>
  <si>
    <t>4.1.1.5.</t>
  </si>
  <si>
    <t>Surviliškio seniūnijai</t>
  </si>
  <si>
    <t>Šėtos seniūnijai</t>
  </si>
  <si>
    <t xml:space="preserve">Vilainių seniūnijai </t>
  </si>
  <si>
    <t>4.1.2</t>
  </si>
  <si>
    <t>4.1.3</t>
  </si>
  <si>
    <t>Kraujupio upelio minimaliam debitui papildyti Nevėžio upės vandeniu</t>
  </si>
  <si>
    <t>4.1.4.</t>
  </si>
  <si>
    <t>4.2.</t>
  </si>
  <si>
    <t>4.2.1.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</si>
  <si>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</si>
  <si>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</si>
  <si>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</si>
  <si>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</si>
  <si>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</si>
  <si>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Nevėžio upės pakrančių valymui, tvarkymui Kėdainių m.</t>
  </si>
  <si>
    <t>Jūrinių erelių perimvečių stebėjimui Kėdainių rajone</t>
  </si>
  <si>
    <t>4.4.</t>
  </si>
  <si>
    <t>Visuomenės švietimo ir mokymo aplinkosaugos klausimais priemonės</t>
  </si>
  <si>
    <t>4.4.1.</t>
  </si>
  <si>
    <t>4.4.2.</t>
  </si>
  <si>
    <t>Prenumeruoti spaudos leidinius aplinkosaugine tema ugdymo įstaigoms</t>
  </si>
  <si>
    <t>4.5.</t>
  </si>
  <si>
    <t>Želdynų ir želdinių apsaugos, tvarkymo, būklės stebėsenos, želdynų kūrimo, želdinių veisimo ir inventorizavimo priemonės</t>
  </si>
  <si>
    <t>Medeliams ir želdiniams sodinti ir prižiūrėti:</t>
  </si>
  <si>
    <t xml:space="preserve">Gudžiūnų seniūnijai </t>
  </si>
  <si>
    <t xml:space="preserve">Josvainių seniūnijai </t>
  </si>
  <si>
    <t xml:space="preserve">Pernaravos seniūnijai </t>
  </si>
  <si>
    <t>Truskavos seniūnijai</t>
  </si>
  <si>
    <t>Kaštoninio karšelio gaudyklėms įsigyti</t>
  </si>
  <si>
    <t>Kitos išlaidos</t>
  </si>
  <si>
    <t xml:space="preserve">                                                __________________________</t>
  </si>
  <si>
    <t xml:space="preserve"> 09.05.01.03</t>
  </si>
  <si>
    <t>Kita dotacija kultūros ir meno darbuotojų darbo užmokesčiui padidinti</t>
  </si>
  <si>
    <t>KĖDAINIŲ RAJONO SAVIVALDYBĖS 2021 METŲ BIUDŽETO ASIGNAVIMAI  SAVARANKIŠKOMS FUNKCIJOMS ATLIKTI</t>
  </si>
  <si>
    <t>Kėdainių rajono savivaldybės 2021 m. biudžeto asignavimai investicijų projektams ir remonto darbams finansuoti pagal objektus:</t>
  </si>
  <si>
    <t>iš jų: vykdyti socialinės paramos 2021 m. programą</t>
  </si>
  <si>
    <t xml:space="preserve">01.03.02.09
</t>
  </si>
  <si>
    <t xml:space="preserve">KĖDAINIŲ RAJONO SAVIVALDYBĖS 2021 METŲ BIUDŽETO ASIGNAVIMAI PROJEKTAMS FINANSUOTI EUROPOS SĄJUNGOS LĖŠOMIS </t>
  </si>
  <si>
    <t xml:space="preserve">2021 METŲ VALSTYBĖS BIUDŽETO SPECIALIOS TIKSLINĖS DOTACIJOS SAVIVALDYBĖS BIUDŽETUI KITI ASIGNAVIMAI </t>
  </si>
  <si>
    <t xml:space="preserve">                 SPECIALIOSIOS PROGRAMOS 2021 METŲ PRIEMONIŲ SĄMATA                                                                                                                 </t>
  </si>
  <si>
    <t>Vykdyti kompiuterinės tomografijos paslaugų kokybės gerinimo Kėdainių rajono savivaldybėje 2021-2028 m. programą</t>
  </si>
  <si>
    <t>Vykdyti E. sveikatos informacinės sistemos diegimo,  palaikymo ir tobulinimo VšĮ PSPC  ir VšĮ Kėdainių ligoninėje 2016–2021 m. programą</t>
  </si>
  <si>
    <t>Vykdyti VšĮ Kėdainių ligoninės dantų protezavimo  programą</t>
  </si>
  <si>
    <t>Vykdyti traumatologinės pagalbos kokybės gerinimo Kėdainių rajono savivaldybės gyventojams 2016–2021 m. programą</t>
  </si>
  <si>
    <t xml:space="preserve">Vykdyti Kėdainių rajono tuberkuliozės prevencijos, ankstyvosios diagnostikos, gydymo ir kontrolės 2017–2022 m. programą </t>
  </si>
  <si>
    <t>Vykdyti pirminės asmens sveikatos priežiūros paslaugų prieinamumo ir kokybės užtikrinimo Kėdainių rajono kaimiškųjų vietovių gyventojams 2017–2023 m. programą</t>
  </si>
  <si>
    <t xml:space="preserve">Finansuoti vaikų vasaros stovyklų ir kitų neformaliojo vaikų švietimo veiklų programas  </t>
  </si>
  <si>
    <t>Vykdyti Ultragarsinių diagnostinių paslaugų teikimo efektyvumo gerinimo Kėdainių rajono savivaldybėje 2017–2022 m. programą</t>
  </si>
  <si>
    <t>Finansuoti dienos socialinės globos paslaugų teikimą Kėdainių socialinės globos namuose</t>
  </si>
  <si>
    <t>Teikti vienkartinę išmoką gimus vaikui Lietuvos Respublikos teritorijoje ir gyvenančiam Kėdainių rajono savivaldybėje</t>
  </si>
  <si>
    <t>Užtikrinti paslaugų teikimą VšĮ "Gyvenimo namai sutrikusio intelekto asmenims"</t>
  </si>
  <si>
    <t xml:space="preserve">VšĮ "Veržlusis Nevėžis" veiklos programai </t>
  </si>
  <si>
    <t xml:space="preserve">Finansuoti Vaikų mokymo plaukti veiklos programą, dalyvaujant projekte „Mokėk plaukti ir saugiau elgtis vandenyje“ </t>
  </si>
  <si>
    <t xml:space="preserve">iš jų: dalyvauti projekte „Inovacijų keliu per buvusios LDK žemes“ </t>
  </si>
  <si>
    <t>Vystyti piligriminį/religinį turizmą</t>
  </si>
  <si>
    <t>Sudaryti saugias ugdymo sąlygas įstaigose, vykdančiose ugdymo programas</t>
  </si>
  <si>
    <t>Įrengti vėdinimo  ir kondicionavimo sistemas savivaldybės ugdymo įstaigose</t>
  </si>
  <si>
    <t>Plėtoti bendruomeninių vaikų globos namų ir vaikų dienos centrų tinklą Kėdainių rajono savivaldybėje</t>
  </si>
  <si>
    <t xml:space="preserve">Rekonstruoti Kėdainių miesto stadioną ir atsargines futbolo, aktyvaus poilsio aikštes bei mašinų stovėjimo aikštelę šalia stadiono 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</si>
  <si>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</si>
  <si>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</si>
  <si>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 xml:space="preserve">Remontuoti Akademijos kultūros centrą </t>
  </si>
  <si>
    <t xml:space="preserve">Parengti projektus ir remontuoti koplytėles, koplytstulpius, skulptūras, kapinaites  ir kapus   </t>
  </si>
  <si>
    <t>Atlikti Paberžės klebonijos ir svirno restauravimo ir remonto darbus</t>
  </si>
  <si>
    <t>Įrengti  valstybinės reikšmės kelių nuorodas į savivaldybės kultūros paveldo objektus</t>
  </si>
  <si>
    <t xml:space="preserve">Atlikti archeologinius ir kitus tyrinėjimus kultūros paveldo teritorijose </t>
  </si>
  <si>
    <t>Atlikti kultūros paveldo objektų ar objektų, esančių kultūros paveldo teritorijų prieigose tvarkybos darbus seniūnijose</t>
  </si>
  <si>
    <t>Vykdyti WiFi prieigų tinklo plėtrą miesto ir rajono viešosiose erdvėse</t>
  </si>
  <si>
    <t xml:space="preserve">Rengti nekilnojamųjų kultūros paveldo objektų, vietovių  individualius apsaugos reglamentus </t>
  </si>
  <si>
    <t>Parengti Nekilnojamųjų kultūros vertybių vertinimo medžiagą ir pristatyti nekilnojamojo kultūros paveldo vertinimo tarybai</t>
  </si>
  <si>
    <t>Parengti Akademijos parko tvarkybos ir techninius projektus ir atlikti darbus</t>
  </si>
  <si>
    <t>Įrengti elektromobilių įkrovimo prieigas Kėdainių mieste</t>
  </si>
  <si>
    <t>Parengti Kėdainių rajono atsinaujinančių energijos išteklių plėtros  planą</t>
  </si>
  <si>
    <t>Rekonstruoti Akademijos  nuotekų valyklą</t>
  </si>
  <si>
    <t xml:space="preserve">Plėsti vandentiekio ir buitinių nuotekų tinklus Kalnaberžės kaime </t>
  </si>
  <si>
    <t xml:space="preserve">Įrengti biologinius ar individualius  nuotekų valymo įrenginius </t>
  </si>
  <si>
    <t>Parengti buitinių nuotekų tinklų išplėtimo Pavermenio kaime techninį projektą ir atlikti darbus</t>
  </si>
  <si>
    <t>Įgyvendinti projektą "Kėdainių gatvių apšvietimo modernizavimas"</t>
  </si>
  <si>
    <t xml:space="preserve">Rekonstruoti šaligatvius, įgyvendinant projektą "Kėdainių miesto J.Basanavičiaus, Birutės, Dotnuvos ir  Šėtos gatvių rekonstrukcija" </t>
  </si>
  <si>
    <t xml:space="preserve">Įgyvendinti projektą "Kėdainių miesto A. Kanapinsko, P. Lukšio, Mindaugo, Pavasario ir Žemaitės gatvių rekonstrukcija"     </t>
  </si>
  <si>
    <t>Įgyvendinti visuomenės aplinkosauginio švietimo priemones</t>
  </si>
  <si>
    <t xml:space="preserve">Prižiūrėti ir tvarkyti viešąsias erdves, atnaujintas įgyvendinant ES projektus  </t>
  </si>
  <si>
    <t>Įrengti vandens transporto priemonių nuleidimo vietą Angirių tvenkinyje</t>
  </si>
  <si>
    <t>Kita dotacija savivaldybės viešajai bibliotekai dokumentams 2021 metais įsigyti</t>
  </si>
  <si>
    <t>Sosnovskio barsčio naikinimui Kėdainių r. pagal gausos reguliavimo veiksmų planą</t>
  </si>
  <si>
    <t>Individualių nuotekų valymo įrenginių kompensavimui Kėdainių r. sav.</t>
  </si>
  <si>
    <t>4.2.2.</t>
  </si>
  <si>
    <t>4.2.3.</t>
  </si>
  <si>
    <t>Aplinkos oro, dirvožemio, požeminio ir paviršinio vandens nuotekų tyrimams atlikti Kėdainių r.</t>
  </si>
  <si>
    <t>4.2.4.</t>
  </si>
  <si>
    <t>4.2.5.</t>
  </si>
  <si>
    <t>Dotnuvėlės upelio pakrančių valymui, tvarkymui Kėdainių m.</t>
  </si>
  <si>
    <t>4.2.6.</t>
  </si>
  <si>
    <t>Prūdo išvalymui, pakrantės sutvarkymui, maudymvietės įrengimui Pernaravos mstl., Pernaravos sen.</t>
  </si>
  <si>
    <t>4.2.7.</t>
  </si>
  <si>
    <t>4.2.8.</t>
  </si>
  <si>
    <t>Tvenkinių ir upių valymo projektų parengimui</t>
  </si>
  <si>
    <t>4.2.9.</t>
  </si>
  <si>
    <t>Dviračių takų projektavimui Kėdainių r. sav.</t>
  </si>
  <si>
    <t>Kėdainių r. sav. aplinkosauginiam švietimui  įgyvendinti</t>
  </si>
  <si>
    <t>4.4.1.1.</t>
  </si>
  <si>
    <t>4.4.1.2.</t>
  </si>
  <si>
    <t>4.4.1.3.</t>
  </si>
  <si>
    <t>4.4.1.4.</t>
  </si>
  <si>
    <t>4.4.1.5.</t>
  </si>
  <si>
    <t>4.4.1.6.</t>
  </si>
  <si>
    <t>4.4.1.7.</t>
  </si>
  <si>
    <t>4.4.1.8.</t>
  </si>
  <si>
    <t>4.4.1.9.</t>
  </si>
  <si>
    <t>4.4.1.10.</t>
  </si>
  <si>
    <t>4.4.1.11.</t>
  </si>
  <si>
    <t>4.4.3.</t>
  </si>
  <si>
    <t>Kėdainių miesto parko želdynų inventorizacijai ir apskaitai Kėdainių m. sen.</t>
  </si>
  <si>
    <t>4.4.4.</t>
  </si>
  <si>
    <t>32.1</t>
  </si>
  <si>
    <t>32.2</t>
  </si>
  <si>
    <t>32.3</t>
  </si>
  <si>
    <t>32.4</t>
  </si>
  <si>
    <t>32.5</t>
  </si>
  <si>
    <t>32.5.1</t>
  </si>
  <si>
    <t>32.5.2</t>
  </si>
  <si>
    <t>32.5.3</t>
  </si>
  <si>
    <t>32.5.4</t>
  </si>
  <si>
    <t>32.5.5</t>
  </si>
  <si>
    <t>32.5.6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</si>
  <si>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</si>
  <si>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</si>
  <si>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</si>
  <si>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</si>
  <si>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</si>
  <si>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</si>
  <si>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</si>
  <si>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</si>
  <si>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</si>
  <si>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</si>
  <si>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</si>
  <si>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</si>
  <si>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</si>
  <si>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</si>
  <si>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35.14.1</t>
  </si>
  <si>
    <t>35.14.2</t>
  </si>
  <si>
    <t>35.14.3</t>
  </si>
  <si>
    <t>42.1</t>
  </si>
  <si>
    <t>42.2</t>
  </si>
  <si>
    <t>42.3</t>
  </si>
  <si>
    <t>42.4</t>
  </si>
  <si>
    <t>42.5</t>
  </si>
  <si>
    <t>42.6</t>
  </si>
  <si>
    <t>42.7</t>
  </si>
  <si>
    <t>42.8</t>
  </si>
  <si>
    <t>42.9</t>
  </si>
  <si>
    <t>42.10</t>
  </si>
  <si>
    <t>42.11</t>
  </si>
  <si>
    <t>42.12</t>
  </si>
  <si>
    <t>42.12.1</t>
  </si>
  <si>
    <t>42.12.2</t>
  </si>
  <si>
    <t>42.12.3</t>
  </si>
  <si>
    <t>42.12.4</t>
  </si>
  <si>
    <t>42.12.5</t>
  </si>
  <si>
    <t>56.4</t>
  </si>
  <si>
    <t>56.5.3</t>
  </si>
  <si>
    <t>56.5.4</t>
  </si>
  <si>
    <t>76.1</t>
  </si>
  <si>
    <t>76.2</t>
  </si>
  <si>
    <t>76.3</t>
  </si>
  <si>
    <t>76.4</t>
  </si>
  <si>
    <t>76.4.1</t>
  </si>
  <si>
    <t>114.1</t>
  </si>
  <si>
    <t>114.2</t>
  </si>
  <si>
    <t>114.3</t>
  </si>
  <si>
    <t>7.1</t>
  </si>
  <si>
    <t>5</t>
  </si>
  <si>
    <t>9</t>
  </si>
  <si>
    <t>9.1</t>
  </si>
  <si>
    <t>13.1</t>
  </si>
  <si>
    <t>13.3</t>
  </si>
  <si>
    <t>13.4</t>
  </si>
  <si>
    <t>15.2</t>
  </si>
  <si>
    <t>17.1</t>
  </si>
  <si>
    <t>17.2</t>
  </si>
  <si>
    <t>17.3</t>
  </si>
  <si>
    <t>19.1</t>
  </si>
  <si>
    <t>Kėdainių krašto muziejus iš viso:</t>
  </si>
  <si>
    <t>76.4.2</t>
  </si>
  <si>
    <t>76.4.3</t>
  </si>
  <si>
    <t>76.4.4</t>
  </si>
  <si>
    <t>76.4.5</t>
  </si>
  <si>
    <t>76.4.6</t>
  </si>
  <si>
    <t>80.1</t>
  </si>
  <si>
    <t>80.2</t>
  </si>
  <si>
    <t>80.3</t>
  </si>
  <si>
    <t>80.4</t>
  </si>
  <si>
    <t>80.4.1</t>
  </si>
  <si>
    <t>80.4.2</t>
  </si>
  <si>
    <t>80.4.3</t>
  </si>
  <si>
    <t>80.4.4</t>
  </si>
  <si>
    <t>80.4.5</t>
  </si>
  <si>
    <t>80.4.6</t>
  </si>
  <si>
    <t>80.4.7</t>
  </si>
  <si>
    <t>80.4.8</t>
  </si>
  <si>
    <t>80.4.9</t>
  </si>
  <si>
    <t>80.4.10</t>
  </si>
  <si>
    <t>80.4.11</t>
  </si>
  <si>
    <t>80.4.12</t>
  </si>
  <si>
    <t>80.4.13</t>
  </si>
  <si>
    <t>80.4.14</t>
  </si>
  <si>
    <t>80.4.15</t>
  </si>
  <si>
    <t>80.4.16</t>
  </si>
  <si>
    <t>80.4.17</t>
  </si>
  <si>
    <t>82.1</t>
  </si>
  <si>
    <t>82.1.1</t>
  </si>
  <si>
    <t>82.1.2</t>
  </si>
  <si>
    <t>82.1.3</t>
  </si>
  <si>
    <t>82.1.4</t>
  </si>
  <si>
    <t>82.1.5</t>
  </si>
  <si>
    <t>82.1.6</t>
  </si>
  <si>
    <t>82.1.7</t>
  </si>
  <si>
    <t>82.1.8</t>
  </si>
  <si>
    <t>82.1.9</t>
  </si>
  <si>
    <t>82.1.10</t>
  </si>
  <si>
    <t>82.1.11</t>
  </si>
  <si>
    <t>82.1.12</t>
  </si>
  <si>
    <t>82.1.13</t>
  </si>
  <si>
    <t>82.1.14</t>
  </si>
  <si>
    <t>82.1.15</t>
  </si>
  <si>
    <t>82.1.16</t>
  </si>
  <si>
    <t>82.1.17</t>
  </si>
  <si>
    <t>82.1.18</t>
  </si>
  <si>
    <t>82.1.19</t>
  </si>
  <si>
    <t>82.1.20</t>
  </si>
  <si>
    <t>82.1.21</t>
  </si>
  <si>
    <t>82.1.22</t>
  </si>
  <si>
    <t>82.1.23</t>
  </si>
  <si>
    <t>82.1.24</t>
  </si>
  <si>
    <t>82.1.25</t>
  </si>
  <si>
    <t>82.1.26</t>
  </si>
  <si>
    <t>82.1.27</t>
  </si>
  <si>
    <t>82.1.28</t>
  </si>
  <si>
    <t>82.1.29</t>
  </si>
  <si>
    <t>95.1</t>
  </si>
  <si>
    <t>95.2</t>
  </si>
  <si>
    <t>95.2.1</t>
  </si>
  <si>
    <t>95.2.2</t>
  </si>
  <si>
    <t>95.2.3</t>
  </si>
  <si>
    <t>95.2.4</t>
  </si>
  <si>
    <t>95.2.5</t>
  </si>
  <si>
    <t>95.2.6</t>
  </si>
  <si>
    <t>95.2.7</t>
  </si>
  <si>
    <t>95.3</t>
  </si>
  <si>
    <t>95.4</t>
  </si>
  <si>
    <t>95.5</t>
  </si>
  <si>
    <t>108.1</t>
  </si>
  <si>
    <t>108.1.1</t>
  </si>
  <si>
    <t>110.1</t>
  </si>
  <si>
    <t>110.2</t>
  </si>
  <si>
    <t>114.4</t>
  </si>
  <si>
    <t>114.5</t>
  </si>
  <si>
    <t>114.6</t>
  </si>
  <si>
    <t>114.7</t>
  </si>
  <si>
    <t>114.8</t>
  </si>
  <si>
    <t>114.9</t>
  </si>
  <si>
    <t>04.05.01.02.</t>
  </si>
  <si>
    <t>06.04.01.01.</t>
  </si>
  <si>
    <t>Naujai nutiesti gatvės dalį Kėdainių mieste (T. Bružaitės g.)</t>
  </si>
  <si>
    <t>04.03.07.01</t>
  </si>
  <si>
    <t>06.03.01.01 05.02.01.01</t>
  </si>
  <si>
    <t>Grąžinti valstybės biudžeto lėšas (dotaciją)</t>
  </si>
  <si>
    <t>Kėdainių rajono savivaldybės administracija</t>
  </si>
  <si>
    <t xml:space="preserve"> 09.05.01.01</t>
  </si>
  <si>
    <t>iš jų: užimtumo didinimo programai įgyvendinti</t>
  </si>
  <si>
    <t>01.03.02.09
04.01.02.01</t>
  </si>
  <si>
    <t>01.1</t>
  </si>
  <si>
    <t>01.2</t>
  </si>
  <si>
    <t>01.3</t>
  </si>
  <si>
    <t>Kita dotacija „Sosnovskio barščio naikinimas Kėdainių rajone“</t>
  </si>
  <si>
    <t xml:space="preserve"> Kita dotacija kompensuoti savivaldybės patirtas išlaidas, esant valstybės lygio ekstremaliajai situacijai, siekiant šalinti COVID-19 ligos (koronaviruso infekcijos) padarinius</t>
  </si>
  <si>
    <t>05.2</t>
  </si>
  <si>
    <t>05.1</t>
  </si>
  <si>
    <t>iš jų: modernizuoti Kėdainių krašto muziejaus Daugiakultūrio centrą</t>
  </si>
  <si>
    <t xml:space="preserve">Vykdyti rezistentų paminklinio akmens ir teritorijos apimančios masinę kapavietę sutvarkymo darbus (Skongalio g.) </t>
  </si>
  <si>
    <t>80.4.18</t>
  </si>
  <si>
    <t>Plėsti dviračių takų infrastruktūrą mieste ir rajone</t>
  </si>
  <si>
    <t>4.1.5.</t>
  </si>
  <si>
    <t>Upių vandens tyrimams atlikti Kėdainių r. sav.</t>
  </si>
  <si>
    <t>07.1</t>
  </si>
  <si>
    <t>08.1</t>
  </si>
  <si>
    <t>01.4</t>
  </si>
  <si>
    <t>Kita dotacija įrengti vandens transporto priemonių nuleidimo vietą Angirių tvenkinyje</t>
  </si>
  <si>
    <t>114.10</t>
  </si>
  <si>
    <t>01.08.01.02</t>
  </si>
  <si>
    <t>Kita dotacija neformaliajam vaikų švietimui</t>
  </si>
  <si>
    <t>Kita dotacija konsultacijoms mokiniams, patiriantiems mokymosi sunkumų</t>
  </si>
  <si>
    <t>Kita dotacija socialinių paslaugų šakos kolektyvinės sutarties įsipareigojimams igyvendinti</t>
  </si>
  <si>
    <t>Kita dotacija akredituotai vaikų dienos socialinei priežiūrai organizuoti</t>
  </si>
  <si>
    <t>Kita dotacija  naujoms mokytojų padėjėjų pareigybėms savivaldybėje  įsteigti</t>
  </si>
  <si>
    <t>23.1</t>
  </si>
  <si>
    <t>Kita dotacija kompensuoti patirtas išlaidas už skiepijimo nuo COVID-19 ligos (koronaviruso infekcijos) paslaugas</t>
  </si>
  <si>
    <t>Kita dotacija mokinių, pasirinkusių laikyti brandos egzaminus 2021 metais ir dėl COVID-19 pandemijos patyrusių mokymosi praradimų, tiesioginėms konsultacijoms</t>
  </si>
  <si>
    <t>Rekonstruoti Kėdainių šviesiosios gimnazijos pastatą Kėdainiuose, Didžioji g. 60</t>
  </si>
  <si>
    <t>01.5</t>
  </si>
  <si>
    <t>Kita dotacija valstybės investicijų 2021 m. programoje numatytoms kapitalo investicijoms</t>
  </si>
  <si>
    <t>Rekonstruoti Kėdainių rajono savivaldybės kultūros centro pastatą Kėdainiuose, J. Basanavičiaus g. 24</t>
  </si>
  <si>
    <t xml:space="preserve">Rekonstruoti Kėdainių miesto stadioną Kėdainiuose, J. Basanavičiaus g. 1 </t>
  </si>
  <si>
    <t>04.1</t>
  </si>
  <si>
    <t xml:space="preserve">                                                                      Kėdainių rajono savivaldybės tarybos</t>
  </si>
  <si>
    <t>05.3</t>
  </si>
  <si>
    <t>Kėdainių r. sav. 2019–2024 m. aplinkos monitoringo programos 2020–2021 m. paslaugoms įgyvendinti</t>
  </si>
  <si>
    <t>4.2.10.</t>
  </si>
  <si>
    <t>Akademijos tvenkinio pakrantės sutvarkymui</t>
  </si>
  <si>
    <t xml:space="preserve">                                                 1 priedas</t>
  </si>
  <si>
    <t xml:space="preserve">          KĖDAINIŲ RAJONO SAVIVALDYBĖS 2021 METŲ BIUDŽETO PAJAMOS</t>
  </si>
  <si>
    <t xml:space="preserve">             Pajamų pavadinimas</t>
  </si>
  <si>
    <t>Suma (tūkst. Eur)</t>
  </si>
  <si>
    <t xml:space="preserve"> MOKESČIAI (2+3+7)</t>
  </si>
  <si>
    <t xml:space="preserve">Gyventojų pajamų mokestis </t>
  </si>
  <si>
    <t>Turto mokesčiai (4+5+6)</t>
  </si>
  <si>
    <t>Žemės mokestis</t>
  </si>
  <si>
    <t>Paveldimo turto mokestis</t>
  </si>
  <si>
    <t>Nekilnojamojo turto mokestis</t>
  </si>
  <si>
    <t>Prekių ir paslaugų mokesčiai (8)</t>
  </si>
  <si>
    <t>Mokestis už aplinkos teršimą</t>
  </si>
  <si>
    <t>DOTACIJOS (10+11+15)</t>
  </si>
  <si>
    <t>Dotacija savivaldybėms iš Europos Sąjungos, kitos tarptautinės finansinės paramos ir bendrojo finansavimo lėšų (10.1+10.2 )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</si>
  <si>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</si>
  <si>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</si>
  <si>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>Speciali tikslinė dotacija (12+13+14), iš jos:</t>
  </si>
  <si>
    <t>Valstybinėms (perduotoms savivaldybėms) funkcijoms atlikti, iš jų:</t>
  </si>
  <si>
    <t>12.1</t>
  </si>
  <si>
    <t xml:space="preserve">     dalyvauti rengiant ir vykdant mobilizaciją</t>
  </si>
  <si>
    <t>12.2</t>
  </si>
  <si>
    <t xml:space="preserve">     valstybinės kalbos vartojimo ir taisyklingumo kontrolei</t>
  </si>
  <si>
    <t>12.3</t>
  </si>
  <si>
    <t xml:space="preserve">     socialinėms išmokoms ir kompensacijoms skaičiuoti ir mokėti </t>
  </si>
  <si>
    <t>12.4</t>
  </si>
  <si>
    <t xml:space="preserve">     socialinei paramai mokiniams </t>
  </si>
  <si>
    <t>12.5</t>
  </si>
  <si>
    <t xml:space="preserve">     socialinėms paslaugoms</t>
  </si>
  <si>
    <t>12.6</t>
  </si>
  <si>
    <t xml:space="preserve">     jaunimo teisių apsaugai</t>
  </si>
  <si>
    <t>12.7</t>
  </si>
  <si>
    <t xml:space="preserve">     būsto nuomos ar išperkamosios būsto nuomos mokesčių dalies kompensacijoms</t>
  </si>
  <si>
    <t>12.8</t>
  </si>
  <si>
    <t xml:space="preserve">     užimtumo didinimo programai įgyvendinti</t>
  </si>
  <si>
    <t>12.9</t>
  </si>
  <si>
    <t xml:space="preserve">     civilinės būklės aktams registruoti</t>
  </si>
  <si>
    <t>12.10</t>
  </si>
  <si>
    <t xml:space="preserve">     valstybės garantuojamai pirminei teisinei pagalbai teikti</t>
  </si>
  <si>
    <t>12.11</t>
  </si>
  <si>
    <t xml:space="preserve">     gyventojų registrui tvarkyti ir duomenims valstybės registrams teikti</t>
  </si>
  <si>
    <t>12.12</t>
  </si>
  <si>
    <t xml:space="preserve">     civilinei saugai</t>
  </si>
  <si>
    <t>12.13</t>
  </si>
  <si>
    <t xml:space="preserve">     priešgaisrinei saugai</t>
  </si>
  <si>
    <t>12.14</t>
  </si>
  <si>
    <t xml:space="preserve">     gyvenamosios vietos deklaravimo duomenų ir gyvenamosios vietos neturinčių asmenų apskaitos duomenims tvarkyti</t>
  </si>
  <si>
    <t>12.15</t>
  </si>
  <si>
    <t xml:space="preserve">     žemės ūkio funkcijoms atlikti</t>
  </si>
  <si>
    <t>12.16</t>
  </si>
  <si>
    <t xml:space="preserve">     melioracijai</t>
  </si>
  <si>
    <t>12.17</t>
  </si>
  <si>
    <t xml:space="preserve">     erdvinių duomenų rinkinio tvarkymui</t>
  </si>
  <si>
    <t>12.18</t>
  </si>
  <si>
    <t xml:space="preserve">     savivaldybėms priskirtiems archyviniems dokumentams tvarkyti</t>
  </si>
  <si>
    <t>12.19</t>
  </si>
  <si>
    <t xml:space="preserve">     duomenų teikimas Valstybės suteiktos pagalbos registrui</t>
  </si>
  <si>
    <t>12.20</t>
  </si>
  <si>
    <t xml:space="preserve">     mokinių visuomenės sveikatos priežiūrai</t>
  </si>
  <si>
    <t>12.21</t>
  </si>
  <si>
    <t xml:space="preserve">     visuomenės sveikatos stiprinimui ir stebėsenai</t>
  </si>
  <si>
    <t>12.22</t>
  </si>
  <si>
    <t xml:space="preserve">     neveiksnių asmenų būklės peržiūrėjimui</t>
  </si>
  <si>
    <t>12.23</t>
  </si>
  <si>
    <t xml:space="preserve">     savižudžių prevencijos priemonių įgyvendinimui</t>
  </si>
  <si>
    <t>12.24</t>
  </si>
  <si>
    <t xml:space="preserve">     koordinuotai teikiamų paslaugų vaikams nuo gimimo iki 18 metų (turintiems didelių ir labai didelių specialiųjų ugdymosi poreikių − iki 21 metų) ir vaiko atstovams koordinuoti</t>
  </si>
  <si>
    <t>Ugdymo reikmėms finansuoti, iš jų</t>
  </si>
  <si>
    <t xml:space="preserve">      skaitmeninio ugdymo plėtrai</t>
  </si>
  <si>
    <t>Kita tikslinė dotacija, iš jos:</t>
  </si>
  <si>
    <t>14.1</t>
  </si>
  <si>
    <t xml:space="preserve">     mokyklos specialiųjų ugdymosi poreikių turintiems mokiniams</t>
  </si>
  <si>
    <t>Kitos dotacijos, iš jų:</t>
  </si>
  <si>
    <t xml:space="preserve">      infrastruktūros projektų nuosavam indėliui užtikrinti</t>
  </si>
  <si>
    <t xml:space="preserve">      valstybės biudžeto lėšos, skirtos neformaliajam vaikų švietimui </t>
  </si>
  <si>
    <t xml:space="preserve">      valstybės biudžeto lėšos, skirtos konsultacijoms mokiniams, patiriantiems mokymosi sunkumų</t>
  </si>
  <si>
    <t xml:space="preserve">      valstybės biudžeto lėšos, skirtos įsteigti naujas mokytojų padėjėjų pareigybes savivaldybėje</t>
  </si>
  <si>
    <t xml:space="preserve">     valstybės biudžeto lėšos mokinių, pasirinkusių laikyti brandos egzaminus 2021 metais ir dėl COVID-19 pandemijos patyrusių mokymosi praradimų, tiesioginėms konsultacijoms</t>
  </si>
  <si>
    <t xml:space="preserve">      valstybės biudžeto lėšos, skirtos socialinių paslaugų šakos kolektyvinės sutarties įsipareigojimams igyvendinti</t>
  </si>
  <si>
    <t xml:space="preserve">      valstybės biudžeto lėšos, skirtos akredituotai vaikų dienos socialinei priežiūrai organizuoti</t>
  </si>
  <si>
    <t xml:space="preserve">      savivaldybės viešajai bibliotekai dokumentams 2021 metais įsigyti</t>
  </si>
  <si>
    <t>15.9</t>
  </si>
  <si>
    <t xml:space="preserve">      savivaldybės kultūros ir meno darbuotojų darbo užmokesčiui padidinti</t>
  </si>
  <si>
    <t>15.10</t>
  </si>
  <si>
    <t xml:space="preserve">      „Sosnovskio barščio naikinimas Kėdainių rajone“</t>
  </si>
  <si>
    <t>15.11</t>
  </si>
  <si>
    <t xml:space="preserve">      įrengti vandens transporto priemonių nuleidimo vietą Angirių tvenkinyje</t>
  </si>
  <si>
    <t>15.12</t>
  </si>
  <si>
    <t xml:space="preserve">      kompensuoti savivaldybės patirtas išlaidas, esant valstybės lygio ekstremaliajai situacijai, siekiant šalinti COVID-19 ligos (koronaviruso infekcijos) padarinius</t>
  </si>
  <si>
    <t>15.13</t>
  </si>
  <si>
    <t xml:space="preserve">     kompensuoti patirtas išlaidas už skiepijimo nuo COVID-19 ligos (koronaviruso infekcijos) paslaugas</t>
  </si>
  <si>
    <t>15.14</t>
  </si>
  <si>
    <t xml:space="preserve">      savivaldybės institucijos valdomiems vietinės reikšmės keliams</t>
  </si>
  <si>
    <t>15.15</t>
  </si>
  <si>
    <t xml:space="preserve">      valstybės investicijų 2021 m. programoje numatytoms kapitalo investicijoms</t>
  </si>
  <si>
    <t>KITOS PAJAMOS (17+22+26+29+30+31)</t>
  </si>
  <si>
    <t>Turto pajamos (18+19+20+21)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</si>
  <si>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</si>
  <si>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</si>
  <si>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</si>
  <si>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(23+24+25)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</si>
  <si>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</si>
  <si>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</si>
  <si>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</si>
  <si>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(27+28 )</t>
  </si>
  <si>
    <t>Valstybės rinkliava</t>
  </si>
  <si>
    <t>Vietinė rinkliava</t>
  </si>
  <si>
    <t>Pajamos iš baudų ir konfiskacijos</t>
  </si>
  <si>
    <t>Kitos neišvardytos pajamos</t>
  </si>
  <si>
    <t>Materialiojo ir nematerialiojo turto realizavimo pajamos</t>
  </si>
  <si>
    <t xml:space="preserve">                                       IŠ VISO PAJAMŲ IR DOTACIJŲ (1+9+16)</t>
  </si>
  <si>
    <t>FINANSINIŲ ĮSIPAREIGOJIMŲ PRISIĖMIMO (SKOLINIMOSI) PAJAMOS</t>
  </si>
  <si>
    <t>IŠ VISO (32+33)</t>
  </si>
  <si>
    <t>2020 METŲ NEPANAUDOTOS BIUDŽETO PAJAMOS, IŠ JŲ: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</si>
  <si>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</si>
  <si>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</si>
  <si>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</si>
  <si>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</si>
  <si>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</si>
  <si>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</si>
  <si>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</si>
  <si>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</si>
  <si>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 xml:space="preserve">     infrastruktūros projektų nuosavam indėliui užtikrinti</t>
  </si>
  <si>
    <t>IŠ VISO (34+35)</t>
  </si>
  <si>
    <t>________________________________________________</t>
  </si>
  <si>
    <t>Įrengti medicinos punktą Langakių kaime</t>
  </si>
  <si>
    <t>35.14.4</t>
  </si>
  <si>
    <t>Pritaikyti A. Budrio g. specialiųjų poreikių turintiems gyventojams</t>
  </si>
  <si>
    <t>108.1.2</t>
  </si>
  <si>
    <t>Įgyvendinti projektą "Asociacijos "Laputis" nariams priklausančių ir valstybinių melioracijos statinių rekonstravimas "</t>
  </si>
  <si>
    <t>Kita dotacija išlaidoms, susijusioms su pedagoginių darbuotojų skaičiaus optimizavimu</t>
  </si>
  <si>
    <t xml:space="preserve">         valstybės biudžeto lėšos, skirtos  išlaidoms susijusioms su pedagoginių darbuotojų skaičiaus optimizavimu</t>
  </si>
  <si>
    <t>15.16</t>
  </si>
  <si>
    <t xml:space="preserve">      kompensuoti paskolas</t>
  </si>
  <si>
    <t>15.17</t>
  </si>
  <si>
    <t>15.18</t>
  </si>
  <si>
    <t xml:space="preserve">      kompensuoti savivaldybės gyventojų asbesto turinčių gaminių atliekų surinkimo išlaidas</t>
  </si>
  <si>
    <t xml:space="preserve">Grąžinti suteiktą valstybės biudžeto trumpalaikę paskolą </t>
  </si>
  <si>
    <t>Grąžinti  banko suteiktą ilgalaikę paskolą</t>
  </si>
  <si>
    <t>114.11</t>
  </si>
  <si>
    <t>114.11.1</t>
  </si>
  <si>
    <t>01.6</t>
  </si>
  <si>
    <t>Akademijos parko sutvarkymui</t>
  </si>
  <si>
    <t>Įrengti, rekonstruoti, išplėsti vandentiekio ir/ar nuotekų tinklus Kėdainių mieste (Algirdo g., Parakinės g., Rūtų g., Pievų g., Šviesos g. J. Biliūno g.)</t>
  </si>
  <si>
    <t>Viešųjų erdvių apželdinimui Kėdainių m.</t>
  </si>
  <si>
    <t>4.4.5.</t>
  </si>
  <si>
    <t>15.19</t>
  </si>
  <si>
    <t>Kita dotacija  savivaldybės institucijos valdomiems vietinės reikšmės keliams</t>
  </si>
  <si>
    <t>32.5.7</t>
  </si>
  <si>
    <t>Parengti viešųjų pastatų, esančių Josvainių g.53 ir Pavasario g.8, Kėdainiuose, energinio efektyvumo didinimo investicijų projektus, rengiamus pastato energijos vartojimo audito pagrindu</t>
  </si>
  <si>
    <t xml:space="preserve">                                                                                  2021 m. rugpjūčio 27 d. sprendimo Nr. TS-</t>
  </si>
  <si>
    <t xml:space="preserve">                                                                                       2021 m. rugpjūčio 27 d. sprendimo Nr. TS-</t>
  </si>
  <si>
    <t xml:space="preserve">                                                                                2021 m. rugpjūčio 27 d. sprendimo Nr. TS-</t>
  </si>
  <si>
    <t xml:space="preserve">                                                             2021 m. rugpjūčio 27 d. sprendimo Nr. TS-</t>
  </si>
  <si>
    <t xml:space="preserve">                                                                 2021 m. rugpjūčio 27 d. sprendimo Nr. TS-</t>
  </si>
  <si>
    <t xml:space="preserve">                                                                 Kėdainių rajono savivaldybės tarybos</t>
  </si>
  <si>
    <t>44.1</t>
  </si>
  <si>
    <t>15.20</t>
  </si>
  <si>
    <t xml:space="preserve">     stumbrų daromos žalos apskaičiavimui, naudojant pažangius dirbtinio intelekto pagrindu sukurtus algoritmus ir palydovinių vaizdų informaciją</t>
  </si>
  <si>
    <t>Kita dotacija  stumbrų daromos žalos apskaičiavimui, naudojant pažangius dirbtinio intelekto pagrindu sukurtus algoritmus ir palydovinių vaizdų informaciją</t>
  </si>
  <si>
    <t>04.02.04.01</t>
  </si>
  <si>
    <t xml:space="preserve">      valstybės biudžeto lėšos, skirtos savivaldybės socialinių paslaugų srities darbuotojų minimaliems pareiginės algos pastoviosios dalies koeficientams ir socialinių darbuotojų pareiginės algos pastoviajai daliai didinti</t>
  </si>
  <si>
    <t>Kita dotacija savivaldybės socialinių paslaugų srities darbuotojų minimaliems pareiginės algos pastoviosios dalies koeficientams ir socialinių darbuotojų pareiginės algos pastoviajai daliai didinti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</si>
</sst>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;\-0.0;;"/>
    <numFmt numFmtId="170" formatCode="0.000"/>
    <numFmt numFmtId="171" formatCode="#,##0.0_ ;\-#,##0.0\ "/>
  </numFmts>
  <fonts count="24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0070C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7" fillId="0" borderId="0"/>
    <xf numFmtId="0" fontId="1" fillId="0" borderId="0"/>
    <xf numFmtId="0" fontId="7" fillId="0" borderId="0"/>
    <xf numFmtId="0" fontId="16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7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167" fontId="1" fillId="0" borderId="0" xfId="0" applyNumberFormat="1" applyFont="1" applyFill="1"/>
    <xf numFmtId="1" fontId="1" fillId="0" borderId="0" xfId="0" applyNumberFormat="1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/>
    </xf>
    <xf numFmtId="167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67" fontId="1" fillId="0" borderId="3" xfId="0" applyNumberFormat="1" applyFont="1" applyFill="1" applyBorder="1" applyAlignment="1">
      <alignment vertical="center"/>
    </xf>
    <xf numFmtId="168" fontId="2" fillId="0" borderId="1" xfId="0" applyNumberFormat="1" applyFont="1" applyFill="1" applyBorder="1" applyAlignment="1">
      <alignment horizontal="center" vertical="center"/>
    </xf>
    <xf numFmtId="167" fontId="1" fillId="0" borderId="3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171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8" fontId="1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68" fontId="1" fillId="0" borderId="1" xfId="18" applyNumberForma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vertical="center" wrapText="1"/>
    </xf>
    <xf numFmtId="167" fontId="17" fillId="0" borderId="0" xfId="0" applyNumberFormat="1" applyFont="1" applyFill="1"/>
    <xf numFmtId="167" fontId="2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Fill="1"/>
    <xf numFmtId="167" fontId="1" fillId="0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168" fontId="2" fillId="0" borderId="1" xfId="1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167" fontId="9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68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167" fontId="2" fillId="0" borderId="0" xfId="0" applyNumberFormat="1" applyFont="1" applyFill="1" applyAlignment="1">
      <alignment vertical="center"/>
    </xf>
    <xf numFmtId="167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7" fontId="9" fillId="0" borderId="1" xfId="0" applyNumberFormat="1" applyFont="1" applyFill="1" applyBorder="1" applyAlignment="1">
      <alignment horizontal="right" vertical="center"/>
    </xf>
    <xf numFmtId="167" fontId="6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vertical="center" wrapText="1"/>
    </xf>
    <xf numFmtId="168" fontId="1" fillId="0" borderId="1" xfId="18" applyNumberFormat="1" applyFill="1" applyBorder="1" applyAlignment="1">
      <alignment vertical="center"/>
    </xf>
    <xf numFmtId="168" fontId="17" fillId="0" borderId="1" xfId="18" applyNumberFormat="1" applyFont="1" applyFill="1" applyBorder="1" applyAlignment="1">
      <alignment vertical="center"/>
    </xf>
    <xf numFmtId="49" fontId="1" fillId="0" borderId="1" xfId="1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7" fontId="1" fillId="0" borderId="1" xfId="18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3" fillId="0" borderId="0" xfId="0" applyFont="1"/>
    <xf numFmtId="0" fontId="1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167" fontId="2" fillId="0" borderId="0" xfId="0" applyNumberFormat="1" applyFont="1"/>
    <xf numFmtId="168" fontId="1" fillId="0" borderId="0" xfId="0" applyNumberFormat="1" applyFont="1"/>
    <xf numFmtId="167" fontId="1" fillId="0" borderId="6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left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left" vertical="center" wrapText="1"/>
    </xf>
    <xf numFmtId="168" fontId="3" fillId="0" borderId="0" xfId="0" applyNumberFormat="1" applyFont="1"/>
    <xf numFmtId="0" fontId="18" fillId="0" borderId="0" xfId="0" applyFont="1"/>
    <xf numFmtId="168" fontId="2" fillId="0" borderId="0" xfId="0" applyNumberFormat="1" applyFont="1"/>
    <xf numFmtId="49" fontId="9" fillId="0" borderId="1" xfId="0" applyNumberFormat="1" applyFont="1" applyFill="1" applyBorder="1" applyAlignment="1">
      <alignment horizontal="right" vertical="center"/>
    </xf>
    <xf numFmtId="171" fontId="1" fillId="0" borderId="0" xfId="0" applyNumberFormat="1" applyFont="1" applyFill="1"/>
    <xf numFmtId="168" fontId="2" fillId="0" borderId="0" xfId="0" applyNumberFormat="1" applyFont="1" applyFill="1" applyAlignment="1">
      <alignment horizontal="right" vertical="center"/>
    </xf>
    <xf numFmtId="167" fontId="15" fillId="0" borderId="1" xfId="0" applyNumberFormat="1" applyFont="1" applyBorder="1" applyAlignment="1">
      <alignment horizontal="left" vertical="center" wrapText="1"/>
    </xf>
    <xf numFmtId="168" fontId="15" fillId="0" borderId="1" xfId="0" applyNumberFormat="1" applyFont="1" applyBorder="1" applyAlignment="1">
      <alignment horizontal="right" vertical="center" wrapText="1"/>
    </xf>
    <xf numFmtId="167" fontId="15" fillId="2" borderId="1" xfId="0" applyNumberFormat="1" applyFont="1" applyFill="1" applyBorder="1" applyAlignment="1">
      <alignment horizontal="left" vertical="center" wrapText="1"/>
    </xf>
    <xf numFmtId="0" fontId="19" fillId="0" borderId="0" xfId="0" applyFont="1"/>
    <xf numFmtId="168" fontId="15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7" fillId="0" borderId="0" xfId="19"/>
    <xf numFmtId="168" fontId="15" fillId="0" borderId="1" xfId="0" applyNumberFormat="1" applyFont="1" applyBorder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7" fillId="0" borderId="0" xfId="0" applyFont="1"/>
    <xf numFmtId="0" fontId="1" fillId="0" borderId="0" xfId="0" applyFont="1" applyFill="1" applyAlignment="1">
      <alignment wrapText="1"/>
    </xf>
    <xf numFmtId="49" fontId="1" fillId="0" borderId="3" xfId="0" applyNumberFormat="1" applyFont="1" applyFill="1" applyBorder="1" applyAlignment="1">
      <alignment horizontal="left" vertical="center" wrapText="1"/>
    </xf>
    <xf numFmtId="167" fontId="6" fillId="0" borderId="3" xfId="0" applyNumberFormat="1" applyFont="1" applyFill="1" applyBorder="1" applyAlignment="1">
      <alignment vertical="center" wrapText="1"/>
    </xf>
    <xf numFmtId="167" fontId="17" fillId="0" borderId="0" xfId="0" applyNumberFormat="1" applyFont="1" applyFill="1" applyAlignment="1">
      <alignment horizontal="right"/>
    </xf>
    <xf numFmtId="168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49" fontId="1" fillId="0" borderId="1" xfId="18" applyNumberForma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169" fontId="2" fillId="0" borderId="1" xfId="0" applyNumberFormat="1" applyFont="1" applyFill="1" applyBorder="1" applyAlignment="1">
      <alignment horizontal="center" vertical="center"/>
    </xf>
    <xf numFmtId="167" fontId="1" fillId="0" borderId="1" xfId="18" applyNumberFormat="1" applyFill="1" applyBorder="1" applyAlignment="1">
      <alignment vertical="center"/>
    </xf>
    <xf numFmtId="0" fontId="1" fillId="0" borderId="1" xfId="0" applyFont="1" applyFill="1" applyBorder="1"/>
    <xf numFmtId="167" fontId="6" fillId="0" borderId="1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168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horizontal="right" vertical="center"/>
    </xf>
    <xf numFmtId="167" fontId="1" fillId="0" borderId="1" xfId="18" applyNumberFormat="1" applyFill="1" applyBorder="1" applyAlignment="1">
      <alignment vertical="center" wrapText="1"/>
    </xf>
    <xf numFmtId="167" fontId="1" fillId="0" borderId="1" xfId="18" applyNumberForma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  <xf numFmtId="168" fontId="2" fillId="0" borderId="1" xfId="18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vertical="center"/>
    </xf>
    <xf numFmtId="0" fontId="1" fillId="0" borderId="1" xfId="17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18" applyNumberForma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171" fontId="1" fillId="0" borderId="1" xfId="0" applyNumberFormat="1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17" applyNumberFormat="1" applyFill="1" applyBorder="1" applyAlignment="1">
      <alignment horizontal="center" vertical="center" wrapText="1"/>
    </xf>
    <xf numFmtId="49" fontId="2" fillId="0" borderId="1" xfId="18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right" vertical="center" wrapText="1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right" vertical="center"/>
    </xf>
    <xf numFmtId="168" fontId="2" fillId="0" borderId="1" xfId="0" applyNumberFormat="1" applyFont="1" applyFill="1" applyBorder="1"/>
    <xf numFmtId="168" fontId="1" fillId="0" borderId="0" xfId="0" applyNumberFormat="1" applyFont="1" applyFill="1"/>
    <xf numFmtId="4" fontId="1" fillId="0" borderId="0" xfId="0" applyNumberFormat="1" applyFont="1" applyFill="1"/>
    <xf numFmtId="167" fontId="2" fillId="0" borderId="0" xfId="0" applyNumberFormat="1" applyFont="1" applyFill="1"/>
    <xf numFmtId="0" fontId="1" fillId="0" borderId="1" xfId="1" applyFont="1" applyFill="1" applyBorder="1" applyAlignment="1">
      <alignment vertical="center"/>
    </xf>
    <xf numFmtId="168" fontId="2" fillId="0" borderId="0" xfId="0" applyNumberFormat="1" applyFont="1" applyFill="1"/>
    <xf numFmtId="0" fontId="2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16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left" vertical="center" wrapText="1"/>
    </xf>
    <xf numFmtId="49" fontId="1" fillId="0" borderId="1" xfId="1" applyNumberFormat="1" applyFont="1" applyFill="1" applyBorder="1" applyAlignment="1">
      <alignment horizontal="right" vertical="center"/>
    </xf>
    <xf numFmtId="168" fontId="1" fillId="0" borderId="2" xfId="0" applyNumberFormat="1" applyFont="1" applyFill="1" applyBorder="1" applyAlignment="1">
      <alignment vertical="center"/>
    </xf>
    <xf numFmtId="168" fontId="1" fillId="0" borderId="1" xfId="0" applyNumberFormat="1" applyFont="1" applyFill="1" applyBorder="1"/>
    <xf numFmtId="167" fontId="1" fillId="0" borderId="6" xfId="0" applyNumberFormat="1" applyFont="1" applyFill="1" applyBorder="1" applyAlignment="1">
      <alignment horizontal="right"/>
    </xf>
    <xf numFmtId="168" fontId="2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horizontal="justify" vertical="center" wrapText="1"/>
    </xf>
    <xf numFmtId="16" fontId="1" fillId="0" borderId="0" xfId="0" applyNumberFormat="1" applyFont="1" applyFill="1" applyAlignment="1">
      <alignment horizontal="right"/>
    </xf>
    <xf numFmtId="0" fontId="2" fillId="0" borderId="1" xfId="1" applyFont="1" applyFill="1" applyBorder="1" applyAlignment="1">
      <alignment horizontal="right" vertical="center"/>
    </xf>
    <xf numFmtId="167" fontId="2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wrapText="1"/>
    </xf>
    <xf numFmtId="168" fontId="1" fillId="0" borderId="0" xfId="0" applyNumberFormat="1" applyFont="1" applyFill="1" applyAlignment="1">
      <alignment horizontal="right"/>
    </xf>
    <xf numFmtId="167" fontId="1" fillId="0" borderId="0" xfId="0" applyNumberFormat="1" applyFont="1" applyFill="1" applyAlignment="1">
      <alignment horizontal="right" wrapText="1"/>
    </xf>
    <xf numFmtId="167" fontId="1" fillId="0" borderId="0" xfId="0" applyNumberFormat="1" applyFont="1" applyFill="1" applyAlignment="1">
      <alignment horizontal="right" vertical="center" wrapText="1"/>
    </xf>
    <xf numFmtId="167" fontId="1" fillId="0" borderId="6" xfId="0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0" fontId="1" fillId="0" borderId="0" xfId="1" applyFont="1" applyFill="1" applyAlignment="1">
      <alignment horizontal="right"/>
    </xf>
    <xf numFmtId="168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170" fontId="1" fillId="0" borderId="0" xfId="0" applyNumberFormat="1" applyFont="1" applyFill="1"/>
    <xf numFmtId="0" fontId="17" fillId="0" borderId="0" xfId="0" applyFont="1" applyFill="1"/>
    <xf numFmtId="49" fontId="21" fillId="0" borderId="1" xfId="0" applyNumberFormat="1" applyFont="1" applyFill="1" applyBorder="1" applyAlignment="1">
      <alignment horizontal="right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168" fontId="21" fillId="0" borderId="1" xfId="18" applyNumberFormat="1" applyFont="1" applyFill="1" applyBorder="1" applyAlignment="1">
      <alignment horizontal="right" vertical="center"/>
    </xf>
    <xf numFmtId="167" fontId="21" fillId="0" borderId="0" xfId="0" applyNumberFormat="1" applyFont="1" applyFill="1"/>
    <xf numFmtId="167" fontId="23" fillId="0" borderId="0" xfId="0" applyNumberFormat="1" applyFont="1" applyFill="1"/>
    <xf numFmtId="0" fontId="21" fillId="0" borderId="0" xfId="0" applyFont="1" applyFill="1"/>
    <xf numFmtId="168" fontId="1" fillId="0" borderId="1" xfId="18" applyNumberFormat="1" applyFont="1" applyFill="1" applyBorder="1" applyAlignment="1">
      <alignment horizontal="right" vertical="center"/>
    </xf>
    <xf numFmtId="49" fontId="1" fillId="0" borderId="1" xfId="18" applyNumberFormat="1" applyFont="1" applyFill="1" applyBorder="1" applyAlignment="1">
      <alignment horizontal="center" vertical="center"/>
    </xf>
    <xf numFmtId="167" fontId="1" fillId="0" borderId="1" xfId="18" applyNumberFormat="1" applyFont="1" applyFill="1" applyBorder="1" applyAlignment="1">
      <alignment vertical="center" wrapText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3" fillId="0" borderId="0" xfId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20">
    <cellStyle name="Įprastas" xfId="0" builtinId="0"/>
    <cellStyle name="Įprastas 2" xfId="1"/>
    <cellStyle name="Įprastas 3" xfId="2"/>
    <cellStyle name="Įprastas 4" xfId="3"/>
    <cellStyle name="Įprastas 5" xfId="4"/>
    <cellStyle name="Kablelis 2" xfId="5"/>
    <cellStyle name="Kablelis 2 2" xfId="6"/>
    <cellStyle name="Kablelis 2 2 2" xfId="7"/>
    <cellStyle name="Kablelis 3" xfId="8"/>
    <cellStyle name="Kablelis 4" xfId="9"/>
    <cellStyle name="Kablelis 4 2" xfId="10"/>
    <cellStyle name="Kablelis 4 3" xfId="11"/>
    <cellStyle name="Kablelis 5" xfId="12"/>
    <cellStyle name="Kablelis 5 2" xfId="13"/>
    <cellStyle name="Normal 2" xfId="14"/>
    <cellStyle name="Normal 3" xfId="15"/>
    <cellStyle name="Normal_biudžetas 6" xfId="16"/>
    <cellStyle name="Normal_biudžetas 6_2009 m 02 men biudzetas." xfId="17"/>
    <cellStyle name="Normal_Sheet1_2009 m 02 men biudzetas." xfId="18"/>
    <cellStyle name="Paprastas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zoomScaleNormal="100" workbookViewId="0">
      <selection activeCell="K26" sqref="K26"/>
    </sheetView>
  </sheetViews>
  <sheetFormatPr defaultColWidth="9.109375" defaultRowHeight="13.2" x14ac:dyDescent="0.25"/>
  <cols>
    <col min="1" max="1" width="6.33203125" style="3" customWidth="1"/>
    <col min="2" max="2" width="62" style="2" customWidth="1"/>
    <col min="3" max="3" width="14.5546875" style="2" bestFit="1" customWidth="1"/>
    <col min="4" max="4" width="9.33203125" style="2" customWidth="1"/>
    <col min="5" max="5" width="9.109375" style="2" customWidth="1"/>
    <col min="6" max="6" width="15.109375" style="2" customWidth="1"/>
    <col min="7" max="7" width="9.109375" style="2" customWidth="1"/>
    <col min="8" max="8" width="9.109375" style="2"/>
    <col min="9" max="9" width="9.44140625" style="2" bestFit="1" customWidth="1"/>
    <col min="10" max="16384" width="9.109375" style="2"/>
  </cols>
  <sheetData>
    <row r="1" spans="1:20" ht="15.6" x14ac:dyDescent="0.3">
      <c r="A1" s="168"/>
      <c r="B1" s="221" t="s">
        <v>847</v>
      </c>
      <c r="C1" s="221"/>
    </row>
    <row r="2" spans="1:20" ht="15.6" x14ac:dyDescent="0.3">
      <c r="A2" s="168"/>
      <c r="B2" s="222" t="s">
        <v>846</v>
      </c>
      <c r="C2" s="222"/>
    </row>
    <row r="3" spans="1:20" ht="15.6" x14ac:dyDescent="0.3">
      <c r="A3" s="223" t="s">
        <v>693</v>
      </c>
      <c r="B3" s="223"/>
      <c r="C3" s="223"/>
    </row>
    <row r="4" spans="1:20" ht="15.6" x14ac:dyDescent="0.3">
      <c r="A4" s="170"/>
      <c r="B4" s="169"/>
      <c r="C4" s="169"/>
    </row>
    <row r="5" spans="1:20" x14ac:dyDescent="0.25">
      <c r="A5" s="168"/>
      <c r="B5" s="171" t="s">
        <v>694</v>
      </c>
      <c r="C5" s="172"/>
    </row>
    <row r="6" spans="1:20" x14ac:dyDescent="0.25">
      <c r="A6" s="168"/>
      <c r="B6" s="172"/>
      <c r="C6" s="172"/>
    </row>
    <row r="7" spans="1:20" s="3" customFormat="1" x14ac:dyDescent="0.25">
      <c r="A7" s="173" t="s">
        <v>0</v>
      </c>
      <c r="B7" s="174" t="s">
        <v>695</v>
      </c>
      <c r="C7" s="174" t="s">
        <v>696</v>
      </c>
    </row>
    <row r="8" spans="1:20" ht="12.6" customHeight="1" x14ac:dyDescent="0.25">
      <c r="A8" s="175">
        <v>1</v>
      </c>
      <c r="B8" s="173" t="s">
        <v>697</v>
      </c>
      <c r="C8" s="176">
        <f>+C9+C10+C14</f>
        <v>30689</v>
      </c>
      <c r="D8" s="40"/>
      <c r="F8" s="177"/>
      <c r="H8" s="177"/>
      <c r="I8" s="177"/>
    </row>
    <row r="9" spans="1:20" ht="12.6" customHeight="1" x14ac:dyDescent="0.25">
      <c r="A9" s="175">
        <v>2</v>
      </c>
      <c r="B9" s="173" t="s">
        <v>698</v>
      </c>
      <c r="C9" s="156">
        <f>26617+2217</f>
        <v>28834</v>
      </c>
      <c r="D9" s="40"/>
      <c r="G9" s="177"/>
      <c r="H9" s="178"/>
      <c r="I9" s="179"/>
      <c r="J9" s="177"/>
    </row>
    <row r="10" spans="1:20" ht="11.25" customHeight="1" x14ac:dyDescent="0.25">
      <c r="A10" s="175">
        <v>3</v>
      </c>
      <c r="B10" s="173" t="s">
        <v>699</v>
      </c>
      <c r="C10" s="156">
        <f>+C11+C13+C12</f>
        <v>1660</v>
      </c>
      <c r="D10" s="41"/>
      <c r="E10" s="179"/>
      <c r="F10" s="177"/>
      <c r="G10" s="177"/>
      <c r="I10" s="4"/>
      <c r="J10" s="177"/>
    </row>
    <row r="11" spans="1:20" ht="12.6" customHeight="1" x14ac:dyDescent="0.25">
      <c r="A11" s="175">
        <v>4</v>
      </c>
      <c r="B11" s="180" t="s">
        <v>700</v>
      </c>
      <c r="C11" s="37">
        <v>650</v>
      </c>
      <c r="D11" s="40"/>
      <c r="E11" s="181"/>
      <c r="G11" s="177"/>
    </row>
    <row r="12" spans="1:20" ht="12.6" customHeight="1" x14ac:dyDescent="0.25">
      <c r="A12" s="175">
        <v>5</v>
      </c>
      <c r="B12" s="180" t="s">
        <v>701</v>
      </c>
      <c r="C12" s="37">
        <v>10</v>
      </c>
      <c r="D12" s="40"/>
      <c r="E12" s="181"/>
      <c r="I12" s="208"/>
    </row>
    <row r="13" spans="1:20" ht="12.6" customHeight="1" x14ac:dyDescent="0.25">
      <c r="A13" s="175">
        <v>6</v>
      </c>
      <c r="B13" s="180" t="s">
        <v>702</v>
      </c>
      <c r="C13" s="37">
        <v>1000</v>
      </c>
      <c r="D13" s="40"/>
      <c r="E13" s="177"/>
    </row>
    <row r="14" spans="1:20" ht="12.6" customHeight="1" x14ac:dyDescent="0.25">
      <c r="A14" s="175">
        <v>7</v>
      </c>
      <c r="B14" s="173" t="s">
        <v>703</v>
      </c>
      <c r="C14" s="176">
        <f>+C15</f>
        <v>195</v>
      </c>
      <c r="D14" s="40"/>
      <c r="T14" s="4"/>
    </row>
    <row r="15" spans="1:20" ht="12.6" customHeight="1" x14ac:dyDescent="0.25">
      <c r="A15" s="175">
        <v>8</v>
      </c>
      <c r="B15" s="180" t="s">
        <v>704</v>
      </c>
      <c r="C15" s="37">
        <v>195</v>
      </c>
      <c r="D15" s="40"/>
    </row>
    <row r="16" spans="1:20" ht="12.6" customHeight="1" x14ac:dyDescent="0.25">
      <c r="A16" s="175">
        <v>9</v>
      </c>
      <c r="B16" s="173" t="s">
        <v>705</v>
      </c>
      <c r="C16" s="176">
        <f>+C20+C50+C17</f>
        <v>28940</v>
      </c>
      <c r="D16" s="40"/>
    </row>
    <row r="17" spans="1:11" ht="26.4" x14ac:dyDescent="0.25">
      <c r="A17" s="175">
        <v>10</v>
      </c>
      <c r="B17" s="182" t="s">
        <v>706</v>
      </c>
      <c r="C17" s="176">
        <f>+C18+C19</f>
        <v>2830.6999999999994</v>
      </c>
      <c r="D17" s="40"/>
      <c r="K17" s="177"/>
    </row>
    <row r="18" spans="1:11" ht="26.4" x14ac:dyDescent="0.25">
      <c r="A18" s="175" t="s">
        <v>222</v>
      </c>
      <c r="B18" s="183" t="s">
        <v>707</v>
      </c>
      <c r="C18" s="37">
        <f>2700.7+3.7+9.6</f>
        <v>2713.9999999999995</v>
      </c>
      <c r="D18" s="40"/>
      <c r="K18" s="177"/>
    </row>
    <row r="19" spans="1:11" ht="26.4" x14ac:dyDescent="0.25">
      <c r="A19" s="175" t="s">
        <v>261</v>
      </c>
      <c r="B19" s="183" t="s">
        <v>708</v>
      </c>
      <c r="C19" s="37">
        <f>141.7-25</f>
        <v>116.69999999999999</v>
      </c>
      <c r="D19" s="138"/>
      <c r="K19" s="177"/>
    </row>
    <row r="20" spans="1:11" ht="12.6" customHeight="1" x14ac:dyDescent="0.25">
      <c r="A20" s="175">
        <v>11</v>
      </c>
      <c r="B20" s="173" t="s">
        <v>709</v>
      </c>
      <c r="C20" s="156">
        <f>+C21+C46+C48</f>
        <v>20120.099999999999</v>
      </c>
      <c r="D20" s="40"/>
    </row>
    <row r="21" spans="1:11" ht="12.6" customHeight="1" x14ac:dyDescent="0.25">
      <c r="A21" s="175">
        <v>12</v>
      </c>
      <c r="B21" s="180" t="s">
        <v>710</v>
      </c>
      <c r="C21" s="37">
        <f>SUM(C22:C45)</f>
        <v>5161</v>
      </c>
      <c r="D21" s="40"/>
      <c r="E21" s="5"/>
    </row>
    <row r="22" spans="1:11" ht="12.6" customHeight="1" x14ac:dyDescent="0.25">
      <c r="A22" s="184" t="s">
        <v>711</v>
      </c>
      <c r="B22" s="180" t="s">
        <v>712</v>
      </c>
      <c r="C22" s="37">
        <v>29.6</v>
      </c>
      <c r="D22" s="40"/>
      <c r="F22" s="4"/>
    </row>
    <row r="23" spans="1:11" ht="12.6" customHeight="1" x14ac:dyDescent="0.25">
      <c r="A23" s="175" t="s">
        <v>713</v>
      </c>
      <c r="B23" s="180" t="s">
        <v>714</v>
      </c>
      <c r="C23" s="37">
        <v>8.1999999999999993</v>
      </c>
      <c r="D23" s="40"/>
      <c r="F23" s="4"/>
    </row>
    <row r="24" spans="1:11" ht="12.6" customHeight="1" x14ac:dyDescent="0.25">
      <c r="A24" s="184" t="s">
        <v>715</v>
      </c>
      <c r="B24" s="180" t="s">
        <v>716</v>
      </c>
      <c r="C24" s="37">
        <f>287+99.2</f>
        <v>386.2</v>
      </c>
      <c r="D24" s="40"/>
      <c r="E24" s="177"/>
      <c r="F24" s="4"/>
    </row>
    <row r="25" spans="1:11" ht="12.6" customHeight="1" x14ac:dyDescent="0.25">
      <c r="A25" s="175" t="s">
        <v>717</v>
      </c>
      <c r="B25" s="180" t="s">
        <v>718</v>
      </c>
      <c r="C25" s="37">
        <v>749.9</v>
      </c>
      <c r="D25" s="40"/>
    </row>
    <row r="26" spans="1:11" ht="12.6" customHeight="1" x14ac:dyDescent="0.25">
      <c r="A26" s="184" t="s">
        <v>719</v>
      </c>
      <c r="B26" s="180" t="s">
        <v>720</v>
      </c>
      <c r="C26" s="37">
        <f>708.4+644.2+261.5</f>
        <v>1614.1</v>
      </c>
      <c r="D26" s="41"/>
      <c r="H26" s="4"/>
    </row>
    <row r="27" spans="1:11" ht="12.6" customHeight="1" x14ac:dyDescent="0.25">
      <c r="A27" s="175" t="s">
        <v>721</v>
      </c>
      <c r="B27" s="180" t="s">
        <v>722</v>
      </c>
      <c r="C27" s="37">
        <v>18.2</v>
      </c>
      <c r="D27" s="40"/>
    </row>
    <row r="28" spans="1:11" ht="26.25" customHeight="1" x14ac:dyDescent="0.25">
      <c r="A28" s="184" t="s">
        <v>723</v>
      </c>
      <c r="B28" s="183" t="s">
        <v>724</v>
      </c>
      <c r="C28" s="37">
        <v>3.7</v>
      </c>
      <c r="D28" s="40"/>
    </row>
    <row r="29" spans="1:11" ht="15.75" customHeight="1" x14ac:dyDescent="0.25">
      <c r="A29" s="175" t="s">
        <v>725</v>
      </c>
      <c r="B29" s="185" t="s">
        <v>726</v>
      </c>
      <c r="C29" s="37">
        <v>139.30000000000001</v>
      </c>
      <c r="D29" s="40"/>
    </row>
    <row r="30" spans="1:11" ht="12.6" customHeight="1" x14ac:dyDescent="0.25">
      <c r="A30" s="184" t="s">
        <v>727</v>
      </c>
      <c r="B30" s="185" t="s">
        <v>728</v>
      </c>
      <c r="C30" s="37">
        <v>33.1</v>
      </c>
      <c r="D30" s="40"/>
    </row>
    <row r="31" spans="1:11" ht="12.6" customHeight="1" x14ac:dyDescent="0.25">
      <c r="A31" s="175" t="s">
        <v>729</v>
      </c>
      <c r="B31" s="185" t="s">
        <v>730</v>
      </c>
      <c r="C31" s="37">
        <v>14.2</v>
      </c>
      <c r="D31" s="40"/>
    </row>
    <row r="32" spans="1:11" ht="12.6" customHeight="1" x14ac:dyDescent="0.25">
      <c r="A32" s="184" t="s">
        <v>731</v>
      </c>
      <c r="B32" s="185" t="s">
        <v>732</v>
      </c>
      <c r="C32" s="37">
        <v>0.8</v>
      </c>
      <c r="D32" s="40"/>
    </row>
    <row r="33" spans="1:6" ht="12.6" customHeight="1" x14ac:dyDescent="0.25">
      <c r="A33" s="175" t="s">
        <v>733</v>
      </c>
      <c r="B33" s="185" t="s">
        <v>734</v>
      </c>
      <c r="C33" s="37">
        <v>44.9</v>
      </c>
      <c r="D33" s="40"/>
    </row>
    <row r="34" spans="1:6" ht="12.6" customHeight="1" x14ac:dyDescent="0.25">
      <c r="A34" s="184" t="s">
        <v>735</v>
      </c>
      <c r="B34" s="185" t="s">
        <v>736</v>
      </c>
      <c r="C34" s="37">
        <v>980.8</v>
      </c>
      <c r="D34" s="40"/>
    </row>
    <row r="35" spans="1:6" ht="24.9" customHeight="1" x14ac:dyDescent="0.25">
      <c r="A35" s="175" t="s">
        <v>737</v>
      </c>
      <c r="B35" s="185" t="s">
        <v>738</v>
      </c>
      <c r="C35" s="37">
        <v>8.9</v>
      </c>
      <c r="D35" s="40"/>
    </row>
    <row r="36" spans="1:6" ht="12.6" customHeight="1" x14ac:dyDescent="0.25">
      <c r="A36" s="184" t="s">
        <v>739</v>
      </c>
      <c r="B36" s="185" t="s">
        <v>740</v>
      </c>
      <c r="C36" s="37">
        <v>200.1</v>
      </c>
      <c r="D36" s="40"/>
    </row>
    <row r="37" spans="1:6" ht="12.6" customHeight="1" x14ac:dyDescent="0.25">
      <c r="A37" s="175" t="s">
        <v>741</v>
      </c>
      <c r="B37" s="180" t="s">
        <v>742</v>
      </c>
      <c r="C37" s="37">
        <v>360</v>
      </c>
      <c r="D37" s="40"/>
    </row>
    <row r="38" spans="1:6" ht="12.6" customHeight="1" x14ac:dyDescent="0.25">
      <c r="A38" s="184" t="s">
        <v>743</v>
      </c>
      <c r="B38" s="180" t="s">
        <v>744</v>
      </c>
      <c r="C38" s="37">
        <v>19.3</v>
      </c>
      <c r="D38" s="40"/>
    </row>
    <row r="39" spans="1:6" x14ac:dyDescent="0.25">
      <c r="A39" s="175" t="s">
        <v>745</v>
      </c>
      <c r="B39" s="180" t="s">
        <v>746</v>
      </c>
      <c r="C39" s="37">
        <v>45</v>
      </c>
      <c r="D39" s="40"/>
    </row>
    <row r="40" spans="1:6" ht="12.6" customHeight="1" x14ac:dyDescent="0.25">
      <c r="A40" s="184" t="s">
        <v>747</v>
      </c>
      <c r="B40" s="183" t="s">
        <v>748</v>
      </c>
      <c r="C40" s="37">
        <v>0.8</v>
      </c>
      <c r="D40" s="40"/>
    </row>
    <row r="41" spans="1:6" ht="12.6" customHeight="1" x14ac:dyDescent="0.25">
      <c r="A41" s="175" t="s">
        <v>749</v>
      </c>
      <c r="B41" s="183" t="s">
        <v>750</v>
      </c>
      <c r="C41" s="37">
        <v>264.60000000000002</v>
      </c>
      <c r="D41" s="40"/>
    </row>
    <row r="42" spans="1:6" ht="12.6" customHeight="1" x14ac:dyDescent="0.25">
      <c r="A42" s="184" t="s">
        <v>751</v>
      </c>
      <c r="B42" s="183" t="s">
        <v>752</v>
      </c>
      <c r="C42" s="37">
        <v>131.5</v>
      </c>
      <c r="D42" s="40"/>
    </row>
    <row r="43" spans="1:6" ht="15.75" customHeight="1" x14ac:dyDescent="0.25">
      <c r="A43" s="175" t="s">
        <v>753</v>
      </c>
      <c r="B43" s="183" t="s">
        <v>754</v>
      </c>
      <c r="C43" s="37">
        <v>2.9</v>
      </c>
      <c r="D43" s="40"/>
    </row>
    <row r="44" spans="1:6" ht="15.75" customHeight="1" x14ac:dyDescent="0.25">
      <c r="A44" s="184" t="s">
        <v>755</v>
      </c>
      <c r="B44" s="183" t="s">
        <v>756</v>
      </c>
      <c r="C44" s="37">
        <v>87.2</v>
      </c>
      <c r="D44" s="40"/>
    </row>
    <row r="45" spans="1:6" ht="39.6" x14ac:dyDescent="0.25">
      <c r="A45" s="184" t="s">
        <v>757</v>
      </c>
      <c r="B45" s="183" t="s">
        <v>758</v>
      </c>
      <c r="C45" s="37">
        <v>17.7</v>
      </c>
      <c r="D45" s="40"/>
    </row>
    <row r="46" spans="1:6" ht="12.6" customHeight="1" x14ac:dyDescent="0.25">
      <c r="A46" s="175">
        <v>13</v>
      </c>
      <c r="B46" s="180" t="s">
        <v>759</v>
      </c>
      <c r="C46" s="37">
        <f>14248.3+156.4</f>
        <v>14404.699999999999</v>
      </c>
      <c r="D46" s="40"/>
      <c r="E46" s="5"/>
      <c r="F46" s="4"/>
    </row>
    <row r="47" spans="1:6" x14ac:dyDescent="0.25">
      <c r="A47" s="186" t="s">
        <v>558</v>
      </c>
      <c r="B47" s="183" t="s">
        <v>760</v>
      </c>
      <c r="C47" s="187">
        <v>156.4</v>
      </c>
      <c r="D47" s="40"/>
    </row>
    <row r="48" spans="1:6" ht="12.6" customHeight="1" x14ac:dyDescent="0.25">
      <c r="A48" s="175">
        <v>14</v>
      </c>
      <c r="B48" s="180" t="s">
        <v>761</v>
      </c>
      <c r="C48" s="188">
        <f>+C49</f>
        <v>554.4</v>
      </c>
      <c r="D48" s="40"/>
      <c r="E48" s="5"/>
      <c r="F48" s="4"/>
    </row>
    <row r="49" spans="1:6" ht="12.6" customHeight="1" x14ac:dyDescent="0.25">
      <c r="A49" s="186" t="s">
        <v>762</v>
      </c>
      <c r="B49" s="183" t="s">
        <v>763</v>
      </c>
      <c r="C49" s="37">
        <v>554.4</v>
      </c>
      <c r="D49" s="40"/>
      <c r="E49" s="5"/>
      <c r="F49" s="4"/>
    </row>
    <row r="50" spans="1:6" ht="12.6" customHeight="1" x14ac:dyDescent="0.25">
      <c r="A50" s="175">
        <v>15</v>
      </c>
      <c r="B50" s="173" t="s">
        <v>764</v>
      </c>
      <c r="C50" s="156">
        <f>SUM(C51:C70)</f>
        <v>5989.2000000000007</v>
      </c>
      <c r="D50" s="189"/>
    </row>
    <row r="51" spans="1:6" ht="12.6" customHeight="1" x14ac:dyDescent="0.25">
      <c r="A51" s="175" t="s">
        <v>240</v>
      </c>
      <c r="B51" s="180" t="s">
        <v>765</v>
      </c>
      <c r="C51" s="187">
        <v>1.8</v>
      </c>
      <c r="D51" s="40"/>
    </row>
    <row r="52" spans="1:6" x14ac:dyDescent="0.25">
      <c r="A52" s="175" t="s">
        <v>561</v>
      </c>
      <c r="B52" s="183" t="s">
        <v>766</v>
      </c>
      <c r="C52" s="187">
        <v>274.60000000000002</v>
      </c>
      <c r="D52" s="40"/>
    </row>
    <row r="53" spans="1:6" ht="26.4" x14ac:dyDescent="0.25">
      <c r="A53" s="175" t="s">
        <v>241</v>
      </c>
      <c r="B53" s="183" t="s">
        <v>767</v>
      </c>
      <c r="C53" s="187">
        <v>20.9</v>
      </c>
      <c r="D53" s="40"/>
    </row>
    <row r="54" spans="1:6" ht="26.4" x14ac:dyDescent="0.25">
      <c r="A54" s="175" t="s">
        <v>242</v>
      </c>
      <c r="B54" s="183" t="s">
        <v>768</v>
      </c>
      <c r="C54" s="187">
        <v>101.3</v>
      </c>
      <c r="D54" s="40"/>
    </row>
    <row r="55" spans="1:6" ht="39.6" x14ac:dyDescent="0.25">
      <c r="A55" s="175" t="s">
        <v>243</v>
      </c>
      <c r="B55" s="183" t="s">
        <v>769</v>
      </c>
      <c r="C55" s="37">
        <v>5</v>
      </c>
      <c r="D55" s="40"/>
    </row>
    <row r="56" spans="1:6" ht="26.4" x14ac:dyDescent="0.25">
      <c r="A56" s="175" t="s">
        <v>286</v>
      </c>
      <c r="B56" s="183" t="s">
        <v>770</v>
      </c>
      <c r="C56" s="187">
        <v>19.100000000000001</v>
      </c>
      <c r="D56" s="40"/>
    </row>
    <row r="57" spans="1:6" ht="26.4" x14ac:dyDescent="0.25">
      <c r="A57" s="175" t="s">
        <v>258</v>
      </c>
      <c r="B57" s="183" t="s">
        <v>771</v>
      </c>
      <c r="C57" s="37">
        <f>112.3+10.2</f>
        <v>122.5</v>
      </c>
      <c r="D57" s="40"/>
    </row>
    <row r="58" spans="1:6" x14ac:dyDescent="0.25">
      <c r="A58" s="175" t="s">
        <v>295</v>
      </c>
      <c r="B58" s="183" t="s">
        <v>772</v>
      </c>
      <c r="C58" s="187">
        <v>52.8</v>
      </c>
      <c r="D58" s="40"/>
    </row>
    <row r="59" spans="1:6" x14ac:dyDescent="0.25">
      <c r="A59" s="175" t="s">
        <v>773</v>
      </c>
      <c r="B59" s="183" t="s">
        <v>774</v>
      </c>
      <c r="C59" s="187">
        <v>35</v>
      </c>
      <c r="D59" s="40"/>
    </row>
    <row r="60" spans="1:6" x14ac:dyDescent="0.25">
      <c r="A60" s="175" t="s">
        <v>775</v>
      </c>
      <c r="B60" s="183" t="s">
        <v>776</v>
      </c>
      <c r="C60" s="187">
        <v>31</v>
      </c>
      <c r="D60" s="40"/>
    </row>
    <row r="61" spans="1:6" x14ac:dyDescent="0.25">
      <c r="A61" s="175" t="s">
        <v>777</v>
      </c>
      <c r="B61" s="183" t="s">
        <v>778</v>
      </c>
      <c r="C61" s="187">
        <v>25</v>
      </c>
      <c r="D61" s="40"/>
    </row>
    <row r="62" spans="1:6" ht="39.6" x14ac:dyDescent="0.25">
      <c r="A62" s="175" t="s">
        <v>779</v>
      </c>
      <c r="B62" s="183" t="s">
        <v>780</v>
      </c>
      <c r="C62" s="187">
        <f>89.3+86.9</f>
        <v>176.2</v>
      </c>
      <c r="D62" s="40"/>
    </row>
    <row r="63" spans="1:6" ht="26.4" x14ac:dyDescent="0.25">
      <c r="A63" s="175" t="s">
        <v>781</v>
      </c>
      <c r="B63" s="183" t="s">
        <v>782</v>
      </c>
      <c r="C63" s="187">
        <f>10.6+64.7</f>
        <v>75.3</v>
      </c>
      <c r="D63" s="40"/>
    </row>
    <row r="64" spans="1:6" x14ac:dyDescent="0.25">
      <c r="A64" s="175" t="s">
        <v>783</v>
      </c>
      <c r="B64" s="183" t="s">
        <v>784</v>
      </c>
      <c r="C64" s="187">
        <f>1948.3+373.3</f>
        <v>2321.6</v>
      </c>
      <c r="D64" s="138"/>
    </row>
    <row r="65" spans="1:12" ht="26.4" x14ac:dyDescent="0.25">
      <c r="A65" s="175" t="s">
        <v>785</v>
      </c>
      <c r="B65" s="183" t="s">
        <v>786</v>
      </c>
      <c r="C65" s="187">
        <f>957+611+535</f>
        <v>2103</v>
      </c>
      <c r="D65" s="40"/>
    </row>
    <row r="66" spans="1:12" ht="26.4" x14ac:dyDescent="0.25">
      <c r="A66" s="175" t="s">
        <v>824</v>
      </c>
      <c r="B66" s="183" t="s">
        <v>823</v>
      </c>
      <c r="C66" s="187">
        <f>9+8.8</f>
        <v>17.8</v>
      </c>
      <c r="D66" s="40"/>
    </row>
    <row r="67" spans="1:12" x14ac:dyDescent="0.25">
      <c r="A67" s="175" t="s">
        <v>826</v>
      </c>
      <c r="B67" s="183" t="s">
        <v>825</v>
      </c>
      <c r="C67" s="187">
        <f>266.7+204.5</f>
        <v>471.2</v>
      </c>
      <c r="D67" s="40"/>
    </row>
    <row r="68" spans="1:12" ht="26.4" x14ac:dyDescent="0.25">
      <c r="A68" s="175" t="s">
        <v>827</v>
      </c>
      <c r="B68" s="183" t="s">
        <v>828</v>
      </c>
      <c r="C68" s="187">
        <v>11</v>
      </c>
      <c r="D68" s="40"/>
    </row>
    <row r="69" spans="1:12" s="209" customFormat="1" ht="39.6" x14ac:dyDescent="0.25">
      <c r="A69" s="175" t="s">
        <v>838</v>
      </c>
      <c r="B69" s="183" t="s">
        <v>853</v>
      </c>
      <c r="C69" s="187">
        <v>71.099999999999994</v>
      </c>
      <c r="D69" s="138"/>
    </row>
    <row r="70" spans="1:12" s="209" customFormat="1" ht="30.6" customHeight="1" x14ac:dyDescent="0.25">
      <c r="A70" s="175" t="s">
        <v>849</v>
      </c>
      <c r="B70" s="183" t="s">
        <v>850</v>
      </c>
      <c r="C70" s="187">
        <v>53</v>
      </c>
      <c r="D70" s="138"/>
    </row>
    <row r="71" spans="1:12" ht="12.6" customHeight="1" x14ac:dyDescent="0.25">
      <c r="A71" s="175">
        <v>16</v>
      </c>
      <c r="B71" s="173" t="s">
        <v>787</v>
      </c>
      <c r="C71" s="190">
        <f>C72+C77+C81+C84+C85+C86</f>
        <v>3255.8</v>
      </c>
      <c r="D71" s="40"/>
      <c r="F71" s="177"/>
    </row>
    <row r="72" spans="1:12" ht="12.6" customHeight="1" x14ac:dyDescent="0.25">
      <c r="A72" s="175">
        <v>17</v>
      </c>
      <c r="B72" s="173" t="s">
        <v>788</v>
      </c>
      <c r="C72" s="190">
        <f>C74+C75+C76+C73</f>
        <v>389.5</v>
      </c>
      <c r="D72" s="40"/>
    </row>
    <row r="73" spans="1:12" ht="12.6" customHeight="1" x14ac:dyDescent="0.25">
      <c r="A73" s="175">
        <v>18</v>
      </c>
      <c r="B73" s="191" t="s">
        <v>789</v>
      </c>
      <c r="C73" s="37">
        <v>20</v>
      </c>
      <c r="D73" s="40"/>
    </row>
    <row r="74" spans="1:12" ht="24.9" customHeight="1" x14ac:dyDescent="0.25">
      <c r="A74" s="175">
        <v>19</v>
      </c>
      <c r="B74" s="183" t="s">
        <v>790</v>
      </c>
      <c r="C74" s="187">
        <v>300</v>
      </c>
      <c r="D74" s="40"/>
    </row>
    <row r="75" spans="1:12" ht="12.6" customHeight="1" x14ac:dyDescent="0.25">
      <c r="A75" s="175">
        <v>20</v>
      </c>
      <c r="B75" s="180" t="s">
        <v>791</v>
      </c>
      <c r="C75" s="37">
        <v>35</v>
      </c>
      <c r="D75" s="40"/>
    </row>
    <row r="76" spans="1:12" ht="12.6" customHeight="1" x14ac:dyDescent="0.25">
      <c r="A76" s="175">
        <v>21</v>
      </c>
      <c r="B76" s="192" t="s">
        <v>259</v>
      </c>
      <c r="C76" s="37">
        <f>20+14.5</f>
        <v>34.5</v>
      </c>
      <c r="D76" s="40"/>
      <c r="L76" s="193"/>
    </row>
    <row r="77" spans="1:12" ht="12.6" customHeight="1" x14ac:dyDescent="0.25">
      <c r="A77" s="175">
        <v>22</v>
      </c>
      <c r="B77" s="173" t="s">
        <v>792</v>
      </c>
      <c r="C77" s="156">
        <f>+C79+C78+C80</f>
        <v>1727.3000000000002</v>
      </c>
      <c r="D77" s="40"/>
    </row>
    <row r="78" spans="1:12" ht="12.6" customHeight="1" x14ac:dyDescent="0.25">
      <c r="A78" s="175">
        <v>23</v>
      </c>
      <c r="B78" s="180" t="s">
        <v>793</v>
      </c>
      <c r="C78" s="37">
        <v>219.2</v>
      </c>
      <c r="D78" s="40"/>
      <c r="E78" s="5"/>
    </row>
    <row r="79" spans="1:12" ht="12.6" customHeight="1" x14ac:dyDescent="0.25">
      <c r="A79" s="175">
        <v>24</v>
      </c>
      <c r="B79" s="180" t="s">
        <v>794</v>
      </c>
      <c r="C79" s="37">
        <v>138.19999999999999</v>
      </c>
      <c r="D79" s="40"/>
      <c r="E79" s="5"/>
    </row>
    <row r="80" spans="1:12" ht="12.6" customHeight="1" x14ac:dyDescent="0.25">
      <c r="A80" s="175">
        <v>25</v>
      </c>
      <c r="B80" s="180" t="s">
        <v>795</v>
      </c>
      <c r="C80" s="37">
        <v>1369.9</v>
      </c>
      <c r="D80" s="40"/>
      <c r="E80" s="5"/>
    </row>
    <row r="81" spans="1:11" ht="12.6" customHeight="1" x14ac:dyDescent="0.25">
      <c r="A81" s="175">
        <v>26</v>
      </c>
      <c r="B81" s="173" t="s">
        <v>796</v>
      </c>
      <c r="C81" s="176">
        <f>+C82+C83</f>
        <v>1035</v>
      </c>
      <c r="D81" s="40"/>
      <c r="E81" s="5"/>
    </row>
    <row r="82" spans="1:11" ht="12.6" customHeight="1" x14ac:dyDescent="0.25">
      <c r="A82" s="175">
        <v>27</v>
      </c>
      <c r="B82" s="180" t="s">
        <v>797</v>
      </c>
      <c r="C82" s="37">
        <v>35</v>
      </c>
      <c r="D82" s="40"/>
      <c r="F82" s="177"/>
    </row>
    <row r="83" spans="1:11" ht="12.6" customHeight="1" x14ac:dyDescent="0.25">
      <c r="A83" s="175">
        <v>28</v>
      </c>
      <c r="B83" s="180" t="s">
        <v>798</v>
      </c>
      <c r="C83" s="37">
        <v>1000</v>
      </c>
      <c r="D83" s="40"/>
      <c r="H83" s="4"/>
    </row>
    <row r="84" spans="1:11" ht="12.6" customHeight="1" x14ac:dyDescent="0.25">
      <c r="A84" s="175">
        <v>29</v>
      </c>
      <c r="B84" s="173" t="s">
        <v>799</v>
      </c>
      <c r="C84" s="156">
        <v>45</v>
      </c>
      <c r="D84" s="40"/>
      <c r="E84" s="5"/>
    </row>
    <row r="85" spans="1:11" ht="12.6" customHeight="1" x14ac:dyDescent="0.25">
      <c r="A85" s="175">
        <v>30</v>
      </c>
      <c r="B85" s="173" t="s">
        <v>800</v>
      </c>
      <c r="C85" s="156">
        <v>9</v>
      </c>
      <c r="D85" s="40"/>
    </row>
    <row r="86" spans="1:11" ht="12.6" customHeight="1" x14ac:dyDescent="0.25">
      <c r="A86" s="175">
        <v>31</v>
      </c>
      <c r="B86" s="173" t="s">
        <v>801</v>
      </c>
      <c r="C86" s="156">
        <v>50</v>
      </c>
      <c r="D86" s="40"/>
    </row>
    <row r="87" spans="1:11" ht="12.6" customHeight="1" x14ac:dyDescent="0.25">
      <c r="A87" s="175">
        <v>32</v>
      </c>
      <c r="B87" s="194" t="s">
        <v>802</v>
      </c>
      <c r="C87" s="156">
        <f>+C8+C16+C71</f>
        <v>62884.800000000003</v>
      </c>
      <c r="D87" s="195"/>
      <c r="H87" s="177"/>
    </row>
    <row r="88" spans="1:11" ht="26.25" customHeight="1" x14ac:dyDescent="0.25">
      <c r="A88" s="175">
        <v>33</v>
      </c>
      <c r="B88" s="182" t="s">
        <v>803</v>
      </c>
      <c r="C88" s="176">
        <f>1221.2+380+820</f>
        <v>2421.1999999999998</v>
      </c>
      <c r="D88" s="40"/>
      <c r="E88" s="4"/>
      <c r="F88" s="196"/>
      <c r="G88" s="3"/>
      <c r="I88" s="197"/>
      <c r="J88" s="197"/>
      <c r="K88" s="197"/>
    </row>
    <row r="89" spans="1:11" ht="12.6" customHeight="1" x14ac:dyDescent="0.25">
      <c r="A89" s="175">
        <v>34</v>
      </c>
      <c r="B89" s="194" t="s">
        <v>804</v>
      </c>
      <c r="C89" s="156">
        <f>+C87+C88</f>
        <v>65306</v>
      </c>
      <c r="D89" s="195"/>
      <c r="E89" s="4"/>
      <c r="F89" s="4"/>
    </row>
    <row r="90" spans="1:11" ht="12.6" customHeight="1" x14ac:dyDescent="0.25">
      <c r="A90" s="175">
        <v>35</v>
      </c>
      <c r="B90" s="173" t="s">
        <v>805</v>
      </c>
      <c r="C90" s="156">
        <f>+C91+C93+C92+C94+C95+C96+C97+C98+C99</f>
        <v>4456.7999999999993</v>
      </c>
      <c r="D90" s="198"/>
      <c r="E90" s="4"/>
      <c r="F90" s="4"/>
    </row>
    <row r="91" spans="1:11" x14ac:dyDescent="0.25">
      <c r="A91" s="175">
        <v>36</v>
      </c>
      <c r="B91" s="180" t="s">
        <v>806</v>
      </c>
      <c r="C91" s="37">
        <f>2859.7-709-130+733.3</f>
        <v>2754</v>
      </c>
      <c r="D91" s="199"/>
      <c r="E91" s="4"/>
      <c r="F91" s="4"/>
    </row>
    <row r="92" spans="1:11" ht="12.6" customHeight="1" x14ac:dyDescent="0.25">
      <c r="A92" s="175">
        <v>37</v>
      </c>
      <c r="B92" s="180" t="s">
        <v>807</v>
      </c>
      <c r="C92" s="37">
        <v>46.3</v>
      </c>
      <c r="D92" s="200"/>
      <c r="E92" s="4"/>
      <c r="F92" s="4"/>
    </row>
    <row r="93" spans="1:11" ht="12.6" customHeight="1" x14ac:dyDescent="0.25">
      <c r="A93" s="175">
        <v>38</v>
      </c>
      <c r="B93" s="180" t="s">
        <v>808</v>
      </c>
      <c r="C93" s="37">
        <v>20.2</v>
      </c>
      <c r="D93" s="200"/>
      <c r="E93" s="4"/>
      <c r="F93" s="4"/>
    </row>
    <row r="94" spans="1:11" ht="12.6" customHeight="1" x14ac:dyDescent="0.25">
      <c r="A94" s="175">
        <v>39</v>
      </c>
      <c r="B94" s="183" t="s">
        <v>809</v>
      </c>
      <c r="C94" s="37">
        <v>95.7</v>
      </c>
      <c r="D94" s="200"/>
      <c r="E94" s="4"/>
      <c r="F94" s="4"/>
    </row>
    <row r="95" spans="1:11" ht="12.6" customHeight="1" x14ac:dyDescent="0.25">
      <c r="A95" s="175">
        <v>40</v>
      </c>
      <c r="B95" s="180" t="s">
        <v>810</v>
      </c>
      <c r="C95" s="37">
        <v>129.69999999999999</v>
      </c>
      <c r="D95" s="200"/>
      <c r="E95" s="4"/>
      <c r="F95" s="4"/>
    </row>
    <row r="96" spans="1:11" ht="12.6" customHeight="1" x14ac:dyDescent="0.25">
      <c r="A96" s="175">
        <v>41</v>
      </c>
      <c r="B96" s="180" t="s">
        <v>811</v>
      </c>
      <c r="C96" s="37">
        <v>110.8</v>
      </c>
      <c r="D96" s="200"/>
      <c r="E96" s="4"/>
      <c r="F96" s="4"/>
    </row>
    <row r="97" spans="1:9" ht="12" customHeight="1" x14ac:dyDescent="0.25">
      <c r="A97" s="175">
        <v>42</v>
      </c>
      <c r="B97" s="180" t="s">
        <v>812</v>
      </c>
      <c r="C97" s="37">
        <f>(76.6+26.2-8.6)+(250.1-60.1)+106.5-160</f>
        <v>230.7</v>
      </c>
      <c r="D97" s="201"/>
      <c r="E97" s="4"/>
      <c r="F97" s="4"/>
      <c r="I97" s="177"/>
    </row>
    <row r="98" spans="1:9" ht="26.4" x14ac:dyDescent="0.25">
      <c r="A98" s="175">
        <v>43</v>
      </c>
      <c r="B98" s="185" t="s">
        <v>707</v>
      </c>
      <c r="C98" s="37">
        <f>981.7</f>
        <v>981.7</v>
      </c>
      <c r="D98" s="200"/>
      <c r="E98" s="4"/>
      <c r="F98" s="4"/>
    </row>
    <row r="99" spans="1:9" ht="26.4" x14ac:dyDescent="0.25">
      <c r="A99" s="175">
        <v>44</v>
      </c>
      <c r="B99" s="185" t="s">
        <v>813</v>
      </c>
      <c r="C99" s="37">
        <f>0.7+87</f>
        <v>87.7</v>
      </c>
      <c r="D99" s="200"/>
      <c r="E99" s="4"/>
      <c r="F99" s="4"/>
    </row>
    <row r="100" spans="1:9" ht="12.6" customHeight="1" x14ac:dyDescent="0.25">
      <c r="A100" s="175" t="s">
        <v>848</v>
      </c>
      <c r="B100" s="202" t="s">
        <v>814</v>
      </c>
      <c r="C100" s="37">
        <v>0.7</v>
      </c>
      <c r="D100" s="200"/>
      <c r="E100" s="4"/>
      <c r="F100" s="4"/>
    </row>
    <row r="101" spans="1:9" x14ac:dyDescent="0.25">
      <c r="A101" s="180">
        <v>45</v>
      </c>
      <c r="B101" s="194" t="s">
        <v>815</v>
      </c>
      <c r="C101" s="203">
        <f>+C89+C90</f>
        <v>69762.8</v>
      </c>
      <c r="D101" s="195"/>
      <c r="G101" s="4"/>
      <c r="H101" s="181"/>
    </row>
    <row r="102" spans="1:9" x14ac:dyDescent="0.25">
      <c r="A102" s="168"/>
      <c r="B102" s="204" t="s">
        <v>816</v>
      </c>
      <c r="C102" s="205"/>
    </row>
    <row r="103" spans="1:9" x14ac:dyDescent="0.25">
      <c r="B103" s="41"/>
      <c r="C103" s="177"/>
    </row>
    <row r="104" spans="1:9" x14ac:dyDescent="0.25">
      <c r="B104" s="41"/>
    </row>
    <row r="105" spans="1:9" x14ac:dyDescent="0.25">
      <c r="B105" s="41"/>
    </row>
    <row r="106" spans="1:9" x14ac:dyDescent="0.25">
      <c r="C106" s="177"/>
    </row>
    <row r="107" spans="1:9" x14ac:dyDescent="0.25">
      <c r="C107" s="177"/>
    </row>
    <row r="109" spans="1:9" x14ac:dyDescent="0.25">
      <c r="B109" s="206"/>
      <c r="C109" s="207"/>
    </row>
  </sheetData>
  <mergeCells count="3">
    <mergeCell ref="B1:C1"/>
    <mergeCell ref="B2:C2"/>
    <mergeCell ref="A3:C3"/>
  </mergeCells>
  <phoneticPr fontId="5" type="noConversion"/>
  <pageMargins left="0.59055118110236227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zoomScaleNormal="100" workbookViewId="0">
      <selection activeCell="T10" sqref="T10"/>
    </sheetView>
  </sheetViews>
  <sheetFormatPr defaultColWidth="9.109375" defaultRowHeight="13.2" x14ac:dyDescent="0.25"/>
  <cols>
    <col min="1" max="1" width="5.109375" style="6" customWidth="1"/>
    <col min="2" max="2" width="5" style="7" customWidth="1"/>
    <col min="3" max="3" width="44.33203125" style="3" customWidth="1"/>
    <col min="4" max="4" width="10.6640625" style="8" customWidth="1"/>
    <col min="5" max="5" width="7.88671875" style="3" customWidth="1"/>
    <col min="6" max="6" width="8.33203125" style="3" customWidth="1"/>
    <col min="7" max="7" width="9.33203125" style="3" customWidth="1"/>
    <col min="8" max="8" width="7.6640625" style="3" customWidth="1"/>
    <col min="9" max="12" width="9.109375" style="2" customWidth="1"/>
    <col min="13" max="16384" width="9.109375" style="2"/>
  </cols>
  <sheetData>
    <row r="1" spans="1:8" ht="15.75" customHeight="1" x14ac:dyDescent="0.3">
      <c r="C1" s="224" t="s">
        <v>277</v>
      </c>
      <c r="D1" s="224"/>
      <c r="E1" s="224"/>
      <c r="F1" s="224"/>
      <c r="G1" s="224"/>
      <c r="H1" s="224"/>
    </row>
    <row r="2" spans="1:8" ht="15.6" x14ac:dyDescent="0.3">
      <c r="C2" s="224" t="s">
        <v>842</v>
      </c>
      <c r="D2" s="224"/>
      <c r="E2" s="224"/>
      <c r="F2" s="224"/>
      <c r="G2" s="224"/>
      <c r="H2" s="224"/>
    </row>
    <row r="3" spans="1:8" ht="14.25" customHeight="1" x14ac:dyDescent="0.25">
      <c r="B3" s="8"/>
      <c r="E3" s="229" t="s">
        <v>123</v>
      </c>
      <c r="F3" s="229"/>
      <c r="G3" s="229"/>
      <c r="H3" s="229"/>
    </row>
    <row r="4" spans="1:8" ht="15.6" x14ac:dyDescent="0.25">
      <c r="B4" s="8"/>
      <c r="E4" s="9"/>
      <c r="F4" s="9"/>
      <c r="G4" s="9"/>
      <c r="H4" s="9"/>
    </row>
    <row r="5" spans="1:8" ht="25.5" customHeight="1" x14ac:dyDescent="0.25">
      <c r="A5" s="230" t="s">
        <v>417</v>
      </c>
      <c r="B5" s="230"/>
      <c r="C5" s="230"/>
      <c r="D5" s="230"/>
      <c r="E5" s="230"/>
      <c r="F5" s="230"/>
      <c r="G5" s="230"/>
      <c r="H5" s="230"/>
    </row>
    <row r="6" spans="1:8" x14ac:dyDescent="0.25">
      <c r="A6" s="83"/>
      <c r="B6" s="83"/>
      <c r="C6" s="83"/>
      <c r="D6" s="83"/>
      <c r="E6" s="83"/>
      <c r="F6" s="83"/>
      <c r="G6" s="83"/>
      <c r="H6" s="83"/>
    </row>
    <row r="7" spans="1:8" x14ac:dyDescent="0.25">
      <c r="B7" s="8"/>
      <c r="E7" s="6"/>
      <c r="F7" s="6"/>
      <c r="G7" s="231" t="s">
        <v>142</v>
      </c>
      <c r="H7" s="231"/>
    </row>
    <row r="8" spans="1:8" ht="12.75" customHeight="1" x14ac:dyDescent="0.25">
      <c r="A8" s="232" t="s">
        <v>128</v>
      </c>
      <c r="B8" s="235" t="s">
        <v>59</v>
      </c>
      <c r="C8" s="232" t="s">
        <v>16</v>
      </c>
      <c r="D8" s="238" t="s">
        <v>60</v>
      </c>
      <c r="E8" s="232" t="s">
        <v>17</v>
      </c>
      <c r="F8" s="241" t="s">
        <v>18</v>
      </c>
      <c r="G8" s="242"/>
      <c r="H8" s="243"/>
    </row>
    <row r="9" spans="1:8" ht="12.75" customHeight="1" x14ac:dyDescent="0.25">
      <c r="A9" s="233"/>
      <c r="B9" s="236"/>
      <c r="C9" s="233"/>
      <c r="D9" s="239"/>
      <c r="E9" s="233"/>
      <c r="F9" s="241" t="s">
        <v>302</v>
      </c>
      <c r="G9" s="243"/>
      <c r="H9" s="232" t="s">
        <v>31</v>
      </c>
    </row>
    <row r="10" spans="1:8" ht="43.5" customHeight="1" x14ac:dyDescent="0.25">
      <c r="A10" s="234"/>
      <c r="B10" s="237"/>
      <c r="C10" s="234"/>
      <c r="D10" s="240"/>
      <c r="E10" s="234"/>
      <c r="F10" s="10" t="s">
        <v>32</v>
      </c>
      <c r="G10" s="43" t="s">
        <v>33</v>
      </c>
      <c r="H10" s="234"/>
    </row>
    <row r="11" spans="1:8" x14ac:dyDescent="0.25">
      <c r="A11" s="150">
        <v>1</v>
      </c>
      <c r="B11" s="13" t="s">
        <v>19</v>
      </c>
      <c r="C11" s="10">
        <v>3</v>
      </c>
      <c r="D11" s="11">
        <v>4</v>
      </c>
      <c r="E11" s="10">
        <v>5</v>
      </c>
      <c r="F11" s="10">
        <v>6</v>
      </c>
      <c r="G11" s="10">
        <v>7</v>
      </c>
      <c r="H11" s="10">
        <v>8</v>
      </c>
    </row>
    <row r="12" spans="1:8" ht="20.100000000000001" customHeight="1" x14ac:dyDescent="0.25">
      <c r="A12" s="14">
        <v>1</v>
      </c>
      <c r="B12" s="13" t="s">
        <v>61</v>
      </c>
      <c r="C12" s="15" t="s">
        <v>62</v>
      </c>
      <c r="D12" s="11"/>
      <c r="E12" s="35">
        <f>+F12+H12</f>
        <v>10214</v>
      </c>
      <c r="F12" s="35">
        <f>+F13+F14+F15+F16+F17+F18+F19+F20+F21+F22+F23+F24+F25+F26+F27+F28+F29+F30+F31+F32+F33+F34+F35+F36+F37+F38+F39+F40+F41+F42+F43</f>
        <v>10155.700000000001</v>
      </c>
      <c r="G12" s="35">
        <f>+G13+G14+G15+G16+G17+G18+G19+G20+G21+G22+G23+G24+G25+G26+G27+G28+G29+G30+G31+G32+G33+G34+G35+G36+G37+G38+G39+G40+G41+G42+G43</f>
        <v>8114.2000000000007</v>
      </c>
      <c r="H12" s="35">
        <f>+H13+H14+H15+H16+H17+H18+H19+H20+H21+H22+H23+H24+H25+H26+H27+H28+H29+H30+H31+H32+H33+H34+H35+H36+H37+H38+H39+H40+H41+H42+H43</f>
        <v>58.3</v>
      </c>
    </row>
    <row r="13" spans="1:8" ht="24.6" customHeight="1" x14ac:dyDescent="0.25">
      <c r="A13" s="14">
        <v>2</v>
      </c>
      <c r="B13" s="1"/>
      <c r="C13" s="38" t="s">
        <v>210</v>
      </c>
      <c r="D13" s="16" t="s">
        <v>129</v>
      </c>
      <c r="E13" s="44">
        <f>+F13+H13</f>
        <v>316.39999999999998</v>
      </c>
      <c r="F13" s="22">
        <f>295.6+3.9+16.9</f>
        <v>316.39999999999998</v>
      </c>
      <c r="G13" s="22">
        <f>255.8+16.6</f>
        <v>272.40000000000003</v>
      </c>
      <c r="H13" s="22"/>
    </row>
    <row r="14" spans="1:8" ht="15" customHeight="1" x14ac:dyDescent="0.25">
      <c r="A14" s="14">
        <v>3</v>
      </c>
      <c r="B14" s="1"/>
      <c r="C14" s="38" t="s">
        <v>201</v>
      </c>
      <c r="D14" s="1" t="s">
        <v>63</v>
      </c>
      <c r="E14" s="44">
        <f t="shared" ref="E14:E39" si="0">+F14+H14</f>
        <v>343.9</v>
      </c>
      <c r="F14" s="22">
        <f>322.2+3.4+18.3</f>
        <v>343.9</v>
      </c>
      <c r="G14" s="22">
        <f>282.2+18</f>
        <v>300.2</v>
      </c>
      <c r="H14" s="22"/>
    </row>
    <row r="15" spans="1:8" ht="15" customHeight="1" x14ac:dyDescent="0.25">
      <c r="A15" s="14">
        <v>4</v>
      </c>
      <c r="B15" s="1"/>
      <c r="C15" s="38" t="s">
        <v>202</v>
      </c>
      <c r="D15" s="1" t="s">
        <v>63</v>
      </c>
      <c r="E15" s="44">
        <f t="shared" si="0"/>
        <v>324.2</v>
      </c>
      <c r="F15" s="22">
        <f>302.9+4.1+17.2</f>
        <v>324.2</v>
      </c>
      <c r="G15" s="22">
        <f>261.2+16.9</f>
        <v>278.09999999999997</v>
      </c>
      <c r="H15" s="22"/>
    </row>
    <row r="16" spans="1:8" ht="15" customHeight="1" x14ac:dyDescent="0.25">
      <c r="A16" s="14">
        <v>5</v>
      </c>
      <c r="B16" s="1"/>
      <c r="C16" s="38" t="s">
        <v>206</v>
      </c>
      <c r="D16" s="1" t="s">
        <v>63</v>
      </c>
      <c r="E16" s="44">
        <f t="shared" si="0"/>
        <v>331.2</v>
      </c>
      <c r="F16" s="22">
        <f>303.6+4.2+6.2+17.2</f>
        <v>331.2</v>
      </c>
      <c r="G16" s="22">
        <f>260.9+16.9</f>
        <v>277.79999999999995</v>
      </c>
      <c r="H16" s="22"/>
    </row>
    <row r="17" spans="1:10" ht="15" customHeight="1" x14ac:dyDescent="0.25">
      <c r="A17" s="14">
        <v>6</v>
      </c>
      <c r="B17" s="1"/>
      <c r="C17" s="38" t="s">
        <v>203</v>
      </c>
      <c r="D17" s="1" t="s">
        <v>63</v>
      </c>
      <c r="E17" s="44">
        <f t="shared" si="0"/>
        <v>344</v>
      </c>
      <c r="F17" s="22">
        <f>304.3+4.5+17.2</f>
        <v>326</v>
      </c>
      <c r="G17" s="22">
        <f>261.9+16.9</f>
        <v>278.79999999999995</v>
      </c>
      <c r="H17" s="22">
        <v>18</v>
      </c>
    </row>
    <row r="18" spans="1:10" ht="15" customHeight="1" x14ac:dyDescent="0.25">
      <c r="A18" s="14">
        <v>7</v>
      </c>
      <c r="B18" s="1"/>
      <c r="C18" s="38" t="s">
        <v>204</v>
      </c>
      <c r="D18" s="1" t="s">
        <v>63</v>
      </c>
      <c r="E18" s="44">
        <f t="shared" si="0"/>
        <v>417.8</v>
      </c>
      <c r="F18" s="22">
        <f>390+5+22.8</f>
        <v>417.8</v>
      </c>
      <c r="G18" s="22">
        <f>345.1+22.3</f>
        <v>367.40000000000003</v>
      </c>
      <c r="H18" s="22"/>
    </row>
    <row r="19" spans="1:10" ht="15" customHeight="1" x14ac:dyDescent="0.25">
      <c r="A19" s="14">
        <v>8</v>
      </c>
      <c r="B19" s="1"/>
      <c r="C19" s="38" t="s">
        <v>205</v>
      </c>
      <c r="D19" s="1" t="s">
        <v>63</v>
      </c>
      <c r="E19" s="44">
        <f t="shared" si="0"/>
        <v>360.50000000000006</v>
      </c>
      <c r="F19" s="22">
        <f>336.1+5.6+18.8</f>
        <v>360.50000000000006</v>
      </c>
      <c r="G19" s="22">
        <f>285.1+18.4</f>
        <v>303.5</v>
      </c>
      <c r="H19" s="22"/>
    </row>
    <row r="20" spans="1:10" ht="15" customHeight="1" x14ac:dyDescent="0.25">
      <c r="A20" s="14">
        <v>9</v>
      </c>
      <c r="B20" s="1"/>
      <c r="C20" s="18" t="s">
        <v>260</v>
      </c>
      <c r="D20" s="1" t="s">
        <v>64</v>
      </c>
      <c r="E20" s="44">
        <f t="shared" si="0"/>
        <v>313.09999999999997</v>
      </c>
      <c r="F20" s="22">
        <f>291.7+3.9+1+16.5</f>
        <v>313.09999999999997</v>
      </c>
      <c r="G20" s="22">
        <f>249.4+16.2</f>
        <v>265.60000000000002</v>
      </c>
      <c r="H20" s="22"/>
    </row>
    <row r="21" spans="1:10" ht="15" customHeight="1" x14ac:dyDescent="0.25">
      <c r="A21" s="14">
        <v>10</v>
      </c>
      <c r="B21" s="1"/>
      <c r="C21" s="38" t="s">
        <v>209</v>
      </c>
      <c r="D21" s="1" t="s">
        <v>65</v>
      </c>
      <c r="E21" s="44">
        <f>+F21+H21</f>
        <v>318.2</v>
      </c>
      <c r="F21" s="22">
        <f>297+6+15.2</f>
        <v>318.2</v>
      </c>
      <c r="G21" s="22">
        <f>229.4+14.9</f>
        <v>244.3</v>
      </c>
      <c r="H21" s="22"/>
    </row>
    <row r="22" spans="1:10" ht="25.95" customHeight="1" x14ac:dyDescent="0.25">
      <c r="A22" s="14">
        <v>11</v>
      </c>
      <c r="B22" s="1"/>
      <c r="C22" s="38" t="s">
        <v>49</v>
      </c>
      <c r="D22" s="16" t="s">
        <v>130</v>
      </c>
      <c r="E22" s="44">
        <f t="shared" si="0"/>
        <v>290.60000000000002</v>
      </c>
      <c r="F22" s="22">
        <f>275.3+4.2+11.1</f>
        <v>290.60000000000002</v>
      </c>
      <c r="G22" s="22">
        <f>195+11.1</f>
        <v>206.1</v>
      </c>
      <c r="H22" s="22"/>
    </row>
    <row r="23" spans="1:10" ht="15" customHeight="1" x14ac:dyDescent="0.25">
      <c r="A23" s="14">
        <v>12</v>
      </c>
      <c r="B23" s="1"/>
      <c r="C23" s="18" t="s">
        <v>148</v>
      </c>
      <c r="D23" s="1" t="s">
        <v>65</v>
      </c>
      <c r="E23" s="44">
        <f t="shared" si="0"/>
        <v>656.40000000000009</v>
      </c>
      <c r="F23" s="22">
        <f>614.1+9.2+33.1</f>
        <v>656.40000000000009</v>
      </c>
      <c r="G23" s="22">
        <f>505.7+32.4</f>
        <v>538.1</v>
      </c>
      <c r="H23" s="22"/>
    </row>
    <row r="24" spans="1:10" ht="15" customHeight="1" x14ac:dyDescent="0.25">
      <c r="A24" s="14">
        <v>13</v>
      </c>
      <c r="B24" s="1"/>
      <c r="C24" s="18" t="s">
        <v>149</v>
      </c>
      <c r="D24" s="1" t="s">
        <v>65</v>
      </c>
      <c r="E24" s="44">
        <f t="shared" si="0"/>
        <v>302.09999999999997</v>
      </c>
      <c r="F24" s="22">
        <f>279.3+4.2+3.9+2+12.7</f>
        <v>302.09999999999997</v>
      </c>
      <c r="G24" s="22">
        <f>214.4+3.8+12.4</f>
        <v>230.60000000000002</v>
      </c>
      <c r="H24" s="22"/>
    </row>
    <row r="25" spans="1:10" ht="15" customHeight="1" x14ac:dyDescent="0.25">
      <c r="A25" s="14">
        <v>14</v>
      </c>
      <c r="B25" s="1"/>
      <c r="C25" s="18" t="s">
        <v>43</v>
      </c>
      <c r="D25" s="1" t="s">
        <v>65</v>
      </c>
      <c r="E25" s="44">
        <f t="shared" si="0"/>
        <v>656.60000000000014</v>
      </c>
      <c r="F25" s="22">
        <f>616.2+8.2+32.2</f>
        <v>656.60000000000014</v>
      </c>
      <c r="G25" s="22">
        <f>499.7+31.5</f>
        <v>531.20000000000005</v>
      </c>
      <c r="H25" s="22"/>
    </row>
    <row r="26" spans="1:10" ht="15" customHeight="1" x14ac:dyDescent="0.25">
      <c r="A26" s="14">
        <v>15</v>
      </c>
      <c r="B26" s="1"/>
      <c r="C26" s="38" t="s">
        <v>152</v>
      </c>
      <c r="D26" s="1" t="s">
        <v>65</v>
      </c>
      <c r="E26" s="44">
        <f>+F26+H26</f>
        <v>361.09999999999997</v>
      </c>
      <c r="F26" s="22">
        <f>337.9+8.8+14.4</f>
        <v>361.09999999999997</v>
      </c>
      <c r="G26" s="22">
        <f>235.4+14.1</f>
        <v>249.5</v>
      </c>
      <c r="H26" s="22"/>
    </row>
    <row r="27" spans="1:10" ht="27" customHeight="1" x14ac:dyDescent="0.25">
      <c r="A27" s="14">
        <v>16</v>
      </c>
      <c r="B27" s="1"/>
      <c r="C27" s="18" t="s">
        <v>207</v>
      </c>
      <c r="D27" s="1" t="s">
        <v>66</v>
      </c>
      <c r="E27" s="44">
        <f t="shared" si="0"/>
        <v>482.9</v>
      </c>
      <c r="F27" s="22">
        <f>449+12.9+21</f>
        <v>482.9</v>
      </c>
      <c r="G27" s="22">
        <f>317.6+20.6</f>
        <v>338.20000000000005</v>
      </c>
      <c r="H27" s="22"/>
    </row>
    <row r="28" spans="1:10" ht="15" customHeight="1" x14ac:dyDescent="0.25">
      <c r="A28" s="14">
        <v>17</v>
      </c>
      <c r="B28" s="1"/>
      <c r="C28" s="38" t="s">
        <v>208</v>
      </c>
      <c r="D28" s="1" t="s">
        <v>66</v>
      </c>
      <c r="E28" s="44">
        <f t="shared" si="0"/>
        <v>334.3</v>
      </c>
      <c r="F28" s="22">
        <f>313+5.8+15.5</f>
        <v>334.3</v>
      </c>
      <c r="G28" s="22">
        <f>234.5+15.2</f>
        <v>249.7</v>
      </c>
      <c r="H28" s="22"/>
    </row>
    <row r="29" spans="1:10" ht="15" customHeight="1" x14ac:dyDescent="0.25">
      <c r="A29" s="14">
        <v>18</v>
      </c>
      <c r="B29" s="1"/>
      <c r="C29" s="18" t="s">
        <v>131</v>
      </c>
      <c r="D29" s="1" t="s">
        <v>66</v>
      </c>
      <c r="E29" s="44">
        <f t="shared" si="0"/>
        <v>320.29999999999995</v>
      </c>
      <c r="F29" s="22">
        <f>296.7+8.9+14.7</f>
        <v>320.29999999999995</v>
      </c>
      <c r="G29" s="22">
        <f>220.8+14.4</f>
        <v>235.20000000000002</v>
      </c>
      <c r="H29" s="22"/>
      <c r="J29" s="135"/>
    </row>
    <row r="30" spans="1:10" ht="15" customHeight="1" x14ac:dyDescent="0.25">
      <c r="A30" s="14">
        <v>19</v>
      </c>
      <c r="B30" s="1"/>
      <c r="C30" s="18" t="s">
        <v>44</v>
      </c>
      <c r="D30" s="1" t="s">
        <v>66</v>
      </c>
      <c r="E30" s="44">
        <f t="shared" si="0"/>
        <v>200.70000000000002</v>
      </c>
      <c r="F30" s="22">
        <f>186.9+3.9+9.9</f>
        <v>200.70000000000002</v>
      </c>
      <c r="G30" s="22">
        <f>148.9+9.6</f>
        <v>158.5</v>
      </c>
      <c r="H30" s="22"/>
    </row>
    <row r="31" spans="1:10" ht="15" customHeight="1" x14ac:dyDescent="0.25">
      <c r="A31" s="14">
        <v>20</v>
      </c>
      <c r="B31" s="1"/>
      <c r="C31" s="18" t="s">
        <v>150</v>
      </c>
      <c r="D31" s="1" t="s">
        <v>66</v>
      </c>
      <c r="E31" s="44">
        <f t="shared" si="0"/>
        <v>588</v>
      </c>
      <c r="F31" s="22">
        <f>544.7+16.8+26.5</f>
        <v>588</v>
      </c>
      <c r="G31" s="22">
        <f>423.8+26</f>
        <v>449.8</v>
      </c>
      <c r="H31" s="22"/>
    </row>
    <row r="32" spans="1:10" ht="15" customHeight="1" x14ac:dyDescent="0.25">
      <c r="A32" s="14">
        <v>21</v>
      </c>
      <c r="B32" s="1"/>
      <c r="C32" s="18" t="s">
        <v>174</v>
      </c>
      <c r="D32" s="1" t="s">
        <v>66</v>
      </c>
      <c r="E32" s="44">
        <f t="shared" si="0"/>
        <v>133.19999999999999</v>
      </c>
      <c r="F32" s="22">
        <f>124.6+2.3+6.3</f>
        <v>133.19999999999999</v>
      </c>
      <c r="G32" s="22">
        <f>94.9+6.2</f>
        <v>101.10000000000001</v>
      </c>
      <c r="H32" s="22"/>
    </row>
    <row r="33" spans="1:8" ht="26.4" x14ac:dyDescent="0.25">
      <c r="A33" s="14">
        <v>22</v>
      </c>
      <c r="B33" s="1"/>
      <c r="C33" s="18" t="s">
        <v>45</v>
      </c>
      <c r="D33" s="1" t="s">
        <v>66</v>
      </c>
      <c r="E33" s="44">
        <f t="shared" si="0"/>
        <v>178.9</v>
      </c>
      <c r="F33" s="22">
        <f>167.3+2.6+9</f>
        <v>178.9</v>
      </c>
      <c r="G33" s="22">
        <f>135.8+8.8</f>
        <v>144.60000000000002</v>
      </c>
      <c r="H33" s="22"/>
    </row>
    <row r="34" spans="1:8" ht="15" customHeight="1" x14ac:dyDescent="0.25">
      <c r="A34" s="14">
        <v>23</v>
      </c>
      <c r="B34" s="1"/>
      <c r="C34" s="18" t="s">
        <v>151</v>
      </c>
      <c r="D34" s="1" t="s">
        <v>66</v>
      </c>
      <c r="E34" s="44">
        <f t="shared" si="0"/>
        <v>167.00000000000003</v>
      </c>
      <c r="F34" s="22">
        <f>156.8+2.9+7.3</f>
        <v>167.00000000000003</v>
      </c>
      <c r="G34" s="22">
        <f>120.2+7.2</f>
        <v>127.4</v>
      </c>
      <c r="H34" s="22"/>
    </row>
    <row r="35" spans="1:8" ht="37.200000000000003" customHeight="1" x14ac:dyDescent="0.25">
      <c r="A35" s="14">
        <v>24</v>
      </c>
      <c r="B35" s="1"/>
      <c r="C35" s="18" t="s">
        <v>119</v>
      </c>
      <c r="D35" s="16" t="s">
        <v>116</v>
      </c>
      <c r="E35" s="44">
        <f t="shared" si="0"/>
        <v>362.8</v>
      </c>
      <c r="F35" s="22">
        <f>332.8+13.4+16.6</f>
        <v>362.8</v>
      </c>
      <c r="G35" s="22">
        <f>253.2+16.3</f>
        <v>269.5</v>
      </c>
      <c r="H35" s="22"/>
    </row>
    <row r="36" spans="1:8" x14ac:dyDescent="0.25">
      <c r="A36" s="14">
        <v>25</v>
      </c>
      <c r="B36" s="1"/>
      <c r="C36" s="18" t="s">
        <v>52</v>
      </c>
      <c r="D36" s="16" t="s">
        <v>66</v>
      </c>
      <c r="E36" s="44">
        <f t="shared" si="0"/>
        <v>1.5</v>
      </c>
      <c r="F36" s="22">
        <v>1.5</v>
      </c>
      <c r="G36" s="22"/>
      <c r="H36" s="22"/>
    </row>
    <row r="37" spans="1:8" ht="15" customHeight="1" x14ac:dyDescent="0.25">
      <c r="A37" s="14">
        <v>26</v>
      </c>
      <c r="B37" s="1"/>
      <c r="C37" s="38" t="s">
        <v>58</v>
      </c>
      <c r="D37" s="1" t="s">
        <v>67</v>
      </c>
      <c r="E37" s="44">
        <f t="shared" si="0"/>
        <v>238.6</v>
      </c>
      <c r="F37" s="22">
        <f>222.2+16.4</f>
        <v>238.6</v>
      </c>
      <c r="G37" s="22">
        <f>216.9+16.2</f>
        <v>233.1</v>
      </c>
      <c r="H37" s="22"/>
    </row>
    <row r="38" spans="1:8" ht="15" customHeight="1" x14ac:dyDescent="0.25">
      <c r="A38" s="14">
        <v>27</v>
      </c>
      <c r="B38" s="1"/>
      <c r="C38" s="38" t="s">
        <v>50</v>
      </c>
      <c r="D38" s="1" t="s">
        <v>67</v>
      </c>
      <c r="E38" s="44">
        <f t="shared" si="0"/>
        <v>282.40000000000003</v>
      </c>
      <c r="F38" s="22">
        <f>262.8+19.6</f>
        <v>282.40000000000003</v>
      </c>
      <c r="G38" s="22">
        <f>257.7+19.3</f>
        <v>277</v>
      </c>
      <c r="H38" s="151"/>
    </row>
    <row r="39" spans="1:8" ht="15" customHeight="1" x14ac:dyDescent="0.25">
      <c r="A39" s="14">
        <v>28</v>
      </c>
      <c r="B39" s="1"/>
      <c r="C39" s="38" t="s">
        <v>51</v>
      </c>
      <c r="D39" s="1" t="s">
        <v>67</v>
      </c>
      <c r="E39" s="44">
        <f t="shared" si="0"/>
        <v>770.99999999999989</v>
      </c>
      <c r="F39" s="22">
        <f>716.4+53.3+1.3</f>
        <v>770.99999999999989</v>
      </c>
      <c r="G39" s="22">
        <f>701.2+52.5+1.3</f>
        <v>755</v>
      </c>
      <c r="H39" s="22"/>
    </row>
    <row r="40" spans="1:8" ht="39.6" x14ac:dyDescent="0.25">
      <c r="A40" s="14">
        <v>29</v>
      </c>
      <c r="B40" s="1"/>
      <c r="C40" s="38" t="s">
        <v>147</v>
      </c>
      <c r="D40" s="16" t="s">
        <v>179</v>
      </c>
      <c r="E40" s="44">
        <f>+F40+H40</f>
        <v>117.2</v>
      </c>
      <c r="F40" s="22">
        <f>110.4+0.7+6.1</f>
        <v>117.2</v>
      </c>
      <c r="G40" s="22">
        <f>91.1+6</f>
        <v>97.1</v>
      </c>
      <c r="H40" s="22"/>
    </row>
    <row r="41" spans="1:8" ht="15" customHeight="1" x14ac:dyDescent="0.25">
      <c r="A41" s="14">
        <v>30</v>
      </c>
      <c r="B41" s="1"/>
      <c r="C41" s="152" t="s">
        <v>15</v>
      </c>
      <c r="D41" s="1" t="s">
        <v>63</v>
      </c>
      <c r="E41" s="44">
        <f>+F41+H41</f>
        <v>119</v>
      </c>
      <c r="F41" s="22">
        <f>116.7+2.3</f>
        <v>119</v>
      </c>
      <c r="G41" s="22">
        <f>95.6+2.2</f>
        <v>97.8</v>
      </c>
      <c r="H41" s="22"/>
    </row>
    <row r="42" spans="1:8" ht="15" customHeight="1" x14ac:dyDescent="0.25">
      <c r="A42" s="14">
        <v>31</v>
      </c>
      <c r="B42" s="1"/>
      <c r="C42" s="152" t="s">
        <v>20</v>
      </c>
      <c r="D42" s="1" t="s">
        <v>63</v>
      </c>
      <c r="E42" s="44">
        <f>+F42+H42</f>
        <v>121.69999999999999</v>
      </c>
      <c r="F42" s="22">
        <f>112+1.1+8.6</f>
        <v>121.69999999999999</v>
      </c>
      <c r="G42" s="22">
        <f>91.6+8.4</f>
        <v>100</v>
      </c>
      <c r="H42" s="22"/>
    </row>
    <row r="43" spans="1:8" ht="15" customHeight="1" x14ac:dyDescent="0.25">
      <c r="A43" s="14">
        <v>32</v>
      </c>
      <c r="B43" s="1"/>
      <c r="C43" s="19" t="s">
        <v>221</v>
      </c>
      <c r="D43" s="1"/>
      <c r="E43" s="44">
        <f>+F43+H43</f>
        <v>458.40000000000003</v>
      </c>
      <c r="F43" s="44">
        <f>+F44+F45+F46+F47+F48</f>
        <v>418.1</v>
      </c>
      <c r="G43" s="44">
        <f>+G44+G46+G47+G48</f>
        <v>136.6</v>
      </c>
      <c r="H43" s="44">
        <f>+H44+H46+H47+H48</f>
        <v>40.299999999999997</v>
      </c>
    </row>
    <row r="44" spans="1:8" ht="15" customHeight="1" x14ac:dyDescent="0.25">
      <c r="A44" s="120" t="s">
        <v>498</v>
      </c>
      <c r="B44" s="1"/>
      <c r="C44" s="38" t="s">
        <v>3</v>
      </c>
      <c r="D44" s="16" t="s">
        <v>154</v>
      </c>
      <c r="E44" s="44">
        <f t="shared" ref="E44:E55" si="1">+F44+H44</f>
        <v>145.69999999999999</v>
      </c>
      <c r="F44" s="44">
        <f>123.3+22.4</f>
        <v>145.69999999999999</v>
      </c>
      <c r="G44" s="44">
        <f>114.4+22.2</f>
        <v>136.6</v>
      </c>
      <c r="H44" s="44"/>
    </row>
    <row r="45" spans="1:8" ht="26.4" x14ac:dyDescent="0.25">
      <c r="A45" s="120" t="s">
        <v>499</v>
      </c>
      <c r="B45" s="1"/>
      <c r="C45" s="18" t="s">
        <v>262</v>
      </c>
      <c r="D45" s="16" t="s">
        <v>198</v>
      </c>
      <c r="E45" s="44">
        <f t="shared" si="1"/>
        <v>50</v>
      </c>
      <c r="F45" s="44">
        <v>50</v>
      </c>
      <c r="G45" s="22"/>
      <c r="H45" s="22"/>
    </row>
    <row r="46" spans="1:8" ht="26.4" x14ac:dyDescent="0.25">
      <c r="A46" s="120" t="s">
        <v>500</v>
      </c>
      <c r="B46" s="1"/>
      <c r="C46" s="153" t="s">
        <v>430</v>
      </c>
      <c r="D46" s="1" t="s">
        <v>68</v>
      </c>
      <c r="E46" s="44">
        <f t="shared" si="1"/>
        <v>25</v>
      </c>
      <c r="F46" s="44">
        <v>25</v>
      </c>
      <c r="G46" s="22"/>
      <c r="H46" s="22"/>
    </row>
    <row r="47" spans="1:8" ht="15" customHeight="1" x14ac:dyDescent="0.25">
      <c r="A47" s="120" t="s">
        <v>501</v>
      </c>
      <c r="B47" s="1"/>
      <c r="C47" s="153" t="s">
        <v>223</v>
      </c>
      <c r="D47" s="1" t="s">
        <v>69</v>
      </c>
      <c r="E47" s="44">
        <f t="shared" si="1"/>
        <v>14</v>
      </c>
      <c r="F47" s="44">
        <v>14</v>
      </c>
      <c r="G47" s="22"/>
      <c r="H47" s="22"/>
    </row>
    <row r="48" spans="1:8" ht="39" customHeight="1" x14ac:dyDescent="0.25">
      <c r="A48" s="120" t="s">
        <v>502</v>
      </c>
      <c r="B48" s="1"/>
      <c r="C48" s="154" t="s">
        <v>418</v>
      </c>
      <c r="D48" s="1"/>
      <c r="E48" s="155">
        <f>+F48+H48</f>
        <v>223.7</v>
      </c>
      <c r="F48" s="156">
        <f>+F49+F50+F51+F52+F53+F54+F55</f>
        <v>183.4</v>
      </c>
      <c r="G48" s="156">
        <f>+G49+G50+G51+G52+G53+G54+G55</f>
        <v>0</v>
      </c>
      <c r="H48" s="156">
        <f>+H49+H50+H51+H52+H53+H54+H55</f>
        <v>40.299999999999997</v>
      </c>
    </row>
    <row r="49" spans="1:8" ht="37.950000000000003" customHeight="1" x14ac:dyDescent="0.25">
      <c r="A49" s="120" t="s">
        <v>503</v>
      </c>
      <c r="B49" s="1"/>
      <c r="C49" s="45" t="s">
        <v>180</v>
      </c>
      <c r="D49" s="1" t="s">
        <v>66</v>
      </c>
      <c r="E49" s="44">
        <f t="shared" si="1"/>
        <v>18.600000000000001</v>
      </c>
      <c r="F49" s="44"/>
      <c r="G49" s="22"/>
      <c r="H49" s="22">
        <f>11.4+7.2</f>
        <v>18.600000000000001</v>
      </c>
    </row>
    <row r="50" spans="1:8" ht="26.4" x14ac:dyDescent="0.25">
      <c r="A50" s="120" t="s">
        <v>504</v>
      </c>
      <c r="B50" s="1"/>
      <c r="C50" s="75" t="s">
        <v>234</v>
      </c>
      <c r="D50" s="1" t="s">
        <v>63</v>
      </c>
      <c r="E50" s="44">
        <f>+F50+H50</f>
        <v>7.7</v>
      </c>
      <c r="F50" s="44">
        <v>0.5</v>
      </c>
      <c r="G50" s="22"/>
      <c r="H50" s="22">
        <v>7.2</v>
      </c>
    </row>
    <row r="51" spans="1:8" ht="26.4" x14ac:dyDescent="0.25">
      <c r="A51" s="120" t="s">
        <v>505</v>
      </c>
      <c r="B51" s="1"/>
      <c r="C51" s="46" t="s">
        <v>235</v>
      </c>
      <c r="D51" s="1" t="s">
        <v>63</v>
      </c>
      <c r="E51" s="44">
        <f>+F51+H51</f>
        <v>15.4</v>
      </c>
      <c r="F51" s="44">
        <v>0.9</v>
      </c>
      <c r="G51" s="22"/>
      <c r="H51" s="22">
        <v>14.5</v>
      </c>
    </row>
    <row r="52" spans="1:8" ht="26.4" x14ac:dyDescent="0.25">
      <c r="A52" s="120" t="s">
        <v>506</v>
      </c>
      <c r="B52" s="1"/>
      <c r="C52" s="46" t="s">
        <v>439</v>
      </c>
      <c r="D52" s="16" t="s">
        <v>198</v>
      </c>
      <c r="E52" s="44">
        <f t="shared" si="1"/>
        <v>50</v>
      </c>
      <c r="F52" s="44">
        <v>50</v>
      </c>
      <c r="G52" s="22"/>
      <c r="H52" s="22"/>
    </row>
    <row r="53" spans="1:8" ht="26.4" x14ac:dyDescent="0.25">
      <c r="A53" s="120" t="s">
        <v>507</v>
      </c>
      <c r="B53" s="21"/>
      <c r="C53" s="45" t="s">
        <v>440</v>
      </c>
      <c r="D53" s="16" t="s">
        <v>198</v>
      </c>
      <c r="E53" s="44">
        <f t="shared" si="1"/>
        <v>72</v>
      </c>
      <c r="F53" s="37">
        <f>30+42</f>
        <v>72</v>
      </c>
      <c r="G53" s="37"/>
      <c r="H53" s="37">
        <f>30-30</f>
        <v>0</v>
      </c>
    </row>
    <row r="54" spans="1:8" ht="26.4" x14ac:dyDescent="0.25">
      <c r="A54" s="120" t="s">
        <v>508</v>
      </c>
      <c r="B54" s="1"/>
      <c r="C54" s="153" t="s">
        <v>263</v>
      </c>
      <c r="D54" s="16" t="s">
        <v>198</v>
      </c>
      <c r="E54" s="44">
        <f t="shared" si="1"/>
        <v>50</v>
      </c>
      <c r="F54" s="44">
        <v>50</v>
      </c>
      <c r="G54" s="22"/>
      <c r="H54" s="22"/>
    </row>
    <row r="55" spans="1:8" ht="52.8" x14ac:dyDescent="0.25">
      <c r="A55" s="120" t="s">
        <v>840</v>
      </c>
      <c r="B55" s="1"/>
      <c r="C55" s="153" t="s">
        <v>841</v>
      </c>
      <c r="D55" s="16" t="s">
        <v>198</v>
      </c>
      <c r="E55" s="218">
        <f t="shared" si="1"/>
        <v>10</v>
      </c>
      <c r="F55" s="218">
        <v>10</v>
      </c>
      <c r="G55" s="22"/>
      <c r="H55" s="22"/>
    </row>
    <row r="56" spans="1:8" ht="20.100000000000001" customHeight="1" x14ac:dyDescent="0.25">
      <c r="A56" s="14">
        <v>33</v>
      </c>
      <c r="B56" s="13" t="s">
        <v>70</v>
      </c>
      <c r="C56" s="20" t="s">
        <v>71</v>
      </c>
      <c r="D56" s="11"/>
      <c r="E56" s="32">
        <f>+F56+H56</f>
        <v>480.69999999999993</v>
      </c>
      <c r="F56" s="32">
        <f>+F57+F58</f>
        <v>428.39999999999992</v>
      </c>
      <c r="G56" s="32">
        <f>+G57+G58</f>
        <v>54.699999999999996</v>
      </c>
      <c r="H56" s="32">
        <f>+H57+H58</f>
        <v>52.3</v>
      </c>
    </row>
    <row r="57" spans="1:8" ht="25.5" customHeight="1" x14ac:dyDescent="0.25">
      <c r="A57" s="14">
        <v>34</v>
      </c>
      <c r="B57" s="13"/>
      <c r="C57" s="18" t="s">
        <v>224</v>
      </c>
      <c r="D57" s="16" t="s">
        <v>225</v>
      </c>
      <c r="E57" s="22">
        <f>+F57+H57</f>
        <v>55.9</v>
      </c>
      <c r="F57" s="22">
        <f>52.5+3.4</f>
        <v>55.9</v>
      </c>
      <c r="G57" s="22">
        <f>51.4+3.3</f>
        <v>54.699999999999996</v>
      </c>
      <c r="H57" s="22"/>
    </row>
    <row r="58" spans="1:8" x14ac:dyDescent="0.25">
      <c r="A58" s="14">
        <v>35</v>
      </c>
      <c r="B58" s="1"/>
      <c r="C58" s="19" t="s">
        <v>221</v>
      </c>
      <c r="D58" s="16"/>
      <c r="E58" s="22">
        <f>+F58+H58</f>
        <v>424.79999999999995</v>
      </c>
      <c r="F58" s="22">
        <f>+F59+F60+F61+F62+F63+F64+F65+F66+F67+F68+F69+F70+F71+F72</f>
        <v>372.49999999999994</v>
      </c>
      <c r="G58" s="22">
        <f>+G59+G60+G61+G62+G63+G64+G65+G66+G67+G68+G69+G70+G71+G72</f>
        <v>0</v>
      </c>
      <c r="H58" s="22">
        <f>+H59+H60+H61+H62+H63+H64+H65+H66+H67+H68+H69+H70+H71+H72</f>
        <v>52.3</v>
      </c>
    </row>
    <row r="59" spans="1:8" ht="16.5" customHeight="1" x14ac:dyDescent="0.25">
      <c r="A59" s="120" t="s">
        <v>509</v>
      </c>
      <c r="B59" s="1"/>
      <c r="C59" s="38" t="s">
        <v>3</v>
      </c>
      <c r="D59" s="1" t="s">
        <v>117</v>
      </c>
      <c r="E59" s="22">
        <f t="shared" ref="E59:E100" si="2">+F59+H59</f>
        <v>1</v>
      </c>
      <c r="F59" s="22">
        <v>1</v>
      </c>
      <c r="G59" s="22"/>
      <c r="H59" s="22"/>
    </row>
    <row r="60" spans="1:8" ht="42" customHeight="1" x14ac:dyDescent="0.25">
      <c r="A60" s="120" t="s">
        <v>510</v>
      </c>
      <c r="B60" s="1"/>
      <c r="C60" s="157" t="s">
        <v>425</v>
      </c>
      <c r="D60" s="16" t="s">
        <v>72</v>
      </c>
      <c r="E60" s="22">
        <f t="shared" si="2"/>
        <v>20</v>
      </c>
      <c r="F60" s="22">
        <v>20</v>
      </c>
      <c r="G60" s="22"/>
      <c r="H60" s="22"/>
    </row>
    <row r="61" spans="1:8" ht="30.6" customHeight="1" x14ac:dyDescent="0.25">
      <c r="A61" s="120" t="s">
        <v>511</v>
      </c>
      <c r="B61" s="1"/>
      <c r="C61" s="157" t="s">
        <v>426</v>
      </c>
      <c r="D61" s="16" t="s">
        <v>73</v>
      </c>
      <c r="E61" s="22">
        <f t="shared" si="2"/>
        <v>40</v>
      </c>
      <c r="F61" s="22">
        <v>40</v>
      </c>
      <c r="G61" s="22"/>
      <c r="H61" s="22"/>
    </row>
    <row r="62" spans="1:8" ht="42.75" customHeight="1" x14ac:dyDescent="0.25">
      <c r="A62" s="120" t="s">
        <v>512</v>
      </c>
      <c r="B62" s="1"/>
      <c r="C62" s="157" t="s">
        <v>431</v>
      </c>
      <c r="D62" s="16" t="s">
        <v>72</v>
      </c>
      <c r="E62" s="22">
        <f t="shared" si="2"/>
        <v>10.3</v>
      </c>
      <c r="F62" s="22">
        <v>10.3</v>
      </c>
      <c r="G62" s="22"/>
      <c r="H62" s="22"/>
    </row>
    <row r="63" spans="1:8" ht="40.5" customHeight="1" x14ac:dyDescent="0.25">
      <c r="A63" s="120" t="s">
        <v>513</v>
      </c>
      <c r="B63" s="1"/>
      <c r="C63" s="157" t="s">
        <v>427</v>
      </c>
      <c r="D63" s="16" t="s">
        <v>72</v>
      </c>
      <c r="E63" s="22">
        <f t="shared" si="2"/>
        <v>10.9</v>
      </c>
      <c r="F63" s="22">
        <v>10.9</v>
      </c>
      <c r="G63" s="22"/>
      <c r="H63" s="22"/>
    </row>
    <row r="64" spans="1:8" ht="42" customHeight="1" x14ac:dyDescent="0.25">
      <c r="A64" s="120" t="s">
        <v>514</v>
      </c>
      <c r="B64" s="1"/>
      <c r="C64" s="157" t="s">
        <v>428</v>
      </c>
      <c r="D64" s="16" t="s">
        <v>72</v>
      </c>
      <c r="E64" s="22">
        <f t="shared" si="2"/>
        <v>43.3</v>
      </c>
      <c r="F64" s="22">
        <v>43.3</v>
      </c>
      <c r="G64" s="22"/>
      <c r="H64" s="22"/>
    </row>
    <row r="65" spans="1:8" ht="52.8" x14ac:dyDescent="0.25">
      <c r="A65" s="120" t="s">
        <v>515</v>
      </c>
      <c r="B65" s="1"/>
      <c r="C65" s="157" t="s">
        <v>429</v>
      </c>
      <c r="D65" s="16" t="s">
        <v>140</v>
      </c>
      <c r="E65" s="22">
        <f t="shared" si="2"/>
        <v>20</v>
      </c>
      <c r="F65" s="22">
        <f>20+10-10</f>
        <v>20</v>
      </c>
      <c r="G65" s="22"/>
      <c r="H65" s="22"/>
    </row>
    <row r="66" spans="1:8" ht="45" customHeight="1" x14ac:dyDescent="0.25">
      <c r="A66" s="120" t="s">
        <v>516</v>
      </c>
      <c r="B66" s="1"/>
      <c r="C66" s="157" t="s">
        <v>226</v>
      </c>
      <c r="D66" s="16" t="s">
        <v>244</v>
      </c>
      <c r="E66" s="22">
        <f t="shared" si="2"/>
        <v>8</v>
      </c>
      <c r="F66" s="22">
        <v>8</v>
      </c>
      <c r="G66" s="22"/>
      <c r="H66" s="22"/>
    </row>
    <row r="67" spans="1:8" ht="39.6" x14ac:dyDescent="0.25">
      <c r="A67" s="120" t="s">
        <v>517</v>
      </c>
      <c r="B67" s="1"/>
      <c r="C67" s="157" t="s">
        <v>264</v>
      </c>
      <c r="D67" s="16" t="s">
        <v>74</v>
      </c>
      <c r="E67" s="22">
        <f t="shared" si="2"/>
        <v>36.1</v>
      </c>
      <c r="F67" s="22">
        <v>36.1</v>
      </c>
      <c r="G67" s="22"/>
      <c r="H67" s="22"/>
    </row>
    <row r="68" spans="1:8" ht="39.6" x14ac:dyDescent="0.25">
      <c r="A68" s="120" t="s">
        <v>518</v>
      </c>
      <c r="B68" s="1"/>
      <c r="C68" s="157" t="s">
        <v>294</v>
      </c>
      <c r="D68" s="16" t="s">
        <v>74</v>
      </c>
      <c r="E68" s="22">
        <f t="shared" si="2"/>
        <v>21.1</v>
      </c>
      <c r="F68" s="22">
        <v>21.1</v>
      </c>
      <c r="G68" s="22"/>
      <c r="H68" s="22"/>
    </row>
    <row r="69" spans="1:8" ht="39.6" x14ac:dyDescent="0.25">
      <c r="A69" s="120" t="s">
        <v>519</v>
      </c>
      <c r="B69" s="1"/>
      <c r="C69" s="157" t="s">
        <v>309</v>
      </c>
      <c r="D69" s="16" t="s">
        <v>74</v>
      </c>
      <c r="E69" s="22">
        <f t="shared" si="2"/>
        <v>19.100000000000001</v>
      </c>
      <c r="F69" s="22">
        <v>19.100000000000001</v>
      </c>
      <c r="G69" s="22"/>
      <c r="H69" s="22"/>
    </row>
    <row r="70" spans="1:8" ht="39.6" x14ac:dyDescent="0.25">
      <c r="A70" s="120" t="s">
        <v>520</v>
      </c>
      <c r="B70" s="1"/>
      <c r="C70" s="158" t="s">
        <v>424</v>
      </c>
      <c r="D70" s="16" t="s">
        <v>72</v>
      </c>
      <c r="E70" s="22">
        <f t="shared" si="2"/>
        <v>40</v>
      </c>
      <c r="F70" s="22">
        <v>40</v>
      </c>
      <c r="G70" s="22"/>
      <c r="H70" s="22"/>
    </row>
    <row r="71" spans="1:8" ht="29.25" customHeight="1" x14ac:dyDescent="0.25">
      <c r="A71" s="120" t="s">
        <v>521</v>
      </c>
      <c r="B71" s="1"/>
      <c r="C71" s="157" t="s">
        <v>308</v>
      </c>
      <c r="D71" s="16" t="s">
        <v>75</v>
      </c>
      <c r="E71" s="22">
        <f t="shared" si="2"/>
        <v>87.2</v>
      </c>
      <c r="F71" s="22">
        <v>85.2</v>
      </c>
      <c r="G71" s="22"/>
      <c r="H71" s="22">
        <v>2</v>
      </c>
    </row>
    <row r="72" spans="1:8" ht="38.4" customHeight="1" x14ac:dyDescent="0.25">
      <c r="A72" s="120" t="s">
        <v>522</v>
      </c>
      <c r="B72" s="1"/>
      <c r="C72" s="154" t="s">
        <v>418</v>
      </c>
      <c r="D72" s="16"/>
      <c r="E72" s="139">
        <f t="shared" si="2"/>
        <v>67.8</v>
      </c>
      <c r="F72" s="139">
        <f>+F74+F75+F73+F76</f>
        <v>17.5</v>
      </c>
      <c r="G72" s="139">
        <f>+G74+G75+G73+G76</f>
        <v>0</v>
      </c>
      <c r="H72" s="139">
        <f>+H74+H75+H73+H76</f>
        <v>50.3</v>
      </c>
    </row>
    <row r="73" spans="1:8" ht="26.4" x14ac:dyDescent="0.25">
      <c r="A73" s="120" t="s">
        <v>523</v>
      </c>
      <c r="B73" s="1"/>
      <c r="C73" s="157" t="s">
        <v>247</v>
      </c>
      <c r="D73" s="16" t="s">
        <v>140</v>
      </c>
      <c r="E73" s="22">
        <f>+F73+H73</f>
        <v>0.4</v>
      </c>
      <c r="F73" s="22">
        <v>0.4</v>
      </c>
      <c r="G73" s="22"/>
      <c r="H73" s="22"/>
    </row>
    <row r="74" spans="1:8" ht="39.6" x14ac:dyDescent="0.25">
      <c r="A74" s="120" t="s">
        <v>524</v>
      </c>
      <c r="B74" s="1"/>
      <c r="C74" s="75" t="s">
        <v>227</v>
      </c>
      <c r="D74" s="16" t="s">
        <v>74</v>
      </c>
      <c r="E74" s="22">
        <f t="shared" si="2"/>
        <v>15.1</v>
      </c>
      <c r="F74" s="22">
        <v>15.1</v>
      </c>
      <c r="G74" s="22"/>
      <c r="H74" s="22"/>
    </row>
    <row r="75" spans="1:8" s="209" customFormat="1" ht="39.6" x14ac:dyDescent="0.25">
      <c r="A75" s="120" t="s">
        <v>525</v>
      </c>
      <c r="B75" s="1"/>
      <c r="C75" s="75" t="s">
        <v>182</v>
      </c>
      <c r="D75" s="16" t="s">
        <v>244</v>
      </c>
      <c r="E75" s="22">
        <f t="shared" si="2"/>
        <v>2.2999999999999998</v>
      </c>
      <c r="F75" s="22">
        <f>7.3-5.3</f>
        <v>2</v>
      </c>
      <c r="G75" s="22"/>
      <c r="H75" s="22">
        <f>5-4.7</f>
        <v>0.29999999999999982</v>
      </c>
    </row>
    <row r="76" spans="1:8" x14ac:dyDescent="0.25">
      <c r="A76" s="120" t="s">
        <v>818</v>
      </c>
      <c r="B76" s="1"/>
      <c r="C76" s="75" t="s">
        <v>817</v>
      </c>
      <c r="D76" s="16" t="s">
        <v>140</v>
      </c>
      <c r="E76" s="22">
        <f t="shared" si="2"/>
        <v>50</v>
      </c>
      <c r="F76" s="22"/>
      <c r="G76" s="22"/>
      <c r="H76" s="22">
        <v>50</v>
      </c>
    </row>
    <row r="77" spans="1:8" ht="21.75" customHeight="1" x14ac:dyDescent="0.25">
      <c r="A77" s="14">
        <v>36</v>
      </c>
      <c r="B77" s="13" t="s">
        <v>22</v>
      </c>
      <c r="C77" s="20" t="s">
        <v>23</v>
      </c>
      <c r="D77" s="11"/>
      <c r="E77" s="32">
        <f t="shared" si="2"/>
        <v>6836.8999999999987</v>
      </c>
      <c r="F77" s="32">
        <f>+F78+F81+F82+F83+F84+F85+F103+F104+F105+F106+F107+F108+F109+F110+F111+F112+F113</f>
        <v>6789.1999999999989</v>
      </c>
      <c r="G77" s="32">
        <f>+G78+G81+G82+G83+G84+G85+G103+G104+G105+G106+G107+G108+G109+G110+G111+G112+G113</f>
        <v>2444.1999999999994</v>
      </c>
      <c r="H77" s="32">
        <f>+H78+H81+H82+H83+H84+H85+H103+H104+H105+H106+H107+H108+H109+H110+H111+H112+H113</f>
        <v>47.7</v>
      </c>
    </row>
    <row r="78" spans="1:8" ht="15" customHeight="1" x14ac:dyDescent="0.25">
      <c r="A78" s="244">
        <v>37</v>
      </c>
      <c r="B78" s="245"/>
      <c r="C78" s="38" t="s">
        <v>1</v>
      </c>
      <c r="D78" s="246" t="s">
        <v>76</v>
      </c>
      <c r="E78" s="22">
        <f t="shared" si="2"/>
        <v>827.40000000000009</v>
      </c>
      <c r="F78" s="22">
        <f>779.5+3.2+37.6</f>
        <v>820.30000000000007</v>
      </c>
      <c r="G78" s="22">
        <f>568.8+36.9</f>
        <v>605.69999999999993</v>
      </c>
      <c r="H78" s="22">
        <v>7.1</v>
      </c>
    </row>
    <row r="79" spans="1:8" ht="15" customHeight="1" x14ac:dyDescent="0.25">
      <c r="A79" s="244"/>
      <c r="B79" s="245"/>
      <c r="C79" s="60" t="s">
        <v>419</v>
      </c>
      <c r="D79" s="246"/>
      <c r="E79" s="22">
        <f t="shared" si="2"/>
        <v>173.4</v>
      </c>
      <c r="F79" s="22">
        <v>173.4</v>
      </c>
      <c r="G79" s="22"/>
      <c r="H79" s="22"/>
    </row>
    <row r="80" spans="1:8" ht="26.4" x14ac:dyDescent="0.25">
      <c r="A80" s="244"/>
      <c r="B80" s="245"/>
      <c r="C80" s="47" t="s">
        <v>248</v>
      </c>
      <c r="D80" s="246"/>
      <c r="E80" s="22">
        <f t="shared" si="2"/>
        <v>1</v>
      </c>
      <c r="F80" s="22">
        <v>1</v>
      </c>
      <c r="G80" s="22"/>
      <c r="H80" s="22"/>
    </row>
    <row r="81" spans="1:8" x14ac:dyDescent="0.25">
      <c r="A81" s="14">
        <v>38</v>
      </c>
      <c r="B81" s="1"/>
      <c r="C81" s="144" t="s">
        <v>2</v>
      </c>
      <c r="D81" s="141" t="s">
        <v>77</v>
      </c>
      <c r="E81" s="22">
        <f t="shared" si="2"/>
        <v>234.9</v>
      </c>
      <c r="F81" s="22">
        <f>220.8+2.6+11.5</f>
        <v>234.9</v>
      </c>
      <c r="G81" s="22">
        <f>172.7+11.2</f>
        <v>183.89999999999998</v>
      </c>
      <c r="H81" s="22"/>
    </row>
    <row r="82" spans="1:8" x14ac:dyDescent="0.25">
      <c r="A82" s="14">
        <v>39</v>
      </c>
      <c r="B82" s="1"/>
      <c r="C82" s="152" t="s">
        <v>15</v>
      </c>
      <c r="D82" s="16" t="s">
        <v>110</v>
      </c>
      <c r="E82" s="22">
        <f t="shared" si="2"/>
        <v>230</v>
      </c>
      <c r="F82" s="22">
        <f>208.5+3.1+18.4</f>
        <v>230</v>
      </c>
      <c r="G82" s="37">
        <f>184.7+18.1</f>
        <v>202.79999999999998</v>
      </c>
      <c r="H82" s="22"/>
    </row>
    <row r="83" spans="1:8" ht="15" customHeight="1" x14ac:dyDescent="0.25">
      <c r="A83" s="14">
        <v>40</v>
      </c>
      <c r="B83" s="1"/>
      <c r="C83" s="152" t="s">
        <v>20</v>
      </c>
      <c r="D83" s="36" t="s">
        <v>77</v>
      </c>
      <c r="E83" s="22">
        <f t="shared" si="2"/>
        <v>265.39999999999998</v>
      </c>
      <c r="F83" s="22">
        <f>252.7+1.1+11.6</f>
        <v>265.39999999999998</v>
      </c>
      <c r="G83" s="22">
        <f>213.6+11.4</f>
        <v>225</v>
      </c>
      <c r="H83" s="22"/>
    </row>
    <row r="84" spans="1:8" ht="15" customHeight="1" x14ac:dyDescent="0.25">
      <c r="A84" s="14">
        <v>41</v>
      </c>
      <c r="B84" s="1"/>
      <c r="C84" s="38" t="s">
        <v>177</v>
      </c>
      <c r="D84" s="141" t="s">
        <v>24</v>
      </c>
      <c r="E84" s="22">
        <f t="shared" si="2"/>
        <v>1024.5</v>
      </c>
      <c r="F84" s="22">
        <f>971.8+3.2+49.5</f>
        <v>1024.5</v>
      </c>
      <c r="G84" s="22">
        <f>749.8+48.6</f>
        <v>798.4</v>
      </c>
      <c r="H84" s="22"/>
    </row>
    <row r="85" spans="1:8" ht="15" customHeight="1" x14ac:dyDescent="0.25">
      <c r="A85" s="14">
        <v>42</v>
      </c>
      <c r="B85" s="1"/>
      <c r="C85" s="19" t="s">
        <v>221</v>
      </c>
      <c r="D85" s="1"/>
      <c r="E85" s="44">
        <f t="shared" si="2"/>
        <v>2122.5</v>
      </c>
      <c r="F85" s="44">
        <f>+F86+F87+F88+F90+F91+F92+F93+F89+F94+F95+F97+F96</f>
        <v>2081.9</v>
      </c>
      <c r="G85" s="44">
        <f>+G86+G87+G88+G90+G91+G92+G93+G89+G94+G95+G97+G96</f>
        <v>62.4</v>
      </c>
      <c r="H85" s="44">
        <f>+H86+H87+H88+H90+H91+H92+H93+H89+H94+H95+H97+H96</f>
        <v>40.6</v>
      </c>
    </row>
    <row r="86" spans="1:8" ht="52.8" x14ac:dyDescent="0.25">
      <c r="A86" s="120" t="s">
        <v>526</v>
      </c>
      <c r="B86" s="1"/>
      <c r="C86" s="19" t="s">
        <v>3</v>
      </c>
      <c r="D86" s="36" t="s">
        <v>159</v>
      </c>
      <c r="E86" s="22">
        <f t="shared" si="2"/>
        <v>1103.3</v>
      </c>
      <c r="F86" s="22">
        <f>1040.7+60+2.6</f>
        <v>1103.3</v>
      </c>
      <c r="G86" s="22">
        <f>59.8+2.6</f>
        <v>62.4</v>
      </c>
      <c r="H86" s="22"/>
    </row>
    <row r="87" spans="1:8" ht="27.6" customHeight="1" x14ac:dyDescent="0.25">
      <c r="A87" s="120" t="s">
        <v>527</v>
      </c>
      <c r="B87" s="1"/>
      <c r="C87" s="46" t="s">
        <v>165</v>
      </c>
      <c r="D87" s="159" t="s">
        <v>78</v>
      </c>
      <c r="E87" s="22">
        <f t="shared" si="2"/>
        <v>50</v>
      </c>
      <c r="F87" s="22">
        <v>50</v>
      </c>
      <c r="G87" s="22"/>
      <c r="H87" s="22"/>
    </row>
    <row r="88" spans="1:8" ht="26.25" customHeight="1" x14ac:dyDescent="0.25">
      <c r="A88" s="120" t="s">
        <v>528</v>
      </c>
      <c r="B88" s="1"/>
      <c r="C88" s="157" t="s">
        <v>166</v>
      </c>
      <c r="D88" s="159" t="s">
        <v>78</v>
      </c>
      <c r="E88" s="22">
        <f t="shared" si="2"/>
        <v>80</v>
      </c>
      <c r="F88" s="22">
        <v>80</v>
      </c>
      <c r="G88" s="22"/>
      <c r="H88" s="22"/>
    </row>
    <row r="89" spans="1:8" ht="28.5" customHeight="1" x14ac:dyDescent="0.25">
      <c r="A89" s="120" t="s">
        <v>529</v>
      </c>
      <c r="B89" s="1"/>
      <c r="C89" s="45" t="s">
        <v>169</v>
      </c>
      <c r="D89" s="1" t="s">
        <v>114</v>
      </c>
      <c r="E89" s="37">
        <f>+F89+H89</f>
        <v>22</v>
      </c>
      <c r="F89" s="37">
        <f>30-8</f>
        <v>22</v>
      </c>
      <c r="G89" s="37"/>
      <c r="H89" s="37"/>
    </row>
    <row r="90" spans="1:8" ht="15" customHeight="1" x14ac:dyDescent="0.25">
      <c r="A90" s="120" t="s">
        <v>530</v>
      </c>
      <c r="B90" s="1"/>
      <c r="C90" s="45" t="s">
        <v>167</v>
      </c>
      <c r="D90" s="141" t="s">
        <v>79</v>
      </c>
      <c r="E90" s="22">
        <f t="shared" si="2"/>
        <v>52</v>
      </c>
      <c r="F90" s="22">
        <v>52</v>
      </c>
      <c r="G90" s="22"/>
      <c r="H90" s="22"/>
    </row>
    <row r="91" spans="1:8" ht="26.25" customHeight="1" x14ac:dyDescent="0.25">
      <c r="A91" s="120" t="s">
        <v>531</v>
      </c>
      <c r="B91" s="1"/>
      <c r="C91" s="45" t="s">
        <v>251</v>
      </c>
      <c r="D91" s="159" t="s">
        <v>79</v>
      </c>
      <c r="E91" s="22">
        <f t="shared" si="2"/>
        <v>125</v>
      </c>
      <c r="F91" s="22">
        <f>85+40</f>
        <v>125</v>
      </c>
      <c r="G91" s="22"/>
      <c r="H91" s="22"/>
    </row>
    <row r="92" spans="1:8" ht="39" customHeight="1" x14ac:dyDescent="0.25">
      <c r="A92" s="120" t="s">
        <v>532</v>
      </c>
      <c r="B92" s="1"/>
      <c r="C92" s="45" t="s">
        <v>168</v>
      </c>
      <c r="D92" s="159" t="s">
        <v>80</v>
      </c>
      <c r="E92" s="37">
        <f t="shared" si="2"/>
        <v>361.3</v>
      </c>
      <c r="F92" s="37">
        <f>447-85.7</f>
        <v>361.3</v>
      </c>
      <c r="G92" s="37"/>
      <c r="H92" s="37"/>
    </row>
    <row r="93" spans="1:8" ht="28.5" customHeight="1" x14ac:dyDescent="0.25">
      <c r="A93" s="120" t="s">
        <v>533</v>
      </c>
      <c r="B93" s="1"/>
      <c r="C93" s="45" t="s">
        <v>434</v>
      </c>
      <c r="D93" s="1" t="s">
        <v>81</v>
      </c>
      <c r="E93" s="37">
        <f t="shared" si="2"/>
        <v>44</v>
      </c>
      <c r="F93" s="37">
        <v>44</v>
      </c>
      <c r="G93" s="37"/>
      <c r="H93" s="37"/>
    </row>
    <row r="94" spans="1:8" ht="28.5" customHeight="1" x14ac:dyDescent="0.25">
      <c r="A94" s="120" t="s">
        <v>534</v>
      </c>
      <c r="B94" s="1"/>
      <c r="C94" s="45" t="s">
        <v>432</v>
      </c>
      <c r="D94" s="1" t="s">
        <v>25</v>
      </c>
      <c r="E94" s="37">
        <f t="shared" si="2"/>
        <v>10</v>
      </c>
      <c r="F94" s="37">
        <v>10</v>
      </c>
      <c r="G94" s="37"/>
      <c r="H94" s="37"/>
    </row>
    <row r="95" spans="1:8" x14ac:dyDescent="0.25">
      <c r="A95" s="120" t="s">
        <v>535</v>
      </c>
      <c r="B95" s="1"/>
      <c r="C95" s="45" t="s">
        <v>265</v>
      </c>
      <c r="D95" s="141" t="s">
        <v>24</v>
      </c>
      <c r="E95" s="37">
        <f t="shared" si="2"/>
        <v>53.5</v>
      </c>
      <c r="F95" s="37">
        <f>45.5+6+2</f>
        <v>53.5</v>
      </c>
      <c r="G95" s="37"/>
      <c r="H95" s="37"/>
    </row>
    <row r="96" spans="1:8" ht="39.6" x14ac:dyDescent="0.25">
      <c r="A96" s="120" t="s">
        <v>536</v>
      </c>
      <c r="B96" s="1"/>
      <c r="C96" s="45" t="s">
        <v>433</v>
      </c>
      <c r="D96" s="141" t="s">
        <v>24</v>
      </c>
      <c r="E96" s="37">
        <f t="shared" si="2"/>
        <v>30</v>
      </c>
      <c r="F96" s="37">
        <v>30</v>
      </c>
      <c r="G96" s="37"/>
      <c r="H96" s="37"/>
    </row>
    <row r="97" spans="1:8" ht="39" customHeight="1" x14ac:dyDescent="0.25">
      <c r="A97" s="120" t="s">
        <v>537</v>
      </c>
      <c r="B97" s="1"/>
      <c r="C97" s="154" t="s">
        <v>418</v>
      </c>
      <c r="D97" s="13"/>
      <c r="E97" s="155">
        <f t="shared" si="2"/>
        <v>191.4</v>
      </c>
      <c r="F97" s="155">
        <f>+F99+F100+F98+F101+F102</f>
        <v>150.80000000000001</v>
      </c>
      <c r="G97" s="155">
        <f>+G99+G100+G98+G101+G102</f>
        <v>0</v>
      </c>
      <c r="H97" s="155">
        <f>+H99+H100+H98+H101+H102</f>
        <v>40.6</v>
      </c>
    </row>
    <row r="98" spans="1:8" ht="15.6" customHeight="1" x14ac:dyDescent="0.25">
      <c r="A98" s="120" t="s">
        <v>538</v>
      </c>
      <c r="B98" s="1"/>
      <c r="C98" s="45" t="s">
        <v>183</v>
      </c>
      <c r="D98" s="1" t="s">
        <v>94</v>
      </c>
      <c r="E98" s="37">
        <f t="shared" si="2"/>
        <v>40</v>
      </c>
      <c r="F98" s="37">
        <v>0.4</v>
      </c>
      <c r="G98" s="37"/>
      <c r="H98" s="37">
        <v>39.6</v>
      </c>
    </row>
    <row r="99" spans="1:8" ht="26.4" x14ac:dyDescent="0.25">
      <c r="A99" s="120" t="s">
        <v>539</v>
      </c>
      <c r="B99" s="1"/>
      <c r="C99" s="45" t="s">
        <v>191</v>
      </c>
      <c r="D99" s="16" t="s">
        <v>245</v>
      </c>
      <c r="E99" s="37">
        <f t="shared" si="2"/>
        <v>90</v>
      </c>
      <c r="F99" s="37">
        <f>60+30</f>
        <v>90</v>
      </c>
      <c r="G99" s="37"/>
      <c r="H99" s="37"/>
    </row>
    <row r="100" spans="1:8" ht="26.4" x14ac:dyDescent="0.25">
      <c r="A100" s="120" t="s">
        <v>540</v>
      </c>
      <c r="B100" s="1"/>
      <c r="C100" s="45" t="s">
        <v>266</v>
      </c>
      <c r="D100" s="1" t="s">
        <v>81</v>
      </c>
      <c r="E100" s="37">
        <f t="shared" si="2"/>
        <v>30</v>
      </c>
      <c r="F100" s="37">
        <v>30</v>
      </c>
      <c r="G100" s="37"/>
      <c r="H100" s="37"/>
    </row>
    <row r="101" spans="1:8" ht="29.4" customHeight="1" x14ac:dyDescent="0.25">
      <c r="A101" s="120" t="s">
        <v>541</v>
      </c>
      <c r="B101" s="1"/>
      <c r="C101" s="75" t="s">
        <v>441</v>
      </c>
      <c r="D101" s="1" t="s">
        <v>24</v>
      </c>
      <c r="E101" s="37">
        <f>+F101+H101</f>
        <v>19.399999999999999</v>
      </c>
      <c r="F101" s="37">
        <v>18.399999999999999</v>
      </c>
      <c r="G101" s="37"/>
      <c r="H101" s="37">
        <v>1</v>
      </c>
    </row>
    <row r="102" spans="1:8" ht="29.4" customHeight="1" x14ac:dyDescent="0.25">
      <c r="A102" s="120" t="s">
        <v>542</v>
      </c>
      <c r="B102" s="1"/>
      <c r="C102" s="75" t="s">
        <v>819</v>
      </c>
      <c r="D102" s="1" t="s">
        <v>94</v>
      </c>
      <c r="E102" s="37">
        <f>+F102+H102</f>
        <v>12</v>
      </c>
      <c r="F102" s="37">
        <v>12</v>
      </c>
      <c r="G102" s="37"/>
      <c r="H102" s="37"/>
    </row>
    <row r="103" spans="1:8" ht="38.4" customHeight="1" x14ac:dyDescent="0.25">
      <c r="A103" s="14">
        <v>43</v>
      </c>
      <c r="B103" s="1"/>
      <c r="C103" s="18" t="s">
        <v>8</v>
      </c>
      <c r="D103" s="16" t="s">
        <v>122</v>
      </c>
      <c r="E103" s="22">
        <f t="shared" ref="E103:E113" si="3">+F103+H103</f>
        <v>849.9</v>
      </c>
      <c r="F103" s="22">
        <f>664.8+180+5.1</f>
        <v>849.9</v>
      </c>
      <c r="G103" s="22">
        <f>81.5+5</f>
        <v>86.5</v>
      </c>
      <c r="H103" s="22"/>
    </row>
    <row r="104" spans="1:8" ht="38.25" customHeight="1" x14ac:dyDescent="0.25">
      <c r="A104" s="14">
        <v>44</v>
      </c>
      <c r="B104" s="1"/>
      <c r="C104" s="18" t="s">
        <v>4</v>
      </c>
      <c r="D104" s="16" t="s">
        <v>153</v>
      </c>
      <c r="E104" s="22">
        <f t="shared" si="3"/>
        <v>242.6</v>
      </c>
      <c r="F104" s="22">
        <f>221.5+18+3.1</f>
        <v>242.6</v>
      </c>
      <c r="G104" s="22">
        <f>43.2+3</f>
        <v>46.2</v>
      </c>
      <c r="H104" s="22"/>
    </row>
    <row r="105" spans="1:8" ht="39.75" customHeight="1" x14ac:dyDescent="0.25">
      <c r="A105" s="14">
        <v>45</v>
      </c>
      <c r="B105" s="1"/>
      <c r="C105" s="18" t="s">
        <v>5</v>
      </c>
      <c r="D105" s="16" t="s">
        <v>122</v>
      </c>
      <c r="E105" s="22">
        <f t="shared" si="3"/>
        <v>131.5</v>
      </c>
      <c r="F105" s="22">
        <f>128.1+3.4</f>
        <v>131.5</v>
      </c>
      <c r="G105" s="22">
        <f>28.4+3.2</f>
        <v>31.599999999999998</v>
      </c>
      <c r="H105" s="22"/>
    </row>
    <row r="106" spans="1:8" ht="39.75" customHeight="1" x14ac:dyDescent="0.25">
      <c r="A106" s="14">
        <v>46</v>
      </c>
      <c r="B106" s="1"/>
      <c r="C106" s="18" t="s">
        <v>7</v>
      </c>
      <c r="D106" s="16" t="s">
        <v>122</v>
      </c>
      <c r="E106" s="22">
        <f t="shared" si="3"/>
        <v>81</v>
      </c>
      <c r="F106" s="22">
        <f>60.5+18+2.5</f>
        <v>81</v>
      </c>
      <c r="G106" s="22">
        <f>18.9+2.5</f>
        <v>21.4</v>
      </c>
      <c r="H106" s="22"/>
    </row>
    <row r="107" spans="1:8" ht="39.75" customHeight="1" x14ac:dyDescent="0.25">
      <c r="A107" s="14">
        <v>47</v>
      </c>
      <c r="B107" s="1"/>
      <c r="C107" s="18" t="s">
        <v>6</v>
      </c>
      <c r="D107" s="16" t="s">
        <v>122</v>
      </c>
      <c r="E107" s="22">
        <f t="shared" si="3"/>
        <v>171.2</v>
      </c>
      <c r="F107" s="22">
        <f>166.5+4.7</f>
        <v>171.2</v>
      </c>
      <c r="G107" s="22">
        <f>35.3+4.7</f>
        <v>40</v>
      </c>
      <c r="H107" s="22"/>
    </row>
    <row r="108" spans="1:8" ht="39.75" customHeight="1" x14ac:dyDescent="0.25">
      <c r="A108" s="14">
        <v>48</v>
      </c>
      <c r="B108" s="1"/>
      <c r="C108" s="18" t="s">
        <v>9</v>
      </c>
      <c r="D108" s="16" t="s">
        <v>122</v>
      </c>
      <c r="E108" s="22">
        <f t="shared" si="3"/>
        <v>124.89999999999999</v>
      </c>
      <c r="F108" s="22">
        <f>95.1+28+1.8</f>
        <v>124.89999999999999</v>
      </c>
      <c r="G108" s="22">
        <f>19.7+1.8</f>
        <v>21.5</v>
      </c>
      <c r="H108" s="22"/>
    </row>
    <row r="109" spans="1:8" ht="39.75" customHeight="1" x14ac:dyDescent="0.25">
      <c r="A109" s="14">
        <v>49</v>
      </c>
      <c r="B109" s="1"/>
      <c r="C109" s="19" t="s">
        <v>10</v>
      </c>
      <c r="D109" s="16" t="s">
        <v>122</v>
      </c>
      <c r="E109" s="22">
        <f t="shared" si="3"/>
        <v>102.7</v>
      </c>
      <c r="F109" s="22">
        <f>91.5+10+1.2</f>
        <v>102.7</v>
      </c>
      <c r="G109" s="22">
        <f>16.8+1</f>
        <v>17.8</v>
      </c>
      <c r="H109" s="22"/>
    </row>
    <row r="110" spans="1:8" ht="39.6" customHeight="1" x14ac:dyDescent="0.25">
      <c r="A110" s="14">
        <v>50</v>
      </c>
      <c r="B110" s="1"/>
      <c r="C110" s="18" t="s">
        <v>12</v>
      </c>
      <c r="D110" s="16" t="s">
        <v>122</v>
      </c>
      <c r="E110" s="22">
        <f t="shared" si="3"/>
        <v>124.5</v>
      </c>
      <c r="F110" s="22">
        <f>83.9+3+35+2.6</f>
        <v>124.5</v>
      </c>
      <c r="G110" s="22">
        <f>21.3+2.9+2.5</f>
        <v>26.7</v>
      </c>
      <c r="H110" s="22"/>
    </row>
    <row r="111" spans="1:8" ht="39.6" x14ac:dyDescent="0.25">
      <c r="A111" s="14">
        <v>51</v>
      </c>
      <c r="B111" s="1"/>
      <c r="C111" s="18" t="s">
        <v>11</v>
      </c>
      <c r="D111" s="16" t="s">
        <v>122</v>
      </c>
      <c r="E111" s="22">
        <f t="shared" si="3"/>
        <v>113.1</v>
      </c>
      <c r="F111" s="22">
        <f>92.6+20+0.5</f>
        <v>113.1</v>
      </c>
      <c r="G111" s="22">
        <f>19.2+0.5</f>
        <v>19.7</v>
      </c>
      <c r="H111" s="22"/>
    </row>
    <row r="112" spans="1:8" ht="39.75" customHeight="1" x14ac:dyDescent="0.25">
      <c r="A112" s="14">
        <v>52</v>
      </c>
      <c r="B112" s="1"/>
      <c r="C112" s="18" t="s">
        <v>13</v>
      </c>
      <c r="D112" s="16" t="s">
        <v>122</v>
      </c>
      <c r="E112" s="22">
        <f t="shared" si="3"/>
        <v>87.9</v>
      </c>
      <c r="F112" s="22">
        <f>59.9+28</f>
        <v>87.9</v>
      </c>
      <c r="G112" s="22">
        <v>14.5</v>
      </c>
      <c r="H112" s="22"/>
    </row>
    <row r="113" spans="1:12" ht="39.75" customHeight="1" x14ac:dyDescent="0.25">
      <c r="A113" s="14">
        <v>53</v>
      </c>
      <c r="B113" s="1"/>
      <c r="C113" s="18" t="s">
        <v>14</v>
      </c>
      <c r="D113" s="16" t="s">
        <v>122</v>
      </c>
      <c r="E113" s="22">
        <f t="shared" si="3"/>
        <v>102.9</v>
      </c>
      <c r="F113" s="22">
        <f>97.2+3+2.7</f>
        <v>102.9</v>
      </c>
      <c r="G113" s="22">
        <f>37.5+2.6</f>
        <v>40.1</v>
      </c>
      <c r="H113" s="22"/>
    </row>
    <row r="114" spans="1:12" ht="20.100000000000001" customHeight="1" x14ac:dyDescent="0.25">
      <c r="A114" s="14">
        <v>54</v>
      </c>
      <c r="B114" s="13" t="s">
        <v>82</v>
      </c>
      <c r="C114" s="20" t="s">
        <v>279</v>
      </c>
      <c r="D114" s="1"/>
      <c r="E114" s="32">
        <f>+F114+H114</f>
        <v>1510.6</v>
      </c>
      <c r="F114" s="32">
        <f>+F116+F131+F132+F133+F134+F135+F136+F137+F138+F139+F130+F115</f>
        <v>1442.5</v>
      </c>
      <c r="G114" s="32">
        <f>+G116+G131+G132+G133+G134+G135+G136+G137+G138+G139+G130+G115</f>
        <v>534.59999999999991</v>
      </c>
      <c r="H114" s="32">
        <f>+H116+H131+H132+H133+H134+H135+H136+H137+H138+H139+H130+H115</f>
        <v>68.099999999999994</v>
      </c>
    </row>
    <row r="115" spans="1:12" ht="15" customHeight="1" x14ac:dyDescent="0.25">
      <c r="A115" s="14">
        <v>55</v>
      </c>
      <c r="B115" s="1"/>
      <c r="C115" s="38" t="s">
        <v>120</v>
      </c>
      <c r="D115" s="1" t="s">
        <v>83</v>
      </c>
      <c r="E115" s="44">
        <f>+F115+H115</f>
        <v>698.30000000000007</v>
      </c>
      <c r="F115" s="22">
        <f>651.2+18.1+29</f>
        <v>698.30000000000007</v>
      </c>
      <c r="G115" s="22">
        <f>438.9+28.4</f>
        <v>467.29999999999995</v>
      </c>
      <c r="H115" s="151"/>
    </row>
    <row r="116" spans="1:12" ht="12.6" customHeight="1" x14ac:dyDescent="0.25">
      <c r="A116" s="14">
        <v>56</v>
      </c>
      <c r="B116" s="13"/>
      <c r="C116" s="19" t="s">
        <v>221</v>
      </c>
      <c r="D116" s="1"/>
      <c r="E116" s="22">
        <f>+F116+H116</f>
        <v>787.5</v>
      </c>
      <c r="F116" s="22">
        <f>+F117+F118+F123+F125+F124</f>
        <v>719.4</v>
      </c>
      <c r="G116" s="22">
        <f>+G117+G118+G123+G125+G124</f>
        <v>43.4</v>
      </c>
      <c r="H116" s="22">
        <f>+H117+H118+H123+H125+H124</f>
        <v>68.099999999999994</v>
      </c>
    </row>
    <row r="117" spans="1:12" ht="14.25" customHeight="1" x14ac:dyDescent="0.25">
      <c r="A117" s="120" t="s">
        <v>215</v>
      </c>
      <c r="B117" s="1"/>
      <c r="C117" s="19" t="s">
        <v>3</v>
      </c>
      <c r="D117" s="1" t="s">
        <v>145</v>
      </c>
      <c r="E117" s="22">
        <f t="shared" ref="E117:E168" si="4">+F117+H117</f>
        <v>75.5</v>
      </c>
      <c r="F117" s="22">
        <v>75.5</v>
      </c>
      <c r="G117" s="22">
        <v>43.4</v>
      </c>
      <c r="H117" s="22"/>
    </row>
    <row r="118" spans="1:12" ht="14.25" customHeight="1" x14ac:dyDescent="0.25">
      <c r="A118" s="247" t="s">
        <v>216</v>
      </c>
      <c r="B118" s="245"/>
      <c r="C118" s="157" t="s">
        <v>267</v>
      </c>
      <c r="D118" s="245" t="s">
        <v>83</v>
      </c>
      <c r="E118" s="22">
        <f t="shared" si="4"/>
        <v>480</v>
      </c>
      <c r="F118" s="22">
        <f>+F119+F120+F121+F122</f>
        <v>480</v>
      </c>
      <c r="G118" s="22">
        <f>+G119+G120+G121+G122</f>
        <v>0</v>
      </c>
      <c r="H118" s="22">
        <f>+H119+H120+H121+H122</f>
        <v>0</v>
      </c>
    </row>
    <row r="119" spans="1:12" x14ac:dyDescent="0.25">
      <c r="A119" s="247"/>
      <c r="B119" s="245"/>
      <c r="C119" s="160" t="s">
        <v>435</v>
      </c>
      <c r="D119" s="245"/>
      <c r="E119" s="22">
        <f t="shared" si="4"/>
        <v>200</v>
      </c>
      <c r="F119" s="22">
        <v>200</v>
      </c>
      <c r="G119" s="22"/>
      <c r="H119" s="22"/>
    </row>
    <row r="120" spans="1:12" ht="13.5" customHeight="1" x14ac:dyDescent="0.25">
      <c r="A120" s="247"/>
      <c r="B120" s="245"/>
      <c r="C120" s="160" t="s">
        <v>290</v>
      </c>
      <c r="D120" s="245"/>
      <c r="E120" s="22">
        <f t="shared" si="4"/>
        <v>180</v>
      </c>
      <c r="F120" s="22">
        <v>180</v>
      </c>
      <c r="G120" s="22"/>
      <c r="H120" s="22"/>
    </row>
    <row r="121" spans="1:12" ht="13.5" customHeight="1" x14ac:dyDescent="0.25">
      <c r="A121" s="247"/>
      <c r="B121" s="245"/>
      <c r="C121" s="160" t="s">
        <v>291</v>
      </c>
      <c r="D121" s="245"/>
      <c r="E121" s="22">
        <f t="shared" si="4"/>
        <v>15</v>
      </c>
      <c r="F121" s="22">
        <v>15</v>
      </c>
      <c r="G121" s="22"/>
      <c r="H121" s="22"/>
    </row>
    <row r="122" spans="1:12" ht="26.25" customHeight="1" x14ac:dyDescent="0.25">
      <c r="A122" s="247"/>
      <c r="B122" s="245"/>
      <c r="C122" s="160" t="s">
        <v>292</v>
      </c>
      <c r="D122" s="245"/>
      <c r="E122" s="22">
        <f t="shared" si="4"/>
        <v>85</v>
      </c>
      <c r="F122" s="22">
        <v>85</v>
      </c>
      <c r="G122" s="22"/>
      <c r="H122" s="22"/>
    </row>
    <row r="123" spans="1:12" x14ac:dyDescent="0.25">
      <c r="A123" s="120" t="s">
        <v>217</v>
      </c>
      <c r="B123" s="1"/>
      <c r="C123" s="157" t="s">
        <v>268</v>
      </c>
      <c r="D123" s="1" t="s">
        <v>83</v>
      </c>
      <c r="E123" s="22">
        <f t="shared" si="4"/>
        <v>35</v>
      </c>
      <c r="F123" s="22">
        <v>35</v>
      </c>
      <c r="G123" s="22"/>
      <c r="H123" s="22"/>
    </row>
    <row r="124" spans="1:12" ht="40.950000000000003" customHeight="1" x14ac:dyDescent="0.25">
      <c r="A124" s="120" t="s">
        <v>543</v>
      </c>
      <c r="B124" s="1"/>
      <c r="C124" s="157" t="s">
        <v>436</v>
      </c>
      <c r="D124" s="1" t="s">
        <v>83</v>
      </c>
      <c r="E124" s="22">
        <f t="shared" si="4"/>
        <v>10.3</v>
      </c>
      <c r="F124" s="22">
        <v>10.3</v>
      </c>
      <c r="G124" s="22"/>
      <c r="H124" s="22"/>
    </row>
    <row r="125" spans="1:12" ht="42" customHeight="1" x14ac:dyDescent="0.25">
      <c r="A125" s="120" t="s">
        <v>218</v>
      </c>
      <c r="B125" s="1"/>
      <c r="C125" s="154" t="s">
        <v>418</v>
      </c>
      <c r="D125" s="13"/>
      <c r="E125" s="139">
        <f>+F125+H125</f>
        <v>186.7</v>
      </c>
      <c r="F125" s="139">
        <f>+F126+F127+F128+F129</f>
        <v>118.6</v>
      </c>
      <c r="G125" s="139">
        <f>+G126+G127+G128+G129</f>
        <v>0</v>
      </c>
      <c r="H125" s="139">
        <f>+H126+H127+H128+H129</f>
        <v>68.099999999999994</v>
      </c>
      <c r="I125" s="122"/>
      <c r="J125" s="122"/>
      <c r="K125" s="122"/>
      <c r="L125" s="122"/>
    </row>
    <row r="126" spans="1:12" ht="26.4" x14ac:dyDescent="0.25">
      <c r="A126" s="120" t="s">
        <v>287</v>
      </c>
      <c r="B126" s="1"/>
      <c r="C126" s="18" t="s">
        <v>214</v>
      </c>
      <c r="D126" s="1" t="s">
        <v>67</v>
      </c>
      <c r="E126" s="22">
        <f t="shared" si="4"/>
        <v>60.5</v>
      </c>
      <c r="F126" s="22">
        <v>2</v>
      </c>
      <c r="G126" s="22"/>
      <c r="H126" s="22">
        <v>58.5</v>
      </c>
    </row>
    <row r="127" spans="1:12" ht="26.4" x14ac:dyDescent="0.25">
      <c r="A127" s="120" t="s">
        <v>233</v>
      </c>
      <c r="B127" s="1"/>
      <c r="C127" s="18" t="s">
        <v>269</v>
      </c>
      <c r="D127" s="1" t="s">
        <v>66</v>
      </c>
      <c r="E127" s="22">
        <f t="shared" si="4"/>
        <v>9.6</v>
      </c>
      <c r="F127" s="22"/>
      <c r="G127" s="22"/>
      <c r="H127" s="22">
        <f>10-0.4</f>
        <v>9.6</v>
      </c>
    </row>
    <row r="128" spans="1:12" ht="39.6" x14ac:dyDescent="0.25">
      <c r="A128" s="120" t="s">
        <v>544</v>
      </c>
      <c r="B128" s="1"/>
      <c r="C128" s="18" t="s">
        <v>442</v>
      </c>
      <c r="D128" s="17" t="s">
        <v>83</v>
      </c>
      <c r="E128" s="22">
        <f t="shared" si="4"/>
        <v>101.6</v>
      </c>
      <c r="F128" s="22">
        <f>120-18.4</f>
        <v>101.6</v>
      </c>
      <c r="G128" s="22"/>
      <c r="H128" s="22"/>
    </row>
    <row r="129" spans="1:8" ht="39.6" x14ac:dyDescent="0.25">
      <c r="A129" s="120" t="s">
        <v>545</v>
      </c>
      <c r="B129" s="1"/>
      <c r="C129" s="18" t="s">
        <v>443</v>
      </c>
      <c r="D129" s="1" t="s">
        <v>83</v>
      </c>
      <c r="E129" s="22">
        <f t="shared" si="4"/>
        <v>15</v>
      </c>
      <c r="F129" s="22">
        <v>15</v>
      </c>
      <c r="G129" s="22"/>
      <c r="H129" s="22"/>
    </row>
    <row r="130" spans="1:8" ht="26.4" x14ac:dyDescent="0.25">
      <c r="A130" s="14">
        <v>57</v>
      </c>
      <c r="B130" s="1"/>
      <c r="C130" s="18" t="s">
        <v>4</v>
      </c>
      <c r="D130" s="1" t="s">
        <v>83</v>
      </c>
      <c r="E130" s="22">
        <f>+F130+H130</f>
        <v>2</v>
      </c>
      <c r="F130" s="22">
        <f>1+1</f>
        <v>2</v>
      </c>
      <c r="G130" s="22">
        <f>1+1</f>
        <v>2</v>
      </c>
      <c r="H130" s="22"/>
    </row>
    <row r="131" spans="1:8" ht="27" customHeight="1" x14ac:dyDescent="0.25">
      <c r="A131" s="14">
        <v>58</v>
      </c>
      <c r="B131" s="1"/>
      <c r="C131" s="18" t="s">
        <v>5</v>
      </c>
      <c r="D131" s="1" t="s">
        <v>83</v>
      </c>
      <c r="E131" s="22">
        <f t="shared" si="4"/>
        <v>2.5</v>
      </c>
      <c r="F131" s="22">
        <v>2.5</v>
      </c>
      <c r="G131" s="22">
        <v>2.4</v>
      </c>
      <c r="H131" s="22"/>
    </row>
    <row r="132" spans="1:8" ht="27" customHeight="1" x14ac:dyDescent="0.25">
      <c r="A132" s="14">
        <v>59</v>
      </c>
      <c r="B132" s="1"/>
      <c r="C132" s="19" t="s">
        <v>7</v>
      </c>
      <c r="D132" s="1" t="s">
        <v>83</v>
      </c>
      <c r="E132" s="22">
        <f t="shared" si="4"/>
        <v>2.2000000000000002</v>
      </c>
      <c r="F132" s="22">
        <v>2.2000000000000002</v>
      </c>
      <c r="G132" s="22">
        <v>2.1</v>
      </c>
      <c r="H132" s="22"/>
    </row>
    <row r="133" spans="1:8" ht="26.25" customHeight="1" x14ac:dyDescent="0.25">
      <c r="A133" s="14">
        <v>60</v>
      </c>
      <c r="B133" s="1"/>
      <c r="C133" s="18" t="s">
        <v>6</v>
      </c>
      <c r="D133" s="1" t="s">
        <v>83</v>
      </c>
      <c r="E133" s="22">
        <f t="shared" si="4"/>
        <v>2.7</v>
      </c>
      <c r="F133" s="22">
        <f>2.5+0.2</f>
        <v>2.7</v>
      </c>
      <c r="G133" s="22">
        <f>2.4+0.2</f>
        <v>2.6</v>
      </c>
      <c r="H133" s="22"/>
    </row>
    <row r="134" spans="1:8" ht="27.75" customHeight="1" x14ac:dyDescent="0.25">
      <c r="A134" s="14">
        <v>61</v>
      </c>
      <c r="B134" s="1"/>
      <c r="C134" s="18" t="s">
        <v>9</v>
      </c>
      <c r="D134" s="1" t="s">
        <v>83</v>
      </c>
      <c r="E134" s="22">
        <f t="shared" si="4"/>
        <v>2.8</v>
      </c>
      <c r="F134" s="22">
        <f>2.5+0.3</f>
        <v>2.8</v>
      </c>
      <c r="G134" s="22">
        <f>2.4+0.3</f>
        <v>2.6999999999999997</v>
      </c>
      <c r="H134" s="22"/>
    </row>
    <row r="135" spans="1:8" ht="26.25" customHeight="1" x14ac:dyDescent="0.25">
      <c r="A135" s="14">
        <v>62</v>
      </c>
      <c r="B135" s="1"/>
      <c r="C135" s="19" t="s">
        <v>10</v>
      </c>
      <c r="D135" s="1" t="s">
        <v>83</v>
      </c>
      <c r="E135" s="22">
        <f t="shared" si="4"/>
        <v>2.5</v>
      </c>
      <c r="F135" s="22">
        <v>2.5</v>
      </c>
      <c r="G135" s="22">
        <v>2.4</v>
      </c>
      <c r="H135" s="22"/>
    </row>
    <row r="136" spans="1:8" ht="27" customHeight="1" x14ac:dyDescent="0.25">
      <c r="A136" s="14">
        <v>63</v>
      </c>
      <c r="B136" s="1"/>
      <c r="C136" s="18" t="s">
        <v>12</v>
      </c>
      <c r="D136" s="1" t="s">
        <v>83</v>
      </c>
      <c r="E136" s="22">
        <f t="shared" si="4"/>
        <v>2.4</v>
      </c>
      <c r="F136" s="22">
        <v>2.4</v>
      </c>
      <c r="G136" s="22">
        <v>2.2999999999999998</v>
      </c>
      <c r="H136" s="22"/>
    </row>
    <row r="137" spans="1:8" ht="29.25" customHeight="1" x14ac:dyDescent="0.25">
      <c r="A137" s="14">
        <v>64</v>
      </c>
      <c r="B137" s="1"/>
      <c r="C137" s="18" t="s">
        <v>126</v>
      </c>
      <c r="D137" s="1" t="s">
        <v>83</v>
      </c>
      <c r="E137" s="22">
        <f t="shared" si="4"/>
        <v>2.5999999999999996</v>
      </c>
      <c r="F137" s="22">
        <f>2.3+0.3</f>
        <v>2.5999999999999996</v>
      </c>
      <c r="G137" s="22">
        <f>2.2+0.3</f>
        <v>2.5</v>
      </c>
      <c r="H137" s="22"/>
    </row>
    <row r="138" spans="1:8" ht="30.6" customHeight="1" x14ac:dyDescent="0.25">
      <c r="A138" s="14">
        <v>65</v>
      </c>
      <c r="B138" s="1"/>
      <c r="C138" s="18" t="s">
        <v>13</v>
      </c>
      <c r="D138" s="1" t="s">
        <v>83</v>
      </c>
      <c r="E138" s="22">
        <f t="shared" si="4"/>
        <v>2.5</v>
      </c>
      <c r="F138" s="22">
        <v>2.5</v>
      </c>
      <c r="G138" s="22">
        <v>2.4</v>
      </c>
      <c r="H138" s="22"/>
    </row>
    <row r="139" spans="1:8" ht="29.25" customHeight="1" x14ac:dyDescent="0.25">
      <c r="A139" s="14">
        <v>66</v>
      </c>
      <c r="B139" s="1"/>
      <c r="C139" s="18" t="s">
        <v>14</v>
      </c>
      <c r="D139" s="1" t="s">
        <v>83</v>
      </c>
      <c r="E139" s="22">
        <f t="shared" si="4"/>
        <v>2.6</v>
      </c>
      <c r="F139" s="22">
        <f>2.4+0.2</f>
        <v>2.6</v>
      </c>
      <c r="G139" s="22">
        <f>2.3+0.2</f>
        <v>2.5</v>
      </c>
      <c r="H139" s="22"/>
    </row>
    <row r="140" spans="1:8" ht="24.75" customHeight="1" x14ac:dyDescent="0.25">
      <c r="A140" s="14">
        <v>67</v>
      </c>
      <c r="B140" s="13" t="s">
        <v>84</v>
      </c>
      <c r="C140" s="20" t="s">
        <v>85</v>
      </c>
      <c r="D140" s="11"/>
      <c r="E140" s="32">
        <f>+F140+H140</f>
        <v>3562</v>
      </c>
      <c r="F140" s="32">
        <f>+F141+F142+F143+F144+F145+F146+F147+F148+F150+F161</f>
        <v>3160.2</v>
      </c>
      <c r="G140" s="32">
        <f>+G141+G142+G143+G144+G145+G146+G147+G148+G150+G161</f>
        <v>2338.2999999999997</v>
      </c>
      <c r="H140" s="32">
        <f>+H141+H142+H143+H144+H145+H146+H147+H148+H150+H161</f>
        <v>401.79999999999995</v>
      </c>
    </row>
    <row r="141" spans="1:8" ht="15" customHeight="1" x14ac:dyDescent="0.25">
      <c r="A141" s="14">
        <v>68</v>
      </c>
      <c r="B141" s="1"/>
      <c r="C141" s="38" t="s">
        <v>47</v>
      </c>
      <c r="D141" s="1" t="s">
        <v>86</v>
      </c>
      <c r="E141" s="22">
        <f>+F141+H141</f>
        <v>675.09999999999991</v>
      </c>
      <c r="F141" s="22">
        <f>630.8+8.8+3.3+32.2</f>
        <v>675.09999999999991</v>
      </c>
      <c r="G141" s="22">
        <f>486.5+31.5</f>
        <v>518</v>
      </c>
      <c r="H141" s="22"/>
    </row>
    <row r="142" spans="1:8" ht="15" customHeight="1" x14ac:dyDescent="0.25">
      <c r="A142" s="14">
        <v>69</v>
      </c>
      <c r="B142" s="1"/>
      <c r="C142" s="144" t="s">
        <v>53</v>
      </c>
      <c r="D142" s="1" t="s">
        <v>86</v>
      </c>
      <c r="E142" s="22">
        <f t="shared" si="4"/>
        <v>214.4</v>
      </c>
      <c r="F142" s="22">
        <f>200.9+2.6+10.9</f>
        <v>214.4</v>
      </c>
      <c r="G142" s="22">
        <f>162.9+10.6</f>
        <v>173.5</v>
      </c>
      <c r="H142" s="22"/>
    </row>
    <row r="143" spans="1:8" ht="15" customHeight="1" x14ac:dyDescent="0.25">
      <c r="A143" s="14">
        <v>70</v>
      </c>
      <c r="B143" s="1"/>
      <c r="C143" s="144" t="s">
        <v>54</v>
      </c>
      <c r="D143" s="1" t="s">
        <v>86</v>
      </c>
      <c r="E143" s="22">
        <f t="shared" si="4"/>
        <v>156.4</v>
      </c>
      <c r="F143" s="22">
        <f>147.1+2+7.3</f>
        <v>156.4</v>
      </c>
      <c r="G143" s="22">
        <f>111.3+7.2</f>
        <v>118.5</v>
      </c>
      <c r="H143" s="22"/>
    </row>
    <row r="144" spans="1:8" ht="15" customHeight="1" x14ac:dyDescent="0.25">
      <c r="A144" s="14">
        <v>71</v>
      </c>
      <c r="B144" s="1"/>
      <c r="C144" s="144" t="s">
        <v>48</v>
      </c>
      <c r="D144" s="1" t="s">
        <v>86</v>
      </c>
      <c r="E144" s="22">
        <f t="shared" si="4"/>
        <v>137.19999999999999</v>
      </c>
      <c r="F144" s="22">
        <f>127+1.2+2.5+6.5</f>
        <v>137.19999999999999</v>
      </c>
      <c r="G144" s="22">
        <f>98+2.5+6.4</f>
        <v>106.9</v>
      </c>
      <c r="H144" s="22"/>
    </row>
    <row r="145" spans="1:8" ht="15" customHeight="1" x14ac:dyDescent="0.25">
      <c r="A145" s="14">
        <v>72</v>
      </c>
      <c r="B145" s="1"/>
      <c r="C145" s="144" t="s">
        <v>55</v>
      </c>
      <c r="D145" s="1" t="s">
        <v>86</v>
      </c>
      <c r="E145" s="22">
        <f t="shared" si="4"/>
        <v>95.899999999999991</v>
      </c>
      <c r="F145" s="22">
        <f>90.8+5.1</f>
        <v>95.899999999999991</v>
      </c>
      <c r="G145" s="22">
        <f>77.4+5</f>
        <v>82.4</v>
      </c>
      <c r="H145" s="22"/>
    </row>
    <row r="146" spans="1:8" ht="15" customHeight="1" x14ac:dyDescent="0.25">
      <c r="A146" s="14">
        <v>73</v>
      </c>
      <c r="B146" s="1"/>
      <c r="C146" s="144" t="s">
        <v>56</v>
      </c>
      <c r="D146" s="1" t="s">
        <v>86</v>
      </c>
      <c r="E146" s="22">
        <f t="shared" si="4"/>
        <v>89.6</v>
      </c>
      <c r="F146" s="22">
        <f>84.5+0.5+4.6</f>
        <v>89.6</v>
      </c>
      <c r="G146" s="22">
        <f>68.8+4.4</f>
        <v>73.2</v>
      </c>
      <c r="H146" s="22"/>
    </row>
    <row r="147" spans="1:8" ht="26.25" customHeight="1" x14ac:dyDescent="0.25">
      <c r="A147" s="14">
        <v>74</v>
      </c>
      <c r="B147" s="1"/>
      <c r="C147" s="18" t="s">
        <v>57</v>
      </c>
      <c r="D147" s="1" t="s">
        <v>87</v>
      </c>
      <c r="E147" s="22">
        <f t="shared" si="4"/>
        <v>937.69999999999993</v>
      </c>
      <c r="F147" s="22">
        <f>881.3+6+50.4</f>
        <v>937.69999999999993</v>
      </c>
      <c r="G147" s="22">
        <f>763.4+49.4</f>
        <v>812.8</v>
      </c>
      <c r="H147" s="22"/>
    </row>
    <row r="148" spans="1:8" ht="17.25" customHeight="1" x14ac:dyDescent="0.25">
      <c r="A148" s="244">
        <v>75</v>
      </c>
      <c r="B148" s="245"/>
      <c r="C148" s="144" t="s">
        <v>46</v>
      </c>
      <c r="D148" s="245" t="s">
        <v>88</v>
      </c>
      <c r="E148" s="22">
        <f t="shared" si="4"/>
        <v>470</v>
      </c>
      <c r="F148" s="22">
        <f>441.9+4.5+23.6</f>
        <v>470</v>
      </c>
      <c r="G148" s="22">
        <f>356.8+23.1</f>
        <v>379.90000000000003</v>
      </c>
      <c r="H148" s="22"/>
    </row>
    <row r="149" spans="1:8" ht="26.4" x14ac:dyDescent="0.25">
      <c r="A149" s="244"/>
      <c r="B149" s="245"/>
      <c r="C149" s="152" t="s">
        <v>437</v>
      </c>
      <c r="D149" s="245"/>
      <c r="E149" s="22">
        <f t="shared" si="4"/>
        <v>20</v>
      </c>
      <c r="F149" s="22">
        <v>20</v>
      </c>
      <c r="G149" s="22"/>
      <c r="H149" s="22"/>
    </row>
    <row r="150" spans="1:8" ht="12.6" customHeight="1" x14ac:dyDescent="0.25">
      <c r="A150" s="14">
        <v>76</v>
      </c>
      <c r="B150" s="1"/>
      <c r="C150" s="19" t="s">
        <v>221</v>
      </c>
      <c r="D150" s="1"/>
      <c r="E150" s="22">
        <f>+F150+H150</f>
        <v>779.39999999999986</v>
      </c>
      <c r="F150" s="22">
        <f>+F151+F152+F153+F154</f>
        <v>377.59999999999997</v>
      </c>
      <c r="G150" s="22">
        <f>+G151+G152+G153+G155+G156+G154</f>
        <v>67</v>
      </c>
      <c r="H150" s="22">
        <f>+H151+H152+H153+H155+H156+H154</f>
        <v>401.79999999999995</v>
      </c>
    </row>
    <row r="151" spans="1:8" ht="26.4" x14ac:dyDescent="0.25">
      <c r="A151" s="120" t="s">
        <v>546</v>
      </c>
      <c r="B151" s="1"/>
      <c r="C151" s="19" t="s">
        <v>3</v>
      </c>
      <c r="D151" s="16" t="s">
        <v>160</v>
      </c>
      <c r="E151" s="22">
        <f t="shared" si="4"/>
        <v>253.7</v>
      </c>
      <c r="F151" s="22">
        <f>244.2+2.8+6.7</f>
        <v>253.7</v>
      </c>
      <c r="G151" s="22">
        <f>60.3+6.7</f>
        <v>67</v>
      </c>
      <c r="H151" s="22"/>
    </row>
    <row r="152" spans="1:8" ht="66" x14ac:dyDescent="0.25">
      <c r="A152" s="120" t="s">
        <v>547</v>
      </c>
      <c r="B152" s="1"/>
      <c r="C152" s="45" t="s">
        <v>270</v>
      </c>
      <c r="D152" s="16" t="s">
        <v>89</v>
      </c>
      <c r="E152" s="22">
        <f t="shared" si="4"/>
        <v>20</v>
      </c>
      <c r="F152" s="22">
        <v>20</v>
      </c>
      <c r="G152" s="22"/>
      <c r="H152" s="22"/>
    </row>
    <row r="153" spans="1:8" x14ac:dyDescent="0.25">
      <c r="A153" s="120" t="s">
        <v>548</v>
      </c>
      <c r="B153" s="1"/>
      <c r="C153" s="45" t="s">
        <v>173</v>
      </c>
      <c r="D153" s="16" t="s">
        <v>89</v>
      </c>
      <c r="E153" s="22">
        <f t="shared" si="4"/>
        <v>10</v>
      </c>
      <c r="F153" s="22">
        <v>10</v>
      </c>
      <c r="G153" s="22"/>
      <c r="H153" s="22"/>
    </row>
    <row r="154" spans="1:8" ht="39" customHeight="1" x14ac:dyDescent="0.25">
      <c r="A154" s="120" t="s">
        <v>549</v>
      </c>
      <c r="B154" s="1"/>
      <c r="C154" s="154" t="s">
        <v>418</v>
      </c>
      <c r="D154" s="11"/>
      <c r="E154" s="139">
        <f>+F154+H154</f>
        <v>495.69999999999993</v>
      </c>
      <c r="F154" s="139">
        <f>+F155+F156+F157+F158+F159+F160</f>
        <v>93.899999999999991</v>
      </c>
      <c r="G154" s="139">
        <f>+G155+G156+G157+G158+G159+G160</f>
        <v>0</v>
      </c>
      <c r="H154" s="139">
        <f>+H155+H156+H157+H158+H159+H160</f>
        <v>401.79999999999995</v>
      </c>
    </row>
    <row r="155" spans="1:8" ht="39.6" x14ac:dyDescent="0.25">
      <c r="A155" s="120" t="s">
        <v>550</v>
      </c>
      <c r="B155" s="1"/>
      <c r="C155" s="75" t="s">
        <v>444</v>
      </c>
      <c r="D155" s="16" t="s">
        <v>199</v>
      </c>
      <c r="E155" s="22">
        <f t="shared" si="4"/>
        <v>59.499999999999993</v>
      </c>
      <c r="F155" s="22">
        <f>72.1-12.6</f>
        <v>59.499999999999993</v>
      </c>
      <c r="G155" s="22"/>
      <c r="H155" s="22"/>
    </row>
    <row r="156" spans="1:8" ht="26.4" x14ac:dyDescent="0.25">
      <c r="A156" s="120" t="s">
        <v>567</v>
      </c>
      <c r="B156" s="1"/>
      <c r="C156" s="75" t="s">
        <v>257</v>
      </c>
      <c r="D156" s="16" t="s">
        <v>199</v>
      </c>
      <c r="E156" s="22">
        <f t="shared" si="4"/>
        <v>29.3</v>
      </c>
      <c r="F156" s="22">
        <v>29.3</v>
      </c>
      <c r="G156" s="22"/>
      <c r="H156" s="22"/>
    </row>
    <row r="157" spans="1:8" ht="39.6" x14ac:dyDescent="0.25">
      <c r="A157" s="120" t="s">
        <v>568</v>
      </c>
      <c r="B157" s="1"/>
      <c r="C157" s="75" t="s">
        <v>228</v>
      </c>
      <c r="D157" s="1" t="s">
        <v>88</v>
      </c>
      <c r="E157" s="22">
        <f t="shared" si="4"/>
        <v>52</v>
      </c>
      <c r="F157" s="22">
        <v>0.1</v>
      </c>
      <c r="G157" s="22"/>
      <c r="H157" s="22">
        <v>51.9</v>
      </c>
    </row>
    <row r="158" spans="1:8" ht="26.4" x14ac:dyDescent="0.25">
      <c r="A158" s="120" t="s">
        <v>569</v>
      </c>
      <c r="B158" s="1"/>
      <c r="C158" s="75" t="s">
        <v>271</v>
      </c>
      <c r="D158" s="1" t="s">
        <v>86</v>
      </c>
      <c r="E158" s="22">
        <f t="shared" si="4"/>
        <v>314.89999999999998</v>
      </c>
      <c r="F158" s="22"/>
      <c r="G158" s="22"/>
      <c r="H158" s="22">
        <f>32.9+282</f>
        <v>314.89999999999998</v>
      </c>
    </row>
    <row r="159" spans="1:8" x14ac:dyDescent="0.25">
      <c r="A159" s="120" t="s">
        <v>570</v>
      </c>
      <c r="B159" s="1"/>
      <c r="C159" s="46" t="s">
        <v>445</v>
      </c>
      <c r="D159" s="16" t="s">
        <v>86</v>
      </c>
      <c r="E159" s="22">
        <f t="shared" si="4"/>
        <v>5</v>
      </c>
      <c r="F159" s="22">
        <v>5</v>
      </c>
      <c r="G159" s="22"/>
      <c r="H159" s="22"/>
    </row>
    <row r="160" spans="1:8" ht="26.4" x14ac:dyDescent="0.25">
      <c r="A160" s="120" t="s">
        <v>571</v>
      </c>
      <c r="B160" s="1"/>
      <c r="C160" s="45" t="s">
        <v>272</v>
      </c>
      <c r="D160" s="16" t="s">
        <v>86</v>
      </c>
      <c r="E160" s="22">
        <f t="shared" si="4"/>
        <v>35</v>
      </c>
      <c r="F160" s="22"/>
      <c r="G160" s="22"/>
      <c r="H160" s="22">
        <v>35</v>
      </c>
    </row>
    <row r="161" spans="1:10" ht="31.5" customHeight="1" x14ac:dyDescent="0.25">
      <c r="A161" s="14">
        <v>77</v>
      </c>
      <c r="B161" s="1"/>
      <c r="C161" s="18" t="s">
        <v>6</v>
      </c>
      <c r="D161" s="1" t="s">
        <v>88</v>
      </c>
      <c r="E161" s="22">
        <f t="shared" si="4"/>
        <v>6.3</v>
      </c>
      <c r="F161" s="22">
        <f>5.8+0.5</f>
        <v>6.3</v>
      </c>
      <c r="G161" s="22">
        <f>5.6+0.5</f>
        <v>6.1</v>
      </c>
      <c r="H161" s="22"/>
      <c r="J161" s="4"/>
    </row>
    <row r="162" spans="1:10" ht="30" customHeight="1" x14ac:dyDescent="0.25">
      <c r="A162" s="14">
        <v>78</v>
      </c>
      <c r="B162" s="13" t="s">
        <v>111</v>
      </c>
      <c r="C162" s="49" t="s">
        <v>112</v>
      </c>
      <c r="D162" s="1"/>
      <c r="E162" s="32">
        <f t="shared" si="4"/>
        <v>858.8</v>
      </c>
      <c r="F162" s="32">
        <f>+F165+F163</f>
        <v>241.8</v>
      </c>
      <c r="G162" s="32">
        <f>+G165</f>
        <v>0</v>
      </c>
      <c r="H162" s="32">
        <f>+H165</f>
        <v>617</v>
      </c>
    </row>
    <row r="163" spans="1:10" x14ac:dyDescent="0.25">
      <c r="A163" s="225">
        <v>79</v>
      </c>
      <c r="B163" s="248"/>
      <c r="C163" s="144" t="s">
        <v>566</v>
      </c>
      <c r="D163" s="227" t="s">
        <v>113</v>
      </c>
      <c r="E163" s="22">
        <f t="shared" si="4"/>
        <v>86</v>
      </c>
      <c r="F163" s="22">
        <f>+F164</f>
        <v>86</v>
      </c>
      <c r="G163" s="32"/>
      <c r="H163" s="32"/>
    </row>
    <row r="164" spans="1:10" ht="26.4" x14ac:dyDescent="0.25">
      <c r="A164" s="226"/>
      <c r="B164" s="249"/>
      <c r="C164" s="47" t="s">
        <v>662</v>
      </c>
      <c r="D164" s="228"/>
      <c r="E164" s="22">
        <f t="shared" si="4"/>
        <v>86</v>
      </c>
      <c r="F164" s="22">
        <v>86</v>
      </c>
      <c r="G164" s="22"/>
      <c r="H164" s="22"/>
    </row>
    <row r="165" spans="1:10" ht="21" customHeight="1" x14ac:dyDescent="0.25">
      <c r="A165" s="14">
        <v>80</v>
      </c>
      <c r="B165" s="1"/>
      <c r="C165" s="19" t="s">
        <v>221</v>
      </c>
      <c r="D165" s="1"/>
      <c r="E165" s="22">
        <f t="shared" si="4"/>
        <v>772.8</v>
      </c>
      <c r="F165" s="22">
        <f>+F166+F167+F169+F168</f>
        <v>155.80000000000001</v>
      </c>
      <c r="G165" s="22">
        <f>+G166+G167+G169+G168</f>
        <v>0</v>
      </c>
      <c r="H165" s="22">
        <f>+H166+H167+H169+H168</f>
        <v>617</v>
      </c>
    </row>
    <row r="166" spans="1:10" ht="27.6" customHeight="1" x14ac:dyDescent="0.25">
      <c r="A166" s="161" t="s">
        <v>572</v>
      </c>
      <c r="B166" s="1"/>
      <c r="C166" s="45" t="s">
        <v>252</v>
      </c>
      <c r="D166" s="1" t="s">
        <v>113</v>
      </c>
      <c r="E166" s="22">
        <f t="shared" si="4"/>
        <v>46</v>
      </c>
      <c r="F166" s="22">
        <v>46</v>
      </c>
      <c r="G166" s="22"/>
      <c r="H166" s="22"/>
    </row>
    <row r="167" spans="1:10" ht="27.6" customHeight="1" x14ac:dyDescent="0.25">
      <c r="A167" s="161" t="s">
        <v>573</v>
      </c>
      <c r="B167" s="1"/>
      <c r="C167" s="45" t="s">
        <v>158</v>
      </c>
      <c r="D167" s="1" t="s">
        <v>161</v>
      </c>
      <c r="E167" s="22">
        <f t="shared" si="4"/>
        <v>20</v>
      </c>
      <c r="F167" s="22">
        <v>20</v>
      </c>
      <c r="G167" s="22"/>
      <c r="H167" s="22"/>
    </row>
    <row r="168" spans="1:10" x14ac:dyDescent="0.25">
      <c r="A168" s="161" t="s">
        <v>574</v>
      </c>
      <c r="B168" s="1"/>
      <c r="C168" s="46" t="s">
        <v>438</v>
      </c>
      <c r="D168" s="1" t="s">
        <v>113</v>
      </c>
      <c r="E168" s="22">
        <f t="shared" si="4"/>
        <v>10</v>
      </c>
      <c r="F168" s="22">
        <v>10</v>
      </c>
      <c r="G168" s="22"/>
      <c r="H168" s="22"/>
    </row>
    <row r="169" spans="1:10" ht="41.4" customHeight="1" x14ac:dyDescent="0.25">
      <c r="A169" s="161" t="s">
        <v>575</v>
      </c>
      <c r="B169" s="1"/>
      <c r="C169" s="154" t="s">
        <v>418</v>
      </c>
      <c r="D169" s="13"/>
      <c r="E169" s="139">
        <f>+F169+H169</f>
        <v>696.8</v>
      </c>
      <c r="F169" s="139">
        <f>+F170+F171+F172+F173+F174+F175+F176+F177+F178+F179+F180+F181+F182+F183+F184+F185+F186+F187</f>
        <v>79.800000000000011</v>
      </c>
      <c r="G169" s="139">
        <f>+G170+G171+G172+G173+G174+G175+G176+G177+G178+G179+G180+G181+G182+G183+G184+G185+G186+G187</f>
        <v>0</v>
      </c>
      <c r="H169" s="139">
        <f>+H170+H171+H172+H173+H174+H175+H176+H177+H178+H179+H180+H181+H182+H183+H184+H185+H186+H187</f>
        <v>617</v>
      </c>
    </row>
    <row r="170" spans="1:10" ht="26.4" x14ac:dyDescent="0.25">
      <c r="A170" s="120" t="s">
        <v>576</v>
      </c>
      <c r="B170" s="1"/>
      <c r="C170" s="46" t="s">
        <v>253</v>
      </c>
      <c r="D170" s="16" t="s">
        <v>192</v>
      </c>
      <c r="E170" s="22">
        <f t="shared" ref="E170:E231" si="5">+F170+H170</f>
        <v>20</v>
      </c>
      <c r="F170" s="22">
        <v>20</v>
      </c>
      <c r="G170" s="22"/>
      <c r="H170" s="22"/>
    </row>
    <row r="171" spans="1:10" ht="39.6" x14ac:dyDescent="0.25">
      <c r="A171" s="120" t="s">
        <v>577</v>
      </c>
      <c r="B171" s="1"/>
      <c r="C171" s="46" t="s">
        <v>254</v>
      </c>
      <c r="D171" s="1" t="s">
        <v>138</v>
      </c>
      <c r="E171" s="22">
        <f t="shared" si="5"/>
        <v>75</v>
      </c>
      <c r="F171" s="22">
        <v>0.1</v>
      </c>
      <c r="G171" s="22"/>
      <c r="H171" s="22">
        <v>74.900000000000006</v>
      </c>
    </row>
    <row r="172" spans="1:10" ht="26.4" x14ac:dyDescent="0.25">
      <c r="A172" s="120" t="s">
        <v>578</v>
      </c>
      <c r="B172" s="1"/>
      <c r="C172" s="45" t="s">
        <v>446</v>
      </c>
      <c r="D172" s="1" t="s">
        <v>124</v>
      </c>
      <c r="E172" s="22">
        <f t="shared" si="5"/>
        <v>10</v>
      </c>
      <c r="F172" s="22">
        <v>10</v>
      </c>
      <c r="G172" s="22"/>
      <c r="H172" s="22"/>
    </row>
    <row r="173" spans="1:10" ht="26.4" x14ac:dyDescent="0.25">
      <c r="A173" s="120" t="s">
        <v>579</v>
      </c>
      <c r="B173" s="1"/>
      <c r="C173" s="46" t="s">
        <v>447</v>
      </c>
      <c r="D173" s="1" t="s">
        <v>124</v>
      </c>
      <c r="E173" s="22">
        <f t="shared" si="5"/>
        <v>8.6</v>
      </c>
      <c r="F173" s="22">
        <v>8.6</v>
      </c>
      <c r="G173" s="22"/>
      <c r="H173" s="22"/>
    </row>
    <row r="174" spans="1:10" ht="26.4" x14ac:dyDescent="0.25">
      <c r="A174" s="120" t="s">
        <v>580</v>
      </c>
      <c r="B174" s="1"/>
      <c r="C174" s="46" t="s">
        <v>448</v>
      </c>
      <c r="D174" s="16" t="s">
        <v>138</v>
      </c>
      <c r="E174" s="22">
        <f t="shared" si="5"/>
        <v>3</v>
      </c>
      <c r="F174" s="22">
        <v>3</v>
      </c>
      <c r="G174" s="22"/>
      <c r="H174" s="22"/>
    </row>
    <row r="175" spans="1:10" ht="26.4" x14ac:dyDescent="0.25">
      <c r="A175" s="120" t="s">
        <v>581</v>
      </c>
      <c r="B175" s="1"/>
      <c r="C175" s="46" t="s">
        <v>449</v>
      </c>
      <c r="D175" s="17" t="s">
        <v>124</v>
      </c>
      <c r="E175" s="22">
        <f t="shared" si="5"/>
        <v>5</v>
      </c>
      <c r="F175" s="22">
        <v>5</v>
      </c>
      <c r="G175" s="22"/>
      <c r="H175" s="22"/>
    </row>
    <row r="176" spans="1:10" ht="26.4" x14ac:dyDescent="0.25">
      <c r="A176" s="120" t="s">
        <v>582</v>
      </c>
      <c r="B176" s="1"/>
      <c r="C176" s="46" t="s">
        <v>255</v>
      </c>
      <c r="D176" s="17" t="s">
        <v>124</v>
      </c>
      <c r="E176" s="22">
        <f t="shared" si="5"/>
        <v>1.5</v>
      </c>
      <c r="F176" s="22">
        <v>1.5</v>
      </c>
      <c r="G176" s="22"/>
      <c r="H176" s="22"/>
    </row>
    <row r="177" spans="1:8" ht="39.6" x14ac:dyDescent="0.25">
      <c r="A177" s="120" t="s">
        <v>583</v>
      </c>
      <c r="B177" s="1"/>
      <c r="C177" s="46" t="s">
        <v>450</v>
      </c>
      <c r="D177" s="17" t="s">
        <v>124</v>
      </c>
      <c r="E177" s="22">
        <f t="shared" si="5"/>
        <v>10</v>
      </c>
      <c r="F177" s="22">
        <v>10</v>
      </c>
      <c r="G177" s="22"/>
      <c r="H177" s="22"/>
    </row>
    <row r="178" spans="1:8" ht="39.6" x14ac:dyDescent="0.25">
      <c r="A178" s="120" t="s">
        <v>584</v>
      </c>
      <c r="B178" s="1"/>
      <c r="C178" s="46" t="s">
        <v>663</v>
      </c>
      <c r="D178" s="17" t="s">
        <v>138</v>
      </c>
      <c r="E178" s="22">
        <f t="shared" si="5"/>
        <v>5</v>
      </c>
      <c r="F178" s="22">
        <v>5</v>
      </c>
      <c r="G178" s="22"/>
      <c r="H178" s="22"/>
    </row>
    <row r="179" spans="1:8" ht="52.8" x14ac:dyDescent="0.25">
      <c r="A179" s="120" t="s">
        <v>585</v>
      </c>
      <c r="B179" s="1"/>
      <c r="C179" s="46" t="s">
        <v>200</v>
      </c>
      <c r="D179" s="17" t="s">
        <v>162</v>
      </c>
      <c r="E179" s="22">
        <f t="shared" si="5"/>
        <v>314.8</v>
      </c>
      <c r="F179" s="22">
        <v>0.1</v>
      </c>
      <c r="G179" s="22"/>
      <c r="H179" s="22">
        <v>314.7</v>
      </c>
    </row>
    <row r="180" spans="1:8" ht="26.4" x14ac:dyDescent="0.25">
      <c r="A180" s="120" t="s">
        <v>586</v>
      </c>
      <c r="B180" s="1"/>
      <c r="C180" s="46" t="s">
        <v>186</v>
      </c>
      <c r="D180" s="17" t="s">
        <v>125</v>
      </c>
      <c r="E180" s="22">
        <f t="shared" si="5"/>
        <v>18.600000000000001</v>
      </c>
      <c r="F180" s="22"/>
      <c r="G180" s="22"/>
      <c r="H180" s="22">
        <f>8.6+10</f>
        <v>18.600000000000001</v>
      </c>
    </row>
    <row r="181" spans="1:8" ht="39.6" x14ac:dyDescent="0.25">
      <c r="A181" s="120" t="s">
        <v>587</v>
      </c>
      <c r="B181" s="1"/>
      <c r="C181" s="46" t="s">
        <v>211</v>
      </c>
      <c r="D181" s="1" t="s">
        <v>162</v>
      </c>
      <c r="E181" s="22">
        <f t="shared" si="5"/>
        <v>8.3000000000000007</v>
      </c>
      <c r="F181" s="22">
        <v>0.5</v>
      </c>
      <c r="G181" s="22"/>
      <c r="H181" s="22">
        <v>7.8</v>
      </c>
    </row>
    <row r="182" spans="1:8" ht="26.4" x14ac:dyDescent="0.25">
      <c r="A182" s="120" t="s">
        <v>588</v>
      </c>
      <c r="B182" s="1"/>
      <c r="C182" s="46" t="s">
        <v>451</v>
      </c>
      <c r="D182" s="78" t="s">
        <v>246</v>
      </c>
      <c r="E182" s="22">
        <f t="shared" si="5"/>
        <v>10</v>
      </c>
      <c r="F182" s="22">
        <v>10</v>
      </c>
      <c r="G182" s="22"/>
      <c r="H182" s="22"/>
    </row>
    <row r="183" spans="1:8" ht="26.4" x14ac:dyDescent="0.25">
      <c r="A183" s="120" t="s">
        <v>589</v>
      </c>
      <c r="B183" s="1"/>
      <c r="C183" s="46" t="s">
        <v>452</v>
      </c>
      <c r="D183" s="17" t="s">
        <v>124</v>
      </c>
      <c r="E183" s="22">
        <f t="shared" si="5"/>
        <v>3</v>
      </c>
      <c r="F183" s="22">
        <v>3</v>
      </c>
      <c r="G183" s="22"/>
      <c r="H183" s="22"/>
    </row>
    <row r="184" spans="1:8" ht="39.6" x14ac:dyDescent="0.25">
      <c r="A184" s="120" t="s">
        <v>590</v>
      </c>
      <c r="B184" s="1"/>
      <c r="C184" s="46" t="s">
        <v>453</v>
      </c>
      <c r="D184" s="17" t="s">
        <v>124</v>
      </c>
      <c r="E184" s="22">
        <f t="shared" si="5"/>
        <v>3</v>
      </c>
      <c r="F184" s="22">
        <v>3</v>
      </c>
      <c r="G184" s="22"/>
      <c r="H184" s="22"/>
    </row>
    <row r="185" spans="1:8" ht="26.4" x14ac:dyDescent="0.25">
      <c r="A185" s="120" t="s">
        <v>591</v>
      </c>
      <c r="B185" s="1"/>
      <c r="C185" s="46" t="s">
        <v>454</v>
      </c>
      <c r="D185" s="1" t="s">
        <v>138</v>
      </c>
      <c r="E185" s="22">
        <f t="shared" si="5"/>
        <v>5</v>
      </c>
      <c r="F185" s="22"/>
      <c r="G185" s="22"/>
      <c r="H185" s="22">
        <v>5</v>
      </c>
    </row>
    <row r="186" spans="1:8" ht="20.399999999999999" customHeight="1" x14ac:dyDescent="0.25">
      <c r="A186" s="120" t="s">
        <v>592</v>
      </c>
      <c r="B186" s="1"/>
      <c r="C186" s="46" t="s">
        <v>455</v>
      </c>
      <c r="D186" s="17" t="s">
        <v>645</v>
      </c>
      <c r="E186" s="22">
        <f t="shared" si="5"/>
        <v>30</v>
      </c>
      <c r="F186" s="22"/>
      <c r="G186" s="22"/>
      <c r="H186" s="22">
        <v>30</v>
      </c>
    </row>
    <row r="187" spans="1:8" ht="15.6" customHeight="1" x14ac:dyDescent="0.25">
      <c r="A187" s="120" t="s">
        <v>664</v>
      </c>
      <c r="B187" s="1"/>
      <c r="C187" s="46" t="s">
        <v>665</v>
      </c>
      <c r="D187" s="17" t="s">
        <v>125</v>
      </c>
      <c r="E187" s="22">
        <f t="shared" si="5"/>
        <v>166</v>
      </c>
      <c r="F187" s="22"/>
      <c r="G187" s="22"/>
      <c r="H187" s="22">
        <f>90+76</f>
        <v>166</v>
      </c>
    </row>
    <row r="188" spans="1:8" ht="27" customHeight="1" x14ac:dyDescent="0.25">
      <c r="A188" s="14">
        <v>81</v>
      </c>
      <c r="B188" s="13" t="s">
        <v>90</v>
      </c>
      <c r="C188" s="50" t="s">
        <v>91</v>
      </c>
      <c r="D188" s="11"/>
      <c r="E188" s="35">
        <f t="shared" si="5"/>
        <v>2095.4</v>
      </c>
      <c r="F188" s="35">
        <f>+F189+F220+F221+F222+F223+F224+F225+F226+F227+F228+F229+F230</f>
        <v>598.1</v>
      </c>
      <c r="G188" s="35">
        <f>+G221+G222+G224+G223+G220+G225+G226+G228+G227+G229+G230+G189</f>
        <v>0</v>
      </c>
      <c r="H188" s="35">
        <f>+H221+H222+H224+H223+H220+H225+H226+H228+H227+H229+H230+H189</f>
        <v>1497.3000000000002</v>
      </c>
    </row>
    <row r="189" spans="1:8" ht="12.6" customHeight="1" x14ac:dyDescent="0.25">
      <c r="A189" s="14">
        <v>82</v>
      </c>
      <c r="B189" s="1"/>
      <c r="C189" s="19" t="s">
        <v>229</v>
      </c>
      <c r="D189" s="16"/>
      <c r="E189" s="22">
        <f t="shared" si="5"/>
        <v>1750.7000000000003</v>
      </c>
      <c r="F189" s="22">
        <f>F190</f>
        <v>253.4</v>
      </c>
      <c r="G189" s="22">
        <f>G190</f>
        <v>0</v>
      </c>
      <c r="H189" s="22">
        <f>H190</f>
        <v>1497.3000000000002</v>
      </c>
    </row>
    <row r="190" spans="1:8" ht="39" customHeight="1" x14ac:dyDescent="0.25">
      <c r="A190" s="120" t="s">
        <v>593</v>
      </c>
      <c r="B190" s="1"/>
      <c r="C190" s="154" t="s">
        <v>418</v>
      </c>
      <c r="D190" s="16"/>
      <c r="E190" s="139">
        <f t="shared" si="5"/>
        <v>1750.7000000000003</v>
      </c>
      <c r="F190" s="139">
        <f>+F191+F192+F193+F194+F195+F196+F197+F198+F199+F200+F201+F202+F203+F204+F205+F206+F207+F208+F209+F210+F211+F212+F213+F214+F215+F216+F217+F218+F219</f>
        <v>253.4</v>
      </c>
      <c r="G190" s="139">
        <f>+G191+G192+G193+G194+G195+G196+G197+G198+G199+G200+G201+G202+G203+G204+G205+G206+G207+G208+G209+G210+G211+G212+G213+G214+G215+G216+G217+G218+G219</f>
        <v>0</v>
      </c>
      <c r="H190" s="139">
        <f>+H191+H192+H193+H194+H195+H196+H197+H198+H199+H200+H201+H202+H203+H204+H205+H206+H207+H208+H209+H210+H211+H212+H213+H214+H215+H216+H217+H218+H219</f>
        <v>1497.3000000000002</v>
      </c>
    </row>
    <row r="191" spans="1:8" ht="27.6" customHeight="1" x14ac:dyDescent="0.25">
      <c r="A191" s="120" t="s">
        <v>594</v>
      </c>
      <c r="B191" s="1"/>
      <c r="C191" s="75" t="s">
        <v>139</v>
      </c>
      <c r="D191" s="16" t="s">
        <v>141</v>
      </c>
      <c r="E191" s="22">
        <f t="shared" si="5"/>
        <v>85</v>
      </c>
      <c r="F191" s="22">
        <v>30</v>
      </c>
      <c r="G191" s="22"/>
      <c r="H191" s="22">
        <v>55</v>
      </c>
    </row>
    <row r="192" spans="1:8" x14ac:dyDescent="0.25">
      <c r="A192" s="120" t="s">
        <v>595</v>
      </c>
      <c r="B192" s="1"/>
      <c r="C192" s="158" t="s">
        <v>230</v>
      </c>
      <c r="D192" s="16" t="s">
        <v>141</v>
      </c>
      <c r="E192" s="22">
        <f t="shared" si="5"/>
        <v>5</v>
      </c>
      <c r="F192" s="22"/>
      <c r="G192" s="22"/>
      <c r="H192" s="22">
        <v>5</v>
      </c>
    </row>
    <row r="193" spans="1:8" x14ac:dyDescent="0.25">
      <c r="A193" s="120" t="s">
        <v>596</v>
      </c>
      <c r="B193" s="1"/>
      <c r="C193" s="158" t="s">
        <v>231</v>
      </c>
      <c r="D193" s="16" t="s">
        <v>141</v>
      </c>
      <c r="E193" s="22">
        <f t="shared" si="5"/>
        <v>4.2</v>
      </c>
      <c r="F193" s="22"/>
      <c r="G193" s="22"/>
      <c r="H193" s="22">
        <v>4.2</v>
      </c>
    </row>
    <row r="194" spans="1:8" ht="27" customHeight="1" x14ac:dyDescent="0.25">
      <c r="A194" s="120" t="s">
        <v>597</v>
      </c>
      <c r="B194" s="1"/>
      <c r="C194" s="46" t="s">
        <v>133</v>
      </c>
      <c r="D194" s="16" t="s">
        <v>41</v>
      </c>
      <c r="E194" s="22">
        <f t="shared" si="5"/>
        <v>20</v>
      </c>
      <c r="F194" s="22">
        <f>15+5</f>
        <v>20</v>
      </c>
      <c r="G194" s="22"/>
      <c r="H194" s="22"/>
    </row>
    <row r="195" spans="1:8" ht="40.200000000000003" customHeight="1" x14ac:dyDescent="0.25">
      <c r="A195" s="120" t="s">
        <v>598</v>
      </c>
      <c r="B195" s="1"/>
      <c r="C195" s="19" t="s">
        <v>155</v>
      </c>
      <c r="D195" s="16" t="s">
        <v>141</v>
      </c>
      <c r="E195" s="22">
        <f t="shared" si="5"/>
        <v>15</v>
      </c>
      <c r="F195" s="22">
        <v>15</v>
      </c>
      <c r="G195" s="22"/>
      <c r="H195" s="22"/>
    </row>
    <row r="196" spans="1:8" ht="26.4" x14ac:dyDescent="0.25">
      <c r="A196" s="120" t="s">
        <v>599</v>
      </c>
      <c r="B196" s="1"/>
      <c r="C196" s="19" t="s">
        <v>456</v>
      </c>
      <c r="D196" s="16" t="s">
        <v>648</v>
      </c>
      <c r="E196" s="22">
        <f t="shared" si="5"/>
        <v>12</v>
      </c>
      <c r="F196" s="22"/>
      <c r="G196" s="22"/>
      <c r="H196" s="22">
        <f>15-3</f>
        <v>12</v>
      </c>
    </row>
    <row r="197" spans="1:8" ht="39.6" x14ac:dyDescent="0.25">
      <c r="A197" s="120" t="s">
        <v>600</v>
      </c>
      <c r="B197" s="1"/>
      <c r="C197" s="19" t="s">
        <v>835</v>
      </c>
      <c r="D197" s="162" t="s">
        <v>288</v>
      </c>
      <c r="E197" s="22">
        <f t="shared" si="5"/>
        <v>132.5</v>
      </c>
      <c r="F197" s="22"/>
      <c r="G197" s="22"/>
      <c r="H197" s="22">
        <f>115.5+17</f>
        <v>132.5</v>
      </c>
    </row>
    <row r="198" spans="1:8" ht="40.200000000000003" customHeight="1" x14ac:dyDescent="0.25">
      <c r="A198" s="120" t="s">
        <v>601</v>
      </c>
      <c r="B198" s="1"/>
      <c r="C198" s="18" t="s">
        <v>197</v>
      </c>
      <c r="D198" s="16" t="s">
        <v>193</v>
      </c>
      <c r="E198" s="22">
        <f t="shared" si="5"/>
        <v>80</v>
      </c>
      <c r="F198" s="22"/>
      <c r="G198" s="22"/>
      <c r="H198" s="22">
        <v>80</v>
      </c>
    </row>
    <row r="199" spans="1:8" ht="29.4" customHeight="1" x14ac:dyDescent="0.25">
      <c r="A199" s="120" t="s">
        <v>602</v>
      </c>
      <c r="B199" s="1"/>
      <c r="C199" s="18" t="s">
        <v>156</v>
      </c>
      <c r="D199" s="163" t="s">
        <v>289</v>
      </c>
      <c r="E199" s="22">
        <f t="shared" si="5"/>
        <v>138</v>
      </c>
      <c r="F199" s="22"/>
      <c r="G199" s="22"/>
      <c r="H199" s="22">
        <v>138</v>
      </c>
    </row>
    <row r="200" spans="1:8" ht="16.5" customHeight="1" x14ac:dyDescent="0.25">
      <c r="A200" s="120" t="s">
        <v>603</v>
      </c>
      <c r="B200" s="1"/>
      <c r="C200" s="18" t="s">
        <v>296</v>
      </c>
      <c r="D200" s="163" t="s">
        <v>289</v>
      </c>
      <c r="E200" s="22">
        <f t="shared" si="5"/>
        <v>246</v>
      </c>
      <c r="F200" s="22"/>
      <c r="G200" s="22"/>
      <c r="H200" s="22">
        <v>246</v>
      </c>
    </row>
    <row r="201" spans="1:8" ht="16.5" customHeight="1" x14ac:dyDescent="0.25">
      <c r="A201" s="120" t="s">
        <v>604</v>
      </c>
      <c r="B201" s="1"/>
      <c r="C201" s="18" t="s">
        <v>457</v>
      </c>
      <c r="D201" s="163" t="s">
        <v>289</v>
      </c>
      <c r="E201" s="22">
        <f t="shared" si="5"/>
        <v>82.5</v>
      </c>
      <c r="F201" s="22"/>
      <c r="G201" s="22"/>
      <c r="H201" s="22">
        <v>82.5</v>
      </c>
    </row>
    <row r="202" spans="1:8" ht="26.4" x14ac:dyDescent="0.25">
      <c r="A202" s="120" t="s">
        <v>605</v>
      </c>
      <c r="B202" s="1"/>
      <c r="C202" s="46" t="s">
        <v>134</v>
      </c>
      <c r="D202" s="16" t="s">
        <v>199</v>
      </c>
      <c r="E202" s="22">
        <f t="shared" si="5"/>
        <v>30</v>
      </c>
      <c r="F202" s="22">
        <v>30</v>
      </c>
      <c r="G202" s="22"/>
      <c r="H202" s="22"/>
    </row>
    <row r="203" spans="1:8" x14ac:dyDescent="0.25">
      <c r="A203" s="120" t="s">
        <v>606</v>
      </c>
      <c r="B203" s="1"/>
      <c r="C203" s="46" t="s">
        <v>135</v>
      </c>
      <c r="D203" s="16" t="s">
        <v>199</v>
      </c>
      <c r="E203" s="22">
        <f>+F203+H203</f>
        <v>40</v>
      </c>
      <c r="F203" s="22">
        <v>40</v>
      </c>
      <c r="G203" s="22"/>
      <c r="H203" s="22"/>
    </row>
    <row r="204" spans="1:8" ht="26.4" x14ac:dyDescent="0.25">
      <c r="A204" s="120" t="s">
        <v>607</v>
      </c>
      <c r="B204" s="1"/>
      <c r="C204" s="46" t="s">
        <v>458</v>
      </c>
      <c r="D204" s="16" t="s">
        <v>649</v>
      </c>
      <c r="E204" s="22">
        <f t="shared" si="5"/>
        <v>87</v>
      </c>
      <c r="F204" s="22"/>
      <c r="G204" s="22"/>
      <c r="H204" s="22">
        <v>87</v>
      </c>
    </row>
    <row r="205" spans="1:8" ht="26.4" x14ac:dyDescent="0.25">
      <c r="A205" s="120" t="s">
        <v>608</v>
      </c>
      <c r="B205" s="1"/>
      <c r="C205" s="46" t="s">
        <v>459</v>
      </c>
      <c r="D205" s="16" t="s">
        <v>164</v>
      </c>
      <c r="E205" s="22">
        <f t="shared" si="5"/>
        <v>15</v>
      </c>
      <c r="F205" s="22"/>
      <c r="G205" s="22"/>
      <c r="H205" s="22">
        <v>15</v>
      </c>
    </row>
    <row r="206" spans="1:8" ht="26.4" x14ac:dyDescent="0.25">
      <c r="A206" s="120" t="s">
        <v>609</v>
      </c>
      <c r="B206" s="1"/>
      <c r="C206" s="46" t="s">
        <v>460</v>
      </c>
      <c r="D206" s="16" t="s">
        <v>164</v>
      </c>
      <c r="E206" s="22">
        <f t="shared" si="5"/>
        <v>172</v>
      </c>
      <c r="F206" s="22"/>
      <c r="G206" s="22"/>
      <c r="H206" s="22">
        <v>172</v>
      </c>
    </row>
    <row r="207" spans="1:8" ht="26.4" x14ac:dyDescent="0.25">
      <c r="A207" s="120" t="s">
        <v>610</v>
      </c>
      <c r="B207" s="1"/>
      <c r="C207" s="18" t="s">
        <v>461</v>
      </c>
      <c r="D207" s="16" t="s">
        <v>92</v>
      </c>
      <c r="E207" s="22">
        <f t="shared" si="5"/>
        <v>11</v>
      </c>
      <c r="F207" s="22"/>
      <c r="G207" s="22"/>
      <c r="H207" s="22">
        <v>11</v>
      </c>
    </row>
    <row r="208" spans="1:8" ht="26.4" x14ac:dyDescent="0.25">
      <c r="A208" s="120" t="s">
        <v>611</v>
      </c>
      <c r="B208" s="1"/>
      <c r="C208" s="46" t="s">
        <v>232</v>
      </c>
      <c r="D208" s="16" t="s">
        <v>92</v>
      </c>
      <c r="E208" s="22">
        <f t="shared" si="5"/>
        <v>5</v>
      </c>
      <c r="F208" s="22"/>
      <c r="G208" s="22"/>
      <c r="H208" s="22">
        <v>5</v>
      </c>
    </row>
    <row r="209" spans="1:8" ht="26.4" x14ac:dyDescent="0.25">
      <c r="A209" s="120" t="s">
        <v>612</v>
      </c>
      <c r="B209" s="1"/>
      <c r="C209" s="46" t="s">
        <v>181</v>
      </c>
      <c r="D209" s="16" t="s">
        <v>92</v>
      </c>
      <c r="E209" s="22">
        <f t="shared" si="5"/>
        <v>20</v>
      </c>
      <c r="F209" s="22"/>
      <c r="G209" s="22"/>
      <c r="H209" s="22">
        <v>20</v>
      </c>
    </row>
    <row r="210" spans="1:8" ht="39.6" x14ac:dyDescent="0.25">
      <c r="A210" s="120" t="s">
        <v>613</v>
      </c>
      <c r="B210" s="1"/>
      <c r="C210" s="18" t="s">
        <v>462</v>
      </c>
      <c r="D210" s="16" t="s">
        <v>125</v>
      </c>
      <c r="E210" s="22">
        <f t="shared" si="5"/>
        <v>57</v>
      </c>
      <c r="F210" s="22"/>
      <c r="G210" s="22"/>
      <c r="H210" s="22">
        <v>57</v>
      </c>
    </row>
    <row r="211" spans="1:8" x14ac:dyDescent="0.25">
      <c r="A211" s="120" t="s">
        <v>614</v>
      </c>
      <c r="B211" s="1"/>
      <c r="C211" s="46" t="s">
        <v>136</v>
      </c>
      <c r="D211" s="16" t="s">
        <v>199</v>
      </c>
      <c r="E211" s="22">
        <f t="shared" si="5"/>
        <v>60</v>
      </c>
      <c r="F211" s="22">
        <f>50+10</f>
        <v>60</v>
      </c>
      <c r="G211" s="22"/>
      <c r="H211" s="22"/>
    </row>
    <row r="212" spans="1:8" x14ac:dyDescent="0.25">
      <c r="A212" s="120" t="s">
        <v>615</v>
      </c>
      <c r="B212" s="1"/>
      <c r="C212" s="46" t="s">
        <v>219</v>
      </c>
      <c r="D212" s="16" t="s">
        <v>199</v>
      </c>
      <c r="E212" s="22">
        <f t="shared" si="5"/>
        <v>50</v>
      </c>
      <c r="F212" s="22">
        <v>20</v>
      </c>
      <c r="G212" s="22"/>
      <c r="H212" s="22">
        <v>30</v>
      </c>
    </row>
    <row r="213" spans="1:8" ht="26.4" x14ac:dyDescent="0.25">
      <c r="A213" s="120" t="s">
        <v>616</v>
      </c>
      <c r="B213" s="1"/>
      <c r="C213" s="46" t="s">
        <v>310</v>
      </c>
      <c r="D213" s="66" t="s">
        <v>125</v>
      </c>
      <c r="E213" s="22">
        <f t="shared" si="5"/>
        <v>6.5</v>
      </c>
      <c r="F213" s="22"/>
      <c r="G213" s="22"/>
      <c r="H213" s="22">
        <v>6.5</v>
      </c>
    </row>
    <row r="214" spans="1:8" ht="26.4" x14ac:dyDescent="0.25">
      <c r="A214" s="120" t="s">
        <v>617</v>
      </c>
      <c r="B214" s="1"/>
      <c r="C214" s="46" t="s">
        <v>311</v>
      </c>
      <c r="D214" s="66" t="s">
        <v>125</v>
      </c>
      <c r="E214" s="22">
        <f t="shared" si="5"/>
        <v>2.7</v>
      </c>
      <c r="F214" s="22"/>
      <c r="G214" s="22"/>
      <c r="H214" s="22">
        <v>2.7</v>
      </c>
    </row>
    <row r="215" spans="1:8" ht="26.4" x14ac:dyDescent="0.25">
      <c r="A215" s="120" t="s">
        <v>618</v>
      </c>
      <c r="B215" s="1"/>
      <c r="C215" s="46" t="s">
        <v>312</v>
      </c>
      <c r="D215" s="66" t="s">
        <v>125</v>
      </c>
      <c r="E215" s="22">
        <f t="shared" si="5"/>
        <v>20</v>
      </c>
      <c r="F215" s="22"/>
      <c r="G215" s="22"/>
      <c r="H215" s="22">
        <v>20</v>
      </c>
    </row>
    <row r="216" spans="1:8" ht="14.25" customHeight="1" x14ac:dyDescent="0.25">
      <c r="A216" s="120" t="s">
        <v>619</v>
      </c>
      <c r="B216" s="1"/>
      <c r="C216" s="46" t="s">
        <v>137</v>
      </c>
      <c r="D216" s="16" t="s">
        <v>199</v>
      </c>
      <c r="E216" s="22">
        <f t="shared" si="5"/>
        <v>30</v>
      </c>
      <c r="F216" s="22">
        <v>30</v>
      </c>
      <c r="G216" s="22"/>
      <c r="H216" s="22"/>
    </row>
    <row r="217" spans="1:8" ht="29.4" customHeight="1" x14ac:dyDescent="0.25">
      <c r="A217" s="120" t="s">
        <v>620</v>
      </c>
      <c r="B217" s="1"/>
      <c r="C217" s="18" t="s">
        <v>188</v>
      </c>
      <c r="D217" s="16" t="s">
        <v>194</v>
      </c>
      <c r="E217" s="22">
        <f t="shared" si="5"/>
        <v>121.30000000000001</v>
      </c>
      <c r="F217" s="22">
        <v>7.4</v>
      </c>
      <c r="G217" s="22"/>
      <c r="H217" s="22">
        <f>140.4-26.5</f>
        <v>113.9</v>
      </c>
    </row>
    <row r="218" spans="1:8" ht="39.6" x14ac:dyDescent="0.25">
      <c r="A218" s="120" t="s">
        <v>621</v>
      </c>
      <c r="B218" s="1"/>
      <c r="C218" s="46" t="s">
        <v>157</v>
      </c>
      <c r="D218" s="16" t="s">
        <v>94</v>
      </c>
      <c r="E218" s="22">
        <f t="shared" si="5"/>
        <v>3</v>
      </c>
      <c r="F218" s="22">
        <v>1</v>
      </c>
      <c r="G218" s="22"/>
      <c r="H218" s="22">
        <v>2</v>
      </c>
    </row>
    <row r="219" spans="1:8" ht="26.4" x14ac:dyDescent="0.25">
      <c r="A219" s="120" t="s">
        <v>622</v>
      </c>
      <c r="B219" s="1"/>
      <c r="C219" s="18" t="s">
        <v>256</v>
      </c>
      <c r="D219" s="16" t="s">
        <v>199</v>
      </c>
      <c r="E219" s="22">
        <f t="shared" si="5"/>
        <v>200</v>
      </c>
      <c r="F219" s="22"/>
      <c r="G219" s="22"/>
      <c r="H219" s="22">
        <v>200</v>
      </c>
    </row>
    <row r="220" spans="1:8" ht="26.4" x14ac:dyDescent="0.25">
      <c r="A220" s="14">
        <v>83</v>
      </c>
      <c r="B220" s="13"/>
      <c r="C220" s="18" t="s">
        <v>8</v>
      </c>
      <c r="D220" s="16" t="s">
        <v>93</v>
      </c>
      <c r="E220" s="22">
        <f t="shared" si="5"/>
        <v>199.4</v>
      </c>
      <c r="F220" s="22">
        <f>195.8+3.6</f>
        <v>199.4</v>
      </c>
      <c r="G220" s="22"/>
      <c r="H220" s="22"/>
    </row>
    <row r="221" spans="1:8" ht="27" customHeight="1" x14ac:dyDescent="0.25">
      <c r="A221" s="14">
        <v>84</v>
      </c>
      <c r="B221" s="13"/>
      <c r="C221" s="18" t="s">
        <v>4</v>
      </c>
      <c r="D221" s="16" t="s">
        <v>92</v>
      </c>
      <c r="E221" s="22">
        <f t="shared" si="5"/>
        <v>23</v>
      </c>
      <c r="F221" s="22">
        <v>23</v>
      </c>
      <c r="G221" s="22"/>
      <c r="H221" s="22"/>
    </row>
    <row r="222" spans="1:8" ht="27" customHeight="1" x14ac:dyDescent="0.25">
      <c r="A222" s="14">
        <v>85</v>
      </c>
      <c r="B222" s="13"/>
      <c r="C222" s="18" t="s">
        <v>5</v>
      </c>
      <c r="D222" s="16" t="s">
        <v>92</v>
      </c>
      <c r="E222" s="22">
        <f t="shared" si="5"/>
        <v>10</v>
      </c>
      <c r="F222" s="22">
        <v>10</v>
      </c>
      <c r="G222" s="22"/>
      <c r="H222" s="22"/>
    </row>
    <row r="223" spans="1:8" ht="27" customHeight="1" x14ac:dyDescent="0.25">
      <c r="A223" s="14">
        <v>86</v>
      </c>
      <c r="B223" s="13"/>
      <c r="C223" s="19" t="s">
        <v>7</v>
      </c>
      <c r="D223" s="16" t="s">
        <v>92</v>
      </c>
      <c r="E223" s="22">
        <f t="shared" si="5"/>
        <v>17.100000000000001</v>
      </c>
      <c r="F223" s="22">
        <v>17.100000000000001</v>
      </c>
      <c r="G223" s="22"/>
      <c r="H223" s="22"/>
    </row>
    <row r="224" spans="1:8" ht="27" customHeight="1" x14ac:dyDescent="0.25">
      <c r="A224" s="14">
        <v>87</v>
      </c>
      <c r="B224" s="13"/>
      <c r="C224" s="18" t="s">
        <v>6</v>
      </c>
      <c r="D224" s="16" t="s">
        <v>92</v>
      </c>
      <c r="E224" s="22">
        <f t="shared" si="5"/>
        <v>15</v>
      </c>
      <c r="F224" s="22">
        <v>15</v>
      </c>
      <c r="G224" s="22"/>
      <c r="H224" s="22"/>
    </row>
    <row r="225" spans="1:8" ht="27" customHeight="1" x14ac:dyDescent="0.25">
      <c r="A225" s="14">
        <v>88</v>
      </c>
      <c r="B225" s="13"/>
      <c r="C225" s="18" t="s">
        <v>9</v>
      </c>
      <c r="D225" s="16" t="s">
        <v>92</v>
      </c>
      <c r="E225" s="22">
        <f t="shared" si="5"/>
        <v>17.399999999999999</v>
      </c>
      <c r="F225" s="22">
        <v>17.399999999999999</v>
      </c>
      <c r="G225" s="22"/>
      <c r="H225" s="22"/>
    </row>
    <row r="226" spans="1:8" ht="27" customHeight="1" x14ac:dyDescent="0.25">
      <c r="A226" s="14">
        <v>89</v>
      </c>
      <c r="B226" s="13"/>
      <c r="C226" s="19" t="s">
        <v>10</v>
      </c>
      <c r="D226" s="16" t="s">
        <v>92</v>
      </c>
      <c r="E226" s="22">
        <f t="shared" si="5"/>
        <v>12</v>
      </c>
      <c r="F226" s="22">
        <v>12</v>
      </c>
      <c r="G226" s="22"/>
      <c r="H226" s="22"/>
    </row>
    <row r="227" spans="1:8" ht="27" customHeight="1" x14ac:dyDescent="0.25">
      <c r="A227" s="14">
        <v>90</v>
      </c>
      <c r="B227" s="13"/>
      <c r="C227" s="18" t="s">
        <v>12</v>
      </c>
      <c r="D227" s="16" t="s">
        <v>92</v>
      </c>
      <c r="E227" s="22">
        <f t="shared" si="5"/>
        <v>12</v>
      </c>
      <c r="F227" s="22">
        <v>12</v>
      </c>
      <c r="G227" s="22"/>
      <c r="H227" s="22"/>
    </row>
    <row r="228" spans="1:8" ht="27" customHeight="1" x14ac:dyDescent="0.25">
      <c r="A228" s="14">
        <v>91</v>
      </c>
      <c r="B228" s="13"/>
      <c r="C228" s="18" t="s">
        <v>126</v>
      </c>
      <c r="D228" s="16" t="s">
        <v>92</v>
      </c>
      <c r="E228" s="22">
        <f t="shared" si="5"/>
        <v>11</v>
      </c>
      <c r="F228" s="22">
        <v>11</v>
      </c>
      <c r="G228" s="22"/>
      <c r="H228" s="22"/>
    </row>
    <row r="229" spans="1:8" ht="27" customHeight="1" x14ac:dyDescent="0.25">
      <c r="A229" s="14">
        <v>92</v>
      </c>
      <c r="B229" s="13"/>
      <c r="C229" s="18" t="s">
        <v>13</v>
      </c>
      <c r="D229" s="16" t="s">
        <v>92</v>
      </c>
      <c r="E229" s="22">
        <f t="shared" si="5"/>
        <v>12</v>
      </c>
      <c r="F229" s="22">
        <v>12</v>
      </c>
      <c r="G229" s="22"/>
      <c r="H229" s="22"/>
    </row>
    <row r="230" spans="1:8" ht="27" customHeight="1" x14ac:dyDescent="0.25">
      <c r="A230" s="14">
        <v>93</v>
      </c>
      <c r="B230" s="1"/>
      <c r="C230" s="18" t="s">
        <v>14</v>
      </c>
      <c r="D230" s="16" t="s">
        <v>92</v>
      </c>
      <c r="E230" s="22">
        <f t="shared" si="5"/>
        <v>15.8</v>
      </c>
      <c r="F230" s="22">
        <v>15.8</v>
      </c>
      <c r="G230" s="22"/>
      <c r="H230" s="22"/>
    </row>
    <row r="231" spans="1:8" ht="27" customHeight="1" x14ac:dyDescent="0.25">
      <c r="A231" s="14">
        <v>94</v>
      </c>
      <c r="B231" s="13" t="s">
        <v>95</v>
      </c>
      <c r="C231" s="20" t="s">
        <v>96</v>
      </c>
      <c r="D231" s="11"/>
      <c r="E231" s="32">
        <f t="shared" si="5"/>
        <v>3601.7999999999997</v>
      </c>
      <c r="F231" s="32">
        <f>+F246+F247+F249+F248+F245+F250+F251+F253+F252+F254+F255+F232</f>
        <v>3467.1</v>
      </c>
      <c r="G231" s="32">
        <f>+G246+G247+G249+G248+G245+G250+G251+G253+G252+G254+G255+G232</f>
        <v>690.29999999999984</v>
      </c>
      <c r="H231" s="32">
        <f>+H246+H247+H249+H248+H245+H250+H251+H253+H252+H254+H255+H232</f>
        <v>134.70000000000002</v>
      </c>
    </row>
    <row r="232" spans="1:8" ht="20.100000000000001" customHeight="1" x14ac:dyDescent="0.25">
      <c r="A232" s="14">
        <v>95</v>
      </c>
      <c r="B232" s="1"/>
      <c r="C232" s="19" t="s">
        <v>221</v>
      </c>
      <c r="D232" s="16"/>
      <c r="E232" s="22">
        <f>+F232+H232</f>
        <v>1735.9</v>
      </c>
      <c r="F232" s="22">
        <f>+F233+F234+F242+F243+F244</f>
        <v>1603.5</v>
      </c>
      <c r="G232" s="22">
        <f>+G233+G234+G242+G243+G244</f>
        <v>0</v>
      </c>
      <c r="H232" s="22">
        <f>+H233+H234+H242+H243+H244</f>
        <v>132.4</v>
      </c>
    </row>
    <row r="233" spans="1:8" ht="19.5" customHeight="1" x14ac:dyDescent="0.25">
      <c r="A233" s="120" t="s">
        <v>623</v>
      </c>
      <c r="B233" s="1"/>
      <c r="C233" s="164" t="s">
        <v>3</v>
      </c>
      <c r="D233" s="1" t="s">
        <v>163</v>
      </c>
      <c r="E233" s="22">
        <f t="shared" ref="E233:E267" si="6">+F233+H233</f>
        <v>20.399999999999999</v>
      </c>
      <c r="F233" s="22">
        <v>20.399999999999999</v>
      </c>
      <c r="G233" s="22"/>
      <c r="H233" s="22"/>
    </row>
    <row r="234" spans="1:8" ht="41.4" x14ac:dyDescent="0.25">
      <c r="A234" s="120" t="s">
        <v>624</v>
      </c>
      <c r="B234" s="1"/>
      <c r="C234" s="154" t="s">
        <v>418</v>
      </c>
      <c r="D234" s="13"/>
      <c r="E234" s="139">
        <f t="shared" si="6"/>
        <v>257.7</v>
      </c>
      <c r="F234" s="139">
        <f>+F235+F236+F237+F238+F239+F240+F241</f>
        <v>165.29999999999998</v>
      </c>
      <c r="G234" s="139">
        <f>+G235+G236+G237+G238+G239+G240+G241</f>
        <v>0</v>
      </c>
      <c r="H234" s="139">
        <f>+H235+H236+H237+H238+H239+H240+H241</f>
        <v>92.4</v>
      </c>
    </row>
    <row r="235" spans="1:8" x14ac:dyDescent="0.25">
      <c r="A235" s="120" t="s">
        <v>625</v>
      </c>
      <c r="B235" s="1"/>
      <c r="C235" s="75" t="s">
        <v>236</v>
      </c>
      <c r="D235" s="1" t="s">
        <v>199</v>
      </c>
      <c r="E235" s="22">
        <f t="shared" si="6"/>
        <v>100</v>
      </c>
      <c r="F235" s="22">
        <v>100</v>
      </c>
      <c r="G235" s="139"/>
      <c r="H235" s="139"/>
    </row>
    <row r="236" spans="1:8" ht="26.4" x14ac:dyDescent="0.25">
      <c r="A236" s="120" t="s">
        <v>626</v>
      </c>
      <c r="B236" s="1"/>
      <c r="C236" s="46" t="s">
        <v>189</v>
      </c>
      <c r="D236" s="165" t="s">
        <v>98</v>
      </c>
      <c r="E236" s="37">
        <f t="shared" si="6"/>
        <v>82</v>
      </c>
      <c r="F236" s="37">
        <v>0.6</v>
      </c>
      <c r="G236" s="22"/>
      <c r="H236" s="22">
        <v>81.400000000000006</v>
      </c>
    </row>
    <row r="237" spans="1:8" ht="39.6" x14ac:dyDescent="0.25">
      <c r="A237" s="120" t="s">
        <v>627</v>
      </c>
      <c r="B237" s="1"/>
      <c r="C237" s="46" t="s">
        <v>274</v>
      </c>
      <c r="D237" s="1" t="s">
        <v>163</v>
      </c>
      <c r="E237" s="37">
        <f t="shared" si="6"/>
        <v>15</v>
      </c>
      <c r="F237" s="37">
        <v>15</v>
      </c>
      <c r="G237" s="22"/>
      <c r="H237" s="22"/>
    </row>
    <row r="238" spans="1:8" ht="26.4" x14ac:dyDescent="0.25">
      <c r="A238" s="120" t="s">
        <v>628</v>
      </c>
      <c r="B238" s="1"/>
      <c r="C238" s="46" t="s">
        <v>190</v>
      </c>
      <c r="D238" s="1" t="s">
        <v>163</v>
      </c>
      <c r="E238" s="37">
        <f t="shared" si="6"/>
        <v>23.7</v>
      </c>
      <c r="F238" s="37">
        <v>23.7</v>
      </c>
      <c r="G238" s="22"/>
      <c r="H238" s="22"/>
    </row>
    <row r="239" spans="1:8" ht="26.4" x14ac:dyDescent="0.25">
      <c r="A239" s="120" t="s">
        <v>629</v>
      </c>
      <c r="B239" s="1"/>
      <c r="C239" s="46" t="s">
        <v>464</v>
      </c>
      <c r="D239" s="1" t="s">
        <v>84</v>
      </c>
      <c r="E239" s="37">
        <f t="shared" si="6"/>
        <v>16</v>
      </c>
      <c r="F239" s="37">
        <v>16</v>
      </c>
      <c r="G239" s="22"/>
      <c r="H239" s="22"/>
    </row>
    <row r="240" spans="1:8" ht="26.4" x14ac:dyDescent="0.25">
      <c r="A240" s="120" t="s">
        <v>630</v>
      </c>
      <c r="B240" s="1"/>
      <c r="C240" s="46" t="s">
        <v>465</v>
      </c>
      <c r="D240" s="1" t="s">
        <v>84</v>
      </c>
      <c r="E240" s="37">
        <f t="shared" si="6"/>
        <v>10</v>
      </c>
      <c r="F240" s="37">
        <v>10</v>
      </c>
      <c r="G240" s="22"/>
      <c r="H240" s="22"/>
    </row>
    <row r="241" spans="1:8" ht="26.4" x14ac:dyDescent="0.25">
      <c r="A241" s="120" t="s">
        <v>631</v>
      </c>
      <c r="B241" s="1"/>
      <c r="C241" s="46" t="s">
        <v>466</v>
      </c>
      <c r="D241" s="1" t="s">
        <v>84</v>
      </c>
      <c r="E241" s="37">
        <f t="shared" si="6"/>
        <v>11</v>
      </c>
      <c r="F241" s="37"/>
      <c r="G241" s="22"/>
      <c r="H241" s="22">
        <v>11</v>
      </c>
    </row>
    <row r="242" spans="1:8" ht="27" customHeight="1" x14ac:dyDescent="0.25">
      <c r="A242" s="120" t="s">
        <v>632</v>
      </c>
      <c r="B242" s="1"/>
      <c r="C242" s="157" t="s">
        <v>308</v>
      </c>
      <c r="D242" s="165" t="s">
        <v>144</v>
      </c>
      <c r="E242" s="22">
        <f t="shared" si="6"/>
        <v>307</v>
      </c>
      <c r="F242" s="22">
        <v>267</v>
      </c>
      <c r="G242" s="22"/>
      <c r="H242" s="22">
        <v>40</v>
      </c>
    </row>
    <row r="243" spans="1:8" ht="26.4" x14ac:dyDescent="0.25">
      <c r="A243" s="120" t="s">
        <v>633</v>
      </c>
      <c r="B243" s="1"/>
      <c r="C243" s="157" t="s">
        <v>273</v>
      </c>
      <c r="D243" s="165" t="s">
        <v>98</v>
      </c>
      <c r="E243" s="22">
        <f t="shared" si="6"/>
        <v>1110.8</v>
      </c>
      <c r="F243" s="22">
        <f>1000+110.8</f>
        <v>1110.8</v>
      </c>
      <c r="G243" s="22"/>
      <c r="H243" s="22"/>
    </row>
    <row r="244" spans="1:8" ht="15" customHeight="1" x14ac:dyDescent="0.25">
      <c r="A244" s="120" t="s">
        <v>634</v>
      </c>
      <c r="B244" s="1"/>
      <c r="C244" s="157" t="s">
        <v>170</v>
      </c>
      <c r="D244" s="165" t="s">
        <v>98</v>
      </c>
      <c r="E244" s="22">
        <f t="shared" si="6"/>
        <v>40</v>
      </c>
      <c r="F244" s="22">
        <v>40</v>
      </c>
      <c r="G244" s="22"/>
      <c r="H244" s="22"/>
    </row>
    <row r="245" spans="1:8" ht="39.6" x14ac:dyDescent="0.25">
      <c r="A245" s="14">
        <v>96</v>
      </c>
      <c r="B245" s="1"/>
      <c r="C245" s="45" t="s">
        <v>8</v>
      </c>
      <c r="D245" s="159" t="s">
        <v>99</v>
      </c>
      <c r="E245" s="22">
        <f t="shared" si="6"/>
        <v>1040.5999999999999</v>
      </c>
      <c r="F245" s="22">
        <f>1035.5+5.1</f>
        <v>1040.5999999999999</v>
      </c>
      <c r="G245" s="22">
        <f>134.8+5</f>
        <v>139.80000000000001</v>
      </c>
      <c r="H245" s="22"/>
    </row>
    <row r="246" spans="1:8" ht="26.4" x14ac:dyDescent="0.25">
      <c r="A246" s="14">
        <v>97</v>
      </c>
      <c r="B246" s="1"/>
      <c r="C246" s="18" t="s">
        <v>4</v>
      </c>
      <c r="D246" s="159" t="s">
        <v>97</v>
      </c>
      <c r="E246" s="22">
        <f t="shared" si="6"/>
        <v>103.3</v>
      </c>
      <c r="F246" s="22">
        <f>100.8+2.5</f>
        <v>103.3</v>
      </c>
      <c r="G246" s="22">
        <f>61.2+2.5</f>
        <v>63.7</v>
      </c>
      <c r="H246" s="22"/>
    </row>
    <row r="247" spans="1:8" ht="24.9" customHeight="1" x14ac:dyDescent="0.25">
      <c r="A247" s="14">
        <v>98</v>
      </c>
      <c r="B247" s="1"/>
      <c r="C247" s="18" t="s">
        <v>5</v>
      </c>
      <c r="D247" s="159" t="s">
        <v>98</v>
      </c>
      <c r="E247" s="22">
        <f t="shared" si="6"/>
        <v>106</v>
      </c>
      <c r="F247" s="22">
        <f>101.3-2.3+4.7</f>
        <v>103.7</v>
      </c>
      <c r="G247" s="22">
        <f>70+4.7</f>
        <v>74.7</v>
      </c>
      <c r="H247" s="22">
        <v>2.2999999999999998</v>
      </c>
    </row>
    <row r="248" spans="1:8" ht="24.9" customHeight="1" x14ac:dyDescent="0.25">
      <c r="A248" s="14">
        <v>99</v>
      </c>
      <c r="B248" s="1"/>
      <c r="C248" s="18" t="s">
        <v>7</v>
      </c>
      <c r="D248" s="159" t="s">
        <v>97</v>
      </c>
      <c r="E248" s="22">
        <f>+F248+H248</f>
        <v>76.699999999999989</v>
      </c>
      <c r="F248" s="22">
        <f>76.6+0.1</f>
        <v>76.699999999999989</v>
      </c>
      <c r="G248" s="22">
        <v>47.6</v>
      </c>
      <c r="H248" s="22"/>
    </row>
    <row r="249" spans="1:8" ht="24.9" customHeight="1" x14ac:dyDescent="0.25">
      <c r="A249" s="14">
        <v>100</v>
      </c>
      <c r="B249" s="1"/>
      <c r="C249" s="45" t="s">
        <v>6</v>
      </c>
      <c r="D249" s="159" t="s">
        <v>97</v>
      </c>
      <c r="E249" s="22">
        <f t="shared" si="6"/>
        <v>82.899999999999991</v>
      </c>
      <c r="F249" s="22">
        <f>81.3+1.5+0.1</f>
        <v>82.899999999999991</v>
      </c>
      <c r="G249" s="22">
        <v>49</v>
      </c>
      <c r="H249" s="22"/>
    </row>
    <row r="250" spans="1:8" ht="24.9" customHeight="1" x14ac:dyDescent="0.25">
      <c r="A250" s="14">
        <v>101</v>
      </c>
      <c r="B250" s="1"/>
      <c r="C250" s="18" t="s">
        <v>9</v>
      </c>
      <c r="D250" s="159" t="s">
        <v>100</v>
      </c>
      <c r="E250" s="22">
        <f t="shared" si="6"/>
        <v>65.3</v>
      </c>
      <c r="F250" s="22">
        <f>63.2+2.1</f>
        <v>65.3</v>
      </c>
      <c r="G250" s="22">
        <f>43.4+2</f>
        <v>45.4</v>
      </c>
      <c r="H250" s="22"/>
    </row>
    <row r="251" spans="1:8" ht="24.9" customHeight="1" x14ac:dyDescent="0.25">
      <c r="A251" s="14">
        <v>102</v>
      </c>
      <c r="B251" s="1"/>
      <c r="C251" s="19" t="s">
        <v>10</v>
      </c>
      <c r="D251" s="159" t="s">
        <v>97</v>
      </c>
      <c r="E251" s="22">
        <f t="shared" si="6"/>
        <v>71.5</v>
      </c>
      <c r="F251" s="22">
        <f>68.1+3.4</f>
        <v>71.5</v>
      </c>
      <c r="G251" s="22">
        <f>52.8+3.3</f>
        <v>56.099999999999994</v>
      </c>
      <c r="H251" s="22"/>
    </row>
    <row r="252" spans="1:8" ht="24.9" customHeight="1" x14ac:dyDescent="0.25">
      <c r="A252" s="14">
        <v>103</v>
      </c>
      <c r="B252" s="1"/>
      <c r="C252" s="18" t="s">
        <v>12</v>
      </c>
      <c r="D252" s="159" t="s">
        <v>97</v>
      </c>
      <c r="E252" s="22">
        <f>+F252+H252</f>
        <v>42.199999999999996</v>
      </c>
      <c r="F252" s="22">
        <f>41.3+0.9</f>
        <v>42.199999999999996</v>
      </c>
      <c r="G252" s="22">
        <f>25.5+0.9</f>
        <v>26.4</v>
      </c>
      <c r="H252" s="22"/>
    </row>
    <row r="253" spans="1:8" ht="29.25" customHeight="1" x14ac:dyDescent="0.25">
      <c r="A253" s="14">
        <v>104</v>
      </c>
      <c r="B253" s="1"/>
      <c r="C253" s="45" t="s">
        <v>126</v>
      </c>
      <c r="D253" s="159" t="s">
        <v>97</v>
      </c>
      <c r="E253" s="22">
        <f t="shared" si="6"/>
        <v>54.400000000000006</v>
      </c>
      <c r="F253" s="22">
        <f>51.2+3.2</f>
        <v>54.400000000000006</v>
      </c>
      <c r="G253" s="22">
        <f>40.9+3</f>
        <v>43.9</v>
      </c>
      <c r="H253" s="22"/>
    </row>
    <row r="254" spans="1:8" ht="27" customHeight="1" x14ac:dyDescent="0.25">
      <c r="A254" s="14">
        <v>105</v>
      </c>
      <c r="B254" s="1"/>
      <c r="C254" s="18" t="s">
        <v>13</v>
      </c>
      <c r="D254" s="159" t="s">
        <v>97</v>
      </c>
      <c r="E254" s="22">
        <f t="shared" si="6"/>
        <v>67.600000000000009</v>
      </c>
      <c r="F254" s="22">
        <f>63.7+3.9</f>
        <v>67.600000000000009</v>
      </c>
      <c r="G254" s="22">
        <f>39.9+3.9</f>
        <v>43.8</v>
      </c>
      <c r="H254" s="22"/>
    </row>
    <row r="255" spans="1:8" ht="24.9" customHeight="1" x14ac:dyDescent="0.25">
      <c r="A255" s="14">
        <v>106</v>
      </c>
      <c r="B255" s="1"/>
      <c r="C255" s="18" t="s">
        <v>14</v>
      </c>
      <c r="D255" s="159" t="s">
        <v>97</v>
      </c>
      <c r="E255" s="22">
        <f t="shared" si="6"/>
        <v>155.39999999999998</v>
      </c>
      <c r="F255" s="22">
        <f>148.7+6.7</f>
        <v>155.39999999999998</v>
      </c>
      <c r="G255" s="22">
        <f>93.4+6.5</f>
        <v>99.9</v>
      </c>
      <c r="H255" s="22"/>
    </row>
    <row r="256" spans="1:8" x14ac:dyDescent="0.25">
      <c r="A256" s="14">
        <v>107</v>
      </c>
      <c r="B256" s="13" t="s">
        <v>36</v>
      </c>
      <c r="C256" s="20" t="s">
        <v>37</v>
      </c>
      <c r="D256" s="159"/>
      <c r="E256" s="139">
        <f t="shared" si="6"/>
        <v>43.8</v>
      </c>
      <c r="F256" s="139">
        <f t="shared" ref="F256:H257" si="7">+F257</f>
        <v>43.8</v>
      </c>
      <c r="G256" s="32">
        <f t="shared" si="7"/>
        <v>0</v>
      </c>
      <c r="H256" s="32">
        <f t="shared" si="7"/>
        <v>0</v>
      </c>
    </row>
    <row r="257" spans="1:8" ht="16.5" customHeight="1" x14ac:dyDescent="0.25">
      <c r="A257" s="14">
        <v>108</v>
      </c>
      <c r="B257" s="13"/>
      <c r="C257" s="19" t="s">
        <v>250</v>
      </c>
      <c r="D257" s="159"/>
      <c r="E257" s="22">
        <f t="shared" si="6"/>
        <v>43.8</v>
      </c>
      <c r="F257" s="22">
        <f t="shared" si="7"/>
        <v>43.8</v>
      </c>
      <c r="G257" s="22">
        <f t="shared" si="7"/>
        <v>0</v>
      </c>
      <c r="H257" s="22">
        <f t="shared" si="7"/>
        <v>0</v>
      </c>
    </row>
    <row r="258" spans="1:8" ht="41.4" x14ac:dyDescent="0.25">
      <c r="A258" s="120" t="s">
        <v>635</v>
      </c>
      <c r="B258" s="1"/>
      <c r="C258" s="154" t="s">
        <v>418</v>
      </c>
      <c r="D258" s="166"/>
      <c r="E258" s="139">
        <f t="shared" si="6"/>
        <v>43.8</v>
      </c>
      <c r="F258" s="139">
        <f>+F259+F260</f>
        <v>43.8</v>
      </c>
      <c r="G258" s="139">
        <f>+G259+G260</f>
        <v>0</v>
      </c>
      <c r="H258" s="139">
        <f>+H259+H260</f>
        <v>0</v>
      </c>
    </row>
    <row r="259" spans="1:8" ht="26.4" x14ac:dyDescent="0.25">
      <c r="A259" s="161" t="s">
        <v>636</v>
      </c>
      <c r="B259" s="1"/>
      <c r="C259" s="18" t="s">
        <v>275</v>
      </c>
      <c r="D259" s="159" t="s">
        <v>164</v>
      </c>
      <c r="E259" s="22">
        <f t="shared" si="6"/>
        <v>40</v>
      </c>
      <c r="F259" s="22">
        <v>40</v>
      </c>
      <c r="G259" s="22"/>
      <c r="H259" s="22"/>
    </row>
    <row r="260" spans="1:8" ht="39.6" x14ac:dyDescent="0.25">
      <c r="A260" s="161" t="s">
        <v>820</v>
      </c>
      <c r="B260" s="1"/>
      <c r="C260" s="18" t="s">
        <v>821</v>
      </c>
      <c r="D260" s="159" t="s">
        <v>307</v>
      </c>
      <c r="E260" s="22">
        <f t="shared" si="6"/>
        <v>3.8</v>
      </c>
      <c r="F260" s="22">
        <v>3.8</v>
      </c>
      <c r="G260" s="22"/>
      <c r="H260" s="22"/>
    </row>
    <row r="261" spans="1:8" x14ac:dyDescent="0.25">
      <c r="A261" s="14">
        <v>109</v>
      </c>
      <c r="B261" s="13" t="s">
        <v>101</v>
      </c>
      <c r="C261" s="20" t="s">
        <v>102</v>
      </c>
      <c r="D261" s="11"/>
      <c r="E261" s="32">
        <f t="shared" si="6"/>
        <v>30</v>
      </c>
      <c r="F261" s="32">
        <f>+F262</f>
        <v>30</v>
      </c>
      <c r="G261" s="32">
        <f>+G262</f>
        <v>0</v>
      </c>
      <c r="H261" s="32">
        <f>+H262</f>
        <v>0</v>
      </c>
    </row>
    <row r="262" spans="1:8" ht="20.100000000000001" customHeight="1" x14ac:dyDescent="0.25">
      <c r="A262" s="14">
        <v>110</v>
      </c>
      <c r="B262" s="13"/>
      <c r="C262" s="19" t="s">
        <v>221</v>
      </c>
      <c r="D262" s="11"/>
      <c r="E262" s="22">
        <f t="shared" si="6"/>
        <v>30</v>
      </c>
      <c r="F262" s="22">
        <f>+F263+F264</f>
        <v>30</v>
      </c>
      <c r="G262" s="22">
        <f>SUM(G263:G263)</f>
        <v>0</v>
      </c>
      <c r="H262" s="22">
        <f>SUM(H263:H263)</f>
        <v>0</v>
      </c>
    </row>
    <row r="263" spans="1:8" ht="26.4" x14ac:dyDescent="0.25">
      <c r="A263" s="161" t="s">
        <v>637</v>
      </c>
      <c r="B263" s="1"/>
      <c r="C263" s="45" t="s">
        <v>276</v>
      </c>
      <c r="D263" s="16" t="s">
        <v>103</v>
      </c>
      <c r="E263" s="22">
        <f t="shared" si="6"/>
        <v>29</v>
      </c>
      <c r="F263" s="22">
        <v>29</v>
      </c>
      <c r="G263" s="22"/>
      <c r="H263" s="22"/>
    </row>
    <row r="264" spans="1:8" ht="24.9" customHeight="1" x14ac:dyDescent="0.25">
      <c r="A264" s="161" t="s">
        <v>638</v>
      </c>
      <c r="B264" s="1"/>
      <c r="C264" s="45" t="s">
        <v>105</v>
      </c>
      <c r="D264" s="16" t="s">
        <v>146</v>
      </c>
      <c r="E264" s="22">
        <f t="shared" si="6"/>
        <v>1</v>
      </c>
      <c r="F264" s="22">
        <v>1</v>
      </c>
      <c r="G264" s="22"/>
      <c r="H264" s="22"/>
    </row>
    <row r="265" spans="1:8" x14ac:dyDescent="0.25">
      <c r="A265" s="14">
        <v>111</v>
      </c>
      <c r="B265" s="13" t="s">
        <v>26</v>
      </c>
      <c r="C265" s="20" t="s">
        <v>27</v>
      </c>
      <c r="D265" s="11"/>
      <c r="E265" s="32">
        <f t="shared" si="6"/>
        <v>6690.8999999999987</v>
      </c>
      <c r="F265" s="32">
        <f>+F266+F267+F268+F281+F283+F285+F287+F289+F290+F292+F294+F296+F298+F300</f>
        <v>6608.1999999999989</v>
      </c>
      <c r="G265" s="32">
        <f>+G266+G267+G268+G281+G283+G285+G287+G289+G290+G292+G294+G296+G298+G300</f>
        <v>3349.8000000000006</v>
      </c>
      <c r="H265" s="32">
        <f>+H266+H267+H268+H281+H283+H285+H287+H289+H290+H292+H294+H296+H298+H300</f>
        <v>82.699999999999989</v>
      </c>
    </row>
    <row r="266" spans="1:8" ht="20.100000000000001" customHeight="1" x14ac:dyDescent="0.25">
      <c r="A266" s="14">
        <v>112</v>
      </c>
      <c r="B266" s="13"/>
      <c r="C266" s="18" t="s">
        <v>28</v>
      </c>
      <c r="D266" s="16" t="s">
        <v>29</v>
      </c>
      <c r="E266" s="22">
        <f t="shared" si="6"/>
        <v>16.3</v>
      </c>
      <c r="F266" s="22">
        <v>16.3</v>
      </c>
      <c r="G266" s="22">
        <v>10.5</v>
      </c>
      <c r="H266" s="22"/>
    </row>
    <row r="267" spans="1:8" ht="15" customHeight="1" x14ac:dyDescent="0.25">
      <c r="A267" s="14">
        <v>113</v>
      </c>
      <c r="B267" s="13"/>
      <c r="C267" s="19" t="s">
        <v>104</v>
      </c>
      <c r="D267" s="16" t="s">
        <v>118</v>
      </c>
      <c r="E267" s="22">
        <f t="shared" si="6"/>
        <v>121.6</v>
      </c>
      <c r="F267" s="22">
        <f>112.7+0.2+7.1</f>
        <v>120</v>
      </c>
      <c r="G267" s="22">
        <f>104.6+6.8</f>
        <v>111.39999999999999</v>
      </c>
      <c r="H267" s="22">
        <v>1.6</v>
      </c>
    </row>
    <row r="268" spans="1:8" ht="15" customHeight="1" x14ac:dyDescent="0.25">
      <c r="A268" s="14">
        <v>114</v>
      </c>
      <c r="B268" s="13"/>
      <c r="C268" s="19" t="s">
        <v>221</v>
      </c>
      <c r="D268" s="16"/>
      <c r="E268" s="22">
        <f>+F268+H268</f>
        <v>5571</v>
      </c>
      <c r="F268" s="22">
        <f>+F269+F270+F271+F272+F273+F274+F275+F276+F277+F279+F278</f>
        <v>5494.4</v>
      </c>
      <c r="G268" s="22">
        <f>+G269+G270+G271+G272+G273+G274+G275+G276+G277+G279+G278</f>
        <v>2525.9</v>
      </c>
      <c r="H268" s="22">
        <f>+H269+H270+H271+H272+H273+H274+H275+H276+H277+H279+H278</f>
        <v>76.599999999999994</v>
      </c>
    </row>
    <row r="269" spans="1:8" ht="92.4" x14ac:dyDescent="0.25">
      <c r="A269" s="161" t="s">
        <v>551</v>
      </c>
      <c r="B269" s="13"/>
      <c r="C269" s="19" t="s">
        <v>105</v>
      </c>
      <c r="D269" s="16" t="s">
        <v>143</v>
      </c>
      <c r="E269" s="22">
        <f>+F269+H269</f>
        <v>3716.9</v>
      </c>
      <c r="F269" s="22">
        <f>3575.4-90+5.4+6.5+143</f>
        <v>3640.3</v>
      </c>
      <c r="G269" s="22">
        <f>2360.8+25.5+139.6</f>
        <v>2525.9</v>
      </c>
      <c r="H269" s="22">
        <v>76.599999999999994</v>
      </c>
    </row>
    <row r="270" spans="1:8" ht="26.4" x14ac:dyDescent="0.25">
      <c r="A270" s="161" t="s">
        <v>552</v>
      </c>
      <c r="B270" s="1"/>
      <c r="C270" s="45" t="s">
        <v>171</v>
      </c>
      <c r="D270" s="16" t="s">
        <v>132</v>
      </c>
      <c r="E270" s="22">
        <f t="shared" ref="E270:E301" si="8">+F270+H270</f>
        <v>80.7</v>
      </c>
      <c r="F270" s="22">
        <f>180-10-89.3</f>
        <v>80.7</v>
      </c>
      <c r="G270" s="22"/>
      <c r="H270" s="22"/>
    </row>
    <row r="271" spans="1:8" ht="24.75" customHeight="1" x14ac:dyDescent="0.25">
      <c r="A271" s="161" t="s">
        <v>553</v>
      </c>
      <c r="B271" s="1"/>
      <c r="C271" s="45" t="s">
        <v>172</v>
      </c>
      <c r="D271" s="16" t="s">
        <v>41</v>
      </c>
      <c r="E271" s="22">
        <f t="shared" si="8"/>
        <v>22.4</v>
      </c>
      <c r="F271" s="22">
        <v>22.4</v>
      </c>
      <c r="G271" s="22"/>
      <c r="H271" s="22"/>
    </row>
    <row r="272" spans="1:8" x14ac:dyDescent="0.25">
      <c r="A272" s="161" t="s">
        <v>639</v>
      </c>
      <c r="B272" s="1"/>
      <c r="C272" s="45" t="s">
        <v>212</v>
      </c>
      <c r="D272" s="16" t="s">
        <v>107</v>
      </c>
      <c r="E272" s="22">
        <f>+F272+H272</f>
        <v>400</v>
      </c>
      <c r="F272" s="22">
        <f>260+140</f>
        <v>400</v>
      </c>
      <c r="G272" s="22"/>
      <c r="H272" s="22"/>
    </row>
    <row r="273" spans="1:8" ht="15" customHeight="1" x14ac:dyDescent="0.25">
      <c r="A273" s="161" t="s">
        <v>640</v>
      </c>
      <c r="B273" s="1"/>
      <c r="C273" s="45" t="s">
        <v>293</v>
      </c>
      <c r="D273" s="16" t="s">
        <v>41</v>
      </c>
      <c r="E273" s="22">
        <f t="shared" si="8"/>
        <v>14.9</v>
      </c>
      <c r="F273" s="22">
        <v>14.9</v>
      </c>
      <c r="G273" s="22"/>
      <c r="H273" s="22"/>
    </row>
    <row r="274" spans="1:8" ht="26.4" x14ac:dyDescent="0.25">
      <c r="A274" s="161" t="s">
        <v>641</v>
      </c>
      <c r="B274" s="1"/>
      <c r="C274" s="45" t="s">
        <v>237</v>
      </c>
      <c r="D274" s="16" t="s">
        <v>106</v>
      </c>
      <c r="E274" s="22">
        <f>+F274+H274</f>
        <v>12</v>
      </c>
      <c r="F274" s="22">
        <v>12</v>
      </c>
      <c r="G274" s="22"/>
      <c r="H274" s="22"/>
    </row>
    <row r="275" spans="1:8" ht="12.6" customHeight="1" x14ac:dyDescent="0.25">
      <c r="A275" s="161" t="s">
        <v>642</v>
      </c>
      <c r="B275" s="1"/>
      <c r="C275" s="45" t="s">
        <v>278</v>
      </c>
      <c r="D275" s="16" t="s">
        <v>108</v>
      </c>
      <c r="E275" s="22">
        <f t="shared" si="8"/>
        <v>70</v>
      </c>
      <c r="F275" s="22">
        <v>70</v>
      </c>
      <c r="G275" s="22"/>
      <c r="H275" s="22"/>
    </row>
    <row r="276" spans="1:8" ht="12.6" customHeight="1" x14ac:dyDescent="0.25">
      <c r="A276" s="161" t="s">
        <v>643</v>
      </c>
      <c r="B276" s="1"/>
      <c r="C276" s="45" t="s">
        <v>650</v>
      </c>
      <c r="D276" s="16" t="s">
        <v>673</v>
      </c>
      <c r="E276" s="22">
        <f t="shared" si="8"/>
        <v>48.1</v>
      </c>
      <c r="F276" s="22">
        <v>48.1</v>
      </c>
      <c r="G276" s="22"/>
      <c r="H276" s="22"/>
    </row>
    <row r="277" spans="1:8" x14ac:dyDescent="0.25">
      <c r="A277" s="161" t="s">
        <v>644</v>
      </c>
      <c r="B277" s="1"/>
      <c r="C277" s="45" t="s">
        <v>829</v>
      </c>
      <c r="D277" s="16" t="s">
        <v>298</v>
      </c>
      <c r="E277" s="22">
        <f t="shared" si="8"/>
        <v>1000</v>
      </c>
      <c r="F277" s="22">
        <f>733.3+266.7</f>
        <v>1000</v>
      </c>
      <c r="G277" s="22"/>
      <c r="H277" s="22"/>
    </row>
    <row r="278" spans="1:8" x14ac:dyDescent="0.25">
      <c r="A278" s="161" t="s">
        <v>672</v>
      </c>
      <c r="B278" s="1"/>
      <c r="C278" s="45" t="s">
        <v>830</v>
      </c>
      <c r="D278" s="16" t="s">
        <v>298</v>
      </c>
      <c r="E278" s="22">
        <f t="shared" si="8"/>
        <v>204.5</v>
      </c>
      <c r="F278" s="22">
        <v>204.5</v>
      </c>
      <c r="G278" s="22"/>
      <c r="H278" s="22"/>
    </row>
    <row r="279" spans="1:8" ht="41.4" x14ac:dyDescent="0.25">
      <c r="A279" s="161" t="s">
        <v>831</v>
      </c>
      <c r="B279" s="1"/>
      <c r="C279" s="154" t="s">
        <v>418</v>
      </c>
      <c r="D279" s="166"/>
      <c r="E279" s="139">
        <f t="shared" si="8"/>
        <v>1.5</v>
      </c>
      <c r="F279" s="139">
        <f>+F280</f>
        <v>1.5</v>
      </c>
      <c r="G279" s="22"/>
      <c r="H279" s="22"/>
    </row>
    <row r="280" spans="1:8" ht="26.4" x14ac:dyDescent="0.25">
      <c r="A280" s="161" t="s">
        <v>832</v>
      </c>
      <c r="B280" s="1"/>
      <c r="C280" s="45" t="s">
        <v>249</v>
      </c>
      <c r="D280" s="16" t="s">
        <v>41</v>
      </c>
      <c r="E280" s="22">
        <f t="shared" si="8"/>
        <v>1.5</v>
      </c>
      <c r="F280" s="22">
        <f>14.7-13.2</f>
        <v>1.5</v>
      </c>
      <c r="G280" s="22"/>
      <c r="H280" s="22"/>
    </row>
    <row r="281" spans="1:8" ht="25.5" customHeight="1" x14ac:dyDescent="0.25">
      <c r="A281" s="225">
        <v>115</v>
      </c>
      <c r="B281" s="227"/>
      <c r="C281" s="18" t="s">
        <v>8</v>
      </c>
      <c r="D281" s="16" t="s">
        <v>654</v>
      </c>
      <c r="E281" s="22">
        <f t="shared" si="8"/>
        <v>140.79999999999998</v>
      </c>
      <c r="F281" s="22">
        <f>125.2+F282+2.1+10.6</f>
        <v>140.79999999999998</v>
      </c>
      <c r="G281" s="22">
        <f>99+G282+10.4</f>
        <v>112.2</v>
      </c>
      <c r="H281" s="22"/>
    </row>
    <row r="282" spans="1:8" x14ac:dyDescent="0.25">
      <c r="A282" s="226"/>
      <c r="B282" s="228"/>
      <c r="C282" s="18" t="s">
        <v>653</v>
      </c>
      <c r="D282" s="16" t="s">
        <v>42</v>
      </c>
      <c r="E282" s="22">
        <f t="shared" si="8"/>
        <v>2.9</v>
      </c>
      <c r="F282" s="22">
        <v>2.9</v>
      </c>
      <c r="G282" s="22">
        <v>2.8</v>
      </c>
      <c r="H282" s="22"/>
    </row>
    <row r="283" spans="1:8" ht="26.4" x14ac:dyDescent="0.25">
      <c r="A283" s="225">
        <v>116</v>
      </c>
      <c r="B283" s="227"/>
      <c r="C283" s="18" t="s">
        <v>4</v>
      </c>
      <c r="D283" s="16" t="s">
        <v>654</v>
      </c>
      <c r="E283" s="22">
        <f t="shared" si="8"/>
        <v>57.999999999999993</v>
      </c>
      <c r="F283" s="22">
        <f>51.5+F284+0.3+3.3</f>
        <v>57.999999999999993</v>
      </c>
      <c r="G283" s="22">
        <f>44.8+G284+3.3</f>
        <v>50.899999999999991</v>
      </c>
      <c r="H283" s="22"/>
    </row>
    <row r="284" spans="1:8" x14ac:dyDescent="0.25">
      <c r="A284" s="226"/>
      <c r="B284" s="228"/>
      <c r="C284" s="18" t="s">
        <v>653</v>
      </c>
      <c r="D284" s="16" t="s">
        <v>42</v>
      </c>
      <c r="E284" s="22">
        <f t="shared" si="8"/>
        <v>2.9</v>
      </c>
      <c r="F284" s="22">
        <v>2.9</v>
      </c>
      <c r="G284" s="22">
        <v>2.8</v>
      </c>
      <c r="H284" s="22"/>
    </row>
    <row r="285" spans="1:8" ht="26.4" x14ac:dyDescent="0.25">
      <c r="A285" s="225">
        <v>117</v>
      </c>
      <c r="B285" s="227"/>
      <c r="C285" s="18" t="s">
        <v>5</v>
      </c>
      <c r="D285" s="16" t="s">
        <v>654</v>
      </c>
      <c r="E285" s="22">
        <f t="shared" si="8"/>
        <v>77.400000000000006</v>
      </c>
      <c r="F285" s="22">
        <f>69.5+F286+3.3+1.7</f>
        <v>77.400000000000006</v>
      </c>
      <c r="G285" s="22">
        <f>47.6+G286+1.7</f>
        <v>52.1</v>
      </c>
      <c r="H285" s="22"/>
    </row>
    <row r="286" spans="1:8" x14ac:dyDescent="0.25">
      <c r="A286" s="226"/>
      <c r="B286" s="228"/>
      <c r="C286" s="18" t="s">
        <v>653</v>
      </c>
      <c r="D286" s="16" t="s">
        <v>42</v>
      </c>
      <c r="E286" s="22">
        <f t="shared" si="8"/>
        <v>2.9</v>
      </c>
      <c r="F286" s="22">
        <v>2.9</v>
      </c>
      <c r="G286" s="22">
        <v>2.8</v>
      </c>
      <c r="H286" s="22"/>
    </row>
    <row r="287" spans="1:8" ht="26.4" x14ac:dyDescent="0.25">
      <c r="A287" s="225">
        <v>118</v>
      </c>
      <c r="B287" s="227"/>
      <c r="C287" s="18" t="s">
        <v>7</v>
      </c>
      <c r="D287" s="16" t="s">
        <v>654</v>
      </c>
      <c r="E287" s="22">
        <f t="shared" si="8"/>
        <v>74.900000000000006</v>
      </c>
      <c r="F287" s="22">
        <f>64.8+F288+2.2+5</f>
        <v>74.900000000000006</v>
      </c>
      <c r="G287" s="22">
        <f>45.8+G288+5</f>
        <v>53.599999999999994</v>
      </c>
      <c r="H287" s="22"/>
    </row>
    <row r="288" spans="1:8" x14ac:dyDescent="0.25">
      <c r="A288" s="226"/>
      <c r="B288" s="228"/>
      <c r="C288" s="18" t="s">
        <v>653</v>
      </c>
      <c r="D288" s="16" t="s">
        <v>42</v>
      </c>
      <c r="E288" s="22">
        <f t="shared" si="8"/>
        <v>2.9</v>
      </c>
      <c r="F288" s="22">
        <v>2.9</v>
      </c>
      <c r="G288" s="22">
        <v>2.8</v>
      </c>
      <c r="H288" s="22"/>
    </row>
    <row r="289" spans="1:12" ht="26.4" x14ac:dyDescent="0.25">
      <c r="A289" s="14">
        <v>119</v>
      </c>
      <c r="B289" s="1"/>
      <c r="C289" s="18" t="s">
        <v>6</v>
      </c>
      <c r="D289" s="16" t="s">
        <v>420</v>
      </c>
      <c r="E289" s="22">
        <f t="shared" si="8"/>
        <v>59.5</v>
      </c>
      <c r="F289" s="22">
        <f>55.6+0.4+3.5</f>
        <v>59.5</v>
      </c>
      <c r="G289" s="22">
        <f>44+3.4</f>
        <v>47.4</v>
      </c>
      <c r="H289" s="22"/>
    </row>
    <row r="290" spans="1:12" ht="26.4" x14ac:dyDescent="0.25">
      <c r="A290" s="225">
        <v>120</v>
      </c>
      <c r="B290" s="227"/>
      <c r="C290" s="18" t="s">
        <v>9</v>
      </c>
      <c r="D290" s="16" t="s">
        <v>654</v>
      </c>
      <c r="E290" s="22">
        <f t="shared" si="8"/>
        <v>73.8</v>
      </c>
      <c r="F290" s="22">
        <f>65.1+F291+2.6+3.2</f>
        <v>73.8</v>
      </c>
      <c r="G290" s="22">
        <f>46.9+G291+3.2</f>
        <v>52.9</v>
      </c>
      <c r="H290" s="22"/>
    </row>
    <row r="291" spans="1:12" x14ac:dyDescent="0.25">
      <c r="A291" s="226"/>
      <c r="B291" s="228"/>
      <c r="C291" s="18" t="s">
        <v>653</v>
      </c>
      <c r="D291" s="16" t="s">
        <v>42</v>
      </c>
      <c r="E291" s="22">
        <f t="shared" si="8"/>
        <v>2.9</v>
      </c>
      <c r="F291" s="22">
        <v>2.9</v>
      </c>
      <c r="G291" s="22">
        <v>2.8</v>
      </c>
      <c r="H291" s="22"/>
    </row>
    <row r="292" spans="1:12" ht="26.4" x14ac:dyDescent="0.25">
      <c r="A292" s="225">
        <v>121</v>
      </c>
      <c r="B292" s="227"/>
      <c r="C292" s="19" t="s">
        <v>10</v>
      </c>
      <c r="D292" s="16" t="s">
        <v>654</v>
      </c>
      <c r="E292" s="22">
        <f t="shared" si="8"/>
        <v>129.9</v>
      </c>
      <c r="F292" s="22">
        <f>108.4+F293+6.1+7.5+5</f>
        <v>129.9</v>
      </c>
      <c r="G292" s="22">
        <f>72.5+G293+5</f>
        <v>80.3</v>
      </c>
      <c r="H292" s="22"/>
      <c r="I292" s="121"/>
      <c r="J292" s="121"/>
      <c r="K292" s="121"/>
      <c r="L292" s="121"/>
    </row>
    <row r="293" spans="1:12" ht="19.5" customHeight="1" x14ac:dyDescent="0.25">
      <c r="A293" s="226"/>
      <c r="B293" s="228"/>
      <c r="C293" s="19" t="s">
        <v>653</v>
      </c>
      <c r="D293" s="16" t="s">
        <v>42</v>
      </c>
      <c r="E293" s="22">
        <f t="shared" si="8"/>
        <v>2.9</v>
      </c>
      <c r="F293" s="22">
        <v>2.9</v>
      </c>
      <c r="G293" s="22">
        <v>2.8</v>
      </c>
      <c r="H293" s="22"/>
    </row>
    <row r="294" spans="1:12" ht="26.4" x14ac:dyDescent="0.25">
      <c r="A294" s="225">
        <v>122</v>
      </c>
      <c r="B294" s="227"/>
      <c r="C294" s="18" t="s">
        <v>12</v>
      </c>
      <c r="D294" s="16" t="s">
        <v>654</v>
      </c>
      <c r="E294" s="22">
        <f t="shared" si="8"/>
        <v>65.7</v>
      </c>
      <c r="F294" s="22">
        <f>59.4+F295+0.5+2.9</f>
        <v>65.7</v>
      </c>
      <c r="G294" s="22">
        <f>48.1+G295+2.9</f>
        <v>53.8</v>
      </c>
      <c r="H294" s="22"/>
    </row>
    <row r="295" spans="1:12" x14ac:dyDescent="0.25">
      <c r="A295" s="226"/>
      <c r="B295" s="228"/>
      <c r="C295" s="18" t="s">
        <v>653</v>
      </c>
      <c r="D295" s="16" t="s">
        <v>42</v>
      </c>
      <c r="E295" s="22">
        <f t="shared" si="8"/>
        <v>2.9</v>
      </c>
      <c r="F295" s="22">
        <v>2.9</v>
      </c>
      <c r="G295" s="22">
        <v>2.8</v>
      </c>
      <c r="H295" s="22"/>
    </row>
    <row r="296" spans="1:12" ht="26.4" x14ac:dyDescent="0.25">
      <c r="A296" s="225">
        <v>123</v>
      </c>
      <c r="B296" s="227"/>
      <c r="C296" s="18" t="s">
        <v>126</v>
      </c>
      <c r="D296" s="16" t="s">
        <v>654</v>
      </c>
      <c r="E296" s="22">
        <f t="shared" si="8"/>
        <v>100.10000000000001</v>
      </c>
      <c r="F296" s="22">
        <f>90.4+F297-4.5+3+3.8</f>
        <v>95.600000000000009</v>
      </c>
      <c r="G296" s="22">
        <f>55.7+G297+3.8</f>
        <v>62.3</v>
      </c>
      <c r="H296" s="22">
        <v>4.5</v>
      </c>
    </row>
    <row r="297" spans="1:12" x14ac:dyDescent="0.25">
      <c r="A297" s="226"/>
      <c r="B297" s="228"/>
      <c r="C297" s="18" t="s">
        <v>653</v>
      </c>
      <c r="D297" s="16" t="s">
        <v>42</v>
      </c>
      <c r="E297" s="22">
        <f t="shared" si="8"/>
        <v>2.9</v>
      </c>
      <c r="F297" s="22">
        <v>2.9</v>
      </c>
      <c r="G297" s="22">
        <v>2.8</v>
      </c>
      <c r="H297" s="22"/>
    </row>
    <row r="298" spans="1:12" ht="26.4" x14ac:dyDescent="0.25">
      <c r="A298" s="225">
        <v>124</v>
      </c>
      <c r="B298" s="227"/>
      <c r="C298" s="18" t="s">
        <v>13</v>
      </c>
      <c r="D298" s="16" t="s">
        <v>654</v>
      </c>
      <c r="E298" s="22">
        <f t="shared" si="8"/>
        <v>77.000000000000014</v>
      </c>
      <c r="F298" s="22">
        <f>70+F299+0.7+3.4</f>
        <v>77.000000000000014</v>
      </c>
      <c r="G298" s="22">
        <f>53.1+G299+3.3</f>
        <v>59.199999999999996</v>
      </c>
      <c r="H298" s="22"/>
    </row>
    <row r="299" spans="1:12" x14ac:dyDescent="0.25">
      <c r="A299" s="226"/>
      <c r="B299" s="228"/>
      <c r="C299" s="18" t="s">
        <v>653</v>
      </c>
      <c r="D299" s="16" t="s">
        <v>42</v>
      </c>
      <c r="E299" s="22">
        <f t="shared" si="8"/>
        <v>2.9</v>
      </c>
      <c r="F299" s="22">
        <v>2.9</v>
      </c>
      <c r="G299" s="22">
        <v>2.8</v>
      </c>
      <c r="H299" s="22"/>
    </row>
    <row r="300" spans="1:12" ht="26.4" x14ac:dyDescent="0.25">
      <c r="A300" s="225">
        <v>125</v>
      </c>
      <c r="B300" s="227"/>
      <c r="C300" s="18" t="s">
        <v>14</v>
      </c>
      <c r="D300" s="16" t="s">
        <v>654</v>
      </c>
      <c r="E300" s="22">
        <f t="shared" si="8"/>
        <v>124.90000000000002</v>
      </c>
      <c r="F300" s="22">
        <f>108.2+F301+9.9+3.9</f>
        <v>124.90000000000002</v>
      </c>
      <c r="G300" s="22">
        <f>70.6+G301+3.9</f>
        <v>77.3</v>
      </c>
      <c r="H300" s="22"/>
    </row>
    <row r="301" spans="1:12" x14ac:dyDescent="0.25">
      <c r="A301" s="226"/>
      <c r="B301" s="228"/>
      <c r="C301" s="18" t="s">
        <v>653</v>
      </c>
      <c r="D301" s="16" t="s">
        <v>42</v>
      </c>
      <c r="E301" s="22">
        <f t="shared" si="8"/>
        <v>2.9</v>
      </c>
      <c r="F301" s="22">
        <v>2.9</v>
      </c>
      <c r="G301" s="22">
        <v>2.8</v>
      </c>
      <c r="H301" s="22"/>
    </row>
    <row r="302" spans="1:12" ht="13.8" x14ac:dyDescent="0.25">
      <c r="A302" s="14">
        <v>126</v>
      </c>
      <c r="B302" s="1"/>
      <c r="C302" s="167" t="s">
        <v>21</v>
      </c>
      <c r="D302" s="1"/>
      <c r="E302" s="139">
        <f>+F302+H302</f>
        <v>35924.899999999994</v>
      </c>
      <c r="F302" s="139">
        <f>+F12+F56+F77+F114+F140+F162+F188+F231+F256+F261+F265</f>
        <v>32964.999999999993</v>
      </c>
      <c r="G302" s="139">
        <f>+G12+G56+G77+G114+G140+G162+G188+G231+G256+G261+G265</f>
        <v>17526.099999999999</v>
      </c>
      <c r="H302" s="139">
        <f>+H12+H56+H77+H114+H140+H162+H188+H231+H256+H261+H265</f>
        <v>2959.8999999999996</v>
      </c>
    </row>
    <row r="303" spans="1:12" x14ac:dyDescent="0.25">
      <c r="C303" s="6"/>
      <c r="G303" s="149"/>
      <c r="H303" s="23"/>
    </row>
    <row r="304" spans="1:12" x14ac:dyDescent="0.25">
      <c r="A304" s="250" t="s">
        <v>301</v>
      </c>
      <c r="B304" s="250"/>
      <c r="C304" s="250"/>
      <c r="D304" s="250"/>
      <c r="E304" s="250"/>
      <c r="F304" s="250"/>
      <c r="G304" s="250"/>
      <c r="H304" s="250"/>
    </row>
    <row r="305" spans="3:7" x14ac:dyDescent="0.25">
      <c r="C305" s="58"/>
      <c r="E305" s="23"/>
    </row>
    <row r="306" spans="3:7" x14ac:dyDescent="0.25">
      <c r="C306" s="6"/>
      <c r="E306" s="23"/>
      <c r="G306" s="23"/>
    </row>
    <row r="307" spans="3:7" x14ac:dyDescent="0.25">
      <c r="E307" s="23"/>
    </row>
    <row r="310" spans="3:7" x14ac:dyDescent="0.25">
      <c r="E310" s="149"/>
    </row>
  </sheetData>
  <mergeCells count="46">
    <mergeCell ref="A287:A288"/>
    <mergeCell ref="B287:B288"/>
    <mergeCell ref="B283:B284"/>
    <mergeCell ref="A304:H304"/>
    <mergeCell ref="A290:A291"/>
    <mergeCell ref="B290:B291"/>
    <mergeCell ref="B296:B297"/>
    <mergeCell ref="A298:A299"/>
    <mergeCell ref="A294:A295"/>
    <mergeCell ref="B294:B295"/>
    <mergeCell ref="A296:A297"/>
    <mergeCell ref="B298:B299"/>
    <mergeCell ref="A300:A301"/>
    <mergeCell ref="B300:B301"/>
    <mergeCell ref="A292:A293"/>
    <mergeCell ref="B292:B293"/>
    <mergeCell ref="A285:A286"/>
    <mergeCell ref="B285:B286"/>
    <mergeCell ref="A148:A149"/>
    <mergeCell ref="B148:B149"/>
    <mergeCell ref="D148:D149"/>
    <mergeCell ref="A163:A164"/>
    <mergeCell ref="B163:B164"/>
    <mergeCell ref="D163:D164"/>
    <mergeCell ref="A78:A80"/>
    <mergeCell ref="B78:B80"/>
    <mergeCell ref="D78:D80"/>
    <mergeCell ref="A118:A122"/>
    <mergeCell ref="B118:B122"/>
    <mergeCell ref="D118:D122"/>
    <mergeCell ref="C1:H1"/>
    <mergeCell ref="C2:H2"/>
    <mergeCell ref="A281:A282"/>
    <mergeCell ref="B281:B282"/>
    <mergeCell ref="A283:A284"/>
    <mergeCell ref="E3:H3"/>
    <mergeCell ref="A5:H5"/>
    <mergeCell ref="G7:H7"/>
    <mergeCell ref="A8:A10"/>
    <mergeCell ref="B8:B10"/>
    <mergeCell ref="C8:C10"/>
    <mergeCell ref="D8:D10"/>
    <mergeCell ref="E8:E10"/>
    <mergeCell ref="F8:H8"/>
    <mergeCell ref="F9:G9"/>
    <mergeCell ref="H9:H10"/>
  </mergeCells>
  <phoneticPr fontId="10" type="noConversion"/>
  <pageMargins left="0.51181102362204722" right="0" top="0.39370078740157483" bottom="0.19685039370078741" header="0" footer="0"/>
  <pageSetup paperSize="9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zoomScaleNormal="100" workbookViewId="0">
      <selection activeCell="F8" sqref="F8:H8"/>
    </sheetView>
  </sheetViews>
  <sheetFormatPr defaultColWidth="9.109375" defaultRowHeight="13.2" x14ac:dyDescent="0.25"/>
  <cols>
    <col min="1" max="1" width="5.44140625" style="3" customWidth="1"/>
    <col min="2" max="2" width="5" style="24" customWidth="1"/>
    <col min="3" max="3" width="45.5546875" style="3" customWidth="1"/>
    <col min="4" max="4" width="10.44140625" style="8" customWidth="1"/>
    <col min="5" max="5" width="8.44140625" style="3" customWidth="1"/>
    <col min="6" max="6" width="8.109375" style="3" customWidth="1"/>
    <col min="7" max="7" width="9.5546875" style="3" customWidth="1"/>
    <col min="8" max="8" width="8.44140625" style="3" customWidth="1"/>
    <col min="9" max="10" width="9.109375" style="2" customWidth="1"/>
    <col min="11" max="16384" width="9.109375" style="2"/>
  </cols>
  <sheetData>
    <row r="1" spans="1:14" ht="15.75" customHeight="1" x14ac:dyDescent="0.3">
      <c r="C1" s="224" t="s">
        <v>297</v>
      </c>
      <c r="D1" s="224"/>
      <c r="E1" s="224"/>
      <c r="F1" s="224"/>
      <c r="G1" s="224"/>
      <c r="H1" s="224"/>
    </row>
    <row r="2" spans="1:14" ht="15.75" customHeight="1" x14ac:dyDescent="0.3">
      <c r="C2" s="224" t="s">
        <v>843</v>
      </c>
      <c r="D2" s="224"/>
      <c r="E2" s="224"/>
      <c r="F2" s="224"/>
      <c r="G2" s="224"/>
      <c r="H2" s="224"/>
    </row>
    <row r="3" spans="1:14" ht="15.6" x14ac:dyDescent="0.25">
      <c r="B3" s="8"/>
      <c r="E3" s="229" t="s">
        <v>127</v>
      </c>
      <c r="F3" s="229"/>
      <c r="G3" s="229"/>
      <c r="H3" s="229"/>
    </row>
    <row r="4" spans="1:14" ht="15.6" x14ac:dyDescent="0.25">
      <c r="B4" s="8"/>
      <c r="E4" s="9"/>
      <c r="F4" s="9"/>
      <c r="G4" s="9"/>
      <c r="H4" s="9"/>
    </row>
    <row r="5" spans="1:14" ht="30" customHeight="1" x14ac:dyDescent="0.25">
      <c r="A5" s="230" t="s">
        <v>421</v>
      </c>
      <c r="B5" s="230"/>
      <c r="C5" s="230"/>
      <c r="D5" s="230"/>
      <c r="E5" s="230"/>
      <c r="F5" s="230"/>
      <c r="G5" s="230"/>
      <c r="H5" s="230"/>
    </row>
    <row r="6" spans="1:14" x14ac:dyDescent="0.25">
      <c r="A6" s="83"/>
      <c r="B6" s="83"/>
      <c r="C6" s="83"/>
      <c r="D6" s="83"/>
      <c r="E6" s="83"/>
      <c r="F6" s="83"/>
      <c r="G6" s="83"/>
      <c r="H6" s="83"/>
    </row>
    <row r="7" spans="1:14" x14ac:dyDescent="0.25">
      <c r="B7" s="8"/>
      <c r="E7" s="6"/>
      <c r="F7" s="6"/>
      <c r="G7" s="253" t="s">
        <v>142</v>
      </c>
      <c r="H7" s="253"/>
    </row>
    <row r="8" spans="1:14" ht="12.75" customHeight="1" x14ac:dyDescent="0.25">
      <c r="A8" s="252" t="s">
        <v>0</v>
      </c>
      <c r="B8" s="255" t="s">
        <v>59</v>
      </c>
      <c r="C8" s="252" t="s">
        <v>16</v>
      </c>
      <c r="D8" s="256" t="s">
        <v>60</v>
      </c>
      <c r="E8" s="252" t="s">
        <v>17</v>
      </c>
      <c r="F8" s="251" t="s">
        <v>18</v>
      </c>
      <c r="G8" s="251"/>
      <c r="H8" s="251"/>
    </row>
    <row r="9" spans="1:14" ht="12.75" customHeight="1" x14ac:dyDescent="0.25">
      <c r="A9" s="254"/>
      <c r="B9" s="255"/>
      <c r="C9" s="252"/>
      <c r="D9" s="256"/>
      <c r="E9" s="252"/>
      <c r="F9" s="251" t="s">
        <v>302</v>
      </c>
      <c r="G9" s="251"/>
      <c r="H9" s="252" t="s">
        <v>31</v>
      </c>
    </row>
    <row r="10" spans="1:14" ht="46.5" customHeight="1" x14ac:dyDescent="0.25">
      <c r="A10" s="254"/>
      <c r="B10" s="255"/>
      <c r="C10" s="252"/>
      <c r="D10" s="256"/>
      <c r="E10" s="252"/>
      <c r="F10" s="10" t="s">
        <v>32</v>
      </c>
      <c r="G10" s="43" t="s">
        <v>33</v>
      </c>
      <c r="H10" s="252"/>
    </row>
    <row r="11" spans="1:14" x14ac:dyDescent="0.25">
      <c r="A11" s="12">
        <v>1</v>
      </c>
      <c r="B11" s="13" t="s">
        <v>19</v>
      </c>
      <c r="C11" s="10">
        <v>3</v>
      </c>
      <c r="D11" s="11">
        <v>4</v>
      </c>
      <c r="E11" s="10">
        <v>5</v>
      </c>
      <c r="F11" s="10">
        <v>6</v>
      </c>
      <c r="G11" s="10">
        <v>7</v>
      </c>
      <c r="H11" s="10">
        <v>8</v>
      </c>
    </row>
    <row r="12" spans="1:14" ht="20.100000000000001" customHeight="1" x14ac:dyDescent="0.25">
      <c r="A12" s="14">
        <v>1</v>
      </c>
      <c r="B12" s="13" t="s">
        <v>61</v>
      </c>
      <c r="C12" s="15" t="s">
        <v>62</v>
      </c>
      <c r="D12" s="11"/>
      <c r="E12" s="35">
        <f>+F12+H12</f>
        <v>296.7</v>
      </c>
      <c r="F12" s="35">
        <f>+F14+F13</f>
        <v>41.3</v>
      </c>
      <c r="G12" s="35">
        <f>+G14+G13</f>
        <v>0</v>
      </c>
      <c r="H12" s="35">
        <f>+H14+H13</f>
        <v>255.39999999999998</v>
      </c>
      <c r="I12" s="4"/>
      <c r="J12" s="4"/>
      <c r="K12" s="4"/>
      <c r="L12" s="4"/>
      <c r="M12" s="4"/>
      <c r="N12" s="4"/>
    </row>
    <row r="13" spans="1:14" x14ac:dyDescent="0.25">
      <c r="A13" s="14">
        <v>2</v>
      </c>
      <c r="B13" s="13"/>
      <c r="C13" s="75" t="s">
        <v>147</v>
      </c>
      <c r="D13" s="17" t="s">
        <v>67</v>
      </c>
      <c r="E13" s="42">
        <f>+F13+H13</f>
        <v>30.3</v>
      </c>
      <c r="F13" s="42">
        <f>29.7+0.6</f>
        <v>30.3</v>
      </c>
      <c r="G13" s="35"/>
      <c r="H13" s="35"/>
      <c r="I13" s="4"/>
      <c r="J13" s="4"/>
      <c r="K13" s="4"/>
      <c r="L13" s="4"/>
      <c r="M13" s="4"/>
      <c r="N13" s="4"/>
    </row>
    <row r="14" spans="1:14" ht="18.75" customHeight="1" x14ac:dyDescent="0.25">
      <c r="A14" s="14">
        <v>3</v>
      </c>
      <c r="B14" s="1"/>
      <c r="C14" s="52" t="s">
        <v>250</v>
      </c>
      <c r="D14" s="1"/>
      <c r="E14" s="44">
        <f>+F14+H14</f>
        <v>266.39999999999998</v>
      </c>
      <c r="F14" s="44">
        <f>+F15+F16+F17</f>
        <v>11</v>
      </c>
      <c r="G14" s="44">
        <f>+G15+G16+G17</f>
        <v>0</v>
      </c>
      <c r="H14" s="44">
        <f>+H15+H16+H17</f>
        <v>255.39999999999998</v>
      </c>
      <c r="I14" s="4"/>
      <c r="J14" s="4"/>
      <c r="K14" s="4"/>
      <c r="L14" s="48"/>
      <c r="M14" s="4"/>
      <c r="N14" s="51"/>
    </row>
    <row r="15" spans="1:14" ht="26.4" x14ac:dyDescent="0.25">
      <c r="A15" s="53" t="s">
        <v>175</v>
      </c>
      <c r="B15" s="61"/>
      <c r="C15" s="75" t="s">
        <v>234</v>
      </c>
      <c r="D15" s="36" t="s">
        <v>63</v>
      </c>
      <c r="E15" s="76">
        <f t="shared" ref="E15:E34" si="0">+F15+H15</f>
        <v>28.2</v>
      </c>
      <c r="F15" s="76">
        <v>2</v>
      </c>
      <c r="G15" s="77"/>
      <c r="H15" s="76">
        <v>26.2</v>
      </c>
      <c r="I15" s="4"/>
      <c r="J15" s="4"/>
      <c r="K15" s="4"/>
      <c r="L15" s="4"/>
      <c r="M15" s="4"/>
      <c r="N15" s="4"/>
    </row>
    <row r="16" spans="1:14" ht="26.4" x14ac:dyDescent="0.25">
      <c r="A16" s="53" t="s">
        <v>196</v>
      </c>
      <c r="B16" s="61"/>
      <c r="C16" s="19" t="s">
        <v>235</v>
      </c>
      <c r="D16" s="36" t="s">
        <v>63</v>
      </c>
      <c r="E16" s="76">
        <f t="shared" si="0"/>
        <v>113.6</v>
      </c>
      <c r="F16" s="76">
        <f>5+2</f>
        <v>7</v>
      </c>
      <c r="G16" s="77"/>
      <c r="H16" s="76">
        <f>108.6-2</f>
        <v>106.6</v>
      </c>
      <c r="I16" s="4"/>
      <c r="J16" s="4"/>
      <c r="K16" s="4"/>
      <c r="L16" s="4"/>
      <c r="M16" s="4"/>
      <c r="N16" s="51"/>
    </row>
    <row r="17" spans="1:14" ht="39.6" x14ac:dyDescent="0.25">
      <c r="A17" s="53" t="s">
        <v>238</v>
      </c>
      <c r="B17" s="1"/>
      <c r="C17" s="75" t="s">
        <v>180</v>
      </c>
      <c r="D17" s="1" t="s">
        <v>66</v>
      </c>
      <c r="E17" s="44">
        <f t="shared" si="0"/>
        <v>124.6</v>
      </c>
      <c r="F17" s="44">
        <v>2</v>
      </c>
      <c r="G17" s="44"/>
      <c r="H17" s="44">
        <v>122.6</v>
      </c>
      <c r="I17" s="4"/>
      <c r="J17" s="4"/>
      <c r="K17" s="4"/>
      <c r="L17" s="4"/>
      <c r="M17" s="4"/>
      <c r="N17" s="51"/>
    </row>
    <row r="18" spans="1:14" x14ac:dyDescent="0.25">
      <c r="A18" s="53" t="s">
        <v>34</v>
      </c>
      <c r="B18" s="13" t="s">
        <v>70</v>
      </c>
      <c r="C18" s="20" t="s">
        <v>71</v>
      </c>
      <c r="D18" s="1"/>
      <c r="E18" s="54">
        <f t="shared" si="0"/>
        <v>72.599999999999994</v>
      </c>
      <c r="F18" s="54">
        <f>+F19</f>
        <v>52.6</v>
      </c>
      <c r="G18" s="54">
        <f>+G19</f>
        <v>0</v>
      </c>
      <c r="H18" s="54">
        <f>+H19</f>
        <v>20</v>
      </c>
      <c r="I18" s="4"/>
      <c r="J18" s="4"/>
      <c r="K18" s="4"/>
      <c r="L18" s="4"/>
      <c r="M18" s="4"/>
      <c r="N18" s="51"/>
    </row>
    <row r="19" spans="1:14" x14ac:dyDescent="0.25">
      <c r="A19" s="53" t="s">
        <v>555</v>
      </c>
      <c r="B19" s="13"/>
      <c r="C19" s="52" t="s">
        <v>250</v>
      </c>
      <c r="D19" s="1"/>
      <c r="E19" s="44">
        <f t="shared" si="0"/>
        <v>72.599999999999994</v>
      </c>
      <c r="F19" s="44">
        <f>+F20+F21</f>
        <v>52.6</v>
      </c>
      <c r="G19" s="44">
        <f>+G20+G21</f>
        <v>0</v>
      </c>
      <c r="H19" s="44">
        <f>+H20+H21</f>
        <v>20</v>
      </c>
      <c r="I19" s="4"/>
      <c r="J19" s="4"/>
      <c r="K19" s="4"/>
      <c r="L19" s="4"/>
      <c r="M19" s="4"/>
      <c r="N19" s="51"/>
    </row>
    <row r="20" spans="1:14" s="217" customFormat="1" ht="45" customHeight="1" x14ac:dyDescent="0.25">
      <c r="A20" s="210" t="s">
        <v>176</v>
      </c>
      <c r="B20" s="211"/>
      <c r="C20" s="212" t="s">
        <v>182</v>
      </c>
      <c r="D20" s="213" t="s">
        <v>244</v>
      </c>
      <c r="E20" s="214">
        <f t="shared" si="0"/>
        <v>50</v>
      </c>
      <c r="F20" s="214">
        <v>30</v>
      </c>
      <c r="G20" s="214"/>
      <c r="H20" s="214">
        <v>20</v>
      </c>
      <c r="I20" s="215"/>
      <c r="J20" s="215"/>
      <c r="K20" s="215"/>
      <c r="L20" s="215"/>
      <c r="M20" s="215"/>
      <c r="N20" s="216"/>
    </row>
    <row r="21" spans="1:14" ht="26.4" x14ac:dyDescent="0.25">
      <c r="A21" s="53" t="s">
        <v>282</v>
      </c>
      <c r="B21" s="13"/>
      <c r="C21" s="67" t="s">
        <v>280</v>
      </c>
      <c r="D21" s="1" t="s">
        <v>281</v>
      </c>
      <c r="E21" s="44">
        <f t="shared" si="0"/>
        <v>22.6</v>
      </c>
      <c r="F21" s="44">
        <f>18+4.6</f>
        <v>22.6</v>
      </c>
      <c r="G21" s="44"/>
      <c r="H21" s="44"/>
      <c r="I21" s="4"/>
      <c r="J21" s="4"/>
      <c r="K21" s="4"/>
      <c r="L21" s="4"/>
      <c r="M21" s="4"/>
      <c r="N21" s="51"/>
    </row>
    <row r="22" spans="1:14" ht="15.75" customHeight="1" x14ac:dyDescent="0.25">
      <c r="A22" s="14">
        <v>6</v>
      </c>
      <c r="B22" s="13" t="s">
        <v>22</v>
      </c>
      <c r="C22" s="20" t="s">
        <v>23</v>
      </c>
      <c r="D22" s="1"/>
      <c r="E22" s="54">
        <f t="shared" si="0"/>
        <v>335.29999999999995</v>
      </c>
      <c r="F22" s="54">
        <f>+F23</f>
        <v>201.39999999999998</v>
      </c>
      <c r="G22" s="54">
        <f>+G23</f>
        <v>0</v>
      </c>
      <c r="H22" s="54">
        <f>+H23</f>
        <v>133.9</v>
      </c>
      <c r="I22" s="4"/>
      <c r="J22" s="4"/>
      <c r="K22" s="4"/>
      <c r="L22" s="4"/>
      <c r="M22" s="4"/>
      <c r="N22" s="51"/>
    </row>
    <row r="23" spans="1:14" ht="15" customHeight="1" x14ac:dyDescent="0.25">
      <c r="A23" s="14">
        <v>7</v>
      </c>
      <c r="B23" s="13"/>
      <c r="C23" s="52" t="s">
        <v>250</v>
      </c>
      <c r="D23" s="1"/>
      <c r="E23" s="44">
        <f t="shared" si="0"/>
        <v>335.29999999999995</v>
      </c>
      <c r="F23" s="44">
        <f>+F24+F25+F26</f>
        <v>201.39999999999998</v>
      </c>
      <c r="G23" s="44">
        <f>+G24+G25+G26</f>
        <v>0</v>
      </c>
      <c r="H23" s="44">
        <f>+H24+H25+H26</f>
        <v>133.9</v>
      </c>
      <c r="I23" s="4"/>
      <c r="J23" s="4"/>
      <c r="K23" s="4"/>
      <c r="L23" s="4"/>
      <c r="M23" s="4"/>
      <c r="N23" s="51"/>
    </row>
    <row r="24" spans="1:14" x14ac:dyDescent="0.25">
      <c r="A24" s="53" t="s">
        <v>554</v>
      </c>
      <c r="B24" s="1"/>
      <c r="C24" s="75" t="s">
        <v>213</v>
      </c>
      <c r="D24" s="1" t="s">
        <v>35</v>
      </c>
      <c r="E24" s="44">
        <f t="shared" si="0"/>
        <v>108.3</v>
      </c>
      <c r="F24" s="44">
        <f>90+18.3</f>
        <v>108.3</v>
      </c>
      <c r="G24" s="44"/>
      <c r="H24" s="44"/>
      <c r="I24" s="4"/>
      <c r="J24" s="4"/>
      <c r="K24" s="4"/>
      <c r="L24" s="4"/>
      <c r="M24" s="4"/>
      <c r="N24" s="4"/>
    </row>
    <row r="25" spans="1:14" x14ac:dyDescent="0.25">
      <c r="A25" s="53" t="s">
        <v>283</v>
      </c>
      <c r="B25" s="1"/>
      <c r="C25" s="45" t="s">
        <v>183</v>
      </c>
      <c r="D25" s="17" t="s">
        <v>94</v>
      </c>
      <c r="E25" s="44">
        <f t="shared" si="0"/>
        <v>130</v>
      </c>
      <c r="F25" s="44">
        <v>2.1</v>
      </c>
      <c r="G25" s="44"/>
      <c r="H25" s="44">
        <v>127.9</v>
      </c>
      <c r="I25" s="4"/>
      <c r="J25" s="4"/>
      <c r="K25" s="4"/>
      <c r="L25" s="4"/>
      <c r="M25" s="4"/>
      <c r="N25" s="4"/>
    </row>
    <row r="26" spans="1:14" ht="26.4" x14ac:dyDescent="0.25">
      <c r="A26" s="53" t="s">
        <v>284</v>
      </c>
      <c r="B26" s="1"/>
      <c r="C26" s="75" t="s">
        <v>441</v>
      </c>
      <c r="D26" s="1" t="s">
        <v>24</v>
      </c>
      <c r="E26" s="44">
        <f t="shared" si="0"/>
        <v>97</v>
      </c>
      <c r="F26" s="44">
        <v>91</v>
      </c>
      <c r="G26" s="44"/>
      <c r="H26" s="44">
        <v>6</v>
      </c>
      <c r="I26" s="4"/>
      <c r="J26" s="4"/>
      <c r="K26" s="4"/>
      <c r="L26" s="4"/>
      <c r="M26" s="4"/>
      <c r="N26" s="4"/>
    </row>
    <row r="27" spans="1:14" x14ac:dyDescent="0.25">
      <c r="A27" s="53" t="s">
        <v>285</v>
      </c>
      <c r="B27" s="13" t="s">
        <v>82</v>
      </c>
      <c r="C27" s="20" t="s">
        <v>279</v>
      </c>
      <c r="D27" s="1"/>
      <c r="E27" s="54">
        <f>+F27+H27</f>
        <v>38.200000000000003</v>
      </c>
      <c r="F27" s="54">
        <f t="shared" ref="F27:H28" si="1">+F28</f>
        <v>7.1999999999999993</v>
      </c>
      <c r="G27" s="54">
        <f t="shared" si="1"/>
        <v>0</v>
      </c>
      <c r="H27" s="54">
        <f t="shared" si="1"/>
        <v>31</v>
      </c>
      <c r="I27" s="4"/>
      <c r="J27" s="4"/>
      <c r="K27" s="4"/>
      <c r="L27" s="4"/>
      <c r="M27" s="4"/>
      <c r="N27" s="51"/>
    </row>
    <row r="28" spans="1:14" x14ac:dyDescent="0.25">
      <c r="A28" s="53" t="s">
        <v>556</v>
      </c>
      <c r="B28" s="1"/>
      <c r="C28" s="52" t="s">
        <v>250</v>
      </c>
      <c r="D28" s="1"/>
      <c r="E28" s="44">
        <f>+F28+H28</f>
        <v>38.200000000000003</v>
      </c>
      <c r="F28" s="44">
        <f t="shared" si="1"/>
        <v>7.1999999999999993</v>
      </c>
      <c r="G28" s="44">
        <f t="shared" si="1"/>
        <v>0</v>
      </c>
      <c r="H28" s="44">
        <f t="shared" si="1"/>
        <v>31</v>
      </c>
      <c r="I28" s="4"/>
      <c r="J28" s="4"/>
      <c r="K28" s="4"/>
      <c r="L28" s="4"/>
      <c r="M28" s="4"/>
      <c r="N28" s="51"/>
    </row>
    <row r="29" spans="1:14" ht="26.4" x14ac:dyDescent="0.25">
      <c r="A29" s="53" t="s">
        <v>557</v>
      </c>
      <c r="B29" s="1"/>
      <c r="C29" s="75" t="s">
        <v>214</v>
      </c>
      <c r="D29" s="1" t="s">
        <v>67</v>
      </c>
      <c r="E29" s="44">
        <f t="shared" si="0"/>
        <v>38.200000000000003</v>
      </c>
      <c r="F29" s="44">
        <f>9.7-2.5</f>
        <v>7.1999999999999993</v>
      </c>
      <c r="G29" s="44"/>
      <c r="H29" s="44">
        <f>24.8+2.5+3.7</f>
        <v>31</v>
      </c>
      <c r="I29" s="4"/>
      <c r="J29" s="4"/>
      <c r="K29" s="4"/>
      <c r="L29" s="4"/>
      <c r="M29" s="4"/>
      <c r="N29" s="51"/>
    </row>
    <row r="30" spans="1:14" ht="16.5" customHeight="1" x14ac:dyDescent="0.25">
      <c r="A30" s="14">
        <v>10</v>
      </c>
      <c r="B30" s="13" t="s">
        <v>84</v>
      </c>
      <c r="C30" s="20" t="s">
        <v>85</v>
      </c>
      <c r="D30" s="10"/>
      <c r="E30" s="54">
        <f>+F30+H30</f>
        <v>342</v>
      </c>
      <c r="F30" s="54">
        <f>+F31</f>
        <v>3.8</v>
      </c>
      <c r="G30" s="54">
        <f>+G31</f>
        <v>0</v>
      </c>
      <c r="H30" s="54">
        <f>+H31</f>
        <v>338.2</v>
      </c>
      <c r="I30" s="4"/>
      <c r="J30" s="4"/>
      <c r="K30" s="4"/>
      <c r="L30" s="4"/>
      <c r="M30" s="4"/>
      <c r="N30" s="51"/>
    </row>
    <row r="31" spans="1:14" ht="15" customHeight="1" x14ac:dyDescent="0.25">
      <c r="A31" s="14">
        <v>11</v>
      </c>
      <c r="B31" s="13"/>
      <c r="C31" s="52" t="s">
        <v>250</v>
      </c>
      <c r="D31" s="1"/>
      <c r="E31" s="44">
        <f>+F31+H31</f>
        <v>342</v>
      </c>
      <c r="F31" s="44">
        <f>+F32+F33+F34</f>
        <v>3.8</v>
      </c>
      <c r="G31" s="44">
        <f>+G32+G33+G34</f>
        <v>0</v>
      </c>
      <c r="H31" s="44">
        <f>+H32+H33+H34</f>
        <v>338.2</v>
      </c>
      <c r="I31" s="4"/>
      <c r="J31" s="4"/>
      <c r="K31" s="4"/>
      <c r="L31" s="4"/>
      <c r="M31" s="4"/>
      <c r="N31" s="51"/>
    </row>
    <row r="32" spans="1:14" ht="39.6" x14ac:dyDescent="0.25">
      <c r="A32" s="53" t="s">
        <v>38</v>
      </c>
      <c r="B32" s="1"/>
      <c r="C32" s="19" t="s">
        <v>228</v>
      </c>
      <c r="D32" s="16" t="s">
        <v>88</v>
      </c>
      <c r="E32" s="44">
        <f t="shared" si="0"/>
        <v>150</v>
      </c>
      <c r="F32" s="44">
        <v>3.8</v>
      </c>
      <c r="G32" s="44"/>
      <c r="H32" s="44">
        <v>146.19999999999999</v>
      </c>
      <c r="I32" s="4"/>
      <c r="J32" s="4"/>
      <c r="K32" s="4"/>
      <c r="L32" s="4"/>
      <c r="M32" s="4"/>
      <c r="N32" s="51"/>
    </row>
    <row r="33" spans="1:14" ht="26.4" x14ac:dyDescent="0.25">
      <c r="A33" s="53" t="s">
        <v>39</v>
      </c>
      <c r="B33" s="1"/>
      <c r="C33" s="19" t="s">
        <v>184</v>
      </c>
      <c r="D33" s="16" t="s">
        <v>86</v>
      </c>
      <c r="E33" s="44">
        <f t="shared" si="0"/>
        <v>21</v>
      </c>
      <c r="F33" s="44"/>
      <c r="G33" s="44"/>
      <c r="H33" s="44">
        <v>21</v>
      </c>
      <c r="I33" s="4"/>
      <c r="J33" s="4"/>
      <c r="K33" s="4"/>
      <c r="L33" s="4"/>
      <c r="M33" s="4"/>
      <c r="N33" s="51"/>
    </row>
    <row r="34" spans="1:14" ht="26.4" x14ac:dyDescent="0.25">
      <c r="A34" s="53" t="s">
        <v>40</v>
      </c>
      <c r="B34" s="1"/>
      <c r="C34" s="19" t="s">
        <v>271</v>
      </c>
      <c r="D34" s="16" t="s">
        <v>86</v>
      </c>
      <c r="E34" s="44">
        <f t="shared" si="0"/>
        <v>171</v>
      </c>
      <c r="F34" s="44"/>
      <c r="G34" s="44"/>
      <c r="H34" s="44">
        <v>171</v>
      </c>
      <c r="I34" s="4"/>
      <c r="J34" s="4"/>
      <c r="K34" s="4"/>
      <c r="L34" s="4"/>
      <c r="M34" s="4"/>
      <c r="N34" s="51"/>
    </row>
    <row r="35" spans="1:14" ht="28.5" customHeight="1" x14ac:dyDescent="0.25">
      <c r="A35" s="14">
        <v>12</v>
      </c>
      <c r="B35" s="13" t="s">
        <v>111</v>
      </c>
      <c r="C35" s="49" t="s">
        <v>112</v>
      </c>
      <c r="D35" s="1"/>
      <c r="E35" s="54">
        <f>+F35+H35</f>
        <v>262.8</v>
      </c>
      <c r="F35" s="54">
        <f>+F36</f>
        <v>33.799999999999997</v>
      </c>
      <c r="G35" s="54">
        <f>+G36</f>
        <v>0</v>
      </c>
      <c r="H35" s="54">
        <f>+H36</f>
        <v>229</v>
      </c>
      <c r="I35" s="4"/>
      <c r="J35" s="4"/>
      <c r="K35" s="4"/>
      <c r="L35" s="4"/>
      <c r="M35" s="4"/>
      <c r="N35" s="51"/>
    </row>
    <row r="36" spans="1:14" ht="16.5" customHeight="1" x14ac:dyDescent="0.25">
      <c r="A36" s="14">
        <v>13</v>
      </c>
      <c r="B36" s="13"/>
      <c r="C36" s="19" t="s">
        <v>250</v>
      </c>
      <c r="D36" s="1"/>
      <c r="E36" s="44">
        <f>+F36+H36</f>
        <v>262.8</v>
      </c>
      <c r="F36" s="44">
        <f>+F37+F38+F39+F40</f>
        <v>33.799999999999997</v>
      </c>
      <c r="G36" s="44">
        <f>+G37+G38+G39+G40</f>
        <v>0</v>
      </c>
      <c r="H36" s="44">
        <f>+H37+H38+H39+H40</f>
        <v>229</v>
      </c>
      <c r="I36" s="4"/>
      <c r="J36" s="4"/>
      <c r="K36" s="4"/>
      <c r="L36" s="4"/>
      <c r="M36" s="4"/>
      <c r="N36" s="51"/>
    </row>
    <row r="37" spans="1:14" ht="42.75" customHeight="1" x14ac:dyDescent="0.25">
      <c r="A37" s="53" t="s">
        <v>558</v>
      </c>
      <c r="B37" s="1"/>
      <c r="C37" s="75" t="s">
        <v>211</v>
      </c>
      <c r="D37" s="1" t="s">
        <v>162</v>
      </c>
      <c r="E37" s="44">
        <f t="shared" ref="E37:E58" si="2">+F37+H37</f>
        <v>58.4</v>
      </c>
      <c r="F37" s="44">
        <v>33.4</v>
      </c>
      <c r="G37" s="44"/>
      <c r="H37" s="44">
        <v>25</v>
      </c>
      <c r="I37" s="4"/>
      <c r="J37" s="4"/>
      <c r="K37" s="4"/>
      <c r="L37" s="4"/>
      <c r="M37" s="4"/>
      <c r="N37" s="51"/>
    </row>
    <row r="38" spans="1:14" ht="52.8" x14ac:dyDescent="0.25">
      <c r="A38" s="53" t="s">
        <v>239</v>
      </c>
      <c r="B38" s="1"/>
      <c r="C38" s="46" t="s">
        <v>200</v>
      </c>
      <c r="D38" s="78" t="s">
        <v>195</v>
      </c>
      <c r="E38" s="44">
        <f t="shared" si="2"/>
        <v>125.1</v>
      </c>
      <c r="F38" s="44">
        <v>0.1</v>
      </c>
      <c r="G38" s="44"/>
      <c r="H38" s="44">
        <v>125</v>
      </c>
      <c r="I38" s="4"/>
      <c r="J38" s="4"/>
      <c r="K38" s="4"/>
      <c r="L38" s="4"/>
      <c r="M38" s="4"/>
      <c r="N38" s="51"/>
    </row>
    <row r="39" spans="1:14" ht="26.4" x14ac:dyDescent="0.25">
      <c r="A39" s="53" t="s">
        <v>559</v>
      </c>
      <c r="B39" s="1"/>
      <c r="C39" s="46" t="s">
        <v>186</v>
      </c>
      <c r="D39" s="78" t="s">
        <v>125</v>
      </c>
      <c r="E39" s="44">
        <f t="shared" si="2"/>
        <v>53.800000000000004</v>
      </c>
      <c r="F39" s="44"/>
      <c r="G39" s="44"/>
      <c r="H39" s="44">
        <f>44.2+9.6</f>
        <v>53.800000000000004</v>
      </c>
      <c r="I39" s="4"/>
      <c r="J39" s="4"/>
      <c r="K39" s="4"/>
      <c r="L39" s="4"/>
      <c r="M39" s="4"/>
      <c r="N39" s="51"/>
    </row>
    <row r="40" spans="1:14" ht="39.6" x14ac:dyDescent="0.25">
      <c r="A40" s="53" t="s">
        <v>560</v>
      </c>
      <c r="B40" s="1"/>
      <c r="C40" s="79" t="s">
        <v>185</v>
      </c>
      <c r="D40" s="1" t="s">
        <v>138</v>
      </c>
      <c r="E40" s="44">
        <f t="shared" si="2"/>
        <v>25.5</v>
      </c>
      <c r="F40" s="44">
        <v>0.3</v>
      </c>
      <c r="G40" s="44"/>
      <c r="H40" s="44">
        <v>25.2</v>
      </c>
      <c r="I40" s="4"/>
      <c r="J40" s="4"/>
      <c r="K40" s="4"/>
      <c r="L40" s="4"/>
      <c r="M40" s="4"/>
      <c r="N40" s="51"/>
    </row>
    <row r="41" spans="1:14" ht="22.5" customHeight="1" x14ac:dyDescent="0.25">
      <c r="A41" s="14">
        <v>14</v>
      </c>
      <c r="B41" s="13" t="s">
        <v>90</v>
      </c>
      <c r="C41" s="50" t="s">
        <v>91</v>
      </c>
      <c r="D41" s="1"/>
      <c r="E41" s="54">
        <f t="shared" si="2"/>
        <v>1661.1</v>
      </c>
      <c r="F41" s="54">
        <f>+F42</f>
        <v>11.9</v>
      </c>
      <c r="G41" s="54">
        <f>+G42</f>
        <v>0</v>
      </c>
      <c r="H41" s="54">
        <f>+H42</f>
        <v>1649.1999999999998</v>
      </c>
      <c r="I41" s="4"/>
      <c r="J41" s="4"/>
      <c r="K41" s="4"/>
      <c r="L41" s="4"/>
      <c r="M41" s="4"/>
      <c r="N41" s="51"/>
    </row>
    <row r="42" spans="1:14" x14ac:dyDescent="0.25">
      <c r="A42" s="14">
        <v>15</v>
      </c>
      <c r="B42" s="1"/>
      <c r="C42" s="52" t="s">
        <v>250</v>
      </c>
      <c r="D42" s="16"/>
      <c r="E42" s="44">
        <f t="shared" si="2"/>
        <v>1661.1</v>
      </c>
      <c r="F42" s="44">
        <f>+F43+F44+F45+F46+F47+F48+F49+F50</f>
        <v>11.9</v>
      </c>
      <c r="G42" s="44">
        <f>+G43+G44+G45+G46+G47+G48+G49+G50</f>
        <v>0</v>
      </c>
      <c r="H42" s="44">
        <f>+H43+H44+H45+H46+H47+H48+H49+H50</f>
        <v>1649.1999999999998</v>
      </c>
      <c r="I42" s="4"/>
      <c r="J42" s="4"/>
      <c r="K42" s="4"/>
      <c r="L42" s="4"/>
      <c r="M42" s="4"/>
      <c r="N42" s="51"/>
    </row>
    <row r="43" spans="1:14" ht="26.4" x14ac:dyDescent="0.25">
      <c r="A43" s="53" t="s">
        <v>240</v>
      </c>
      <c r="B43" s="1"/>
      <c r="C43" s="52" t="s">
        <v>461</v>
      </c>
      <c r="D43" s="16" t="s">
        <v>646</v>
      </c>
      <c r="E43" s="44">
        <f t="shared" si="2"/>
        <v>11</v>
      </c>
      <c r="F43" s="44"/>
      <c r="G43" s="44"/>
      <c r="H43" s="44">
        <v>11</v>
      </c>
      <c r="I43" s="4"/>
      <c r="J43" s="4"/>
      <c r="K43" s="4"/>
      <c r="L43" s="4"/>
      <c r="M43" s="4"/>
      <c r="N43" s="51"/>
    </row>
    <row r="44" spans="1:14" ht="39.6" x14ac:dyDescent="0.25">
      <c r="A44" s="53" t="s">
        <v>561</v>
      </c>
      <c r="B44" s="1"/>
      <c r="C44" s="52" t="s">
        <v>463</v>
      </c>
      <c r="D44" s="16" t="s">
        <v>93</v>
      </c>
      <c r="E44" s="44">
        <f t="shared" si="2"/>
        <v>344.7</v>
      </c>
      <c r="F44" s="44"/>
      <c r="G44" s="44"/>
      <c r="H44" s="44">
        <v>344.7</v>
      </c>
      <c r="I44" s="4"/>
      <c r="J44" s="4"/>
      <c r="K44" s="4"/>
      <c r="L44" s="4"/>
      <c r="M44" s="4"/>
      <c r="N44" s="51"/>
    </row>
    <row r="45" spans="1:14" x14ac:dyDescent="0.25">
      <c r="A45" s="53" t="s">
        <v>241</v>
      </c>
      <c r="B45" s="1"/>
      <c r="C45" s="52" t="s">
        <v>310</v>
      </c>
      <c r="D45" s="16" t="s">
        <v>125</v>
      </c>
      <c r="E45" s="44">
        <f t="shared" si="2"/>
        <v>27.3</v>
      </c>
      <c r="F45" s="44">
        <v>0.1</v>
      </c>
      <c r="G45" s="44"/>
      <c r="H45" s="44">
        <v>27.2</v>
      </c>
      <c r="I45" s="4"/>
      <c r="J45" s="4"/>
      <c r="K45" s="4"/>
      <c r="L45" s="4"/>
      <c r="M45" s="4"/>
      <c r="N45" s="51"/>
    </row>
    <row r="46" spans="1:14" ht="26.4" x14ac:dyDescent="0.25">
      <c r="A46" s="53" t="s">
        <v>242</v>
      </c>
      <c r="B46" s="1"/>
      <c r="C46" s="52" t="s">
        <v>311</v>
      </c>
      <c r="D46" s="16" t="s">
        <v>125</v>
      </c>
      <c r="E46" s="44">
        <f t="shared" si="2"/>
        <v>9.1999999999999993</v>
      </c>
      <c r="F46" s="44"/>
      <c r="G46" s="44"/>
      <c r="H46" s="44">
        <v>9.1999999999999993</v>
      </c>
      <c r="I46" s="4"/>
      <c r="J46" s="4"/>
      <c r="K46" s="4"/>
      <c r="L46" s="4"/>
      <c r="M46" s="4"/>
      <c r="N46" s="51"/>
    </row>
    <row r="47" spans="1:14" ht="26.4" x14ac:dyDescent="0.25">
      <c r="A47" s="53" t="s">
        <v>243</v>
      </c>
      <c r="B47" s="1"/>
      <c r="C47" s="52" t="s">
        <v>312</v>
      </c>
      <c r="D47" s="16" t="s">
        <v>125</v>
      </c>
      <c r="E47" s="44">
        <f t="shared" si="2"/>
        <v>62</v>
      </c>
      <c r="F47" s="44"/>
      <c r="G47" s="44"/>
      <c r="H47" s="44">
        <v>62</v>
      </c>
      <c r="I47" s="4"/>
      <c r="J47" s="4"/>
      <c r="K47" s="4"/>
      <c r="L47" s="4"/>
      <c r="M47" s="4"/>
      <c r="N47" s="51"/>
    </row>
    <row r="48" spans="1:14" ht="26.4" x14ac:dyDescent="0.25">
      <c r="A48" s="53" t="s">
        <v>286</v>
      </c>
      <c r="B48" s="1"/>
      <c r="C48" s="18" t="s">
        <v>187</v>
      </c>
      <c r="D48" s="66" t="s">
        <v>194</v>
      </c>
      <c r="E48" s="44">
        <f t="shared" si="2"/>
        <v>165.29999999999998</v>
      </c>
      <c r="F48" s="44">
        <v>0.7</v>
      </c>
      <c r="G48" s="44"/>
      <c r="H48" s="44">
        <v>164.6</v>
      </c>
      <c r="I48" s="4"/>
      <c r="J48" s="4"/>
      <c r="K48" s="4"/>
      <c r="L48" s="4"/>
      <c r="M48" s="4"/>
      <c r="N48" s="51"/>
    </row>
    <row r="49" spans="1:14" ht="26.4" x14ac:dyDescent="0.25">
      <c r="A49" s="53" t="s">
        <v>258</v>
      </c>
      <c r="B49" s="1"/>
      <c r="C49" s="80" t="s">
        <v>188</v>
      </c>
      <c r="D49" s="16" t="s">
        <v>194</v>
      </c>
      <c r="E49" s="44">
        <f t="shared" si="2"/>
        <v>1035.6999999999998</v>
      </c>
      <c r="F49" s="44">
        <v>11.1</v>
      </c>
      <c r="G49" s="44"/>
      <c r="H49" s="44">
        <v>1024.5999999999999</v>
      </c>
      <c r="I49" s="4"/>
      <c r="J49" s="4"/>
      <c r="K49" s="4"/>
      <c r="L49" s="4"/>
      <c r="M49" s="4"/>
      <c r="N49" s="51"/>
    </row>
    <row r="50" spans="1:14" ht="26.4" x14ac:dyDescent="0.25">
      <c r="A50" s="53" t="s">
        <v>295</v>
      </c>
      <c r="B50" s="1"/>
      <c r="C50" s="18" t="s">
        <v>647</v>
      </c>
      <c r="D50" s="78" t="s">
        <v>125</v>
      </c>
      <c r="E50" s="44">
        <f t="shared" si="2"/>
        <v>5.9</v>
      </c>
      <c r="F50" s="44"/>
      <c r="G50" s="44"/>
      <c r="H50" s="44">
        <v>5.9</v>
      </c>
      <c r="I50" s="4"/>
      <c r="J50" s="4"/>
      <c r="K50" s="4"/>
      <c r="L50" s="4"/>
      <c r="M50" s="4"/>
      <c r="N50" s="51"/>
    </row>
    <row r="51" spans="1:14" ht="17.25" customHeight="1" x14ac:dyDescent="0.25">
      <c r="A51" s="14">
        <v>16</v>
      </c>
      <c r="B51" s="13" t="s">
        <v>95</v>
      </c>
      <c r="C51" s="20" t="s">
        <v>96</v>
      </c>
      <c r="D51" s="1"/>
      <c r="E51" s="54">
        <f t="shared" si="2"/>
        <v>679</v>
      </c>
      <c r="F51" s="54">
        <f>+F52</f>
        <v>212.4</v>
      </c>
      <c r="G51" s="54">
        <f>+G52</f>
        <v>0</v>
      </c>
      <c r="H51" s="54">
        <f>+H52</f>
        <v>466.6</v>
      </c>
      <c r="I51" s="4"/>
      <c r="J51" s="4"/>
      <c r="K51" s="4"/>
      <c r="L51" s="4"/>
      <c r="M51" s="4"/>
      <c r="N51" s="51"/>
    </row>
    <row r="52" spans="1:14" ht="17.25" customHeight="1" x14ac:dyDescent="0.25">
      <c r="A52" s="14">
        <v>17</v>
      </c>
      <c r="B52" s="1"/>
      <c r="C52" s="52" t="s">
        <v>250</v>
      </c>
      <c r="D52" s="1"/>
      <c r="E52" s="44">
        <f t="shared" si="2"/>
        <v>679</v>
      </c>
      <c r="F52" s="44">
        <f>+F53+F54+F55</f>
        <v>212.4</v>
      </c>
      <c r="G52" s="44">
        <f>+G53+G54+G55</f>
        <v>0</v>
      </c>
      <c r="H52" s="44">
        <f>+H53+H54+H55</f>
        <v>466.6</v>
      </c>
      <c r="I52" s="4"/>
      <c r="J52" s="4"/>
      <c r="K52" s="4"/>
      <c r="L52" s="4"/>
      <c r="M52" s="4"/>
      <c r="N52" s="51"/>
    </row>
    <row r="53" spans="1:14" ht="29.25" customHeight="1" x14ac:dyDescent="0.25">
      <c r="A53" s="53" t="s">
        <v>562</v>
      </c>
      <c r="B53" s="1"/>
      <c r="C53" s="80" t="s">
        <v>189</v>
      </c>
      <c r="D53" s="1" t="s">
        <v>98</v>
      </c>
      <c r="E53" s="44">
        <f t="shared" si="2"/>
        <v>470</v>
      </c>
      <c r="F53" s="44">
        <v>3.4</v>
      </c>
      <c r="G53" s="44"/>
      <c r="H53" s="44">
        <v>466.6</v>
      </c>
      <c r="I53" s="4"/>
      <c r="J53" s="4"/>
      <c r="K53" s="4"/>
      <c r="L53" s="4"/>
      <c r="M53" s="4"/>
      <c r="N53" s="51"/>
    </row>
    <row r="54" spans="1:14" ht="39.6" x14ac:dyDescent="0.25">
      <c r="A54" s="53" t="s">
        <v>563</v>
      </c>
      <c r="B54" s="1"/>
      <c r="C54" s="80" t="s">
        <v>274</v>
      </c>
      <c r="D54" s="1" t="s">
        <v>163</v>
      </c>
      <c r="E54" s="44">
        <f t="shared" si="2"/>
        <v>84</v>
      </c>
      <c r="F54" s="44">
        <v>84</v>
      </c>
      <c r="G54" s="44"/>
      <c r="H54" s="44"/>
      <c r="I54" s="4"/>
      <c r="J54" s="4"/>
      <c r="K54" s="4"/>
      <c r="L54" s="4"/>
      <c r="M54" s="4"/>
      <c r="N54" s="51"/>
    </row>
    <row r="55" spans="1:14" ht="29.25" customHeight="1" x14ac:dyDescent="0.25">
      <c r="A55" s="53" t="s">
        <v>564</v>
      </c>
      <c r="B55" s="1"/>
      <c r="C55" s="80" t="s">
        <v>190</v>
      </c>
      <c r="D55" s="1" t="s">
        <v>163</v>
      </c>
      <c r="E55" s="44">
        <f t="shared" si="2"/>
        <v>125</v>
      </c>
      <c r="F55" s="44">
        <f>116+9</f>
        <v>125</v>
      </c>
      <c r="G55" s="44"/>
      <c r="H55" s="44"/>
      <c r="I55" s="4"/>
      <c r="J55" s="4"/>
      <c r="K55" s="4"/>
      <c r="L55" s="4"/>
      <c r="M55" s="4"/>
      <c r="N55" s="51"/>
    </row>
    <row r="56" spans="1:14" x14ac:dyDescent="0.25">
      <c r="A56" s="56">
        <v>18</v>
      </c>
      <c r="B56" s="13" t="s">
        <v>26</v>
      </c>
      <c r="C56" s="20" t="s">
        <v>27</v>
      </c>
      <c r="D56" s="1"/>
      <c r="E56" s="54">
        <f t="shared" si="2"/>
        <v>8</v>
      </c>
      <c r="F56" s="32">
        <f t="shared" ref="F56:H57" si="3">+F57</f>
        <v>8</v>
      </c>
      <c r="G56" s="32">
        <f t="shared" si="3"/>
        <v>0</v>
      </c>
      <c r="H56" s="32">
        <f t="shared" si="3"/>
        <v>0</v>
      </c>
      <c r="I56" s="4"/>
      <c r="J56" s="4"/>
      <c r="K56" s="4"/>
      <c r="L56" s="4"/>
      <c r="M56" s="4"/>
      <c r="N56" s="4"/>
    </row>
    <row r="57" spans="1:14" x14ac:dyDescent="0.25">
      <c r="A57" s="56">
        <v>19</v>
      </c>
      <c r="B57" s="55"/>
      <c r="C57" s="52" t="s">
        <v>250</v>
      </c>
      <c r="D57" s="1"/>
      <c r="E57" s="44">
        <f t="shared" si="2"/>
        <v>8</v>
      </c>
      <c r="F57" s="37">
        <f>+F58</f>
        <v>8</v>
      </c>
      <c r="G57" s="37">
        <f t="shared" si="3"/>
        <v>0</v>
      </c>
      <c r="H57" s="37">
        <f t="shared" si="3"/>
        <v>0</v>
      </c>
      <c r="I57" s="4"/>
      <c r="J57" s="4"/>
      <c r="K57" s="4"/>
      <c r="L57" s="4"/>
      <c r="M57" s="4"/>
      <c r="N57" s="4"/>
    </row>
    <row r="58" spans="1:14" ht="26.4" x14ac:dyDescent="0.25">
      <c r="A58" s="14" t="s">
        <v>565</v>
      </c>
      <c r="B58" s="55"/>
      <c r="C58" s="81" t="s">
        <v>249</v>
      </c>
      <c r="D58" s="1" t="s">
        <v>41</v>
      </c>
      <c r="E58" s="44">
        <f t="shared" si="2"/>
        <v>8</v>
      </c>
      <c r="F58" s="37">
        <v>8</v>
      </c>
      <c r="G58" s="37"/>
      <c r="H58" s="37"/>
      <c r="I58" s="4"/>
      <c r="J58" s="4"/>
      <c r="K58" s="4"/>
      <c r="L58" s="4"/>
      <c r="M58" s="4"/>
      <c r="N58" s="4"/>
    </row>
    <row r="59" spans="1:14" ht="15.75" customHeight="1" x14ac:dyDescent="0.25">
      <c r="A59" s="14">
        <v>20</v>
      </c>
      <c r="B59" s="1"/>
      <c r="C59" s="34" t="s">
        <v>21</v>
      </c>
      <c r="D59" s="1"/>
      <c r="E59" s="32">
        <f>+F59+H59</f>
        <v>3695.7</v>
      </c>
      <c r="F59" s="32">
        <f>+F12+F18+F22+F27+F30+F35+F41+F51+F56</f>
        <v>572.4</v>
      </c>
      <c r="G59" s="32">
        <f>+G12+G18+G22+G27+G30+G35+G41+G51+G56</f>
        <v>0</v>
      </c>
      <c r="H59" s="32">
        <f>+H12+H18+H22+H27+H30+H35+H41+H51+H56</f>
        <v>3123.2999999999997</v>
      </c>
      <c r="I59" s="4"/>
      <c r="J59" s="4"/>
      <c r="K59" s="4"/>
      <c r="L59" s="4"/>
      <c r="M59" s="4"/>
      <c r="N59" s="4"/>
    </row>
    <row r="60" spans="1:14" x14ac:dyDescent="0.25">
      <c r="C60" s="3" t="s">
        <v>115</v>
      </c>
      <c r="E60" s="23"/>
      <c r="F60" s="23"/>
      <c r="G60" s="23"/>
      <c r="H60" s="23"/>
    </row>
    <row r="61" spans="1:14" x14ac:dyDescent="0.25">
      <c r="D61" s="7"/>
      <c r="E61" s="23"/>
      <c r="F61" s="23"/>
      <c r="G61" s="23"/>
      <c r="H61" s="23"/>
    </row>
    <row r="62" spans="1:14" x14ac:dyDescent="0.25">
      <c r="C62" s="58"/>
      <c r="E62" s="23"/>
      <c r="F62" s="57"/>
    </row>
    <row r="63" spans="1:14" x14ac:dyDescent="0.25">
      <c r="E63" s="23"/>
      <c r="F63" s="23"/>
      <c r="G63" s="23"/>
    </row>
    <row r="64" spans="1:14" x14ac:dyDescent="0.25">
      <c r="C64" s="6"/>
      <c r="D64" s="7"/>
      <c r="E64" s="23"/>
      <c r="F64" s="23"/>
      <c r="G64" s="23"/>
      <c r="H64" s="23"/>
    </row>
    <row r="65" spans="3:8" x14ac:dyDescent="0.25">
      <c r="C65" s="6"/>
      <c r="D65" s="7"/>
      <c r="E65" s="23"/>
      <c r="F65" s="23"/>
      <c r="G65" s="23"/>
    </row>
    <row r="66" spans="3:8" x14ac:dyDescent="0.25">
      <c r="C66" s="41"/>
      <c r="E66" s="23"/>
      <c r="F66" s="23"/>
      <c r="G66" s="23"/>
      <c r="H66" s="23"/>
    </row>
    <row r="67" spans="3:8" x14ac:dyDescent="0.25">
      <c r="C67" s="41"/>
      <c r="E67" s="23"/>
      <c r="F67" s="23"/>
      <c r="G67" s="23"/>
      <c r="H67" s="23"/>
    </row>
    <row r="68" spans="3:8" x14ac:dyDescent="0.25">
      <c r="E68" s="23"/>
      <c r="G68" s="23"/>
    </row>
    <row r="69" spans="3:8" x14ac:dyDescent="0.25">
      <c r="C69" s="6"/>
      <c r="E69" s="23"/>
      <c r="F69" s="23"/>
      <c r="G69" s="23"/>
      <c r="H69" s="23"/>
    </row>
    <row r="70" spans="3:8" x14ac:dyDescent="0.25">
      <c r="C70" s="6"/>
    </row>
    <row r="71" spans="3:8" x14ac:dyDescent="0.25">
      <c r="C71" s="6"/>
    </row>
    <row r="72" spans="3:8" x14ac:dyDescent="0.25">
      <c r="C72" s="6"/>
      <c r="E72" s="2"/>
    </row>
    <row r="73" spans="3:8" x14ac:dyDescent="0.25">
      <c r="C73" s="6"/>
      <c r="E73" s="2"/>
      <c r="F73" s="23"/>
      <c r="G73" s="23"/>
      <c r="H73" s="23"/>
    </row>
    <row r="74" spans="3:8" x14ac:dyDescent="0.25">
      <c r="C74" s="62"/>
      <c r="D74" s="3"/>
      <c r="E74" s="2"/>
      <c r="F74" s="23"/>
      <c r="G74" s="23"/>
      <c r="H74" s="23"/>
    </row>
    <row r="75" spans="3:8" x14ac:dyDescent="0.25">
      <c r="C75" s="63"/>
      <c r="D75" s="23"/>
      <c r="E75" s="2"/>
    </row>
    <row r="76" spans="3:8" x14ac:dyDescent="0.25">
      <c r="C76" s="6"/>
      <c r="D76" s="23"/>
    </row>
    <row r="77" spans="3:8" x14ac:dyDescent="0.25">
      <c r="C77" s="6"/>
      <c r="D77" s="64"/>
    </row>
    <row r="78" spans="3:8" x14ac:dyDescent="0.25">
      <c r="C78" s="6"/>
      <c r="E78" s="39"/>
    </row>
    <row r="79" spans="3:8" x14ac:dyDescent="0.25">
      <c r="C79" s="6"/>
    </row>
    <row r="80" spans="3:8" x14ac:dyDescent="0.25">
      <c r="D80" s="3"/>
      <c r="E80" s="39"/>
    </row>
    <row r="81" spans="3:5" x14ac:dyDescent="0.25">
      <c r="E81" s="23"/>
    </row>
    <row r="82" spans="3:5" x14ac:dyDescent="0.25">
      <c r="C82" s="6"/>
      <c r="E82" s="23"/>
    </row>
  </sheetData>
  <mergeCells count="13">
    <mergeCell ref="F8:H8"/>
    <mergeCell ref="F9:G9"/>
    <mergeCell ref="H9:H10"/>
    <mergeCell ref="C1:H1"/>
    <mergeCell ref="C2:H2"/>
    <mergeCell ref="E3:H3"/>
    <mergeCell ref="A5:H5"/>
    <mergeCell ref="G7:H7"/>
    <mergeCell ref="A8:A10"/>
    <mergeCell ref="B8:B10"/>
    <mergeCell ref="C8:C10"/>
    <mergeCell ref="D8:D10"/>
    <mergeCell ref="E8:E10"/>
  </mergeCells>
  <phoneticPr fontId="5" type="noConversion"/>
  <pageMargins left="0.51181102362204722" right="0" top="0.35433070866141736" bottom="0.35433070866141736" header="0.31496062992125984" footer="0.31496062992125984"/>
  <pageSetup paperSize="9" scale="9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workbookViewId="0">
      <selection activeCell="K71" sqref="K71"/>
    </sheetView>
  </sheetViews>
  <sheetFormatPr defaultColWidth="9.109375" defaultRowHeight="13.2" x14ac:dyDescent="0.25"/>
  <cols>
    <col min="1" max="1" width="4.6640625" style="3" customWidth="1"/>
    <col min="2" max="2" width="5.6640625" style="8" customWidth="1"/>
    <col min="3" max="3" width="39.44140625" style="26" customWidth="1"/>
    <col min="4" max="4" width="10.5546875" style="7" customWidth="1"/>
    <col min="5" max="6" width="9.44140625" style="6" customWidth="1"/>
    <col min="7" max="7" width="10.88671875" style="6" customWidth="1"/>
    <col min="8" max="8" width="8.109375" style="6" customWidth="1"/>
    <col min="9" max="16384" width="9.109375" style="2"/>
  </cols>
  <sheetData>
    <row r="1" spans="1:8" ht="15.6" x14ac:dyDescent="0.3">
      <c r="C1" s="224" t="s">
        <v>688</v>
      </c>
      <c r="D1" s="224"/>
      <c r="E1" s="224"/>
      <c r="F1" s="224"/>
      <c r="G1" s="224"/>
      <c r="H1" s="224"/>
    </row>
    <row r="2" spans="1:8" ht="15.6" x14ac:dyDescent="0.3">
      <c r="C2" s="224" t="s">
        <v>844</v>
      </c>
      <c r="D2" s="224"/>
      <c r="E2" s="224"/>
      <c r="F2" s="224"/>
      <c r="G2" s="224"/>
      <c r="H2" s="224"/>
    </row>
    <row r="3" spans="1:8" ht="15.6" x14ac:dyDescent="0.25">
      <c r="E3" s="229" t="s">
        <v>220</v>
      </c>
      <c r="F3" s="229"/>
      <c r="G3" s="229"/>
      <c r="H3" s="229"/>
    </row>
    <row r="4" spans="1:8" ht="15.6" x14ac:dyDescent="0.25">
      <c r="E4" s="9"/>
      <c r="F4" s="9"/>
      <c r="G4" s="9"/>
      <c r="H4" s="9"/>
    </row>
    <row r="5" spans="1:8" ht="35.25" customHeight="1" x14ac:dyDescent="0.25">
      <c r="A5" s="260" t="s">
        <v>422</v>
      </c>
      <c r="B5" s="260"/>
      <c r="C5" s="260"/>
      <c r="D5" s="260"/>
      <c r="E5" s="260"/>
      <c r="F5" s="260"/>
      <c r="G5" s="260"/>
      <c r="H5" s="260"/>
    </row>
    <row r="6" spans="1:8" x14ac:dyDescent="0.25">
      <c r="A6" s="82"/>
      <c r="B6" s="82"/>
      <c r="C6" s="82"/>
      <c r="D6" s="82"/>
      <c r="E6" s="82"/>
      <c r="F6" s="82"/>
      <c r="G6" s="82"/>
      <c r="H6" s="82"/>
    </row>
    <row r="7" spans="1:8" x14ac:dyDescent="0.25">
      <c r="A7" s="69"/>
      <c r="B7" s="27"/>
      <c r="C7" s="28"/>
      <c r="D7" s="29"/>
      <c r="E7" s="30"/>
      <c r="F7" s="30"/>
      <c r="G7" s="30"/>
      <c r="H7" s="6" t="s">
        <v>142</v>
      </c>
    </row>
    <row r="8" spans="1:8" ht="12.75" customHeight="1" x14ac:dyDescent="0.25">
      <c r="A8" s="252" t="s">
        <v>0</v>
      </c>
      <c r="B8" s="261" t="s">
        <v>30</v>
      </c>
      <c r="C8" s="256" t="s">
        <v>16</v>
      </c>
      <c r="D8" s="232" t="s">
        <v>60</v>
      </c>
      <c r="E8" s="252" t="s">
        <v>17</v>
      </c>
      <c r="F8" s="257" t="s">
        <v>18</v>
      </c>
      <c r="G8" s="258"/>
      <c r="H8" s="259"/>
    </row>
    <row r="9" spans="1:8" ht="12.75" customHeight="1" x14ac:dyDescent="0.25">
      <c r="A9" s="254"/>
      <c r="B9" s="261"/>
      <c r="C9" s="256"/>
      <c r="D9" s="233"/>
      <c r="E9" s="252"/>
      <c r="F9" s="252" t="s">
        <v>313</v>
      </c>
      <c r="G9" s="252"/>
      <c r="H9" s="252" t="s">
        <v>31</v>
      </c>
    </row>
    <row r="10" spans="1:8" ht="39.6" x14ac:dyDescent="0.25">
      <c r="A10" s="254"/>
      <c r="B10" s="261"/>
      <c r="C10" s="256"/>
      <c r="D10" s="234"/>
      <c r="E10" s="252"/>
      <c r="F10" s="10" t="s">
        <v>32</v>
      </c>
      <c r="G10" s="10" t="s">
        <v>33</v>
      </c>
      <c r="H10" s="252"/>
    </row>
    <row r="11" spans="1:8" s="24" customFormat="1" ht="12.75" customHeight="1" x14ac:dyDescent="0.25">
      <c r="A11" s="12">
        <v>1</v>
      </c>
      <c r="B11" s="11" t="s">
        <v>19</v>
      </c>
      <c r="C11" s="11" t="s">
        <v>109</v>
      </c>
      <c r="D11" s="10">
        <v>4</v>
      </c>
      <c r="E11" s="10">
        <v>5</v>
      </c>
      <c r="F11" s="10">
        <v>6</v>
      </c>
      <c r="G11" s="10">
        <v>7</v>
      </c>
      <c r="H11" s="12">
        <v>8</v>
      </c>
    </row>
    <row r="12" spans="1:8" s="24" customFormat="1" ht="20.100000000000001" customHeight="1" x14ac:dyDescent="0.25">
      <c r="A12" s="14">
        <v>1</v>
      </c>
      <c r="B12" s="13" t="s">
        <v>61</v>
      </c>
      <c r="C12" s="15" t="s">
        <v>62</v>
      </c>
      <c r="D12" s="10"/>
      <c r="E12" s="35">
        <f t="shared" ref="E12:E119" si="0">+F12+H12</f>
        <v>954.59999999999991</v>
      </c>
      <c r="F12" s="35">
        <f>+F13+F16+F36+F50+F66+F57</f>
        <v>419.59999999999997</v>
      </c>
      <c r="G12" s="35">
        <f>+G13+G16+G36+G50+G66+G57</f>
        <v>133.5</v>
      </c>
      <c r="H12" s="35">
        <f>+H13+H16+H36+H50+H66+H57</f>
        <v>535</v>
      </c>
    </row>
    <row r="13" spans="1:8" x14ac:dyDescent="0.25">
      <c r="A13" s="14">
        <v>2</v>
      </c>
      <c r="B13" s="16" t="s">
        <v>655</v>
      </c>
      <c r="C13" s="68" t="s">
        <v>674</v>
      </c>
      <c r="D13" s="72"/>
      <c r="E13" s="59">
        <f t="shared" si="0"/>
        <v>274.60000000000002</v>
      </c>
      <c r="F13" s="59">
        <f>+F14+F15</f>
        <v>274.60000000000002</v>
      </c>
      <c r="G13" s="59">
        <f>+G14+G15</f>
        <v>8.1</v>
      </c>
      <c r="H13" s="59">
        <f>+H14+H15</f>
        <v>0</v>
      </c>
    </row>
    <row r="14" spans="1:8" ht="15.6" customHeight="1" x14ac:dyDescent="0.25">
      <c r="A14" s="14">
        <v>3</v>
      </c>
      <c r="B14" s="1"/>
      <c r="C14" s="136" t="s">
        <v>300</v>
      </c>
      <c r="D14" s="16" t="s">
        <v>415</v>
      </c>
      <c r="E14" s="22">
        <f t="shared" si="0"/>
        <v>266.40000000000003</v>
      </c>
      <c r="F14" s="22">
        <f>274.6-8.2</f>
        <v>266.40000000000003</v>
      </c>
      <c r="G14" s="22"/>
      <c r="H14" s="22"/>
    </row>
    <row r="15" spans="1:8" ht="15.6" customHeight="1" x14ac:dyDescent="0.25">
      <c r="A15" s="14">
        <v>4</v>
      </c>
      <c r="B15" s="1"/>
      <c r="C15" s="52" t="s">
        <v>651</v>
      </c>
      <c r="D15" s="16" t="s">
        <v>652</v>
      </c>
      <c r="E15" s="22">
        <f t="shared" si="0"/>
        <v>8.1999999999999993</v>
      </c>
      <c r="F15" s="22">
        <v>8.1999999999999993</v>
      </c>
      <c r="G15" s="22">
        <v>8.1</v>
      </c>
      <c r="H15" s="22"/>
    </row>
    <row r="16" spans="1:8" ht="26.4" x14ac:dyDescent="0.25">
      <c r="A16" s="14">
        <v>5</v>
      </c>
      <c r="B16" s="16" t="s">
        <v>656</v>
      </c>
      <c r="C16" s="68" t="s">
        <v>675</v>
      </c>
      <c r="D16" s="72"/>
      <c r="E16" s="59">
        <f t="shared" si="0"/>
        <v>20.9</v>
      </c>
      <c r="F16" s="59">
        <f>SUM(F17:F34)</f>
        <v>20.9</v>
      </c>
      <c r="G16" s="59">
        <f>SUM(G17:G34)</f>
        <v>20.7</v>
      </c>
      <c r="H16" s="59">
        <f>SUM(H17:H34)</f>
        <v>0</v>
      </c>
    </row>
    <row r="17" spans="1:8" x14ac:dyDescent="0.25">
      <c r="A17" s="14">
        <v>6</v>
      </c>
      <c r="B17" s="1"/>
      <c r="C17" s="18" t="s">
        <v>260</v>
      </c>
      <c r="D17" s="17" t="s">
        <v>64</v>
      </c>
      <c r="E17" s="22">
        <f t="shared" si="0"/>
        <v>0.3</v>
      </c>
      <c r="F17" s="22">
        <v>0.3</v>
      </c>
      <c r="G17" s="22">
        <v>0.3</v>
      </c>
      <c r="H17" s="22"/>
    </row>
    <row r="18" spans="1:8" x14ac:dyDescent="0.25">
      <c r="A18" s="14">
        <v>7</v>
      </c>
      <c r="B18" s="1"/>
      <c r="C18" s="38" t="s">
        <v>209</v>
      </c>
      <c r="D18" s="17" t="s">
        <v>65</v>
      </c>
      <c r="E18" s="22">
        <f t="shared" si="0"/>
        <v>1.9</v>
      </c>
      <c r="F18" s="22">
        <v>1.9</v>
      </c>
      <c r="G18" s="22">
        <v>1.9</v>
      </c>
      <c r="H18" s="22"/>
    </row>
    <row r="19" spans="1:8" x14ac:dyDescent="0.25">
      <c r="A19" s="14">
        <v>8</v>
      </c>
      <c r="B19" s="1"/>
      <c r="C19" s="31" t="s">
        <v>49</v>
      </c>
      <c r="D19" s="17" t="s">
        <v>65</v>
      </c>
      <c r="E19" s="22">
        <f t="shared" si="0"/>
        <v>1.9</v>
      </c>
      <c r="F19" s="22">
        <v>1.9</v>
      </c>
      <c r="G19" s="22">
        <v>1.8</v>
      </c>
      <c r="H19" s="22"/>
    </row>
    <row r="20" spans="1:8" x14ac:dyDescent="0.25">
      <c r="A20" s="14">
        <v>9</v>
      </c>
      <c r="B20" s="1"/>
      <c r="C20" s="33" t="s">
        <v>148</v>
      </c>
      <c r="D20" s="17" t="s">
        <v>65</v>
      </c>
      <c r="E20" s="22">
        <f t="shared" si="0"/>
        <v>1.2</v>
      </c>
      <c r="F20" s="22">
        <v>1.2</v>
      </c>
      <c r="G20" s="22">
        <v>1.2</v>
      </c>
      <c r="H20" s="22"/>
    </row>
    <row r="21" spans="1:8" x14ac:dyDescent="0.25">
      <c r="A21" s="14">
        <v>10</v>
      </c>
      <c r="B21" s="1"/>
      <c r="C21" s="33" t="s">
        <v>149</v>
      </c>
      <c r="D21" s="17" t="s">
        <v>65</v>
      </c>
      <c r="E21" s="22">
        <f t="shared" si="0"/>
        <v>1.1000000000000001</v>
      </c>
      <c r="F21" s="22">
        <v>1.1000000000000001</v>
      </c>
      <c r="G21" s="22">
        <v>1.1000000000000001</v>
      </c>
      <c r="H21" s="22"/>
    </row>
    <row r="22" spans="1:8" x14ac:dyDescent="0.25">
      <c r="A22" s="14">
        <v>11</v>
      </c>
      <c r="B22" s="1"/>
      <c r="C22" s="33" t="s">
        <v>43</v>
      </c>
      <c r="D22" s="17" t="s">
        <v>65</v>
      </c>
      <c r="E22" s="22">
        <f t="shared" si="0"/>
        <v>1</v>
      </c>
      <c r="F22" s="22">
        <v>1</v>
      </c>
      <c r="G22" s="22">
        <v>1</v>
      </c>
      <c r="H22" s="22"/>
    </row>
    <row r="23" spans="1:8" x14ac:dyDescent="0.25">
      <c r="A23" s="14">
        <v>12</v>
      </c>
      <c r="B23" s="1"/>
      <c r="C23" s="31" t="s">
        <v>152</v>
      </c>
      <c r="D23" s="17" t="s">
        <v>65</v>
      </c>
      <c r="E23" s="22">
        <f t="shared" si="0"/>
        <v>1</v>
      </c>
      <c r="F23" s="22">
        <v>1</v>
      </c>
      <c r="G23" s="22">
        <v>1</v>
      </c>
      <c r="H23" s="22"/>
    </row>
    <row r="24" spans="1:8" ht="26.4" x14ac:dyDescent="0.25">
      <c r="A24" s="14">
        <v>13</v>
      </c>
      <c r="B24" s="1"/>
      <c r="C24" s="33" t="s">
        <v>207</v>
      </c>
      <c r="D24" s="17" t="s">
        <v>66</v>
      </c>
      <c r="E24" s="22">
        <f t="shared" si="0"/>
        <v>3.3</v>
      </c>
      <c r="F24" s="22">
        <v>3.3</v>
      </c>
      <c r="G24" s="22">
        <v>3.3</v>
      </c>
      <c r="H24" s="22"/>
    </row>
    <row r="25" spans="1:8" x14ac:dyDescent="0.25">
      <c r="A25" s="14">
        <v>14</v>
      </c>
      <c r="B25" s="1"/>
      <c r="C25" s="31" t="s">
        <v>208</v>
      </c>
      <c r="D25" s="66" t="s">
        <v>303</v>
      </c>
      <c r="E25" s="22">
        <f t="shared" si="0"/>
        <v>3.8</v>
      </c>
      <c r="F25" s="22">
        <v>3.8</v>
      </c>
      <c r="G25" s="22">
        <v>3.7</v>
      </c>
      <c r="H25" s="22"/>
    </row>
    <row r="26" spans="1:8" x14ac:dyDescent="0.25">
      <c r="A26" s="14">
        <v>15</v>
      </c>
      <c r="B26" s="1"/>
      <c r="C26" s="33" t="s">
        <v>131</v>
      </c>
      <c r="D26" s="66" t="s">
        <v>303</v>
      </c>
      <c r="E26" s="22">
        <f t="shared" si="0"/>
        <v>2.2000000000000002</v>
      </c>
      <c r="F26" s="22">
        <v>2.2000000000000002</v>
      </c>
      <c r="G26" s="22">
        <v>2.2000000000000002</v>
      </c>
      <c r="H26" s="22"/>
    </row>
    <row r="27" spans="1:8" x14ac:dyDescent="0.25">
      <c r="A27" s="14">
        <v>16</v>
      </c>
      <c r="B27" s="1"/>
      <c r="C27" s="33" t="s">
        <v>44</v>
      </c>
      <c r="D27" s="17" t="s">
        <v>66</v>
      </c>
      <c r="E27" s="22">
        <f t="shared" si="0"/>
        <v>0.4</v>
      </c>
      <c r="F27" s="22">
        <v>0.4</v>
      </c>
      <c r="G27" s="22">
        <v>0.4</v>
      </c>
      <c r="H27" s="22"/>
    </row>
    <row r="28" spans="1:8" x14ac:dyDescent="0.25">
      <c r="A28" s="14">
        <v>17</v>
      </c>
      <c r="B28" s="1"/>
      <c r="C28" s="33" t="s">
        <v>150</v>
      </c>
      <c r="D28" s="17" t="s">
        <v>66</v>
      </c>
      <c r="E28" s="22">
        <f t="shared" si="0"/>
        <v>0.6</v>
      </c>
      <c r="F28" s="22">
        <v>0.6</v>
      </c>
      <c r="G28" s="22">
        <v>0.6</v>
      </c>
      <c r="H28" s="22"/>
    </row>
    <row r="29" spans="1:8" x14ac:dyDescent="0.25">
      <c r="A29" s="14">
        <v>18</v>
      </c>
      <c r="B29" s="1"/>
      <c r="C29" s="33" t="s">
        <v>299</v>
      </c>
      <c r="D29" s="17" t="s">
        <v>66</v>
      </c>
      <c r="E29" s="22">
        <f t="shared" si="0"/>
        <v>0.3</v>
      </c>
      <c r="F29" s="22">
        <v>0.3</v>
      </c>
      <c r="G29" s="22">
        <v>0.3</v>
      </c>
      <c r="H29" s="22"/>
    </row>
    <row r="30" spans="1:8" ht="26.4" x14ac:dyDescent="0.25">
      <c r="A30" s="14">
        <v>19</v>
      </c>
      <c r="B30" s="1"/>
      <c r="C30" s="33" t="s">
        <v>45</v>
      </c>
      <c r="D30" s="17" t="s">
        <v>66</v>
      </c>
      <c r="E30" s="22">
        <f t="shared" si="0"/>
        <v>0.4</v>
      </c>
      <c r="F30" s="22">
        <v>0.4</v>
      </c>
      <c r="G30" s="22">
        <v>0.4</v>
      </c>
      <c r="H30" s="22"/>
    </row>
    <row r="31" spans="1:8" x14ac:dyDescent="0.25">
      <c r="A31" s="14">
        <v>20</v>
      </c>
      <c r="B31" s="1"/>
      <c r="C31" s="33" t="s">
        <v>151</v>
      </c>
      <c r="D31" s="17" t="s">
        <v>66</v>
      </c>
      <c r="E31" s="22">
        <f t="shared" si="0"/>
        <v>0.3</v>
      </c>
      <c r="F31" s="22">
        <v>0.3</v>
      </c>
      <c r="G31" s="22">
        <v>0.3</v>
      </c>
      <c r="H31" s="22"/>
    </row>
    <row r="32" spans="1:8" ht="26.4" x14ac:dyDescent="0.25">
      <c r="A32" s="14">
        <v>21</v>
      </c>
      <c r="B32" s="1"/>
      <c r="C32" s="33" t="s">
        <v>119</v>
      </c>
      <c r="D32" s="66" t="s">
        <v>314</v>
      </c>
      <c r="E32" s="22">
        <f t="shared" si="0"/>
        <v>0.7</v>
      </c>
      <c r="F32" s="22">
        <v>0.7</v>
      </c>
      <c r="G32" s="22">
        <v>0.7</v>
      </c>
      <c r="H32" s="22"/>
    </row>
    <row r="33" spans="1:8" x14ac:dyDescent="0.25">
      <c r="A33" s="14">
        <v>22</v>
      </c>
      <c r="B33" s="1"/>
      <c r="C33" s="18" t="s">
        <v>52</v>
      </c>
      <c r="D33" s="66" t="s">
        <v>66</v>
      </c>
      <c r="E33" s="22">
        <f t="shared" si="0"/>
        <v>0.4</v>
      </c>
      <c r="F33" s="22">
        <v>0.4</v>
      </c>
      <c r="G33" s="22">
        <v>0.4</v>
      </c>
      <c r="H33" s="22"/>
    </row>
    <row r="34" spans="1:8" ht="15.6" customHeight="1" x14ac:dyDescent="0.25">
      <c r="A34" s="14">
        <v>23</v>
      </c>
      <c r="B34" s="1"/>
      <c r="C34" s="31" t="s">
        <v>315</v>
      </c>
      <c r="D34" s="16" t="s">
        <v>415</v>
      </c>
      <c r="E34" s="22">
        <f t="shared" si="0"/>
        <v>0.1</v>
      </c>
      <c r="F34" s="22">
        <f>+F35</f>
        <v>0.1</v>
      </c>
      <c r="G34" s="22">
        <f>+G35</f>
        <v>0.1</v>
      </c>
      <c r="H34" s="22"/>
    </row>
    <row r="35" spans="1:8" x14ac:dyDescent="0.25">
      <c r="A35" s="70" t="s">
        <v>679</v>
      </c>
      <c r="B35" s="1"/>
      <c r="C35" s="71" t="s">
        <v>316</v>
      </c>
      <c r="D35" s="66"/>
      <c r="E35" s="22">
        <f t="shared" si="0"/>
        <v>0.1</v>
      </c>
      <c r="F35" s="22">
        <v>0.1</v>
      </c>
      <c r="G35" s="22">
        <v>0.1</v>
      </c>
      <c r="H35" s="22"/>
    </row>
    <row r="36" spans="1:8" ht="26.4" x14ac:dyDescent="0.25">
      <c r="A36" s="14">
        <v>24</v>
      </c>
      <c r="B36" s="1" t="s">
        <v>657</v>
      </c>
      <c r="C36" s="71" t="s">
        <v>678</v>
      </c>
      <c r="D36" s="66"/>
      <c r="E36" s="59">
        <f>+F36+H36</f>
        <v>101.29999999999997</v>
      </c>
      <c r="F36" s="59">
        <f>SUM(F37:F49)</f>
        <v>101.29999999999997</v>
      </c>
      <c r="G36" s="59">
        <f>SUM(G37:G49)</f>
        <v>99.7</v>
      </c>
      <c r="H36" s="59">
        <f>SUM(H37:H49)</f>
        <v>0</v>
      </c>
    </row>
    <row r="37" spans="1:8" x14ac:dyDescent="0.25">
      <c r="A37" s="14">
        <v>25</v>
      </c>
      <c r="B37" s="1"/>
      <c r="C37" s="31" t="s">
        <v>210</v>
      </c>
      <c r="D37" s="1" t="s">
        <v>63</v>
      </c>
      <c r="E37" s="22">
        <f>+F37+H37</f>
        <v>5.0999999999999996</v>
      </c>
      <c r="F37" s="22">
        <v>5.0999999999999996</v>
      </c>
      <c r="G37" s="22">
        <v>5</v>
      </c>
      <c r="H37" s="22"/>
    </row>
    <row r="38" spans="1:8" x14ac:dyDescent="0.25">
      <c r="A38" s="14">
        <v>26</v>
      </c>
      <c r="B38" s="1"/>
      <c r="C38" s="31" t="s">
        <v>201</v>
      </c>
      <c r="D38" s="1" t="s">
        <v>63</v>
      </c>
      <c r="E38" s="22">
        <f t="shared" ref="E38:E71" si="1">+F38+H38</f>
        <v>10.1</v>
      </c>
      <c r="F38" s="22">
        <v>10.1</v>
      </c>
      <c r="G38" s="22">
        <v>10</v>
      </c>
      <c r="H38" s="22"/>
    </row>
    <row r="39" spans="1:8" x14ac:dyDescent="0.25">
      <c r="A39" s="14">
        <v>27</v>
      </c>
      <c r="B39" s="1"/>
      <c r="C39" s="31" t="s">
        <v>204</v>
      </c>
      <c r="D39" s="1" t="s">
        <v>63</v>
      </c>
      <c r="E39" s="22">
        <f t="shared" si="1"/>
        <v>10.1</v>
      </c>
      <c r="F39" s="22">
        <v>10.1</v>
      </c>
      <c r="G39" s="22">
        <v>10</v>
      </c>
      <c r="H39" s="22"/>
    </row>
    <row r="40" spans="1:8" x14ac:dyDescent="0.25">
      <c r="A40" s="14">
        <v>28</v>
      </c>
      <c r="B40" s="1"/>
      <c r="C40" s="31" t="s">
        <v>205</v>
      </c>
      <c r="D40" s="1" t="s">
        <v>63</v>
      </c>
      <c r="E40" s="22">
        <f t="shared" si="1"/>
        <v>10.1</v>
      </c>
      <c r="F40" s="22">
        <v>10.1</v>
      </c>
      <c r="G40" s="22">
        <v>10</v>
      </c>
      <c r="H40" s="22"/>
    </row>
    <row r="41" spans="1:8" x14ac:dyDescent="0.25">
      <c r="A41" s="14">
        <v>29</v>
      </c>
      <c r="B41" s="1"/>
      <c r="C41" s="18" t="s">
        <v>260</v>
      </c>
      <c r="D41" s="17" t="s">
        <v>64</v>
      </c>
      <c r="E41" s="22">
        <f t="shared" si="1"/>
        <v>10.1</v>
      </c>
      <c r="F41" s="22">
        <v>10.1</v>
      </c>
      <c r="G41" s="22">
        <v>10</v>
      </c>
      <c r="H41" s="22"/>
    </row>
    <row r="42" spans="1:8" x14ac:dyDescent="0.25">
      <c r="A42" s="14">
        <v>30</v>
      </c>
      <c r="B42" s="1"/>
      <c r="C42" s="33" t="s">
        <v>148</v>
      </c>
      <c r="D42" s="17" t="s">
        <v>65</v>
      </c>
      <c r="E42" s="22">
        <f t="shared" si="1"/>
        <v>10.1</v>
      </c>
      <c r="F42" s="22">
        <v>10.1</v>
      </c>
      <c r="G42" s="22">
        <v>10</v>
      </c>
      <c r="H42" s="22"/>
    </row>
    <row r="43" spans="1:8" x14ac:dyDescent="0.25">
      <c r="A43" s="14">
        <v>31</v>
      </c>
      <c r="B43" s="1"/>
      <c r="C43" s="33" t="s">
        <v>43</v>
      </c>
      <c r="D43" s="17" t="s">
        <v>65</v>
      </c>
      <c r="E43" s="22">
        <f t="shared" si="1"/>
        <v>5.0999999999999996</v>
      </c>
      <c r="F43" s="22">
        <v>5.0999999999999996</v>
      </c>
      <c r="G43" s="22">
        <v>5</v>
      </c>
      <c r="H43" s="22"/>
    </row>
    <row r="44" spans="1:8" x14ac:dyDescent="0.25">
      <c r="A44" s="14">
        <v>32</v>
      </c>
      <c r="B44" s="1"/>
      <c r="C44" s="31" t="s">
        <v>152</v>
      </c>
      <c r="D44" s="17" t="s">
        <v>65</v>
      </c>
      <c r="E44" s="22">
        <f t="shared" si="1"/>
        <v>5.0999999999999996</v>
      </c>
      <c r="F44" s="22">
        <v>5.0999999999999996</v>
      </c>
      <c r="G44" s="22">
        <v>5</v>
      </c>
      <c r="H44" s="22"/>
    </row>
    <row r="45" spans="1:8" ht="26.4" x14ac:dyDescent="0.25">
      <c r="A45" s="14">
        <v>33</v>
      </c>
      <c r="B45" s="1"/>
      <c r="C45" s="33" t="s">
        <v>207</v>
      </c>
      <c r="D45" s="17" t="s">
        <v>66</v>
      </c>
      <c r="E45" s="22">
        <f t="shared" si="1"/>
        <v>5.0999999999999996</v>
      </c>
      <c r="F45" s="22">
        <v>5.0999999999999996</v>
      </c>
      <c r="G45" s="22">
        <v>5</v>
      </c>
      <c r="H45" s="22"/>
    </row>
    <row r="46" spans="1:8" x14ac:dyDescent="0.25">
      <c r="A46" s="14">
        <v>34</v>
      </c>
      <c r="B46" s="1"/>
      <c r="C46" s="33" t="s">
        <v>131</v>
      </c>
      <c r="D46" s="66" t="s">
        <v>303</v>
      </c>
      <c r="E46" s="22">
        <f t="shared" si="1"/>
        <v>10.1</v>
      </c>
      <c r="F46" s="22">
        <v>10.1</v>
      </c>
      <c r="G46" s="22">
        <v>10</v>
      </c>
      <c r="H46" s="22"/>
    </row>
    <row r="47" spans="1:8" x14ac:dyDescent="0.25">
      <c r="A47" s="14">
        <v>35</v>
      </c>
      <c r="B47" s="1"/>
      <c r="C47" s="33" t="s">
        <v>150</v>
      </c>
      <c r="D47" s="17" t="s">
        <v>66</v>
      </c>
      <c r="E47" s="22">
        <f t="shared" si="1"/>
        <v>10.1</v>
      </c>
      <c r="F47" s="22">
        <v>10.1</v>
      </c>
      <c r="G47" s="22">
        <v>10</v>
      </c>
      <c r="H47" s="22"/>
    </row>
    <row r="48" spans="1:8" ht="26.4" x14ac:dyDescent="0.25">
      <c r="A48" s="14">
        <v>36</v>
      </c>
      <c r="B48" s="1"/>
      <c r="C48" s="33" t="s">
        <v>45</v>
      </c>
      <c r="D48" s="17" t="s">
        <v>66</v>
      </c>
      <c r="E48" s="22">
        <f t="shared" si="1"/>
        <v>5.0999999999999996</v>
      </c>
      <c r="F48" s="22">
        <v>5.0999999999999996</v>
      </c>
      <c r="G48" s="22">
        <f>5-0.3</f>
        <v>4.7</v>
      </c>
      <c r="H48" s="22"/>
    </row>
    <row r="49" spans="1:8" x14ac:dyDescent="0.25">
      <c r="A49" s="14">
        <v>37</v>
      </c>
      <c r="B49" s="1"/>
      <c r="C49" s="33" t="s">
        <v>151</v>
      </c>
      <c r="D49" s="17" t="s">
        <v>66</v>
      </c>
      <c r="E49" s="22">
        <f t="shared" si="1"/>
        <v>5.0999999999999996</v>
      </c>
      <c r="F49" s="22">
        <v>5.0999999999999996</v>
      </c>
      <c r="G49" s="22">
        <v>5</v>
      </c>
      <c r="H49" s="22"/>
    </row>
    <row r="50" spans="1:8" ht="52.8" x14ac:dyDescent="0.25">
      <c r="A50" s="14">
        <v>38</v>
      </c>
      <c r="B50" s="1" t="s">
        <v>670</v>
      </c>
      <c r="C50" s="47" t="s">
        <v>681</v>
      </c>
      <c r="D50" s="1"/>
      <c r="E50" s="59">
        <f t="shared" si="1"/>
        <v>5.0000000000000009</v>
      </c>
      <c r="F50" s="59">
        <f>SUM(F51:F56)</f>
        <v>5.0000000000000009</v>
      </c>
      <c r="G50" s="59">
        <f>SUM(G51:G56)</f>
        <v>5.0000000000000009</v>
      </c>
      <c r="H50" s="59">
        <f>SUM(H51:H56)</f>
        <v>0</v>
      </c>
    </row>
    <row r="51" spans="1:8" x14ac:dyDescent="0.25">
      <c r="A51" s="14">
        <v>39</v>
      </c>
      <c r="B51" s="1"/>
      <c r="C51" s="38" t="s">
        <v>209</v>
      </c>
      <c r="D51" s="1" t="s">
        <v>65</v>
      </c>
      <c r="E51" s="22">
        <f t="shared" si="1"/>
        <v>1.7</v>
      </c>
      <c r="F51" s="22">
        <v>1.7</v>
      </c>
      <c r="G51" s="22">
        <v>1.7</v>
      </c>
      <c r="H51" s="22"/>
    </row>
    <row r="52" spans="1:8" ht="26.4" x14ac:dyDescent="0.25">
      <c r="A52" s="14">
        <v>40</v>
      </c>
      <c r="B52" s="1"/>
      <c r="C52" s="38" t="s">
        <v>49</v>
      </c>
      <c r="D52" s="16" t="s">
        <v>130</v>
      </c>
      <c r="E52" s="22">
        <f t="shared" si="1"/>
        <v>2</v>
      </c>
      <c r="F52" s="22">
        <v>2</v>
      </c>
      <c r="G52" s="22">
        <v>2</v>
      </c>
      <c r="H52" s="22"/>
    </row>
    <row r="53" spans="1:8" x14ac:dyDescent="0.25">
      <c r="A53" s="14">
        <v>41</v>
      </c>
      <c r="B53" s="1"/>
      <c r="C53" s="18" t="s">
        <v>148</v>
      </c>
      <c r="D53" s="1" t="s">
        <v>65</v>
      </c>
      <c r="E53" s="22">
        <f t="shared" si="1"/>
        <v>0.4</v>
      </c>
      <c r="F53" s="22">
        <v>0.4</v>
      </c>
      <c r="G53" s="22">
        <v>0.4</v>
      </c>
      <c r="H53" s="22"/>
    </row>
    <row r="54" spans="1:8" x14ac:dyDescent="0.25">
      <c r="A54" s="14">
        <v>42</v>
      </c>
      <c r="B54" s="1"/>
      <c r="C54" s="18" t="s">
        <v>149</v>
      </c>
      <c r="D54" s="1" t="s">
        <v>65</v>
      </c>
      <c r="E54" s="22">
        <f t="shared" si="1"/>
        <v>0.4</v>
      </c>
      <c r="F54" s="22">
        <v>0.4</v>
      </c>
      <c r="G54" s="22">
        <v>0.4</v>
      </c>
      <c r="H54" s="22"/>
    </row>
    <row r="55" spans="1:8" x14ac:dyDescent="0.25">
      <c r="A55" s="14">
        <v>43</v>
      </c>
      <c r="B55" s="1"/>
      <c r="C55" s="18" t="s">
        <v>43</v>
      </c>
      <c r="D55" s="1" t="s">
        <v>65</v>
      </c>
      <c r="E55" s="22">
        <f t="shared" si="1"/>
        <v>0.3</v>
      </c>
      <c r="F55" s="22">
        <v>0.3</v>
      </c>
      <c r="G55" s="22">
        <v>0.3</v>
      </c>
      <c r="H55" s="22"/>
    </row>
    <row r="56" spans="1:8" x14ac:dyDescent="0.25">
      <c r="A56" s="14">
        <v>44</v>
      </c>
      <c r="B56" s="1"/>
      <c r="C56" s="38" t="s">
        <v>152</v>
      </c>
      <c r="D56" s="1" t="s">
        <v>65</v>
      </c>
      <c r="E56" s="22">
        <f t="shared" si="1"/>
        <v>0.2</v>
      </c>
      <c r="F56" s="22">
        <v>0.2</v>
      </c>
      <c r="G56" s="22">
        <v>0.2</v>
      </c>
      <c r="H56" s="22"/>
    </row>
    <row r="57" spans="1:8" ht="39.6" x14ac:dyDescent="0.25">
      <c r="A57" s="14">
        <v>45</v>
      </c>
      <c r="B57" s="1" t="s">
        <v>683</v>
      </c>
      <c r="C57" s="137" t="s">
        <v>822</v>
      </c>
      <c r="D57" s="17"/>
      <c r="E57" s="22">
        <f>+F57+H57</f>
        <v>17.8</v>
      </c>
      <c r="F57" s="22">
        <f>+F58+F59+F60+F61+F62+F63+F64+F65</f>
        <v>17.8</v>
      </c>
      <c r="G57" s="22">
        <f>+G58+G59+G60+G61+G62+G63+G64+G65</f>
        <v>0</v>
      </c>
      <c r="H57" s="22">
        <f>+H58+H59+H60+H61+H62+H63+H64+H65</f>
        <v>0</v>
      </c>
    </row>
    <row r="58" spans="1:8" x14ac:dyDescent="0.25">
      <c r="A58" s="14">
        <v>46</v>
      </c>
      <c r="B58" s="1"/>
      <c r="C58" s="31" t="s">
        <v>206</v>
      </c>
      <c r="D58" s="1" t="s">
        <v>63</v>
      </c>
      <c r="E58" s="22">
        <f t="shared" ref="E58:E65" si="2">+F58+H58</f>
        <v>2</v>
      </c>
      <c r="F58" s="22">
        <v>2</v>
      </c>
      <c r="G58" s="22"/>
      <c r="H58" s="22"/>
    </row>
    <row r="59" spans="1:8" x14ac:dyDescent="0.25">
      <c r="A59" s="14">
        <v>47</v>
      </c>
      <c r="B59" s="1"/>
      <c r="C59" s="31" t="s">
        <v>203</v>
      </c>
      <c r="D59" s="1" t="s">
        <v>63</v>
      </c>
      <c r="E59" s="22">
        <f t="shared" si="2"/>
        <v>1.8</v>
      </c>
      <c r="F59" s="22">
        <v>1.8</v>
      </c>
      <c r="G59" s="22"/>
      <c r="H59" s="22"/>
    </row>
    <row r="60" spans="1:8" x14ac:dyDescent="0.25">
      <c r="A60" s="14">
        <v>48</v>
      </c>
      <c r="B60" s="1"/>
      <c r="C60" s="31" t="s">
        <v>204</v>
      </c>
      <c r="D60" s="1" t="s">
        <v>63</v>
      </c>
      <c r="E60" s="22">
        <f t="shared" si="2"/>
        <v>3.3</v>
      </c>
      <c r="F60" s="22">
        <v>3.3</v>
      </c>
      <c r="G60" s="22"/>
      <c r="H60" s="22"/>
    </row>
    <row r="61" spans="1:8" x14ac:dyDescent="0.25">
      <c r="A61" s="14">
        <v>49</v>
      </c>
      <c r="B61" s="1"/>
      <c r="C61" s="31" t="s">
        <v>205</v>
      </c>
      <c r="D61" s="1" t="s">
        <v>63</v>
      </c>
      <c r="E61" s="22">
        <f t="shared" si="2"/>
        <v>3.7</v>
      </c>
      <c r="F61" s="22">
        <v>3.7</v>
      </c>
      <c r="G61" s="22"/>
      <c r="H61" s="22"/>
    </row>
    <row r="62" spans="1:8" x14ac:dyDescent="0.25">
      <c r="A62" s="14">
        <v>50</v>
      </c>
      <c r="B62" s="1"/>
      <c r="C62" s="18" t="s">
        <v>260</v>
      </c>
      <c r="D62" s="17" t="s">
        <v>64</v>
      </c>
      <c r="E62" s="22">
        <f t="shared" si="2"/>
        <v>1.8</v>
      </c>
      <c r="F62" s="22">
        <v>1.8</v>
      </c>
      <c r="G62" s="22"/>
      <c r="H62" s="22"/>
    </row>
    <row r="63" spans="1:8" x14ac:dyDescent="0.25">
      <c r="A63" s="14">
        <v>51</v>
      </c>
      <c r="B63" s="1"/>
      <c r="C63" s="33" t="s">
        <v>148</v>
      </c>
      <c r="D63" s="17" t="s">
        <v>65</v>
      </c>
      <c r="E63" s="22">
        <f t="shared" si="2"/>
        <v>1.2</v>
      </c>
      <c r="F63" s="22">
        <v>1.2</v>
      </c>
      <c r="G63" s="22"/>
      <c r="H63" s="22"/>
    </row>
    <row r="64" spans="1:8" x14ac:dyDescent="0.25">
      <c r="A64" s="14">
        <v>52</v>
      </c>
      <c r="B64" s="1"/>
      <c r="C64" s="31" t="s">
        <v>208</v>
      </c>
      <c r="D64" s="66" t="s">
        <v>303</v>
      </c>
      <c r="E64" s="22">
        <f t="shared" si="2"/>
        <v>1.4</v>
      </c>
      <c r="F64" s="22">
        <v>1.4</v>
      </c>
      <c r="G64" s="22"/>
      <c r="H64" s="22"/>
    </row>
    <row r="65" spans="1:9" ht="26.4" x14ac:dyDescent="0.25">
      <c r="A65" s="14">
        <v>53</v>
      </c>
      <c r="B65" s="1"/>
      <c r="C65" s="33" t="s">
        <v>119</v>
      </c>
      <c r="D65" s="66" t="s">
        <v>314</v>
      </c>
      <c r="E65" s="22">
        <f t="shared" si="2"/>
        <v>2.6</v>
      </c>
      <c r="F65" s="22">
        <v>2.6</v>
      </c>
      <c r="G65" s="22"/>
      <c r="H65" s="22"/>
    </row>
    <row r="66" spans="1:9" ht="26.4" x14ac:dyDescent="0.25">
      <c r="A66" s="14">
        <v>54</v>
      </c>
      <c r="B66" s="1" t="s">
        <v>833</v>
      </c>
      <c r="C66" s="68" t="s">
        <v>684</v>
      </c>
      <c r="D66" s="72"/>
      <c r="E66" s="59">
        <f t="shared" si="1"/>
        <v>535</v>
      </c>
      <c r="F66" s="59">
        <f t="shared" ref="F66:H67" si="3">+F67</f>
        <v>0</v>
      </c>
      <c r="G66" s="59">
        <f t="shared" si="3"/>
        <v>0</v>
      </c>
      <c r="H66" s="59">
        <f t="shared" si="3"/>
        <v>535</v>
      </c>
    </row>
    <row r="67" spans="1:9" x14ac:dyDescent="0.25">
      <c r="A67" s="14">
        <v>55</v>
      </c>
      <c r="B67" s="1"/>
      <c r="C67" s="33" t="s">
        <v>651</v>
      </c>
      <c r="D67" s="17" t="s">
        <v>65</v>
      </c>
      <c r="E67" s="22">
        <f t="shared" si="1"/>
        <v>535</v>
      </c>
      <c r="F67" s="22">
        <f t="shared" si="3"/>
        <v>0</v>
      </c>
      <c r="G67" s="22">
        <f t="shared" si="3"/>
        <v>0</v>
      </c>
      <c r="H67" s="22">
        <f t="shared" si="3"/>
        <v>535</v>
      </c>
    </row>
    <row r="68" spans="1:9" ht="26.4" x14ac:dyDescent="0.25">
      <c r="A68" s="14">
        <v>56</v>
      </c>
      <c r="B68" s="1"/>
      <c r="C68" s="136" t="s">
        <v>682</v>
      </c>
      <c r="D68" s="72"/>
      <c r="E68" s="22">
        <f t="shared" si="1"/>
        <v>535</v>
      </c>
      <c r="F68" s="22"/>
      <c r="G68" s="22"/>
      <c r="H68" s="22">
        <v>535</v>
      </c>
    </row>
    <row r="69" spans="1:9" x14ac:dyDescent="0.25">
      <c r="A69" s="14">
        <v>57</v>
      </c>
      <c r="B69" s="13" t="s">
        <v>70</v>
      </c>
      <c r="C69" s="20" t="s">
        <v>71</v>
      </c>
      <c r="D69" s="17"/>
      <c r="E69" s="139">
        <f t="shared" si="1"/>
        <v>75.3</v>
      </c>
      <c r="F69" s="139">
        <f t="shared" ref="F69:H70" si="4">+F70</f>
        <v>75.3</v>
      </c>
      <c r="G69" s="139">
        <f t="shared" si="4"/>
        <v>0</v>
      </c>
      <c r="H69" s="139">
        <f t="shared" si="4"/>
        <v>0</v>
      </c>
    </row>
    <row r="70" spans="1:9" ht="39.6" x14ac:dyDescent="0.25">
      <c r="A70" s="14">
        <v>58</v>
      </c>
      <c r="B70" s="1"/>
      <c r="C70" s="140" t="s">
        <v>680</v>
      </c>
      <c r="D70" s="17"/>
      <c r="E70" s="59">
        <f t="shared" si="1"/>
        <v>75.3</v>
      </c>
      <c r="F70" s="59">
        <f t="shared" si="4"/>
        <v>75.3</v>
      </c>
      <c r="G70" s="59">
        <f t="shared" si="4"/>
        <v>0</v>
      </c>
      <c r="H70" s="59">
        <f t="shared" si="4"/>
        <v>0</v>
      </c>
    </row>
    <row r="71" spans="1:9" x14ac:dyDescent="0.25">
      <c r="A71" s="14">
        <v>59</v>
      </c>
      <c r="B71" s="1"/>
      <c r="C71" s="65" t="s">
        <v>3</v>
      </c>
      <c r="D71" s="17" t="s">
        <v>75</v>
      </c>
      <c r="E71" s="22">
        <f t="shared" si="1"/>
        <v>75.3</v>
      </c>
      <c r="F71" s="22">
        <f>10.6+64.7</f>
        <v>75.3</v>
      </c>
      <c r="G71" s="22"/>
      <c r="H71" s="22"/>
    </row>
    <row r="72" spans="1:9" ht="18" customHeight="1" x14ac:dyDescent="0.25">
      <c r="A72" s="14">
        <v>60</v>
      </c>
      <c r="B72" s="13" t="s">
        <v>22</v>
      </c>
      <c r="C72" s="20" t="s">
        <v>23</v>
      </c>
      <c r="D72" s="66"/>
      <c r="E72" s="139">
        <f>+F72+H72</f>
        <v>212.7</v>
      </c>
      <c r="F72" s="139">
        <f>+F73+F77+F79</f>
        <v>212.7</v>
      </c>
      <c r="G72" s="139">
        <f>+G73+G77+G79</f>
        <v>93.6</v>
      </c>
      <c r="H72" s="139">
        <f>+H73+H77+H79</f>
        <v>0</v>
      </c>
    </row>
    <row r="73" spans="1:9" ht="39.6" x14ac:dyDescent="0.25">
      <c r="A73" s="14">
        <v>61</v>
      </c>
      <c r="B73" s="1" t="s">
        <v>304</v>
      </c>
      <c r="C73" s="68" t="s">
        <v>676</v>
      </c>
      <c r="D73" s="66"/>
      <c r="E73" s="59">
        <f t="shared" si="0"/>
        <v>19.099999999999998</v>
      </c>
      <c r="F73" s="59">
        <f>+F74+F75+F76</f>
        <v>19.099999999999998</v>
      </c>
      <c r="G73" s="59">
        <f>+G74+G75+G76</f>
        <v>18.8</v>
      </c>
      <c r="H73" s="59">
        <f>+H74+H75+H76</f>
        <v>0</v>
      </c>
    </row>
    <row r="74" spans="1:9" ht="39.6" x14ac:dyDescent="0.25">
      <c r="A74" s="14">
        <v>62</v>
      </c>
      <c r="B74" s="1"/>
      <c r="C74" s="19" t="s">
        <v>1</v>
      </c>
      <c r="D74" s="66" t="s">
        <v>76</v>
      </c>
      <c r="E74" s="22">
        <f t="shared" si="0"/>
        <v>12.6</v>
      </c>
      <c r="F74" s="22">
        <v>12.6</v>
      </c>
      <c r="G74" s="22">
        <v>12.4</v>
      </c>
      <c r="H74" s="22"/>
    </row>
    <row r="75" spans="1:9" x14ac:dyDescent="0.25">
      <c r="A75" s="14">
        <v>63</v>
      </c>
      <c r="B75" s="1"/>
      <c r="C75" s="45" t="s">
        <v>2</v>
      </c>
      <c r="D75" s="219" t="s">
        <v>77</v>
      </c>
      <c r="E75" s="22">
        <f t="shared" si="0"/>
        <v>4.3</v>
      </c>
      <c r="F75" s="22">
        <v>4.3</v>
      </c>
      <c r="G75" s="22">
        <v>4.2</v>
      </c>
      <c r="H75" s="22"/>
    </row>
    <row r="76" spans="1:9" x14ac:dyDescent="0.25">
      <c r="A76" s="14">
        <v>64</v>
      </c>
      <c r="B76" s="1"/>
      <c r="C76" s="45" t="s">
        <v>177</v>
      </c>
      <c r="D76" s="66" t="s">
        <v>24</v>
      </c>
      <c r="E76" s="22">
        <f t="shared" si="0"/>
        <v>2.2000000000000002</v>
      </c>
      <c r="F76" s="22">
        <v>2.2000000000000002</v>
      </c>
      <c r="G76" s="22">
        <v>2.2000000000000002</v>
      </c>
      <c r="H76" s="22"/>
    </row>
    <row r="77" spans="1:9" ht="26.4" x14ac:dyDescent="0.25">
      <c r="A77" s="14">
        <v>65</v>
      </c>
      <c r="B77" s="1" t="s">
        <v>305</v>
      </c>
      <c r="C77" s="68" t="s">
        <v>677</v>
      </c>
      <c r="D77" s="66"/>
      <c r="E77" s="59">
        <f t="shared" si="0"/>
        <v>122.5</v>
      </c>
      <c r="F77" s="59">
        <f>+F78</f>
        <v>122.5</v>
      </c>
      <c r="G77" s="59">
        <f>+G78</f>
        <v>4.7</v>
      </c>
      <c r="H77" s="59"/>
    </row>
    <row r="78" spans="1:9" x14ac:dyDescent="0.25">
      <c r="A78" s="14">
        <v>66</v>
      </c>
      <c r="B78" s="1"/>
      <c r="C78" s="65" t="s">
        <v>3</v>
      </c>
      <c r="D78" s="66" t="s">
        <v>24</v>
      </c>
      <c r="E78" s="22">
        <f t="shared" si="0"/>
        <v>122.5</v>
      </c>
      <c r="F78" s="22">
        <f>112.3+10.2</f>
        <v>122.5</v>
      </c>
      <c r="G78" s="22">
        <f>4.2+0.5</f>
        <v>4.7</v>
      </c>
      <c r="H78" s="22"/>
    </row>
    <row r="79" spans="1:9" ht="66" x14ac:dyDescent="0.25">
      <c r="A79" s="14">
        <v>67</v>
      </c>
      <c r="B79" s="1" t="s">
        <v>306</v>
      </c>
      <c r="C79" s="146" t="s">
        <v>854</v>
      </c>
      <c r="D79" s="66"/>
      <c r="E79" s="22">
        <f t="shared" ref="E79:E88" si="5">+F79+H79</f>
        <v>71.099999999999994</v>
      </c>
      <c r="F79" s="22">
        <f>SUM(F80:F84)</f>
        <v>71.099999999999994</v>
      </c>
      <c r="G79" s="22">
        <f>SUM(G80:G84)</f>
        <v>70.099999999999994</v>
      </c>
      <c r="H79" s="22">
        <f>SUM(H80:H84)</f>
        <v>0</v>
      </c>
    </row>
    <row r="80" spans="1:9" ht="39.6" x14ac:dyDescent="0.25">
      <c r="A80" s="14">
        <v>68</v>
      </c>
      <c r="B80" s="1"/>
      <c r="C80" s="38" t="s">
        <v>1</v>
      </c>
      <c r="D80" s="66" t="s">
        <v>76</v>
      </c>
      <c r="E80" s="22">
        <f t="shared" si="5"/>
        <v>20.3</v>
      </c>
      <c r="F80" s="22">
        <v>20.3</v>
      </c>
      <c r="G80" s="22">
        <v>20</v>
      </c>
      <c r="H80" s="22"/>
      <c r="I80" s="4"/>
    </row>
    <row r="81" spans="1:9" x14ac:dyDescent="0.25">
      <c r="A81" s="14">
        <v>69</v>
      </c>
      <c r="B81" s="1"/>
      <c r="C81" s="84" t="s">
        <v>2</v>
      </c>
      <c r="D81" s="219" t="s">
        <v>77</v>
      </c>
      <c r="E81" s="22">
        <f t="shared" si="5"/>
        <v>7.9</v>
      </c>
      <c r="F81" s="22">
        <v>7.9</v>
      </c>
      <c r="G81" s="22">
        <v>7.8</v>
      </c>
      <c r="H81" s="22"/>
      <c r="I81" s="4"/>
    </row>
    <row r="82" spans="1:9" x14ac:dyDescent="0.25">
      <c r="A82" s="14">
        <v>70</v>
      </c>
      <c r="B82" s="1"/>
      <c r="C82" s="220" t="s">
        <v>15</v>
      </c>
      <c r="D82" s="16" t="s">
        <v>110</v>
      </c>
      <c r="E82" s="22">
        <f t="shared" si="5"/>
        <v>8</v>
      </c>
      <c r="F82" s="22">
        <v>8</v>
      </c>
      <c r="G82" s="22">
        <v>7.9</v>
      </c>
      <c r="H82" s="22"/>
      <c r="I82" s="4"/>
    </row>
    <row r="83" spans="1:9" x14ac:dyDescent="0.25">
      <c r="A83" s="14">
        <v>71</v>
      </c>
      <c r="B83" s="1"/>
      <c r="C83" s="220" t="s">
        <v>20</v>
      </c>
      <c r="D83" s="36" t="s">
        <v>77</v>
      </c>
      <c r="E83" s="22">
        <f t="shared" si="5"/>
        <v>7.4</v>
      </c>
      <c r="F83" s="22">
        <v>7.4</v>
      </c>
      <c r="G83" s="22">
        <v>7.3</v>
      </c>
      <c r="H83" s="22"/>
      <c r="I83" s="4"/>
    </row>
    <row r="84" spans="1:9" x14ac:dyDescent="0.25">
      <c r="A84" s="14">
        <v>72</v>
      </c>
      <c r="B84" s="1"/>
      <c r="C84" s="38" t="s">
        <v>177</v>
      </c>
      <c r="D84" s="219" t="s">
        <v>24</v>
      </c>
      <c r="E84" s="22">
        <f t="shared" si="5"/>
        <v>27.5</v>
      </c>
      <c r="F84" s="22">
        <v>27.5</v>
      </c>
      <c r="G84" s="22">
        <v>27.1</v>
      </c>
      <c r="H84" s="22"/>
      <c r="I84" s="4"/>
    </row>
    <row r="85" spans="1:9" x14ac:dyDescent="0.25">
      <c r="A85" s="14">
        <v>73</v>
      </c>
      <c r="B85" s="13" t="s">
        <v>82</v>
      </c>
      <c r="C85" s="20" t="s">
        <v>279</v>
      </c>
      <c r="D85" s="72"/>
      <c r="E85" s="22">
        <f t="shared" si="5"/>
        <v>611</v>
      </c>
      <c r="F85" s="22">
        <f t="shared" ref="F85:H87" si="6">+F86</f>
        <v>0</v>
      </c>
      <c r="G85" s="22">
        <f t="shared" si="6"/>
        <v>0</v>
      </c>
      <c r="H85" s="22">
        <f t="shared" si="6"/>
        <v>611</v>
      </c>
    </row>
    <row r="86" spans="1:9" ht="26.4" x14ac:dyDescent="0.25">
      <c r="A86" s="14">
        <v>74</v>
      </c>
      <c r="B86" s="1" t="s">
        <v>687</v>
      </c>
      <c r="C86" s="68" t="s">
        <v>684</v>
      </c>
      <c r="D86" s="72"/>
      <c r="E86" s="59">
        <f t="shared" si="5"/>
        <v>611</v>
      </c>
      <c r="F86" s="59">
        <f t="shared" si="6"/>
        <v>0</v>
      </c>
      <c r="G86" s="59">
        <f t="shared" si="6"/>
        <v>0</v>
      </c>
      <c r="H86" s="59">
        <f t="shared" si="6"/>
        <v>611</v>
      </c>
    </row>
    <row r="87" spans="1:9" x14ac:dyDescent="0.25">
      <c r="A87" s="14">
        <v>75</v>
      </c>
      <c r="B87" s="1"/>
      <c r="C87" s="33" t="s">
        <v>3</v>
      </c>
      <c r="D87" s="17" t="s">
        <v>83</v>
      </c>
      <c r="E87" s="22">
        <f t="shared" si="5"/>
        <v>611</v>
      </c>
      <c r="F87" s="22">
        <f t="shared" si="6"/>
        <v>0</v>
      </c>
      <c r="G87" s="22">
        <f t="shared" si="6"/>
        <v>0</v>
      </c>
      <c r="H87" s="22">
        <f t="shared" si="6"/>
        <v>611</v>
      </c>
    </row>
    <row r="88" spans="1:9" ht="26.4" x14ac:dyDescent="0.25">
      <c r="A88" s="14">
        <v>76</v>
      </c>
      <c r="B88" s="1"/>
      <c r="C88" s="136" t="s">
        <v>686</v>
      </c>
      <c r="D88" s="72"/>
      <c r="E88" s="22">
        <f t="shared" si="5"/>
        <v>611</v>
      </c>
      <c r="F88" s="22"/>
      <c r="G88" s="22"/>
      <c r="H88" s="22">
        <v>611</v>
      </c>
    </row>
    <row r="89" spans="1:9" x14ac:dyDescent="0.25">
      <c r="A89" s="14">
        <v>77</v>
      </c>
      <c r="B89" s="13" t="s">
        <v>84</v>
      </c>
      <c r="C89" s="142" t="s">
        <v>85</v>
      </c>
      <c r="D89" s="21"/>
      <c r="E89" s="32">
        <f t="shared" si="0"/>
        <v>1044.8</v>
      </c>
      <c r="F89" s="143">
        <f>+F90+F92+F103</f>
        <v>87.799999999999983</v>
      </c>
      <c r="G89" s="143">
        <f>+G90+G92+G103</f>
        <v>34.6</v>
      </c>
      <c r="H89" s="143">
        <f>+H90+H92+H103</f>
        <v>957</v>
      </c>
    </row>
    <row r="90" spans="1:9" ht="26.4" x14ac:dyDescent="0.25">
      <c r="A90" s="14">
        <v>78</v>
      </c>
      <c r="B90" s="1" t="s">
        <v>661</v>
      </c>
      <c r="C90" s="68" t="s">
        <v>467</v>
      </c>
      <c r="D90" s="72"/>
      <c r="E90" s="22">
        <f t="shared" si="0"/>
        <v>52.8</v>
      </c>
      <c r="F90" s="22">
        <f>+F91</f>
        <v>52.8</v>
      </c>
      <c r="G90" s="22">
        <f>+G91</f>
        <v>0</v>
      </c>
      <c r="H90" s="22">
        <f>+H91</f>
        <v>0</v>
      </c>
    </row>
    <row r="91" spans="1:9" ht="26.4" x14ac:dyDescent="0.25">
      <c r="A91" s="14">
        <v>79</v>
      </c>
      <c r="B91" s="1"/>
      <c r="C91" s="18" t="s">
        <v>57</v>
      </c>
      <c r="D91" s="1" t="s">
        <v>87</v>
      </c>
      <c r="E91" s="22">
        <f t="shared" si="0"/>
        <v>52.8</v>
      </c>
      <c r="F91" s="22">
        <v>52.8</v>
      </c>
      <c r="G91" s="22"/>
      <c r="H91" s="22"/>
    </row>
    <row r="92" spans="1:9" ht="26.4" x14ac:dyDescent="0.25">
      <c r="A92" s="14">
        <v>80</v>
      </c>
      <c r="B92" s="1" t="s">
        <v>660</v>
      </c>
      <c r="C92" s="68" t="s">
        <v>416</v>
      </c>
      <c r="D92" s="72"/>
      <c r="E92" s="22">
        <f t="shared" si="0"/>
        <v>34.999999999999993</v>
      </c>
      <c r="F92" s="22">
        <f>SUM(F93:F102)</f>
        <v>34.999999999999993</v>
      </c>
      <c r="G92" s="22">
        <f>SUM(G93:G102)</f>
        <v>34.6</v>
      </c>
      <c r="H92" s="22">
        <f>SUM(H93:H102)</f>
        <v>0</v>
      </c>
    </row>
    <row r="93" spans="1:9" x14ac:dyDescent="0.25">
      <c r="A93" s="14">
        <v>81</v>
      </c>
      <c r="B93" s="1"/>
      <c r="C93" s="38" t="s">
        <v>47</v>
      </c>
      <c r="D93" s="1" t="s">
        <v>86</v>
      </c>
      <c r="E93" s="22">
        <f t="shared" si="0"/>
        <v>7.5</v>
      </c>
      <c r="F93" s="22">
        <v>7.5</v>
      </c>
      <c r="G93" s="22">
        <v>7.4</v>
      </c>
      <c r="H93" s="22"/>
    </row>
    <row r="94" spans="1:9" x14ac:dyDescent="0.25">
      <c r="A94" s="14">
        <v>82</v>
      </c>
      <c r="B94" s="1"/>
      <c r="C94" s="84" t="s">
        <v>53</v>
      </c>
      <c r="D94" s="1" t="s">
        <v>86</v>
      </c>
      <c r="E94" s="22">
        <f t="shared" si="0"/>
        <v>2.7</v>
      </c>
      <c r="F94" s="22">
        <v>2.7</v>
      </c>
      <c r="G94" s="22">
        <v>2.7</v>
      </c>
      <c r="H94" s="22"/>
    </row>
    <row r="95" spans="1:9" x14ac:dyDescent="0.25">
      <c r="A95" s="14">
        <v>83</v>
      </c>
      <c r="B95" s="1"/>
      <c r="C95" s="84" t="s">
        <v>54</v>
      </c>
      <c r="D95" s="1" t="s">
        <v>86</v>
      </c>
      <c r="E95" s="22">
        <f t="shared" si="0"/>
        <v>1.7</v>
      </c>
      <c r="F95" s="22">
        <v>1.7</v>
      </c>
      <c r="G95" s="22">
        <v>1.7</v>
      </c>
      <c r="H95" s="22"/>
    </row>
    <row r="96" spans="1:9" x14ac:dyDescent="0.25">
      <c r="A96" s="14">
        <v>84</v>
      </c>
      <c r="B96" s="1"/>
      <c r="C96" s="84" t="s">
        <v>48</v>
      </c>
      <c r="D96" s="1" t="s">
        <v>86</v>
      </c>
      <c r="E96" s="22">
        <f t="shared" si="0"/>
        <v>1.5</v>
      </c>
      <c r="F96" s="22">
        <v>1.5</v>
      </c>
      <c r="G96" s="22">
        <v>1.5</v>
      </c>
      <c r="H96" s="22"/>
    </row>
    <row r="97" spans="1:8" x14ac:dyDescent="0.25">
      <c r="A97" s="14">
        <v>85</v>
      </c>
      <c r="B97" s="1"/>
      <c r="C97" s="84" t="s">
        <v>55</v>
      </c>
      <c r="D97" s="1" t="s">
        <v>86</v>
      </c>
      <c r="E97" s="22">
        <f t="shared" si="0"/>
        <v>1.2</v>
      </c>
      <c r="F97" s="22">
        <v>1.2</v>
      </c>
      <c r="G97" s="22">
        <v>1.2</v>
      </c>
      <c r="H97" s="22"/>
    </row>
    <row r="98" spans="1:8" x14ac:dyDescent="0.25">
      <c r="A98" s="14">
        <v>86</v>
      </c>
      <c r="B98" s="1"/>
      <c r="C98" s="84" t="s">
        <v>56</v>
      </c>
      <c r="D98" s="1" t="s">
        <v>86</v>
      </c>
      <c r="E98" s="22">
        <f t="shared" si="0"/>
        <v>1</v>
      </c>
      <c r="F98" s="22">
        <v>1</v>
      </c>
      <c r="G98" s="22">
        <v>1</v>
      </c>
      <c r="H98" s="22"/>
    </row>
    <row r="99" spans="1:8" ht="26.4" x14ac:dyDescent="0.25">
      <c r="A99" s="14">
        <v>87</v>
      </c>
      <c r="B99" s="1"/>
      <c r="C99" s="18" t="s">
        <v>57</v>
      </c>
      <c r="D99" s="1" t="s">
        <v>87</v>
      </c>
      <c r="E99" s="22">
        <f t="shared" si="0"/>
        <v>14</v>
      </c>
      <c r="F99" s="22">
        <v>14</v>
      </c>
      <c r="G99" s="22">
        <v>13.8</v>
      </c>
      <c r="H99" s="22"/>
    </row>
    <row r="100" spans="1:8" x14ac:dyDescent="0.25">
      <c r="A100" s="14">
        <v>88</v>
      </c>
      <c r="B100" s="1"/>
      <c r="C100" s="84" t="s">
        <v>46</v>
      </c>
      <c r="D100" s="1" t="s">
        <v>88</v>
      </c>
      <c r="E100" s="22">
        <f t="shared" si="0"/>
        <v>5</v>
      </c>
      <c r="F100" s="22">
        <v>5</v>
      </c>
      <c r="G100" s="22">
        <v>4.9000000000000004</v>
      </c>
      <c r="H100" s="22"/>
    </row>
    <row r="101" spans="1:8" ht="26.4" x14ac:dyDescent="0.25">
      <c r="A101" s="14">
        <v>89</v>
      </c>
      <c r="B101" s="1"/>
      <c r="C101" s="18" t="s">
        <v>6</v>
      </c>
      <c r="D101" s="1" t="s">
        <v>88</v>
      </c>
      <c r="E101" s="22">
        <f t="shared" si="0"/>
        <v>0.1</v>
      </c>
      <c r="F101" s="22">
        <v>0.1</v>
      </c>
      <c r="G101" s="22">
        <v>0.1</v>
      </c>
      <c r="H101" s="22"/>
    </row>
    <row r="102" spans="1:8" x14ac:dyDescent="0.25">
      <c r="A102" s="14">
        <v>90</v>
      </c>
      <c r="B102" s="1"/>
      <c r="C102" s="31" t="s">
        <v>51</v>
      </c>
      <c r="D102" s="1" t="s">
        <v>67</v>
      </c>
      <c r="E102" s="22">
        <f t="shared" si="0"/>
        <v>0.3</v>
      </c>
      <c r="F102" s="22">
        <v>0.3</v>
      </c>
      <c r="G102" s="22">
        <v>0.3</v>
      </c>
      <c r="H102" s="22"/>
    </row>
    <row r="103" spans="1:8" ht="26.4" x14ac:dyDescent="0.25">
      <c r="A103" s="14">
        <v>91</v>
      </c>
      <c r="B103" s="1" t="s">
        <v>689</v>
      </c>
      <c r="C103" s="68" t="s">
        <v>684</v>
      </c>
      <c r="D103" s="21"/>
      <c r="E103" s="59">
        <f t="shared" si="0"/>
        <v>957</v>
      </c>
      <c r="F103" s="59">
        <f t="shared" ref="F103:H104" si="7">+F104</f>
        <v>0</v>
      </c>
      <c r="G103" s="59">
        <f t="shared" si="7"/>
        <v>0</v>
      </c>
      <c r="H103" s="59">
        <f t="shared" si="7"/>
        <v>957</v>
      </c>
    </row>
    <row r="104" spans="1:8" x14ac:dyDescent="0.25">
      <c r="A104" s="14">
        <v>92</v>
      </c>
      <c r="B104" s="1"/>
      <c r="C104" s="33" t="s">
        <v>3</v>
      </c>
      <c r="D104" s="21" t="s">
        <v>86</v>
      </c>
      <c r="E104" s="22">
        <f t="shared" si="0"/>
        <v>957</v>
      </c>
      <c r="F104" s="22">
        <f t="shared" si="7"/>
        <v>0</v>
      </c>
      <c r="G104" s="22">
        <f t="shared" si="7"/>
        <v>0</v>
      </c>
      <c r="H104" s="22">
        <f t="shared" si="7"/>
        <v>957</v>
      </c>
    </row>
    <row r="105" spans="1:8" ht="39.6" x14ac:dyDescent="0.25">
      <c r="A105" s="14">
        <v>93</v>
      </c>
      <c r="B105" s="1"/>
      <c r="C105" s="136" t="s">
        <v>685</v>
      </c>
      <c r="D105" s="145"/>
      <c r="E105" s="22">
        <f t="shared" si="0"/>
        <v>957</v>
      </c>
      <c r="F105" s="22"/>
      <c r="G105" s="22"/>
      <c r="H105" s="22">
        <v>957</v>
      </c>
    </row>
    <row r="106" spans="1:8" ht="26.4" x14ac:dyDescent="0.25">
      <c r="A106" s="14">
        <v>94</v>
      </c>
      <c r="B106" s="13" t="s">
        <v>90</v>
      </c>
      <c r="C106" s="49" t="s">
        <v>91</v>
      </c>
      <c r="D106" s="1"/>
      <c r="E106" s="139">
        <f>+F106+H106</f>
        <v>2321.6</v>
      </c>
      <c r="F106" s="139">
        <f t="shared" ref="F106:H107" si="8">+F107</f>
        <v>863.5</v>
      </c>
      <c r="G106" s="139">
        <f t="shared" si="8"/>
        <v>0</v>
      </c>
      <c r="H106" s="139">
        <f t="shared" si="8"/>
        <v>1458.1</v>
      </c>
    </row>
    <row r="107" spans="1:8" ht="26.4" x14ac:dyDescent="0.25">
      <c r="A107" s="14">
        <v>95</v>
      </c>
      <c r="B107" s="1" t="s">
        <v>668</v>
      </c>
      <c r="C107" s="47" t="s">
        <v>839</v>
      </c>
      <c r="D107" s="1"/>
      <c r="E107" s="59">
        <f t="shared" si="0"/>
        <v>2321.6</v>
      </c>
      <c r="F107" s="59">
        <f t="shared" si="8"/>
        <v>863.5</v>
      </c>
      <c r="G107" s="59">
        <f t="shared" si="8"/>
        <v>0</v>
      </c>
      <c r="H107" s="59">
        <f t="shared" si="8"/>
        <v>1458.1</v>
      </c>
    </row>
    <row r="108" spans="1:8" x14ac:dyDescent="0.25">
      <c r="A108" s="14">
        <v>96</v>
      </c>
      <c r="B108" s="13"/>
      <c r="C108" s="18" t="s">
        <v>3</v>
      </c>
      <c r="D108" s="1" t="s">
        <v>125</v>
      </c>
      <c r="E108" s="22">
        <f>+F108+H108</f>
        <v>2321.6</v>
      </c>
      <c r="F108" s="22">
        <f>725.2+138.3</f>
        <v>863.5</v>
      </c>
      <c r="G108" s="22"/>
      <c r="H108" s="22">
        <f>1223.1+235</f>
        <v>1458.1</v>
      </c>
    </row>
    <row r="109" spans="1:8" x14ac:dyDescent="0.25">
      <c r="A109" s="14">
        <v>97</v>
      </c>
      <c r="B109" s="13" t="s">
        <v>95</v>
      </c>
      <c r="C109" s="20" t="s">
        <v>96</v>
      </c>
      <c r="D109" s="1"/>
      <c r="E109" s="139">
        <f t="shared" si="0"/>
        <v>56</v>
      </c>
      <c r="F109" s="139">
        <f>+F110+F112</f>
        <v>31</v>
      </c>
      <c r="G109" s="139">
        <f>+G110+G112</f>
        <v>0</v>
      </c>
      <c r="H109" s="139">
        <f>+H110+H112</f>
        <v>25</v>
      </c>
    </row>
    <row r="110" spans="1:8" ht="26.4" x14ac:dyDescent="0.25">
      <c r="A110" s="14">
        <v>98</v>
      </c>
      <c r="B110" s="1" t="s">
        <v>669</v>
      </c>
      <c r="C110" s="137" t="s">
        <v>658</v>
      </c>
      <c r="D110" s="1"/>
      <c r="E110" s="59">
        <f t="shared" si="0"/>
        <v>31</v>
      </c>
      <c r="F110" s="59">
        <f>+F111</f>
        <v>31</v>
      </c>
      <c r="G110" s="59">
        <f>+G111</f>
        <v>0</v>
      </c>
      <c r="H110" s="59">
        <f>+H111</f>
        <v>0</v>
      </c>
    </row>
    <row r="111" spans="1:8" x14ac:dyDescent="0.25">
      <c r="A111" s="14">
        <v>99</v>
      </c>
      <c r="B111" s="1"/>
      <c r="C111" s="65" t="s">
        <v>3</v>
      </c>
      <c r="D111" s="1" t="s">
        <v>144</v>
      </c>
      <c r="E111" s="22">
        <f t="shared" si="0"/>
        <v>31</v>
      </c>
      <c r="F111" s="22">
        <v>31</v>
      </c>
      <c r="G111" s="22"/>
      <c r="H111" s="22"/>
    </row>
    <row r="112" spans="1:8" ht="26.4" x14ac:dyDescent="0.25">
      <c r="A112" s="14">
        <v>100</v>
      </c>
      <c r="B112" s="1"/>
      <c r="C112" s="146" t="s">
        <v>671</v>
      </c>
      <c r="D112" s="1"/>
      <c r="E112" s="59">
        <f t="shared" si="0"/>
        <v>25</v>
      </c>
      <c r="F112" s="59">
        <f>+F113</f>
        <v>0</v>
      </c>
      <c r="G112" s="59">
        <f>+G113</f>
        <v>0</v>
      </c>
      <c r="H112" s="59">
        <f>+H113</f>
        <v>25</v>
      </c>
    </row>
    <row r="113" spans="1:8" x14ac:dyDescent="0.25">
      <c r="A113" s="14">
        <v>101</v>
      </c>
      <c r="B113" s="1"/>
      <c r="C113" s="65" t="s">
        <v>3</v>
      </c>
      <c r="D113" s="16" t="s">
        <v>163</v>
      </c>
      <c r="E113" s="22">
        <f t="shared" si="0"/>
        <v>25</v>
      </c>
      <c r="F113" s="22"/>
      <c r="G113" s="22"/>
      <c r="H113" s="22">
        <v>25</v>
      </c>
    </row>
    <row r="114" spans="1:8" x14ac:dyDescent="0.25">
      <c r="A114" s="14">
        <v>102</v>
      </c>
      <c r="B114" s="13" t="s">
        <v>36</v>
      </c>
      <c r="C114" s="20" t="s">
        <v>37</v>
      </c>
      <c r="D114" s="11"/>
      <c r="E114" s="139">
        <f>+F114+H114</f>
        <v>53</v>
      </c>
      <c r="F114" s="139">
        <f t="shared" ref="F114:H115" si="9">+F115</f>
        <v>53</v>
      </c>
      <c r="G114" s="139">
        <f t="shared" si="9"/>
        <v>0</v>
      </c>
      <c r="H114" s="139">
        <f t="shared" si="9"/>
        <v>0</v>
      </c>
    </row>
    <row r="115" spans="1:8" ht="52.8" x14ac:dyDescent="0.25">
      <c r="A115" s="14">
        <v>103</v>
      </c>
      <c r="B115" s="1"/>
      <c r="C115" s="47" t="s">
        <v>851</v>
      </c>
      <c r="D115" s="16"/>
      <c r="E115" s="59">
        <f>+F115+H115</f>
        <v>53</v>
      </c>
      <c r="F115" s="59">
        <f t="shared" si="9"/>
        <v>53</v>
      </c>
      <c r="G115" s="59">
        <f t="shared" si="9"/>
        <v>0</v>
      </c>
      <c r="H115" s="59">
        <f t="shared" si="9"/>
        <v>0</v>
      </c>
    </row>
    <row r="116" spans="1:8" x14ac:dyDescent="0.25">
      <c r="A116" s="14">
        <v>104</v>
      </c>
      <c r="B116" s="1"/>
      <c r="C116" s="65" t="s">
        <v>3</v>
      </c>
      <c r="D116" s="16" t="s">
        <v>852</v>
      </c>
      <c r="E116" s="22">
        <f>+F116+H116</f>
        <v>53</v>
      </c>
      <c r="F116" s="22">
        <v>53</v>
      </c>
      <c r="G116" s="22"/>
      <c r="H116" s="22"/>
    </row>
    <row r="117" spans="1:8" x14ac:dyDescent="0.25">
      <c r="A117" s="14">
        <v>105</v>
      </c>
      <c r="B117" s="13" t="s">
        <v>26</v>
      </c>
      <c r="C117" s="20" t="s">
        <v>27</v>
      </c>
      <c r="D117" s="1"/>
      <c r="E117" s="139">
        <f t="shared" si="0"/>
        <v>176.2</v>
      </c>
      <c r="F117" s="139">
        <f>+F118</f>
        <v>176.2</v>
      </c>
      <c r="G117" s="139">
        <f>+G118</f>
        <v>0</v>
      </c>
      <c r="H117" s="139">
        <f>+H118</f>
        <v>0</v>
      </c>
    </row>
    <row r="118" spans="1:8" ht="66" x14ac:dyDescent="0.25">
      <c r="A118" s="14">
        <v>106</v>
      </c>
      <c r="B118" s="1" t="s">
        <v>38</v>
      </c>
      <c r="C118" s="147" t="s">
        <v>659</v>
      </c>
      <c r="D118" s="72"/>
      <c r="E118" s="59">
        <f t="shared" si="0"/>
        <v>176.2</v>
      </c>
      <c r="F118" s="59">
        <f>+F119</f>
        <v>176.2</v>
      </c>
      <c r="G118" s="59">
        <f>+G119</f>
        <v>0</v>
      </c>
      <c r="H118" s="59"/>
    </row>
    <row r="119" spans="1:8" x14ac:dyDescent="0.25">
      <c r="A119" s="14">
        <v>107</v>
      </c>
      <c r="B119" s="1"/>
      <c r="C119" s="67" t="s">
        <v>3</v>
      </c>
      <c r="D119" s="72" t="s">
        <v>132</v>
      </c>
      <c r="E119" s="22">
        <f t="shared" si="0"/>
        <v>176.2</v>
      </c>
      <c r="F119" s="22">
        <f>89.3+86.9</f>
        <v>176.2</v>
      </c>
      <c r="G119" s="22"/>
      <c r="H119" s="22"/>
    </row>
    <row r="120" spans="1:8" x14ac:dyDescent="0.25">
      <c r="A120" s="14">
        <v>108</v>
      </c>
      <c r="B120" s="13"/>
      <c r="C120" s="34" t="s">
        <v>21</v>
      </c>
      <c r="D120" s="1"/>
      <c r="E120" s="32">
        <f>+F120+H120</f>
        <v>5505.2</v>
      </c>
      <c r="F120" s="32">
        <f>+F12+F85+F69+F89+F72+F106+F109+F114+F117</f>
        <v>1919.1</v>
      </c>
      <c r="G120" s="32">
        <f>+G12+G85+G69+G89+G72+G106+G109+G114+G117</f>
        <v>261.7</v>
      </c>
      <c r="H120" s="32">
        <f>+H12+H85+H69+H89+H72+H106+H109+H114+H117</f>
        <v>3586.1</v>
      </c>
    </row>
    <row r="121" spans="1:8" x14ac:dyDescent="0.25">
      <c r="C121" s="26" t="s">
        <v>121</v>
      </c>
      <c r="D121" s="8"/>
      <c r="E121" s="25"/>
      <c r="F121" s="25"/>
      <c r="G121" s="25"/>
      <c r="H121" s="25"/>
    </row>
    <row r="122" spans="1:8" x14ac:dyDescent="0.25">
      <c r="C122" s="148"/>
      <c r="E122" s="149"/>
      <c r="F122" s="25"/>
      <c r="G122" s="25"/>
      <c r="H122" s="25"/>
    </row>
    <row r="123" spans="1:8" x14ac:dyDescent="0.25">
      <c r="C123" s="148"/>
      <c r="D123" s="2"/>
      <c r="E123" s="149"/>
    </row>
    <row r="124" spans="1:8" x14ac:dyDescent="0.25">
      <c r="D124" s="6"/>
    </row>
  </sheetData>
  <mergeCells count="12">
    <mergeCell ref="E8:E10"/>
    <mergeCell ref="F9:G9"/>
    <mergeCell ref="H9:H10"/>
    <mergeCell ref="F8:H8"/>
    <mergeCell ref="C1:H1"/>
    <mergeCell ref="C2:H2"/>
    <mergeCell ref="E3:H3"/>
    <mergeCell ref="A5:H5"/>
    <mergeCell ref="A8:A10"/>
    <mergeCell ref="B8:B10"/>
    <mergeCell ref="C8:C10"/>
    <mergeCell ref="D8:D10"/>
  </mergeCells>
  <phoneticPr fontId="5" type="noConversion"/>
  <pageMargins left="0.51181102362204722" right="0" top="0.19685039370078741" bottom="0.19685039370078741" header="0.31496062992125984" footer="0.31496062992125984"/>
  <pageSetup paperSize="9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M25" sqref="M25"/>
    </sheetView>
  </sheetViews>
  <sheetFormatPr defaultColWidth="9.109375" defaultRowHeight="15.6" x14ac:dyDescent="0.3"/>
  <cols>
    <col min="1" max="1" width="5.88671875" style="92" customWidth="1"/>
    <col min="2" max="2" width="10.109375" style="97" customWidth="1"/>
    <col min="3" max="3" width="65.109375" style="97" customWidth="1"/>
    <col min="4" max="4" width="13.5546875" style="98" customWidth="1"/>
    <col min="5" max="5" width="9.109375" style="92"/>
    <col min="6" max="6" width="11.88671875" style="92" bestFit="1" customWidth="1"/>
    <col min="7" max="16384" width="9.109375" style="92"/>
  </cols>
  <sheetData>
    <row r="1" spans="1:5" x14ac:dyDescent="0.3">
      <c r="A1"/>
      <c r="B1"/>
      <c r="C1" s="266" t="s">
        <v>178</v>
      </c>
      <c r="D1" s="266"/>
      <c r="E1"/>
    </row>
    <row r="2" spans="1:5" x14ac:dyDescent="0.3">
      <c r="A2"/>
      <c r="B2"/>
      <c r="C2" s="269" t="s">
        <v>845</v>
      </c>
      <c r="D2" s="269"/>
      <c r="E2"/>
    </row>
    <row r="3" spans="1:5" x14ac:dyDescent="0.3">
      <c r="A3"/>
      <c r="B3"/>
      <c r="C3" s="267" t="s">
        <v>318</v>
      </c>
      <c r="D3" s="267"/>
      <c r="E3"/>
    </row>
    <row r="4" spans="1:5" x14ac:dyDescent="0.3">
      <c r="A4"/>
      <c r="B4"/>
      <c r="C4" s="86"/>
      <c r="D4" s="86"/>
      <c r="E4"/>
    </row>
    <row r="5" spans="1:5" s="73" customFormat="1" ht="12" customHeight="1" x14ac:dyDescent="0.25">
      <c r="A5" s="262" t="s">
        <v>319</v>
      </c>
      <c r="B5" s="262"/>
      <c r="C5" s="262"/>
      <c r="D5" s="262"/>
    </row>
    <row r="6" spans="1:5" s="73" customFormat="1" ht="12.75" customHeight="1" x14ac:dyDescent="0.25">
      <c r="A6" s="268" t="s">
        <v>423</v>
      </c>
      <c r="B6" s="268"/>
      <c r="C6" s="268"/>
      <c r="D6" s="268"/>
    </row>
    <row r="7" spans="1:5" ht="11.25" customHeight="1" x14ac:dyDescent="0.3">
      <c r="A7" s="93"/>
      <c r="B7"/>
      <c r="C7"/>
      <c r="D7"/>
      <c r="E7" s="93"/>
    </row>
    <row r="8" spans="1:5" s="95" customFormat="1" ht="13.2" x14ac:dyDescent="0.25">
      <c r="A8" s="73"/>
      <c r="B8" s="94" t="s">
        <v>320</v>
      </c>
      <c r="C8" s="85"/>
      <c r="D8" s="89"/>
    </row>
    <row r="9" spans="1:5" s="73" customFormat="1" ht="12.6" customHeight="1" x14ac:dyDescent="0.25">
      <c r="B9" s="94" t="s">
        <v>321</v>
      </c>
      <c r="C9" s="85"/>
      <c r="D9" s="89"/>
    </row>
    <row r="10" spans="1:5" s="73" customFormat="1" ht="12.6" customHeight="1" x14ac:dyDescent="0.3">
      <c r="A10" s="92"/>
      <c r="B10" s="96"/>
      <c r="C10" s="97"/>
      <c r="D10" s="98"/>
    </row>
    <row r="11" spans="1:5" s="73" customFormat="1" ht="26.4" x14ac:dyDescent="0.25">
      <c r="A11" s="95"/>
      <c r="B11" s="99" t="s">
        <v>0</v>
      </c>
      <c r="C11" s="99" t="s">
        <v>322</v>
      </c>
      <c r="D11" s="100" t="s">
        <v>323</v>
      </c>
    </row>
    <row r="12" spans="1:5" s="73" customFormat="1" ht="12.6" customHeight="1" x14ac:dyDescent="0.25">
      <c r="B12" s="87" t="s">
        <v>324</v>
      </c>
      <c r="C12" s="87" t="s">
        <v>325</v>
      </c>
      <c r="D12" s="90">
        <v>195</v>
      </c>
    </row>
    <row r="13" spans="1:5" s="95" customFormat="1" ht="12.6" customHeight="1" x14ac:dyDescent="0.25">
      <c r="A13" s="73"/>
      <c r="B13" s="87" t="s">
        <v>326</v>
      </c>
      <c r="C13" s="87" t="s">
        <v>259</v>
      </c>
      <c r="D13" s="90">
        <v>20</v>
      </c>
    </row>
    <row r="14" spans="1:5" s="73" customFormat="1" ht="12.6" customHeight="1" x14ac:dyDescent="0.25">
      <c r="B14" s="87" t="s">
        <v>327</v>
      </c>
      <c r="C14" s="87" t="s">
        <v>328</v>
      </c>
      <c r="D14" s="90">
        <v>14.5</v>
      </c>
    </row>
    <row r="15" spans="1:5" s="73" customFormat="1" ht="12.6" customHeight="1" x14ac:dyDescent="0.25">
      <c r="B15" s="87" t="s">
        <v>329</v>
      </c>
      <c r="C15" s="87" t="s">
        <v>330</v>
      </c>
      <c r="D15" s="90">
        <v>0</v>
      </c>
    </row>
    <row r="16" spans="1:5" s="95" customFormat="1" ht="12.6" customHeight="1" x14ac:dyDescent="0.25">
      <c r="B16" s="99" t="s">
        <v>331</v>
      </c>
      <c r="C16" s="99" t="s">
        <v>332</v>
      </c>
      <c r="D16" s="101">
        <f>SUM(D12:D15)</f>
        <v>229.5</v>
      </c>
    </row>
    <row r="17" spans="1:6" s="95" customFormat="1" ht="12.6" customHeight="1" x14ac:dyDescent="0.25">
      <c r="A17" s="73"/>
      <c r="B17" s="87" t="s">
        <v>333</v>
      </c>
      <c r="C17" s="87" t="s">
        <v>334</v>
      </c>
      <c r="D17" s="90">
        <v>35</v>
      </c>
    </row>
    <row r="18" spans="1:6" s="73" customFormat="1" ht="13.2" x14ac:dyDescent="0.25">
      <c r="B18" s="87" t="s">
        <v>335</v>
      </c>
      <c r="C18" s="87" t="s">
        <v>336</v>
      </c>
      <c r="D18" s="90">
        <v>25.1</v>
      </c>
      <c r="F18" s="102"/>
    </row>
    <row r="19" spans="1:6" s="95" customFormat="1" ht="13.2" x14ac:dyDescent="0.25">
      <c r="B19" s="99" t="s">
        <v>337</v>
      </c>
      <c r="C19" s="99" t="s">
        <v>338</v>
      </c>
      <c r="D19" s="101">
        <f>SUM(D17:D18)</f>
        <v>60.1</v>
      </c>
      <c r="E19" s="103"/>
      <c r="F19" s="119"/>
    </row>
    <row r="20" spans="1:6" s="73" customFormat="1" ht="13.2" x14ac:dyDescent="0.25">
      <c r="A20" s="95"/>
      <c r="B20" s="99" t="s">
        <v>339</v>
      </c>
      <c r="C20" s="99" t="s">
        <v>340</v>
      </c>
      <c r="D20" s="101">
        <f>+D16+D19</f>
        <v>289.60000000000002</v>
      </c>
      <c r="E20" s="104"/>
      <c r="F20" s="104"/>
    </row>
    <row r="21" spans="1:6" s="73" customFormat="1" ht="12.6" customHeight="1" x14ac:dyDescent="0.25">
      <c r="B21" s="105"/>
      <c r="C21" s="106"/>
      <c r="D21" s="107"/>
      <c r="E21" s="104"/>
      <c r="F21" s="104"/>
    </row>
    <row r="22" spans="1:6" s="95" customFormat="1" ht="26.4" x14ac:dyDescent="0.25">
      <c r="B22" s="99" t="s">
        <v>0</v>
      </c>
      <c r="C22" s="99" t="s">
        <v>341</v>
      </c>
      <c r="D22" s="100" t="s">
        <v>342</v>
      </c>
    </row>
    <row r="23" spans="1:6" s="73" customFormat="1" ht="44.25" customHeight="1" x14ac:dyDescent="0.25">
      <c r="B23" s="87" t="s">
        <v>343</v>
      </c>
      <c r="C23" s="87" t="s">
        <v>344</v>
      </c>
      <c r="D23" s="90">
        <v>45.9</v>
      </c>
    </row>
    <row r="24" spans="1:6" s="95" customFormat="1" ht="13.2" x14ac:dyDescent="0.25">
      <c r="A24" s="73"/>
      <c r="B24" s="87" t="s">
        <v>345</v>
      </c>
      <c r="C24" s="87" t="s">
        <v>336</v>
      </c>
      <c r="D24" s="90">
        <v>41.3</v>
      </c>
    </row>
    <row r="25" spans="1:6" s="73" customFormat="1" ht="13.2" x14ac:dyDescent="0.25">
      <c r="A25" s="95"/>
      <c r="B25" s="99" t="s">
        <v>346</v>
      </c>
      <c r="C25" s="99" t="s">
        <v>347</v>
      </c>
      <c r="D25" s="101">
        <f>SUM(D23:D24)</f>
        <v>87.199999999999989</v>
      </c>
    </row>
    <row r="26" spans="1:6" s="73" customFormat="1" ht="12.6" customHeight="1" x14ac:dyDescent="0.25">
      <c r="B26" s="105"/>
      <c r="C26" s="106"/>
      <c r="D26" s="107"/>
    </row>
    <row r="27" spans="1:6" s="95" customFormat="1" ht="26.4" x14ac:dyDescent="0.25">
      <c r="B27" s="99" t="s">
        <v>0</v>
      </c>
      <c r="C27" s="99" t="s">
        <v>348</v>
      </c>
      <c r="D27" s="100" t="s">
        <v>342</v>
      </c>
    </row>
    <row r="28" spans="1:6" s="73" customFormat="1" ht="45" customHeight="1" x14ac:dyDescent="0.25">
      <c r="B28" s="87" t="s">
        <v>349</v>
      </c>
      <c r="C28" s="87" t="s">
        <v>350</v>
      </c>
      <c r="D28" s="90">
        <v>183.6</v>
      </c>
    </row>
    <row r="29" spans="1:6" s="95" customFormat="1" ht="13.2" x14ac:dyDescent="0.25">
      <c r="A29" s="73"/>
      <c r="B29" s="87" t="s">
        <v>351</v>
      </c>
      <c r="C29" s="87" t="s">
        <v>336</v>
      </c>
      <c r="D29" s="90">
        <v>63.3</v>
      </c>
    </row>
    <row r="30" spans="1:6" s="73" customFormat="1" ht="13.2" x14ac:dyDescent="0.25">
      <c r="A30" s="95"/>
      <c r="B30" s="99" t="s">
        <v>352</v>
      </c>
      <c r="C30" s="99" t="s">
        <v>353</v>
      </c>
      <c r="D30" s="101">
        <f>SUM(D28:D29)</f>
        <v>246.89999999999998</v>
      </c>
    </row>
    <row r="31" spans="1:6" s="73" customFormat="1" ht="13.2" x14ac:dyDescent="0.25">
      <c r="B31" s="108"/>
      <c r="C31" s="109"/>
      <c r="D31" s="110"/>
    </row>
    <row r="32" spans="1:6" s="73" customFormat="1" ht="26.1" customHeight="1" x14ac:dyDescent="0.25">
      <c r="A32" s="95"/>
      <c r="B32" s="99" t="s">
        <v>0</v>
      </c>
      <c r="C32" s="99" t="s">
        <v>354</v>
      </c>
      <c r="D32" s="100" t="s">
        <v>342</v>
      </c>
    </row>
    <row r="33" spans="1:4" s="73" customFormat="1" ht="39.6" x14ac:dyDescent="0.25">
      <c r="B33" s="87" t="s">
        <v>317</v>
      </c>
      <c r="C33" s="87" t="s">
        <v>355</v>
      </c>
      <c r="D33" s="90">
        <v>59.6</v>
      </c>
    </row>
    <row r="34" spans="1:4" s="73" customFormat="1" ht="39.6" x14ac:dyDescent="0.25">
      <c r="B34" s="87" t="s">
        <v>356</v>
      </c>
      <c r="C34" s="87" t="s">
        <v>357</v>
      </c>
      <c r="D34" s="90">
        <v>39.1</v>
      </c>
    </row>
    <row r="35" spans="1:4" s="73" customFormat="1" ht="42.75" customHeight="1" x14ac:dyDescent="0.25">
      <c r="B35" s="87" t="s">
        <v>358</v>
      </c>
      <c r="C35" s="87" t="s">
        <v>359</v>
      </c>
      <c r="D35" s="90">
        <v>20</v>
      </c>
    </row>
    <row r="36" spans="1:4" s="95" customFormat="1" ht="26.4" x14ac:dyDescent="0.25">
      <c r="A36" s="73"/>
      <c r="B36" s="87" t="s">
        <v>360</v>
      </c>
      <c r="C36" s="87" t="s">
        <v>361</v>
      </c>
      <c r="D36" s="90">
        <v>0.5</v>
      </c>
    </row>
    <row r="37" spans="1:4" s="73" customFormat="1" ht="39.6" x14ac:dyDescent="0.25">
      <c r="B37" s="87" t="s">
        <v>362</v>
      </c>
      <c r="C37" s="87" t="s">
        <v>363</v>
      </c>
      <c r="D37" s="90">
        <v>0.5</v>
      </c>
    </row>
    <row r="38" spans="1:4" s="73" customFormat="1" ht="13.2" x14ac:dyDescent="0.25">
      <c r="A38" s="95"/>
      <c r="B38" s="99"/>
      <c r="C38" s="99" t="s">
        <v>364</v>
      </c>
      <c r="D38" s="111">
        <f>+D33+D37</f>
        <v>60.1</v>
      </c>
    </row>
    <row r="39" spans="1:4" s="73" customFormat="1" ht="12" customHeight="1" x14ac:dyDescent="0.25">
      <c r="A39" s="95"/>
      <c r="B39" s="112"/>
      <c r="C39" s="112"/>
      <c r="D39" s="113"/>
    </row>
    <row r="40" spans="1:4" s="73" customFormat="1" ht="12.75" customHeight="1" x14ac:dyDescent="0.25">
      <c r="B40" s="263" t="s">
        <v>365</v>
      </c>
      <c r="C40" s="263"/>
      <c r="D40" s="263"/>
    </row>
    <row r="41" spans="1:4" s="73" customFormat="1" ht="25.5" customHeight="1" x14ac:dyDescent="0.25">
      <c r="B41" s="264" t="s">
        <v>366</v>
      </c>
      <c r="C41" s="264"/>
      <c r="D41" s="100" t="s">
        <v>367</v>
      </c>
    </row>
    <row r="42" spans="1:4" s="73" customFormat="1" ht="12.6" customHeight="1" x14ac:dyDescent="0.25">
      <c r="B42" s="265" t="s">
        <v>368</v>
      </c>
      <c r="C42" s="265"/>
      <c r="D42" s="90">
        <v>87.199999999999989</v>
      </c>
    </row>
    <row r="43" spans="1:4" s="73" customFormat="1" ht="12.6" customHeight="1" x14ac:dyDescent="0.25">
      <c r="B43" s="106"/>
      <c r="C43" s="106"/>
      <c r="D43" s="114"/>
    </row>
    <row r="44" spans="1:4" s="73" customFormat="1" ht="12.6" customHeight="1" x14ac:dyDescent="0.25">
      <c r="B44" s="263" t="s">
        <v>369</v>
      </c>
      <c r="C44" s="263"/>
      <c r="D44" s="263"/>
    </row>
    <row r="45" spans="1:4" s="73" customFormat="1" ht="12.6" customHeight="1" x14ac:dyDescent="0.25">
      <c r="B45" s="106"/>
      <c r="C45" s="106"/>
      <c r="D45" s="115"/>
    </row>
    <row r="46" spans="1:4" s="73" customFormat="1" ht="24" customHeight="1" x14ac:dyDescent="0.25">
      <c r="B46" s="99" t="s">
        <v>0</v>
      </c>
      <c r="C46" s="99" t="s">
        <v>354</v>
      </c>
      <c r="D46" s="100" t="s">
        <v>370</v>
      </c>
    </row>
    <row r="47" spans="1:4" s="73" customFormat="1" ht="12.6" customHeight="1" x14ac:dyDescent="0.25">
      <c r="B47" s="87" t="s">
        <v>371</v>
      </c>
      <c r="C47" s="123" t="s">
        <v>372</v>
      </c>
      <c r="D47" s="124">
        <f>+D57+D56+D55+D54+D48</f>
        <v>62.9</v>
      </c>
    </row>
    <row r="48" spans="1:4" s="73" customFormat="1" ht="12.6" customHeight="1" x14ac:dyDescent="0.25">
      <c r="B48" s="87" t="s">
        <v>373</v>
      </c>
      <c r="C48" s="123" t="s">
        <v>374</v>
      </c>
      <c r="D48" s="124">
        <f>SUM(D49:D53)</f>
        <v>14.5</v>
      </c>
    </row>
    <row r="49" spans="1:6" s="73" customFormat="1" ht="15" customHeight="1" x14ac:dyDescent="0.25">
      <c r="B49" s="87" t="s">
        <v>375</v>
      </c>
      <c r="C49" s="123" t="s">
        <v>376</v>
      </c>
      <c r="D49" s="124">
        <v>6</v>
      </c>
    </row>
    <row r="50" spans="1:6" s="73" customFormat="1" ht="15" customHeight="1" x14ac:dyDescent="0.25">
      <c r="B50" s="87" t="s">
        <v>377</v>
      </c>
      <c r="C50" s="123" t="s">
        <v>380</v>
      </c>
      <c r="D50" s="124">
        <v>0.6</v>
      </c>
    </row>
    <row r="51" spans="1:6" s="73" customFormat="1" ht="15" customHeight="1" x14ac:dyDescent="0.25">
      <c r="B51" s="87" t="s">
        <v>379</v>
      </c>
      <c r="C51" s="123" t="s">
        <v>382</v>
      </c>
      <c r="D51" s="124">
        <v>0.9</v>
      </c>
    </row>
    <row r="52" spans="1:6" s="73" customFormat="1" ht="15" customHeight="1" x14ac:dyDescent="0.25">
      <c r="B52" s="87" t="s">
        <v>381</v>
      </c>
      <c r="C52" s="123" t="s">
        <v>385</v>
      </c>
      <c r="D52" s="124">
        <v>1</v>
      </c>
    </row>
    <row r="53" spans="1:6" s="73" customFormat="1" ht="15" customHeight="1" x14ac:dyDescent="0.25">
      <c r="B53" s="87" t="s">
        <v>383</v>
      </c>
      <c r="C53" s="123" t="s">
        <v>386</v>
      </c>
      <c r="D53" s="124">
        <v>6</v>
      </c>
    </row>
    <row r="54" spans="1:6" s="73" customFormat="1" ht="15" customHeight="1" x14ac:dyDescent="0.25">
      <c r="B54" s="123" t="s">
        <v>387</v>
      </c>
      <c r="C54" s="123" t="s">
        <v>468</v>
      </c>
      <c r="D54" s="124">
        <v>14.9</v>
      </c>
      <c r="E54" s="91"/>
    </row>
    <row r="55" spans="1:6" s="73" customFormat="1" ht="13.2" x14ac:dyDescent="0.25">
      <c r="B55" s="87" t="s">
        <v>388</v>
      </c>
      <c r="C55" s="123" t="s">
        <v>389</v>
      </c>
      <c r="D55" s="124">
        <v>3.5</v>
      </c>
    </row>
    <row r="56" spans="1:6" s="73" customFormat="1" ht="13.2" x14ac:dyDescent="0.25">
      <c r="B56" s="87" t="s">
        <v>390</v>
      </c>
      <c r="C56" s="125" t="s">
        <v>469</v>
      </c>
      <c r="D56" s="124">
        <v>20</v>
      </c>
    </row>
    <row r="57" spans="1:6" s="73" customFormat="1" ht="13.2" x14ac:dyDescent="0.25">
      <c r="B57" s="87" t="s">
        <v>666</v>
      </c>
      <c r="C57" s="123" t="s">
        <v>482</v>
      </c>
      <c r="D57" s="124">
        <v>10</v>
      </c>
    </row>
    <row r="58" spans="1:6" s="73" customFormat="1" ht="13.2" x14ac:dyDescent="0.25">
      <c r="A58" s="74"/>
      <c r="B58" s="87" t="s">
        <v>391</v>
      </c>
      <c r="C58" s="123" t="s">
        <v>394</v>
      </c>
      <c r="D58" s="124">
        <f>SUM(D59:D68)</f>
        <v>104</v>
      </c>
    </row>
    <row r="59" spans="1:6" s="73" customFormat="1" ht="15.75" customHeight="1" x14ac:dyDescent="0.25">
      <c r="B59" s="87" t="s">
        <v>392</v>
      </c>
      <c r="C59" s="123" t="s">
        <v>396</v>
      </c>
      <c r="D59" s="124">
        <v>3</v>
      </c>
    </row>
    <row r="60" spans="1:6" s="73" customFormat="1" ht="27.75" customHeight="1" x14ac:dyDescent="0.25">
      <c r="A60" s="74"/>
      <c r="B60" s="87" t="s">
        <v>470</v>
      </c>
      <c r="C60" s="123" t="s">
        <v>690</v>
      </c>
      <c r="D60" s="124">
        <v>14.5</v>
      </c>
    </row>
    <row r="61" spans="1:6" s="133" customFormat="1" ht="27.75" customHeight="1" x14ac:dyDescent="0.25">
      <c r="A61" s="131"/>
      <c r="B61" s="123" t="s">
        <v>471</v>
      </c>
      <c r="C61" s="123" t="s">
        <v>472</v>
      </c>
      <c r="D61" s="124">
        <v>3</v>
      </c>
      <c r="E61" s="132"/>
      <c r="F61" s="132"/>
    </row>
    <row r="62" spans="1:6" s="73" customFormat="1" ht="12.6" customHeight="1" x14ac:dyDescent="0.25">
      <c r="B62" s="87" t="s">
        <v>473</v>
      </c>
      <c r="C62" s="123" t="s">
        <v>398</v>
      </c>
      <c r="D62" s="124">
        <v>10</v>
      </c>
    </row>
    <row r="63" spans="1:6" s="73" customFormat="1" ht="13.2" x14ac:dyDescent="0.25">
      <c r="B63" s="87" t="s">
        <v>474</v>
      </c>
      <c r="C63" s="123" t="s">
        <v>475</v>
      </c>
      <c r="D63" s="124">
        <v>10</v>
      </c>
    </row>
    <row r="64" spans="1:6" s="73" customFormat="1" ht="26.4" x14ac:dyDescent="0.25">
      <c r="B64" s="87" t="s">
        <v>476</v>
      </c>
      <c r="C64" s="123" t="s">
        <v>477</v>
      </c>
      <c r="D64" s="124">
        <v>30</v>
      </c>
    </row>
    <row r="65" spans="1:7" s="73" customFormat="1" ht="12.6" customHeight="1" x14ac:dyDescent="0.25">
      <c r="B65" s="87" t="s">
        <v>478</v>
      </c>
      <c r="C65" s="123" t="s">
        <v>399</v>
      </c>
      <c r="D65" s="124">
        <v>1</v>
      </c>
    </row>
    <row r="66" spans="1:7" s="73" customFormat="1" ht="12.6" customHeight="1" x14ac:dyDescent="0.25">
      <c r="B66" s="87" t="s">
        <v>479</v>
      </c>
      <c r="C66" s="123" t="s">
        <v>480</v>
      </c>
      <c r="D66" s="124">
        <v>20</v>
      </c>
    </row>
    <row r="67" spans="1:7" s="133" customFormat="1" ht="12.6" customHeight="1" x14ac:dyDescent="0.25">
      <c r="B67" s="125" t="s">
        <v>481</v>
      </c>
      <c r="C67" s="125" t="s">
        <v>667</v>
      </c>
      <c r="D67" s="127">
        <v>10</v>
      </c>
    </row>
    <row r="68" spans="1:7" s="133" customFormat="1" ht="12.6" customHeight="1" x14ac:dyDescent="0.25">
      <c r="B68" s="125" t="s">
        <v>691</v>
      </c>
      <c r="C68" s="125" t="s">
        <v>692</v>
      </c>
      <c r="D68" s="127">
        <v>2.5</v>
      </c>
    </row>
    <row r="69" spans="1:7" s="73" customFormat="1" ht="12.6" customHeight="1" x14ac:dyDescent="0.25">
      <c r="B69" s="116" t="s">
        <v>393</v>
      </c>
      <c r="C69" s="125" t="s">
        <v>401</v>
      </c>
      <c r="D69" s="127">
        <f>SUM(D70:D71)</f>
        <v>12.5</v>
      </c>
      <c r="E69" s="91"/>
    </row>
    <row r="70" spans="1:7" s="73" customFormat="1" ht="12.6" customHeight="1" x14ac:dyDescent="0.25">
      <c r="B70" s="116" t="s">
        <v>395</v>
      </c>
      <c r="C70" s="125" t="s">
        <v>483</v>
      </c>
      <c r="D70" s="127">
        <f>19-8</f>
        <v>11</v>
      </c>
      <c r="E70" s="91"/>
      <c r="G70" s="128"/>
    </row>
    <row r="71" spans="1:7" s="73" customFormat="1" ht="12.6" customHeight="1" x14ac:dyDescent="0.25">
      <c r="B71" s="87" t="s">
        <v>397</v>
      </c>
      <c r="C71" s="123" t="s">
        <v>404</v>
      </c>
      <c r="D71" s="124">
        <v>1.5</v>
      </c>
      <c r="E71" s="91"/>
    </row>
    <row r="72" spans="1:7" s="73" customFormat="1" ht="12.6" customHeight="1" x14ac:dyDescent="0.25">
      <c r="B72" s="87" t="s">
        <v>400</v>
      </c>
      <c r="C72" s="123" t="s">
        <v>406</v>
      </c>
      <c r="D72" s="124">
        <f>+D87+D86+D85+D73+D88</f>
        <v>66</v>
      </c>
    </row>
    <row r="73" spans="1:7" ht="11.25" customHeight="1" x14ac:dyDescent="0.3">
      <c r="A73" s="73"/>
      <c r="B73" s="87" t="s">
        <v>402</v>
      </c>
      <c r="C73" s="123" t="s">
        <v>407</v>
      </c>
      <c r="D73" s="124">
        <f>SUM(D74:D84)</f>
        <v>35</v>
      </c>
      <c r="E73" s="73"/>
      <c r="F73" s="73"/>
      <c r="G73" s="73"/>
    </row>
    <row r="74" spans="1:7" ht="14.25" customHeight="1" x14ac:dyDescent="0.3">
      <c r="A74" s="73"/>
      <c r="B74" s="87" t="s">
        <v>484</v>
      </c>
      <c r="C74" s="123" t="s">
        <v>376</v>
      </c>
      <c r="D74" s="124">
        <v>1</v>
      </c>
      <c r="E74"/>
      <c r="F74"/>
      <c r="G74"/>
    </row>
    <row r="75" spans="1:7" ht="14.25" customHeight="1" x14ac:dyDescent="0.3">
      <c r="A75" s="73"/>
      <c r="B75" s="87" t="s">
        <v>485</v>
      </c>
      <c r="C75" s="123" t="s">
        <v>408</v>
      </c>
      <c r="D75" s="124">
        <v>1</v>
      </c>
      <c r="E75"/>
      <c r="F75"/>
      <c r="G75"/>
    </row>
    <row r="76" spans="1:7" ht="14.25" customHeight="1" x14ac:dyDescent="0.3">
      <c r="A76" s="73"/>
      <c r="B76" s="87" t="s">
        <v>486</v>
      </c>
      <c r="C76" s="123" t="s">
        <v>409</v>
      </c>
      <c r="D76" s="124">
        <v>1</v>
      </c>
      <c r="E76"/>
      <c r="F76"/>
      <c r="G76" s="129"/>
    </row>
    <row r="77" spans="1:7" ht="14.25" customHeight="1" x14ac:dyDescent="0.3">
      <c r="A77" s="73"/>
      <c r="B77" s="87" t="s">
        <v>487</v>
      </c>
      <c r="C77" s="123" t="s">
        <v>378</v>
      </c>
      <c r="D77" s="124">
        <v>25</v>
      </c>
      <c r="E77"/>
      <c r="F77"/>
      <c r="G77"/>
    </row>
    <row r="78" spans="1:7" ht="14.25" customHeight="1" x14ac:dyDescent="0.3">
      <c r="A78" s="73"/>
      <c r="B78" s="87" t="s">
        <v>488</v>
      </c>
      <c r="C78" s="123" t="s">
        <v>380</v>
      </c>
      <c r="D78" s="124">
        <v>1</v>
      </c>
      <c r="E78"/>
      <c r="F78"/>
      <c r="G78"/>
    </row>
    <row r="79" spans="1:7" s="93" customFormat="1" ht="14.25" customHeight="1" x14ac:dyDescent="0.3">
      <c r="A79" s="73"/>
      <c r="B79" s="87" t="s">
        <v>489</v>
      </c>
      <c r="C79" s="123" t="s">
        <v>382</v>
      </c>
      <c r="D79" s="124">
        <v>1</v>
      </c>
    </row>
    <row r="80" spans="1:7" ht="14.25" customHeight="1" x14ac:dyDescent="0.3">
      <c r="A80" s="73"/>
      <c r="B80" s="87" t="s">
        <v>490</v>
      </c>
      <c r="C80" s="123" t="s">
        <v>410</v>
      </c>
      <c r="D80" s="124">
        <v>1</v>
      </c>
    </row>
    <row r="81" spans="1:5" ht="14.25" customHeight="1" x14ac:dyDescent="0.3">
      <c r="A81"/>
      <c r="B81" s="87" t="s">
        <v>491</v>
      </c>
      <c r="C81" s="123" t="s">
        <v>384</v>
      </c>
      <c r="D81" s="124">
        <v>1</v>
      </c>
    </row>
    <row r="82" spans="1:5" ht="14.25" customHeight="1" x14ac:dyDescent="0.3">
      <c r="A82"/>
      <c r="B82" s="87" t="s">
        <v>492</v>
      </c>
      <c r="C82" s="123" t="s">
        <v>385</v>
      </c>
      <c r="D82" s="124">
        <v>1</v>
      </c>
    </row>
    <row r="83" spans="1:5" ht="14.25" customHeight="1" x14ac:dyDescent="0.3">
      <c r="A83"/>
      <c r="B83" s="87" t="s">
        <v>493</v>
      </c>
      <c r="C83" s="123" t="s">
        <v>411</v>
      </c>
      <c r="D83" s="124">
        <v>1</v>
      </c>
    </row>
    <row r="84" spans="1:5" ht="14.25" customHeight="1" x14ac:dyDescent="0.3">
      <c r="A84"/>
      <c r="B84" s="87" t="s">
        <v>494</v>
      </c>
      <c r="C84" s="123" t="s">
        <v>386</v>
      </c>
      <c r="D84" s="124">
        <v>1</v>
      </c>
    </row>
    <row r="85" spans="1:5" ht="14.25" customHeight="1" x14ac:dyDescent="0.3">
      <c r="A85"/>
      <c r="B85" s="87" t="s">
        <v>403</v>
      </c>
      <c r="C85" s="123" t="s">
        <v>412</v>
      </c>
      <c r="D85" s="124">
        <v>9</v>
      </c>
    </row>
    <row r="86" spans="1:5" ht="14.25" customHeight="1" x14ac:dyDescent="0.3">
      <c r="A86"/>
      <c r="B86" s="87" t="s">
        <v>495</v>
      </c>
      <c r="C86" s="123" t="s">
        <v>496</v>
      </c>
      <c r="D86" s="130">
        <v>10</v>
      </c>
    </row>
    <row r="87" spans="1:5" ht="14.25" customHeight="1" x14ac:dyDescent="0.3">
      <c r="A87" s="134"/>
      <c r="B87" s="87" t="s">
        <v>497</v>
      </c>
      <c r="C87" s="87" t="s">
        <v>836</v>
      </c>
      <c r="D87" s="88">
        <v>10</v>
      </c>
      <c r="E87" s="73"/>
    </row>
    <row r="88" spans="1:5" ht="14.25" customHeight="1" x14ac:dyDescent="0.3">
      <c r="A88"/>
      <c r="B88" s="123" t="s">
        <v>837</v>
      </c>
      <c r="C88" s="87" t="s">
        <v>834</v>
      </c>
      <c r="D88" s="130">
        <v>2</v>
      </c>
      <c r="E88" s="126"/>
    </row>
    <row r="89" spans="1:5" ht="14.25" customHeight="1" x14ac:dyDescent="0.3">
      <c r="A89"/>
      <c r="B89" s="87" t="s">
        <v>405</v>
      </c>
      <c r="C89" s="123" t="s">
        <v>413</v>
      </c>
      <c r="D89" s="124">
        <v>1.5</v>
      </c>
      <c r="E89" s="117"/>
    </row>
    <row r="90" spans="1:5" x14ac:dyDescent="0.3">
      <c r="A90" s="93"/>
      <c r="B90" s="99"/>
      <c r="C90" s="99" t="s">
        <v>364</v>
      </c>
      <c r="D90" s="101">
        <f>+D47+D58+D69+D72+D89</f>
        <v>246.9</v>
      </c>
      <c r="E90" s="118"/>
    </row>
    <row r="91" spans="1:5" x14ac:dyDescent="0.3">
      <c r="A91"/>
      <c r="B91"/>
      <c r="C91" s="97" t="s">
        <v>414</v>
      </c>
      <c r="D91"/>
    </row>
  </sheetData>
  <mergeCells count="9">
    <mergeCell ref="C1:D1"/>
    <mergeCell ref="C3:D3"/>
    <mergeCell ref="A6:D6"/>
    <mergeCell ref="C2:D2"/>
    <mergeCell ref="A5:D5"/>
    <mergeCell ref="B40:D40"/>
    <mergeCell ref="B41:C41"/>
    <mergeCell ref="B44:D44"/>
    <mergeCell ref="B42:C42"/>
  </mergeCells>
  <pageMargins left="0.59055118110236227" right="0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9</vt:i4>
      </vt:variant>
    </vt:vector>
  </HeadingPairs>
  <TitlesOfParts>
    <vt:vector size="14" baseType="lpstr">
      <vt:lpstr>1 pr</vt:lpstr>
      <vt:lpstr>3 pr</vt:lpstr>
      <vt:lpstr>7 pr</vt:lpstr>
      <vt:lpstr>10 pr</vt:lpstr>
      <vt:lpstr>13 pr</vt:lpstr>
      <vt:lpstr>'1 pr'!Print_Area</vt:lpstr>
      <vt:lpstr>'10 pr'!Print_Area</vt:lpstr>
      <vt:lpstr>'13 pr'!Print_Area</vt:lpstr>
      <vt:lpstr>'3 pr'!Print_Area</vt:lpstr>
      <vt:lpstr>'7 pr'!Print_Area</vt:lpstr>
      <vt:lpstr>'1 pr'!Print_Titles</vt:lpstr>
      <vt:lpstr>'10 pr'!Print_Titles</vt:lpstr>
      <vt:lpstr>'3 pr'!Print_Titles</vt:lpstr>
      <vt:lpstr>'7 pr'!Print_Titles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Vartotoja</cp:lastModifiedBy>
  <cp:lastPrinted>2021-08-19T07:01:15Z</cp:lastPrinted>
  <dcterms:created xsi:type="dcterms:W3CDTF">1996-10-14T23:33:28Z</dcterms:created>
  <dcterms:modified xsi:type="dcterms:W3CDTF">2021-08-19T07:01:20Z</dcterms:modified>
</cp:coreProperties>
</file>