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esktop\41 POSĖDIS\SP\J. Sakavičienė\"/>
    </mc:Choice>
  </mc:AlternateContent>
  <bookViews>
    <workbookView xWindow="0" yWindow="0" windowWidth="9444" windowHeight="4332" tabRatio="897" activeTab="2"/>
  </bookViews>
  <sheets>
    <sheet name="1 priedas" sheetId="69" r:id="rId1"/>
    <sheet name="2 priedas" sheetId="58" r:id="rId2"/>
    <sheet name="3 priedas" sheetId="62" r:id="rId3"/>
    <sheet name="4 priedas" sheetId="60" r:id="rId4"/>
    <sheet name="5 priedas" sheetId="41" r:id="rId5"/>
    <sheet name="6 priedas" sheetId="70" r:id="rId6"/>
    <sheet name="7 priedas" sheetId="68" r:id="rId7"/>
    <sheet name="8 priedas" sheetId="71" r:id="rId8"/>
    <sheet name="9 priedas" sheetId="44" r:id="rId9"/>
    <sheet name="10 priedas" sheetId="72" r:id="rId10"/>
  </sheets>
  <definedNames>
    <definedName name="_xlnm.Print_Area" localSheetId="0">'1 priedas'!$A$1:$L$311</definedName>
    <definedName name="_xlnm.Print_Area" localSheetId="9">'10 priedas'!$A$1:$L$23</definedName>
    <definedName name="_xlnm.Print_Area" localSheetId="1">'2 priedas'!$A$1:$L$65</definedName>
    <definedName name="_xlnm.Print_Area" localSheetId="2">'3 priedas'!$A$1:$L$66</definedName>
    <definedName name="_xlnm.Print_Area" localSheetId="3">'4 priedas'!$A$1:$M$50</definedName>
    <definedName name="_xlnm.Print_Area" localSheetId="4">'5 priedas'!$A$1:$L$86</definedName>
    <definedName name="_xlnm.Print_Area" localSheetId="5">'6 priedas'!$A$1:$L$108</definedName>
    <definedName name="_xlnm.Print_Area" localSheetId="6">'7 priedas'!$A$1:$L$77</definedName>
    <definedName name="_xlnm.Print_Area" localSheetId="7">'8 priedas'!$A$1:$L$151</definedName>
    <definedName name="_xlnm.Print_Area" localSheetId="8">'9 priedas'!$A$1:$L$45</definedName>
    <definedName name="_xlnm.Print_Titles" localSheetId="0">'1 priedas'!$12:$12</definedName>
    <definedName name="_xlnm.Print_Titles" localSheetId="1">'2 priedas'!$13:$13</definedName>
    <definedName name="_xlnm.Print_Titles" localSheetId="2">'3 priedas'!$12:$12</definedName>
    <definedName name="_xlnm.Print_Titles" localSheetId="3">'4 priedas'!$12:$12</definedName>
    <definedName name="_xlnm.Print_Titles" localSheetId="4">'5 priedas'!$12:$12</definedName>
    <definedName name="_xlnm.Print_Titles" localSheetId="5">'6 priedas'!$13:$13</definedName>
    <definedName name="_xlnm.Print_Titles" localSheetId="6">'7 priedas'!$13:$13</definedName>
    <definedName name="_xlnm.Print_Titles" localSheetId="7">'8 priedas'!$12:$12</definedName>
    <definedName name="_xlnm.Print_Titles" localSheetId="8">'9 priedas'!$12:$12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72" l="1"/>
  <c r="E20" i="72" s="1"/>
  <c r="F20" i="72"/>
  <c r="L19" i="72"/>
  <c r="K19" i="72"/>
  <c r="H19" i="72"/>
  <c r="F19" i="72" s="1"/>
  <c r="K18" i="72"/>
  <c r="E18" i="72" s="1"/>
  <c r="F18" i="72"/>
  <c r="L17" i="72"/>
  <c r="L16" i="72" s="1"/>
  <c r="I17" i="72"/>
  <c r="G17" i="72"/>
  <c r="J16" i="72"/>
  <c r="I16" i="72"/>
  <c r="E15" i="72"/>
  <c r="L14" i="72"/>
  <c r="L13" i="72" s="1"/>
  <c r="K14" i="72"/>
  <c r="K13" i="72" s="1"/>
  <c r="I14" i="72"/>
  <c r="I13" i="72" s="1"/>
  <c r="I21" i="72" s="1"/>
  <c r="G14" i="72"/>
  <c r="E14" i="72" s="1"/>
  <c r="J13" i="72"/>
  <c r="J21" i="72" s="1"/>
  <c r="H13" i="72"/>
  <c r="G13" i="72"/>
  <c r="F148" i="71"/>
  <c r="E148" i="71"/>
  <c r="L147" i="71"/>
  <c r="K147" i="71"/>
  <c r="K146" i="71" s="1"/>
  <c r="K143" i="71" s="1"/>
  <c r="J147" i="71"/>
  <c r="J146" i="71" s="1"/>
  <c r="I147" i="71"/>
  <c r="H147" i="71"/>
  <c r="F147" i="71" s="1"/>
  <c r="G147" i="71"/>
  <c r="L146" i="71"/>
  <c r="L143" i="71" s="1"/>
  <c r="I146" i="71"/>
  <c r="H146" i="71"/>
  <c r="F146" i="71" s="1"/>
  <c r="H145" i="71"/>
  <c r="F145" i="71" s="1"/>
  <c r="G145" i="71"/>
  <c r="E145" i="71" s="1"/>
  <c r="J144" i="71"/>
  <c r="I144" i="71"/>
  <c r="I143" i="71"/>
  <c r="F142" i="71"/>
  <c r="E142" i="71"/>
  <c r="L141" i="71"/>
  <c r="K141" i="71"/>
  <c r="K140" i="71" s="1"/>
  <c r="J141" i="71"/>
  <c r="J140" i="71" s="1"/>
  <c r="I141" i="71"/>
  <c r="H141" i="71"/>
  <c r="F141" i="71" s="1"/>
  <c r="G141" i="71"/>
  <c r="L140" i="71"/>
  <c r="I140" i="71"/>
  <c r="H140" i="71"/>
  <c r="F140" i="71" s="1"/>
  <c r="F139" i="71"/>
  <c r="E139" i="71"/>
  <c r="L138" i="71"/>
  <c r="K138" i="71"/>
  <c r="J138" i="71"/>
  <c r="I138" i="71"/>
  <c r="H138" i="71"/>
  <c r="F138" i="71" s="1"/>
  <c r="G138" i="71"/>
  <c r="E138" i="71"/>
  <c r="L137" i="71"/>
  <c r="K137" i="71"/>
  <c r="J137" i="71"/>
  <c r="I137" i="71"/>
  <c r="H137" i="71"/>
  <c r="F137" i="71" s="1"/>
  <c r="G137" i="71"/>
  <c r="E137" i="71"/>
  <c r="F136" i="71"/>
  <c r="E136" i="71"/>
  <c r="K135" i="71"/>
  <c r="J135" i="71"/>
  <c r="J132" i="71" s="1"/>
  <c r="I135" i="71"/>
  <c r="H135" i="71"/>
  <c r="G135" i="71"/>
  <c r="E135" i="71" s="1"/>
  <c r="F135" i="71"/>
  <c r="G134" i="71"/>
  <c r="E134" i="71" s="1"/>
  <c r="F134" i="71"/>
  <c r="L133" i="71"/>
  <c r="K133" i="71"/>
  <c r="J133" i="71"/>
  <c r="I133" i="71"/>
  <c r="H133" i="71"/>
  <c r="G133" i="71"/>
  <c r="E133" i="71" s="1"/>
  <c r="L132" i="71"/>
  <c r="I132" i="71"/>
  <c r="K131" i="71"/>
  <c r="K130" i="71" s="1"/>
  <c r="G131" i="71"/>
  <c r="F131" i="71"/>
  <c r="L130" i="71"/>
  <c r="J130" i="71"/>
  <c r="J129" i="71" s="1"/>
  <c r="I130" i="71"/>
  <c r="I129" i="71" s="1"/>
  <c r="H130" i="71"/>
  <c r="G130" i="71"/>
  <c r="G129" i="71" s="1"/>
  <c r="H129" i="71"/>
  <c r="I128" i="71"/>
  <c r="G128" i="71"/>
  <c r="E128" i="71" s="1"/>
  <c r="F128" i="71"/>
  <c r="L127" i="71"/>
  <c r="K127" i="71"/>
  <c r="J127" i="71"/>
  <c r="I127" i="71"/>
  <c r="H127" i="71"/>
  <c r="F127" i="71"/>
  <c r="F126" i="71"/>
  <c r="E126" i="71"/>
  <c r="L125" i="71"/>
  <c r="L124" i="71" s="1"/>
  <c r="K125" i="71"/>
  <c r="J125" i="71"/>
  <c r="I125" i="71"/>
  <c r="I124" i="71" s="1"/>
  <c r="H125" i="71"/>
  <c r="F125" i="71" s="1"/>
  <c r="G125" i="71"/>
  <c r="E125" i="71" s="1"/>
  <c r="K124" i="71"/>
  <c r="J124" i="71"/>
  <c r="G124" i="71"/>
  <c r="F123" i="71"/>
  <c r="E123" i="71"/>
  <c r="F122" i="71"/>
  <c r="E122" i="71"/>
  <c r="F121" i="71"/>
  <c r="E121" i="71"/>
  <c r="F120" i="71"/>
  <c r="E120" i="71"/>
  <c r="F119" i="71"/>
  <c r="E119" i="71"/>
  <c r="F118" i="71"/>
  <c r="E118" i="71"/>
  <c r="F117" i="71"/>
  <c r="E117" i="71"/>
  <c r="F116" i="71"/>
  <c r="E116" i="71"/>
  <c r="F115" i="71"/>
  <c r="E115" i="71"/>
  <c r="F114" i="71"/>
  <c r="E114" i="71"/>
  <c r="L113" i="71"/>
  <c r="K113" i="71"/>
  <c r="J113" i="71"/>
  <c r="I113" i="71"/>
  <c r="H113" i="71"/>
  <c r="F113" i="71" s="1"/>
  <c r="G113" i="71"/>
  <c r="E113" i="71" s="1"/>
  <c r="F112" i="71"/>
  <c r="E112" i="71"/>
  <c r="L111" i="71"/>
  <c r="K111" i="71"/>
  <c r="J111" i="71"/>
  <c r="I111" i="71"/>
  <c r="I110" i="71" s="1"/>
  <c r="H111" i="71"/>
  <c r="F111" i="71" s="1"/>
  <c r="G111" i="71"/>
  <c r="E111" i="71"/>
  <c r="J110" i="71"/>
  <c r="F109" i="71"/>
  <c r="E109" i="71"/>
  <c r="L108" i="71"/>
  <c r="L107" i="71" s="1"/>
  <c r="K108" i="71"/>
  <c r="K107" i="71" s="1"/>
  <c r="K106" i="71" s="1"/>
  <c r="J108" i="71"/>
  <c r="I108" i="71"/>
  <c r="H108" i="71"/>
  <c r="G108" i="71"/>
  <c r="E108" i="71" s="1"/>
  <c r="J107" i="71"/>
  <c r="J106" i="71" s="1"/>
  <c r="I107" i="71"/>
  <c r="I106" i="71" s="1"/>
  <c r="L106" i="71"/>
  <c r="F105" i="71"/>
  <c r="E105" i="71"/>
  <c r="F104" i="71"/>
  <c r="E104" i="71"/>
  <c r="F103" i="71"/>
  <c r="E103" i="71"/>
  <c r="F102" i="71"/>
  <c r="E102" i="71"/>
  <c r="F101" i="71"/>
  <c r="E101" i="71"/>
  <c r="L100" i="71"/>
  <c r="K100" i="71"/>
  <c r="J100" i="71"/>
  <c r="I100" i="71"/>
  <c r="H100" i="71"/>
  <c r="F100" i="71" s="1"/>
  <c r="G100" i="71"/>
  <c r="E100" i="71" s="1"/>
  <c r="I99" i="71"/>
  <c r="I98" i="71" s="1"/>
  <c r="G99" i="71"/>
  <c r="E99" i="71" s="1"/>
  <c r="F99" i="71"/>
  <c r="J98" i="71"/>
  <c r="H98" i="71"/>
  <c r="F98" i="71" s="1"/>
  <c r="I97" i="71"/>
  <c r="G97" i="71"/>
  <c r="E97" i="71" s="1"/>
  <c r="F97" i="71"/>
  <c r="I96" i="71"/>
  <c r="G96" i="71"/>
  <c r="F96" i="71"/>
  <c r="I95" i="71"/>
  <c r="G95" i="71"/>
  <c r="E95" i="71" s="1"/>
  <c r="F95" i="71"/>
  <c r="L94" i="71"/>
  <c r="K94" i="71"/>
  <c r="J94" i="71"/>
  <c r="H94" i="71"/>
  <c r="G92" i="71"/>
  <c r="E92" i="71" s="1"/>
  <c r="F92" i="71"/>
  <c r="K91" i="71"/>
  <c r="K90" i="71" s="1"/>
  <c r="I91" i="71"/>
  <c r="H91" i="71"/>
  <c r="F91" i="71" s="1"/>
  <c r="L90" i="71"/>
  <c r="J90" i="71"/>
  <c r="I90" i="71"/>
  <c r="H90" i="71"/>
  <c r="F90" i="71" s="1"/>
  <c r="F89" i="71"/>
  <c r="E89" i="71"/>
  <c r="L88" i="71"/>
  <c r="L87" i="71" s="1"/>
  <c r="K88" i="71"/>
  <c r="K87" i="71" s="1"/>
  <c r="J88" i="71"/>
  <c r="J87" i="71" s="1"/>
  <c r="I88" i="71"/>
  <c r="H88" i="71"/>
  <c r="G88" i="71"/>
  <c r="F88" i="71"/>
  <c r="I87" i="71"/>
  <c r="H87" i="71"/>
  <c r="F87" i="71" s="1"/>
  <c r="F86" i="71"/>
  <c r="E86" i="71"/>
  <c r="F85" i="71"/>
  <c r="E85" i="71"/>
  <c r="F84" i="71"/>
  <c r="E84" i="71"/>
  <c r="F83" i="71"/>
  <c r="E83" i="71"/>
  <c r="F82" i="71"/>
  <c r="E82" i="71"/>
  <c r="F81" i="71"/>
  <c r="E81" i="71"/>
  <c r="F80" i="71"/>
  <c r="E80" i="71"/>
  <c r="F79" i="71"/>
  <c r="E79" i="71"/>
  <c r="F78" i="71"/>
  <c r="E78" i="71"/>
  <c r="F77" i="71"/>
  <c r="E77" i="71"/>
  <c r="F76" i="71"/>
  <c r="E76" i="71"/>
  <c r="J75" i="71"/>
  <c r="F75" i="71"/>
  <c r="E75" i="71"/>
  <c r="F74" i="71"/>
  <c r="E74" i="71"/>
  <c r="F73" i="71"/>
  <c r="E73" i="71"/>
  <c r="F72" i="71"/>
  <c r="E72" i="71"/>
  <c r="J71" i="71"/>
  <c r="H71" i="71"/>
  <c r="F71" i="71" s="1"/>
  <c r="E71" i="71"/>
  <c r="F70" i="71"/>
  <c r="E70" i="71"/>
  <c r="L69" i="71"/>
  <c r="K69" i="71"/>
  <c r="I69" i="71"/>
  <c r="H69" i="71"/>
  <c r="F69" i="71" s="1"/>
  <c r="G69" i="71"/>
  <c r="E69" i="71" s="1"/>
  <c r="F68" i="71"/>
  <c r="E68" i="71"/>
  <c r="L67" i="71"/>
  <c r="K67" i="71"/>
  <c r="J67" i="71"/>
  <c r="I67" i="71"/>
  <c r="H67" i="71"/>
  <c r="G67" i="71"/>
  <c r="F67" i="71"/>
  <c r="E67" i="71"/>
  <c r="F66" i="71"/>
  <c r="E66" i="71"/>
  <c r="F65" i="71"/>
  <c r="E65" i="71"/>
  <c r="F64" i="71"/>
  <c r="E64" i="71"/>
  <c r="F63" i="71"/>
  <c r="E63" i="71"/>
  <c r="F62" i="71"/>
  <c r="E62" i="71"/>
  <c r="F61" i="71"/>
  <c r="E61" i="71"/>
  <c r="F60" i="71"/>
  <c r="E60" i="71"/>
  <c r="F59" i="71"/>
  <c r="E59" i="71"/>
  <c r="L58" i="71"/>
  <c r="K58" i="71"/>
  <c r="J58" i="71"/>
  <c r="I58" i="71"/>
  <c r="H58" i="71"/>
  <c r="F58" i="71" s="1"/>
  <c r="G58" i="71"/>
  <c r="E58" i="71" s="1"/>
  <c r="F57" i="71"/>
  <c r="E57" i="71"/>
  <c r="F56" i="71"/>
  <c r="E56" i="71"/>
  <c r="F55" i="71"/>
  <c r="E55" i="71"/>
  <c r="J54" i="71"/>
  <c r="F54" i="71"/>
  <c r="E54" i="71"/>
  <c r="F53" i="71"/>
  <c r="E53" i="71"/>
  <c r="F52" i="71"/>
  <c r="E52" i="71"/>
  <c r="L51" i="71"/>
  <c r="K51" i="71"/>
  <c r="J51" i="71"/>
  <c r="I51" i="71"/>
  <c r="H51" i="71"/>
  <c r="F51" i="71" s="1"/>
  <c r="G51" i="71"/>
  <c r="E51" i="71" s="1"/>
  <c r="F50" i="71"/>
  <c r="E50" i="71"/>
  <c r="I49" i="71"/>
  <c r="F49" i="71"/>
  <c r="E49" i="71"/>
  <c r="F48" i="71"/>
  <c r="E48" i="71"/>
  <c r="F47" i="71"/>
  <c r="E47" i="71"/>
  <c r="F46" i="71"/>
  <c r="E46" i="71"/>
  <c r="H45" i="71"/>
  <c r="F45" i="71"/>
  <c r="E45" i="71"/>
  <c r="F44" i="71"/>
  <c r="E44" i="71"/>
  <c r="I43" i="71"/>
  <c r="F43" i="71"/>
  <c r="E43" i="71"/>
  <c r="J42" i="71"/>
  <c r="I42" i="71"/>
  <c r="I37" i="71" s="1"/>
  <c r="F42" i="71"/>
  <c r="E42" i="71"/>
  <c r="F41" i="71"/>
  <c r="E41" i="71"/>
  <c r="F40" i="71"/>
  <c r="E40" i="71"/>
  <c r="F39" i="71"/>
  <c r="E39" i="71"/>
  <c r="F38" i="71"/>
  <c r="E38" i="71"/>
  <c r="L37" i="71"/>
  <c r="K37" i="71"/>
  <c r="J37" i="71"/>
  <c r="H37" i="71"/>
  <c r="G37" i="71"/>
  <c r="E37" i="71" s="1"/>
  <c r="F37" i="71"/>
  <c r="F36" i="71"/>
  <c r="E36" i="71"/>
  <c r="J35" i="71"/>
  <c r="J17" i="71" s="1"/>
  <c r="I35" i="71"/>
  <c r="I17" i="71" s="1"/>
  <c r="H35" i="71"/>
  <c r="G35" i="71"/>
  <c r="F35" i="71"/>
  <c r="F34" i="71"/>
  <c r="E34" i="71"/>
  <c r="F33" i="71"/>
  <c r="E33" i="71"/>
  <c r="F32" i="71"/>
  <c r="E32" i="71"/>
  <c r="F31" i="71"/>
  <c r="E31" i="71"/>
  <c r="F30" i="71"/>
  <c r="E30" i="71"/>
  <c r="F29" i="71"/>
  <c r="E29" i="71"/>
  <c r="F28" i="71"/>
  <c r="E28" i="71"/>
  <c r="F27" i="71"/>
  <c r="E27" i="71"/>
  <c r="F26" i="71"/>
  <c r="E26" i="71"/>
  <c r="F25" i="71"/>
  <c r="E25" i="71"/>
  <c r="F24" i="71"/>
  <c r="E24" i="71"/>
  <c r="F23" i="71"/>
  <c r="E23" i="71"/>
  <c r="F22" i="71"/>
  <c r="E22" i="71"/>
  <c r="F21" i="71"/>
  <c r="E21" i="71"/>
  <c r="J20" i="71"/>
  <c r="F20" i="71"/>
  <c r="E20" i="71"/>
  <c r="F19" i="71"/>
  <c r="E19" i="71"/>
  <c r="F18" i="71"/>
  <c r="E18" i="71"/>
  <c r="L17" i="71"/>
  <c r="K17" i="71"/>
  <c r="H17" i="71"/>
  <c r="F16" i="71"/>
  <c r="E16" i="71"/>
  <c r="G15" i="71"/>
  <c r="F15" i="71"/>
  <c r="E15" i="71"/>
  <c r="L14" i="71"/>
  <c r="K14" i="71"/>
  <c r="J14" i="71"/>
  <c r="I14" i="71"/>
  <c r="H14" i="71"/>
  <c r="G14" i="71"/>
  <c r="F14" i="71"/>
  <c r="E14" i="71"/>
  <c r="F104" i="70"/>
  <c r="E104" i="70"/>
  <c r="L103" i="70"/>
  <c r="K103" i="70"/>
  <c r="K68" i="70" s="1"/>
  <c r="J103" i="70"/>
  <c r="I103" i="70"/>
  <c r="H103" i="70"/>
  <c r="F103" i="70" s="1"/>
  <c r="G103" i="70"/>
  <c r="E103" i="70" s="1"/>
  <c r="F102" i="70"/>
  <c r="E102" i="70"/>
  <c r="F101" i="70"/>
  <c r="E101" i="70"/>
  <c r="F100" i="70"/>
  <c r="E100" i="70"/>
  <c r="F99" i="70"/>
  <c r="E99" i="70"/>
  <c r="F98" i="70"/>
  <c r="E98" i="70"/>
  <c r="F97" i="70"/>
  <c r="E97" i="70"/>
  <c r="F96" i="70"/>
  <c r="E96" i="70"/>
  <c r="F95" i="70"/>
  <c r="E95" i="70"/>
  <c r="F94" i="70"/>
  <c r="E94" i="70"/>
  <c r="F93" i="70"/>
  <c r="E93" i="70"/>
  <c r="F92" i="70"/>
  <c r="E92" i="70"/>
  <c r="E91" i="70" s="1"/>
  <c r="J91" i="70"/>
  <c r="I91" i="70"/>
  <c r="H91" i="70"/>
  <c r="G91" i="70"/>
  <c r="F91" i="70"/>
  <c r="F90" i="70"/>
  <c r="E90" i="70"/>
  <c r="E89" i="70" s="1"/>
  <c r="J89" i="70"/>
  <c r="I89" i="70"/>
  <c r="H89" i="70"/>
  <c r="G89" i="70"/>
  <c r="F89" i="70"/>
  <c r="F88" i="70"/>
  <c r="F87" i="70" s="1"/>
  <c r="E88" i="70"/>
  <c r="E87" i="70" s="1"/>
  <c r="J87" i="70"/>
  <c r="I87" i="70"/>
  <c r="H87" i="70"/>
  <c r="G87" i="70"/>
  <c r="F86" i="70"/>
  <c r="F85" i="70" s="1"/>
  <c r="E86" i="70"/>
  <c r="E85" i="70" s="1"/>
  <c r="J85" i="70"/>
  <c r="I85" i="70"/>
  <c r="H85" i="70"/>
  <c r="G85" i="70"/>
  <c r="I84" i="70"/>
  <c r="G84" i="70"/>
  <c r="E84" i="70" s="1"/>
  <c r="E83" i="70" s="1"/>
  <c r="F84" i="70"/>
  <c r="F83" i="70" s="1"/>
  <c r="J83" i="70"/>
  <c r="I83" i="70"/>
  <c r="H83" i="70"/>
  <c r="F82" i="70"/>
  <c r="F81" i="70" s="1"/>
  <c r="E82" i="70"/>
  <c r="J81" i="70"/>
  <c r="I81" i="70"/>
  <c r="H81" i="70"/>
  <c r="G81" i="70"/>
  <c r="E81" i="70"/>
  <c r="H80" i="70"/>
  <c r="E80" i="70"/>
  <c r="J79" i="70"/>
  <c r="I79" i="70"/>
  <c r="G79" i="70"/>
  <c r="E79" i="70"/>
  <c r="F78" i="70"/>
  <c r="F77" i="70" s="1"/>
  <c r="E78" i="70"/>
  <c r="J77" i="70"/>
  <c r="I77" i="70"/>
  <c r="H77" i="70"/>
  <c r="G77" i="70"/>
  <c r="E77" i="70"/>
  <c r="F76" i="70"/>
  <c r="F75" i="70" s="1"/>
  <c r="E76" i="70"/>
  <c r="J75" i="70"/>
  <c r="I75" i="70"/>
  <c r="H75" i="70"/>
  <c r="G75" i="70"/>
  <c r="E75" i="70"/>
  <c r="F74" i="70"/>
  <c r="F73" i="70" s="1"/>
  <c r="E74" i="70"/>
  <c r="J73" i="70"/>
  <c r="I73" i="70"/>
  <c r="H73" i="70"/>
  <c r="G73" i="70"/>
  <c r="E73" i="70"/>
  <c r="F72" i="70"/>
  <c r="F71" i="70" s="1"/>
  <c r="E72" i="70"/>
  <c r="J71" i="70"/>
  <c r="I71" i="70"/>
  <c r="H71" i="70"/>
  <c r="G71" i="70"/>
  <c r="E71" i="70"/>
  <c r="I70" i="70"/>
  <c r="I69" i="70" s="1"/>
  <c r="G70" i="70"/>
  <c r="F70" i="70"/>
  <c r="F69" i="70" s="1"/>
  <c r="E70" i="70"/>
  <c r="E69" i="70" s="1"/>
  <c r="J69" i="70"/>
  <c r="H69" i="70"/>
  <c r="G69" i="70"/>
  <c r="L68" i="70"/>
  <c r="F67" i="70"/>
  <c r="E67" i="70"/>
  <c r="L66" i="70"/>
  <c r="L50" i="70" s="1"/>
  <c r="K66" i="70"/>
  <c r="J66" i="70"/>
  <c r="I66" i="70"/>
  <c r="H66" i="70"/>
  <c r="F66" i="70" s="1"/>
  <c r="G66" i="70"/>
  <c r="E66" i="70" s="1"/>
  <c r="F65" i="70"/>
  <c r="F63" i="70" s="1"/>
  <c r="E65" i="70"/>
  <c r="E63" i="70" s="1"/>
  <c r="F64" i="70"/>
  <c r="E64" i="70"/>
  <c r="L63" i="70"/>
  <c r="K63" i="70"/>
  <c r="J63" i="70"/>
  <c r="I63" i="70"/>
  <c r="H63" i="70"/>
  <c r="G63" i="70"/>
  <c r="H62" i="70"/>
  <c r="F62" i="70" s="1"/>
  <c r="G62" i="70"/>
  <c r="E62" i="70" s="1"/>
  <c r="F61" i="70"/>
  <c r="E61" i="70"/>
  <c r="F60" i="70"/>
  <c r="E60" i="70"/>
  <c r="F59" i="70"/>
  <c r="E59" i="70"/>
  <c r="F58" i="70"/>
  <c r="E58" i="70"/>
  <c r="F57" i="70"/>
  <c r="E57" i="70"/>
  <c r="F56" i="70"/>
  <c r="E56" i="70"/>
  <c r="F55" i="70"/>
  <c r="E55" i="70"/>
  <c r="F54" i="70"/>
  <c r="E54" i="70"/>
  <c r="H53" i="70"/>
  <c r="F53" i="70" s="1"/>
  <c r="G53" i="70"/>
  <c r="E53" i="70" s="1"/>
  <c r="F52" i="70"/>
  <c r="F51" i="70" s="1"/>
  <c r="E52" i="70"/>
  <c r="E51" i="70" s="1"/>
  <c r="J51" i="70"/>
  <c r="I51" i="70"/>
  <c r="H51" i="70"/>
  <c r="H50" i="70" s="1"/>
  <c r="F50" i="70" s="1"/>
  <c r="G51" i="70"/>
  <c r="K50" i="70"/>
  <c r="J50" i="70"/>
  <c r="I50" i="70"/>
  <c r="G50" i="70"/>
  <c r="E50" i="70" s="1"/>
  <c r="F49" i="70"/>
  <c r="F48" i="70" s="1"/>
  <c r="E49" i="70"/>
  <c r="I48" i="70"/>
  <c r="H48" i="70"/>
  <c r="G48" i="70"/>
  <c r="E48" i="70"/>
  <c r="J47" i="70"/>
  <c r="G47" i="70"/>
  <c r="F47" i="70"/>
  <c r="F46" i="70" s="1"/>
  <c r="E47" i="70"/>
  <c r="E46" i="70" s="1"/>
  <c r="J46" i="70"/>
  <c r="I46" i="70"/>
  <c r="H46" i="70"/>
  <c r="G46" i="70"/>
  <c r="G45" i="70"/>
  <c r="F45" i="70"/>
  <c r="E45" i="70"/>
  <c r="I44" i="70"/>
  <c r="G44" i="70"/>
  <c r="F44" i="70"/>
  <c r="E44" i="70"/>
  <c r="G43" i="70"/>
  <c r="F43" i="70"/>
  <c r="E43" i="70"/>
  <c r="G42" i="70"/>
  <c r="E42" i="70" s="1"/>
  <c r="F42" i="70"/>
  <c r="G41" i="70"/>
  <c r="E41" i="70" s="1"/>
  <c r="F41" i="70"/>
  <c r="I40" i="70"/>
  <c r="G40" i="70"/>
  <c r="E40" i="70" s="1"/>
  <c r="F40" i="70"/>
  <c r="I39" i="70"/>
  <c r="I33" i="70" s="1"/>
  <c r="G39" i="70"/>
  <c r="E39" i="70" s="1"/>
  <c r="F39" i="70"/>
  <c r="G38" i="70"/>
  <c r="F38" i="70"/>
  <c r="E38" i="70"/>
  <c r="I37" i="70"/>
  <c r="G37" i="70"/>
  <c r="F37" i="70"/>
  <c r="E37" i="70"/>
  <c r="I36" i="70"/>
  <c r="G36" i="70"/>
  <c r="F36" i="70"/>
  <c r="E36" i="70"/>
  <c r="I35" i="70"/>
  <c r="G35" i="70"/>
  <c r="F35" i="70"/>
  <c r="F33" i="70" s="1"/>
  <c r="E35" i="70"/>
  <c r="G34" i="70"/>
  <c r="F34" i="70"/>
  <c r="E34" i="70"/>
  <c r="J33" i="70"/>
  <c r="H33" i="70"/>
  <c r="G33" i="70"/>
  <c r="I32" i="70"/>
  <c r="G32" i="70"/>
  <c r="E32" i="70" s="1"/>
  <c r="E31" i="70" s="1"/>
  <c r="F32" i="70"/>
  <c r="F31" i="70" s="1"/>
  <c r="J31" i="70"/>
  <c r="J23" i="70" s="1"/>
  <c r="I31" i="70"/>
  <c r="H31" i="70"/>
  <c r="F30" i="70"/>
  <c r="E30" i="70"/>
  <c r="G29" i="70"/>
  <c r="E29" i="70" s="1"/>
  <c r="F29" i="70"/>
  <c r="I28" i="70"/>
  <c r="G28" i="70"/>
  <c r="E28" i="70" s="1"/>
  <c r="F28" i="70"/>
  <c r="I27" i="70"/>
  <c r="G27" i="70"/>
  <c r="E27" i="70" s="1"/>
  <c r="F27" i="70"/>
  <c r="I26" i="70"/>
  <c r="G26" i="70"/>
  <c r="E26" i="70" s="1"/>
  <c r="F26" i="70"/>
  <c r="I25" i="70"/>
  <c r="G25" i="70"/>
  <c r="E25" i="70" s="1"/>
  <c r="F25" i="70"/>
  <c r="L24" i="70"/>
  <c r="L23" i="70" s="1"/>
  <c r="K24" i="70"/>
  <c r="J24" i="70"/>
  <c r="H24" i="70"/>
  <c r="H23" i="70" s="1"/>
  <c r="F23" i="70" s="1"/>
  <c r="G24" i="70"/>
  <c r="K23" i="70"/>
  <c r="F22" i="70"/>
  <c r="E22" i="70"/>
  <c r="L21" i="70"/>
  <c r="K21" i="70"/>
  <c r="J21" i="70"/>
  <c r="I21" i="70"/>
  <c r="H21" i="70"/>
  <c r="G21" i="70"/>
  <c r="F21" i="70"/>
  <c r="E21" i="70"/>
  <c r="F20" i="70"/>
  <c r="E20" i="70"/>
  <c r="L19" i="70"/>
  <c r="K19" i="70"/>
  <c r="J19" i="70"/>
  <c r="I19" i="70"/>
  <c r="H19" i="70"/>
  <c r="F19" i="70" s="1"/>
  <c r="G19" i="70"/>
  <c r="E19" i="70" s="1"/>
  <c r="F18" i="70"/>
  <c r="F17" i="70" s="1"/>
  <c r="E18" i="70"/>
  <c r="E17" i="70" s="1"/>
  <c r="J17" i="70"/>
  <c r="I17" i="70"/>
  <c r="H17" i="70"/>
  <c r="G17" i="70"/>
  <c r="F16" i="70"/>
  <c r="F15" i="70" s="1"/>
  <c r="E16" i="70"/>
  <c r="E15" i="70" s="1"/>
  <c r="J15" i="70"/>
  <c r="I15" i="70"/>
  <c r="H15" i="70"/>
  <c r="G15" i="70"/>
  <c r="J14" i="70"/>
  <c r="I14" i="70"/>
  <c r="F307" i="69"/>
  <c r="E307" i="69"/>
  <c r="I306" i="69"/>
  <c r="H306" i="69"/>
  <c r="G306" i="69"/>
  <c r="E306" i="69" s="1"/>
  <c r="F305" i="69"/>
  <c r="E305" i="69"/>
  <c r="I304" i="69"/>
  <c r="G304" i="69"/>
  <c r="F304" i="69"/>
  <c r="E304" i="69"/>
  <c r="F303" i="69"/>
  <c r="E303" i="69"/>
  <c r="K302" i="69"/>
  <c r="I302" i="69"/>
  <c r="G302" i="69"/>
  <c r="E302" i="69" s="1"/>
  <c r="F302" i="69"/>
  <c r="F301" i="69"/>
  <c r="E301" i="69"/>
  <c r="I300" i="69"/>
  <c r="G300" i="69"/>
  <c r="E300" i="69" s="1"/>
  <c r="F300" i="69"/>
  <c r="I299" i="69"/>
  <c r="I298" i="69" s="1"/>
  <c r="G299" i="69"/>
  <c r="F299" i="69"/>
  <c r="L298" i="69"/>
  <c r="F298" i="69" s="1"/>
  <c r="K298" i="69"/>
  <c r="F297" i="69"/>
  <c r="E297" i="69"/>
  <c r="I296" i="69"/>
  <c r="G296" i="69"/>
  <c r="E296" i="69" s="1"/>
  <c r="F296" i="69"/>
  <c r="I295" i="69"/>
  <c r="G295" i="69"/>
  <c r="E295" i="69" s="1"/>
  <c r="F295" i="69"/>
  <c r="F294" i="69"/>
  <c r="E294" i="69"/>
  <c r="I293" i="69"/>
  <c r="G293" i="69"/>
  <c r="F293" i="69"/>
  <c r="E293" i="69"/>
  <c r="F292" i="69"/>
  <c r="E292" i="69"/>
  <c r="I291" i="69"/>
  <c r="G291" i="69"/>
  <c r="E291" i="69" s="1"/>
  <c r="F291" i="69"/>
  <c r="F290" i="69"/>
  <c r="E290" i="69"/>
  <c r="I289" i="69"/>
  <c r="G289" i="69"/>
  <c r="F289" i="69"/>
  <c r="E289" i="69"/>
  <c r="F288" i="69"/>
  <c r="E288" i="69"/>
  <c r="I287" i="69"/>
  <c r="G287" i="69"/>
  <c r="E287" i="69" s="1"/>
  <c r="F287" i="69"/>
  <c r="G286" i="69"/>
  <c r="F286" i="69"/>
  <c r="E286" i="69"/>
  <c r="H285" i="69"/>
  <c r="F285" i="69" s="1"/>
  <c r="G285" i="69"/>
  <c r="E285" i="69"/>
  <c r="G284" i="69"/>
  <c r="E284" i="69" s="1"/>
  <c r="F284" i="69"/>
  <c r="G283" i="69"/>
  <c r="E283" i="69" s="1"/>
  <c r="F283" i="69"/>
  <c r="F282" i="69"/>
  <c r="E282" i="69"/>
  <c r="F281" i="69"/>
  <c r="E281" i="69"/>
  <c r="F280" i="69"/>
  <c r="E280" i="69"/>
  <c r="F279" i="69"/>
  <c r="E279" i="69"/>
  <c r="G278" i="69"/>
  <c r="E278" i="69" s="1"/>
  <c r="F278" i="69"/>
  <c r="H277" i="69"/>
  <c r="E277" i="69"/>
  <c r="G276" i="69"/>
  <c r="F276" i="69"/>
  <c r="E276" i="69"/>
  <c r="L275" i="69"/>
  <c r="L274" i="69" s="1"/>
  <c r="J275" i="69"/>
  <c r="I275" i="69"/>
  <c r="I274" i="69" s="1"/>
  <c r="G275" i="69"/>
  <c r="E275" i="69" s="1"/>
  <c r="F275" i="69"/>
  <c r="K274" i="69"/>
  <c r="J274" i="69"/>
  <c r="J271" i="69" s="1"/>
  <c r="I273" i="69"/>
  <c r="G273" i="69"/>
  <c r="F273" i="69"/>
  <c r="F272" i="69"/>
  <c r="E272" i="69"/>
  <c r="I271" i="69"/>
  <c r="F270" i="69"/>
  <c r="E270" i="69"/>
  <c r="F269" i="69"/>
  <c r="E269" i="69"/>
  <c r="L268" i="69"/>
  <c r="K268" i="69"/>
  <c r="J268" i="69"/>
  <c r="J267" i="69" s="1"/>
  <c r="I268" i="69"/>
  <c r="I267" i="69" s="1"/>
  <c r="H268" i="69"/>
  <c r="F268" i="69" s="1"/>
  <c r="G268" i="69"/>
  <c r="E268" i="69"/>
  <c r="L267" i="69"/>
  <c r="K267" i="69"/>
  <c r="G267" i="69"/>
  <c r="E267" i="69" s="1"/>
  <c r="F266" i="69"/>
  <c r="E266" i="69"/>
  <c r="F265" i="69"/>
  <c r="E265" i="69"/>
  <c r="L264" i="69"/>
  <c r="K264" i="69"/>
  <c r="K263" i="69" s="1"/>
  <c r="K262" i="69" s="1"/>
  <c r="J264" i="69"/>
  <c r="J263" i="69" s="1"/>
  <c r="J262" i="69" s="1"/>
  <c r="I264" i="69"/>
  <c r="H264" i="69"/>
  <c r="F264" i="69" s="1"/>
  <c r="G264" i="69"/>
  <c r="G263" i="69" s="1"/>
  <c r="E264" i="69"/>
  <c r="L263" i="69"/>
  <c r="I263" i="69"/>
  <c r="I262" i="69" s="1"/>
  <c r="H263" i="69"/>
  <c r="F263" i="69" s="1"/>
  <c r="L262" i="69"/>
  <c r="H262" i="69"/>
  <c r="I261" i="69"/>
  <c r="G261" i="69"/>
  <c r="E261" i="69" s="1"/>
  <c r="F261" i="69"/>
  <c r="K260" i="69"/>
  <c r="I260" i="69"/>
  <c r="G260" i="69"/>
  <c r="E260" i="69" s="1"/>
  <c r="F260" i="69"/>
  <c r="I259" i="69"/>
  <c r="G259" i="69"/>
  <c r="E259" i="69" s="1"/>
  <c r="F259" i="69"/>
  <c r="I258" i="69"/>
  <c r="G258" i="69"/>
  <c r="E258" i="69" s="1"/>
  <c r="F258" i="69"/>
  <c r="I257" i="69"/>
  <c r="G257" i="69"/>
  <c r="E257" i="69" s="1"/>
  <c r="F257" i="69"/>
  <c r="I256" i="69"/>
  <c r="G256" i="69"/>
  <c r="E256" i="69" s="1"/>
  <c r="F256" i="69"/>
  <c r="I255" i="69"/>
  <c r="G255" i="69"/>
  <c r="E255" i="69" s="1"/>
  <c r="F255" i="69"/>
  <c r="I254" i="69"/>
  <c r="G254" i="69"/>
  <c r="E254" i="69" s="1"/>
  <c r="F254" i="69"/>
  <c r="K253" i="69"/>
  <c r="I253" i="69"/>
  <c r="G253" i="69"/>
  <c r="F253" i="69"/>
  <c r="I252" i="69"/>
  <c r="G252" i="69"/>
  <c r="E252" i="69" s="1"/>
  <c r="F252" i="69"/>
  <c r="I251" i="69"/>
  <c r="G251" i="69"/>
  <c r="E251" i="69" s="1"/>
  <c r="F251" i="69"/>
  <c r="G250" i="69"/>
  <c r="F250" i="69"/>
  <c r="E250" i="69"/>
  <c r="L249" i="69"/>
  <c r="F249" i="69" s="1"/>
  <c r="G249" i="69"/>
  <c r="E249" i="69"/>
  <c r="F248" i="69"/>
  <c r="E248" i="69"/>
  <c r="F247" i="69"/>
  <c r="E247" i="69"/>
  <c r="F246" i="69"/>
  <c r="E246" i="69"/>
  <c r="F245" i="69"/>
  <c r="E245" i="69"/>
  <c r="G244" i="69"/>
  <c r="E244" i="69" s="1"/>
  <c r="F244" i="69"/>
  <c r="F243" i="69"/>
  <c r="E243" i="69"/>
  <c r="K242" i="69"/>
  <c r="G242" i="69"/>
  <c r="F242" i="69"/>
  <c r="F241" i="69"/>
  <c r="E241" i="69"/>
  <c r="L240" i="69"/>
  <c r="K240" i="69"/>
  <c r="K238" i="69" s="1"/>
  <c r="K237" i="69" s="1"/>
  <c r="J240" i="69"/>
  <c r="J238" i="69" s="1"/>
  <c r="J237" i="69" s="1"/>
  <c r="I240" i="69"/>
  <c r="I238" i="69" s="1"/>
  <c r="H240" i="69"/>
  <c r="F240" i="69" s="1"/>
  <c r="F239" i="69"/>
  <c r="E239" i="69"/>
  <c r="F236" i="69"/>
  <c r="E236" i="69"/>
  <c r="G235" i="69"/>
  <c r="E235" i="69" s="1"/>
  <c r="F235" i="69"/>
  <c r="F234" i="69"/>
  <c r="E234" i="69"/>
  <c r="F233" i="69"/>
  <c r="E233" i="69"/>
  <c r="G232" i="69"/>
  <c r="E232" i="69" s="1"/>
  <c r="F232" i="69"/>
  <c r="G231" i="69"/>
  <c r="F231" i="69"/>
  <c r="E231" i="69"/>
  <c r="F230" i="69"/>
  <c r="E230" i="69"/>
  <c r="G229" i="69"/>
  <c r="E229" i="69" s="1"/>
  <c r="F229" i="69"/>
  <c r="F228" i="69"/>
  <c r="E228" i="69"/>
  <c r="F227" i="69"/>
  <c r="E227" i="69"/>
  <c r="G226" i="69"/>
  <c r="F226" i="69"/>
  <c r="E226" i="69"/>
  <c r="F225" i="69"/>
  <c r="E225" i="69"/>
  <c r="F224" i="69"/>
  <c r="E224" i="69"/>
  <c r="F223" i="69"/>
  <c r="E223" i="69"/>
  <c r="F222" i="69"/>
  <c r="E222" i="69"/>
  <c r="K221" i="69"/>
  <c r="E221" i="69" s="1"/>
  <c r="F221" i="69"/>
  <c r="F220" i="69"/>
  <c r="E220" i="69"/>
  <c r="K219" i="69"/>
  <c r="G219" i="69"/>
  <c r="E219" i="69" s="1"/>
  <c r="F219" i="69"/>
  <c r="F218" i="69"/>
  <c r="E218" i="69"/>
  <c r="F217" i="69"/>
  <c r="E217" i="69"/>
  <c r="F216" i="69"/>
  <c r="E216" i="69"/>
  <c r="F215" i="69"/>
  <c r="E215" i="69"/>
  <c r="L214" i="69"/>
  <c r="K214" i="69"/>
  <c r="G214" i="69"/>
  <c r="E214" i="69" s="1"/>
  <c r="F214" i="69"/>
  <c r="G213" i="69"/>
  <c r="E213" i="69" s="1"/>
  <c r="F213" i="69"/>
  <c r="K212" i="69"/>
  <c r="F212" i="69"/>
  <c r="E212" i="69"/>
  <c r="K211" i="69"/>
  <c r="F211" i="69"/>
  <c r="E211" i="69"/>
  <c r="F210" i="69"/>
  <c r="E210" i="69"/>
  <c r="F209" i="69"/>
  <c r="E209" i="69"/>
  <c r="F208" i="69"/>
  <c r="E208" i="69"/>
  <c r="F207" i="69"/>
  <c r="E207" i="69"/>
  <c r="F206" i="69"/>
  <c r="E206" i="69"/>
  <c r="F205" i="69"/>
  <c r="E205" i="69"/>
  <c r="F204" i="69"/>
  <c r="E204" i="69"/>
  <c r="F203" i="69"/>
  <c r="E203" i="69"/>
  <c r="F202" i="69"/>
  <c r="E202" i="69"/>
  <c r="F201" i="69"/>
  <c r="E201" i="69"/>
  <c r="F200" i="69"/>
  <c r="E200" i="69"/>
  <c r="K199" i="69"/>
  <c r="F199" i="69"/>
  <c r="E199" i="69"/>
  <c r="K198" i="69"/>
  <c r="F198" i="69"/>
  <c r="E198" i="69"/>
  <c r="G197" i="69"/>
  <c r="E197" i="69" s="1"/>
  <c r="F197" i="69"/>
  <c r="G196" i="69"/>
  <c r="F196" i="69"/>
  <c r="F195" i="69"/>
  <c r="E195" i="69"/>
  <c r="F194" i="69"/>
  <c r="E194" i="69"/>
  <c r="L193" i="69"/>
  <c r="F193" i="69" s="1"/>
  <c r="E193" i="69"/>
  <c r="L192" i="69"/>
  <c r="L191" i="69" s="1"/>
  <c r="L190" i="69" s="1"/>
  <c r="J192" i="69"/>
  <c r="J191" i="69" s="1"/>
  <c r="J190" i="69" s="1"/>
  <c r="I192" i="69"/>
  <c r="H192" i="69"/>
  <c r="F192" i="69"/>
  <c r="I191" i="69"/>
  <c r="H191" i="69"/>
  <c r="I190" i="69"/>
  <c r="K189" i="69"/>
  <c r="F189" i="69"/>
  <c r="E189" i="69"/>
  <c r="K188" i="69"/>
  <c r="E188" i="69" s="1"/>
  <c r="F188" i="69"/>
  <c r="K187" i="69"/>
  <c r="E187" i="69" s="1"/>
  <c r="F187" i="69"/>
  <c r="G186" i="69"/>
  <c r="F186" i="69"/>
  <c r="E186" i="69"/>
  <c r="G185" i="69"/>
  <c r="E185" i="69" s="1"/>
  <c r="F185" i="69"/>
  <c r="F184" i="69"/>
  <c r="E184" i="69"/>
  <c r="F183" i="69"/>
  <c r="E183" i="69"/>
  <c r="K182" i="69"/>
  <c r="E182" i="69" s="1"/>
  <c r="F182" i="69"/>
  <c r="K181" i="69"/>
  <c r="E181" i="69" s="1"/>
  <c r="F181" i="69"/>
  <c r="F180" i="69"/>
  <c r="E180" i="69"/>
  <c r="F179" i="69"/>
  <c r="E179" i="69"/>
  <c r="F178" i="69"/>
  <c r="E178" i="69"/>
  <c r="F177" i="69"/>
  <c r="E177" i="69"/>
  <c r="F176" i="69"/>
  <c r="E176" i="69"/>
  <c r="G175" i="69"/>
  <c r="E175" i="69" s="1"/>
  <c r="F175" i="69"/>
  <c r="G174" i="69"/>
  <c r="E174" i="69" s="1"/>
  <c r="F174" i="69"/>
  <c r="L173" i="69"/>
  <c r="K173" i="69"/>
  <c r="G173" i="69"/>
  <c r="F173" i="69"/>
  <c r="F172" i="69"/>
  <c r="E172" i="69"/>
  <c r="L171" i="69"/>
  <c r="L167" i="69" s="1"/>
  <c r="J171" i="69"/>
  <c r="J167" i="69" s="1"/>
  <c r="J164" i="69" s="1"/>
  <c r="I171" i="69"/>
  <c r="H171" i="69"/>
  <c r="F171" i="69"/>
  <c r="G170" i="69"/>
  <c r="E170" i="69" s="1"/>
  <c r="F170" i="69"/>
  <c r="G169" i="69"/>
  <c r="E169" i="69" s="1"/>
  <c r="F169" i="69"/>
  <c r="F168" i="69"/>
  <c r="E168" i="69"/>
  <c r="I167" i="69"/>
  <c r="H167" i="69"/>
  <c r="H164" i="69" s="1"/>
  <c r="F166" i="69"/>
  <c r="E166" i="69"/>
  <c r="G165" i="69"/>
  <c r="E165" i="69" s="1"/>
  <c r="F165" i="69"/>
  <c r="I164" i="69"/>
  <c r="I163" i="69"/>
  <c r="G163" i="69"/>
  <c r="E163" i="69" s="1"/>
  <c r="F163" i="69"/>
  <c r="F162" i="69"/>
  <c r="E162" i="69"/>
  <c r="F161" i="69"/>
  <c r="E161" i="69"/>
  <c r="K160" i="69"/>
  <c r="E160" i="69" s="1"/>
  <c r="F160" i="69"/>
  <c r="F159" i="69"/>
  <c r="E159" i="69"/>
  <c r="F158" i="69"/>
  <c r="E158" i="69"/>
  <c r="G157" i="69"/>
  <c r="E157" i="69" s="1"/>
  <c r="F157" i="69"/>
  <c r="L156" i="69"/>
  <c r="L152" i="69" s="1"/>
  <c r="L141" i="69" s="1"/>
  <c r="K156" i="69"/>
  <c r="K152" i="69" s="1"/>
  <c r="J156" i="69"/>
  <c r="I156" i="69"/>
  <c r="H156" i="69"/>
  <c r="F156" i="69" s="1"/>
  <c r="G156" i="69"/>
  <c r="E156" i="69" s="1"/>
  <c r="F155" i="69"/>
  <c r="E155" i="69"/>
  <c r="G154" i="69"/>
  <c r="E154" i="69" s="1"/>
  <c r="F154" i="69"/>
  <c r="J153" i="69"/>
  <c r="I153" i="69"/>
  <c r="G153" i="69"/>
  <c r="E153" i="69" s="1"/>
  <c r="F153" i="69"/>
  <c r="F151" i="69"/>
  <c r="E151" i="69"/>
  <c r="F150" i="69"/>
  <c r="E150" i="69"/>
  <c r="K149" i="69"/>
  <c r="I149" i="69"/>
  <c r="H149" i="69"/>
  <c r="F149" i="69" s="1"/>
  <c r="G149" i="69"/>
  <c r="E149" i="69"/>
  <c r="I148" i="69"/>
  <c r="G148" i="69"/>
  <c r="F148" i="69"/>
  <c r="E148" i="69"/>
  <c r="I147" i="69"/>
  <c r="G147" i="69"/>
  <c r="F147" i="69"/>
  <c r="E147" i="69"/>
  <c r="I146" i="69"/>
  <c r="G146" i="69"/>
  <c r="F146" i="69"/>
  <c r="E146" i="69"/>
  <c r="I145" i="69"/>
  <c r="G145" i="69"/>
  <c r="F145" i="69"/>
  <c r="E145" i="69"/>
  <c r="I144" i="69"/>
  <c r="G144" i="69"/>
  <c r="F144" i="69"/>
  <c r="E144" i="69"/>
  <c r="K143" i="69"/>
  <c r="I143" i="69"/>
  <c r="G143" i="69"/>
  <c r="F143" i="69"/>
  <c r="E143" i="69"/>
  <c r="I142" i="69"/>
  <c r="G142" i="69"/>
  <c r="F142" i="69"/>
  <c r="E142" i="69"/>
  <c r="I140" i="69"/>
  <c r="G140" i="69"/>
  <c r="E140" i="69" s="1"/>
  <c r="F140" i="69"/>
  <c r="I139" i="69"/>
  <c r="G139" i="69"/>
  <c r="E139" i="69" s="1"/>
  <c r="F139" i="69"/>
  <c r="I138" i="69"/>
  <c r="G138" i="69"/>
  <c r="E138" i="69" s="1"/>
  <c r="F138" i="69"/>
  <c r="I137" i="69"/>
  <c r="G137" i="69"/>
  <c r="E137" i="69" s="1"/>
  <c r="F137" i="69"/>
  <c r="F136" i="69"/>
  <c r="E136" i="69"/>
  <c r="I135" i="69"/>
  <c r="G135" i="69"/>
  <c r="E135" i="69" s="1"/>
  <c r="F135" i="69"/>
  <c r="I134" i="69"/>
  <c r="G134" i="69"/>
  <c r="E134" i="69" s="1"/>
  <c r="F134" i="69"/>
  <c r="I133" i="69"/>
  <c r="G133" i="69"/>
  <c r="E133" i="69" s="1"/>
  <c r="F133" i="69"/>
  <c r="I132" i="69"/>
  <c r="G132" i="69"/>
  <c r="E132" i="69" s="1"/>
  <c r="F132" i="69"/>
  <c r="I131" i="69"/>
  <c r="G131" i="69"/>
  <c r="E131" i="69" s="1"/>
  <c r="F131" i="69"/>
  <c r="F130" i="69"/>
  <c r="E130" i="69"/>
  <c r="G129" i="69"/>
  <c r="F129" i="69"/>
  <c r="E129" i="69"/>
  <c r="K128" i="69"/>
  <c r="F128" i="69"/>
  <c r="H127" i="69"/>
  <c r="F127" i="69" s="1"/>
  <c r="G127" i="69"/>
  <c r="E127" i="69" s="1"/>
  <c r="L126" i="69"/>
  <c r="J126" i="69"/>
  <c r="I126" i="69"/>
  <c r="G125" i="69"/>
  <c r="E125" i="69" s="1"/>
  <c r="F125" i="69"/>
  <c r="F124" i="69"/>
  <c r="E124" i="69"/>
  <c r="F123" i="69"/>
  <c r="E123" i="69"/>
  <c r="F122" i="69"/>
  <c r="E122" i="69"/>
  <c r="F121" i="69"/>
  <c r="E121" i="69"/>
  <c r="F120" i="69"/>
  <c r="E120" i="69"/>
  <c r="L119" i="69"/>
  <c r="K119" i="69"/>
  <c r="J119" i="69"/>
  <c r="I119" i="69"/>
  <c r="H119" i="69"/>
  <c r="F119" i="69" s="1"/>
  <c r="G119" i="69"/>
  <c r="E119" i="69"/>
  <c r="I118" i="69"/>
  <c r="G118" i="69"/>
  <c r="E118" i="69" s="1"/>
  <c r="F118" i="69"/>
  <c r="I117" i="69"/>
  <c r="I115" i="69" s="1"/>
  <c r="I116" i="69"/>
  <c r="G116" i="69"/>
  <c r="F116" i="69"/>
  <c r="E116" i="69"/>
  <c r="I114" i="69"/>
  <c r="G114" i="69"/>
  <c r="E114" i="69" s="1"/>
  <c r="F114" i="69"/>
  <c r="I113" i="69"/>
  <c r="G113" i="69"/>
  <c r="E113" i="69" s="1"/>
  <c r="F113" i="69"/>
  <c r="I112" i="69"/>
  <c r="G112" i="69"/>
  <c r="E112" i="69" s="1"/>
  <c r="F112" i="69"/>
  <c r="I111" i="69"/>
  <c r="G111" i="69"/>
  <c r="E111" i="69" s="1"/>
  <c r="F111" i="69"/>
  <c r="I110" i="69"/>
  <c r="G110" i="69"/>
  <c r="E110" i="69" s="1"/>
  <c r="F110" i="69"/>
  <c r="I109" i="69"/>
  <c r="G109" i="69"/>
  <c r="E109" i="69" s="1"/>
  <c r="F109" i="69"/>
  <c r="I108" i="69"/>
  <c r="G108" i="69"/>
  <c r="E108" i="69" s="1"/>
  <c r="F108" i="69"/>
  <c r="I107" i="69"/>
  <c r="G107" i="69"/>
  <c r="E107" i="69" s="1"/>
  <c r="F107" i="69"/>
  <c r="I106" i="69"/>
  <c r="G106" i="69"/>
  <c r="E106" i="69" s="1"/>
  <c r="F106" i="69"/>
  <c r="I105" i="69"/>
  <c r="G105" i="69"/>
  <c r="E105" i="69" s="1"/>
  <c r="F105" i="69"/>
  <c r="I104" i="69"/>
  <c r="G104" i="69"/>
  <c r="E104" i="69" s="1"/>
  <c r="F104" i="69"/>
  <c r="F103" i="69"/>
  <c r="E103" i="69"/>
  <c r="F102" i="69"/>
  <c r="E102" i="69"/>
  <c r="F101" i="69"/>
  <c r="E101" i="69"/>
  <c r="G100" i="69"/>
  <c r="F100" i="69"/>
  <c r="E100" i="69"/>
  <c r="F99" i="69"/>
  <c r="E99" i="69"/>
  <c r="L98" i="69"/>
  <c r="K98" i="69"/>
  <c r="J98" i="69"/>
  <c r="I98" i="69"/>
  <c r="H98" i="69"/>
  <c r="F98" i="69" s="1"/>
  <c r="G98" i="69"/>
  <c r="E98" i="69" s="1"/>
  <c r="F97" i="69"/>
  <c r="E97" i="69"/>
  <c r="G96" i="69"/>
  <c r="F96" i="69"/>
  <c r="E96" i="69"/>
  <c r="F95" i="69"/>
  <c r="E95" i="69"/>
  <c r="F94" i="69"/>
  <c r="E94" i="69"/>
  <c r="G93" i="69"/>
  <c r="E93" i="69" s="1"/>
  <c r="F93" i="69"/>
  <c r="G92" i="69"/>
  <c r="E92" i="69" s="1"/>
  <c r="F92" i="69"/>
  <c r="G91" i="69"/>
  <c r="F91" i="69"/>
  <c r="E91" i="69"/>
  <c r="G90" i="69"/>
  <c r="E90" i="69" s="1"/>
  <c r="F90" i="69"/>
  <c r="G89" i="69"/>
  <c r="E89" i="69" s="1"/>
  <c r="F89" i="69"/>
  <c r="G88" i="69"/>
  <c r="F88" i="69"/>
  <c r="J87" i="69"/>
  <c r="J86" i="69" s="1"/>
  <c r="J78" i="69" s="1"/>
  <c r="I87" i="69"/>
  <c r="I86" i="69" s="1"/>
  <c r="G87" i="69"/>
  <c r="E87" i="69" s="1"/>
  <c r="F87" i="69"/>
  <c r="L86" i="69"/>
  <c r="L78" i="69" s="1"/>
  <c r="K86" i="69"/>
  <c r="H86" i="69"/>
  <c r="I85" i="69"/>
  <c r="H85" i="69"/>
  <c r="F85" i="69" s="1"/>
  <c r="G85" i="69"/>
  <c r="E85" i="69" s="1"/>
  <c r="I84" i="69"/>
  <c r="G84" i="69"/>
  <c r="E84" i="69" s="1"/>
  <c r="F84" i="69"/>
  <c r="I83" i="69"/>
  <c r="G83" i="69"/>
  <c r="E83" i="69" s="1"/>
  <c r="F83" i="69"/>
  <c r="I82" i="69"/>
  <c r="G82" i="69"/>
  <c r="E82" i="69" s="1"/>
  <c r="F82" i="69"/>
  <c r="F81" i="69"/>
  <c r="E81" i="69"/>
  <c r="F80" i="69"/>
  <c r="E80" i="69"/>
  <c r="K79" i="69"/>
  <c r="I79" i="69"/>
  <c r="G79" i="69"/>
  <c r="F79" i="69"/>
  <c r="E79" i="69"/>
  <c r="F77" i="69"/>
  <c r="E77" i="69"/>
  <c r="K76" i="69"/>
  <c r="K73" i="69" s="1"/>
  <c r="K59" i="69" s="1"/>
  <c r="K57" i="69" s="1"/>
  <c r="G76" i="69"/>
  <c r="G73" i="69" s="1"/>
  <c r="E73" i="69" s="1"/>
  <c r="F76" i="69"/>
  <c r="F75" i="69"/>
  <c r="E75" i="69"/>
  <c r="H74" i="69"/>
  <c r="H73" i="69" s="1"/>
  <c r="F73" i="69" s="1"/>
  <c r="E74" i="69"/>
  <c r="L73" i="69"/>
  <c r="J73" i="69"/>
  <c r="I73" i="69"/>
  <c r="F72" i="69"/>
  <c r="E72" i="69"/>
  <c r="F71" i="69"/>
  <c r="E71" i="69"/>
  <c r="F70" i="69"/>
  <c r="E70" i="69"/>
  <c r="F69" i="69"/>
  <c r="E69" i="69"/>
  <c r="F68" i="69"/>
  <c r="E68" i="69"/>
  <c r="F67" i="69"/>
  <c r="E67" i="69"/>
  <c r="G66" i="69"/>
  <c r="E66" i="69" s="1"/>
  <c r="F66" i="69"/>
  <c r="H65" i="69"/>
  <c r="E65" i="69"/>
  <c r="F64" i="69"/>
  <c r="E64" i="69"/>
  <c r="F63" i="69"/>
  <c r="E63" i="69"/>
  <c r="F62" i="69"/>
  <c r="E62" i="69"/>
  <c r="F61" i="69"/>
  <c r="E61" i="69"/>
  <c r="F60" i="69"/>
  <c r="E60" i="69"/>
  <c r="L59" i="69"/>
  <c r="L57" i="69" s="1"/>
  <c r="J59" i="69"/>
  <c r="I59" i="69"/>
  <c r="I57" i="69" s="1"/>
  <c r="I58" i="69"/>
  <c r="G58" i="69"/>
  <c r="E58" i="69" s="1"/>
  <c r="F58" i="69"/>
  <c r="J57" i="69"/>
  <c r="G56" i="69"/>
  <c r="E56" i="69" s="1"/>
  <c r="F56" i="69"/>
  <c r="F55" i="69"/>
  <c r="E55" i="69"/>
  <c r="G54" i="69"/>
  <c r="G49" i="69" s="1"/>
  <c r="F54" i="69"/>
  <c r="F53" i="69"/>
  <c r="E53" i="69"/>
  <c r="F52" i="69"/>
  <c r="E52" i="69"/>
  <c r="F51" i="69"/>
  <c r="E51" i="69"/>
  <c r="K50" i="69"/>
  <c r="F50" i="69"/>
  <c r="E50" i="69"/>
  <c r="L49" i="69"/>
  <c r="L44" i="69" s="1"/>
  <c r="L13" i="69" s="1"/>
  <c r="K49" i="69"/>
  <c r="J49" i="69"/>
  <c r="I49" i="69"/>
  <c r="H49" i="69"/>
  <c r="H44" i="69" s="1"/>
  <c r="F44" i="69" s="1"/>
  <c r="F48" i="69"/>
  <c r="E48" i="69"/>
  <c r="F47" i="69"/>
  <c r="E47" i="69"/>
  <c r="F46" i="69"/>
  <c r="E46" i="69"/>
  <c r="I45" i="69"/>
  <c r="I44" i="69" s="1"/>
  <c r="G45" i="69"/>
  <c r="E45" i="69" s="1"/>
  <c r="F45" i="69"/>
  <c r="K44" i="69"/>
  <c r="J44" i="69"/>
  <c r="J13" i="69" s="1"/>
  <c r="I43" i="69"/>
  <c r="G43" i="69"/>
  <c r="E43" i="69" s="1"/>
  <c r="F43" i="69"/>
  <c r="I42" i="69"/>
  <c r="G42" i="69"/>
  <c r="E42" i="69" s="1"/>
  <c r="F42" i="69"/>
  <c r="I41" i="69"/>
  <c r="G41" i="69"/>
  <c r="E41" i="69" s="1"/>
  <c r="F41" i="69"/>
  <c r="I40" i="69"/>
  <c r="G40" i="69"/>
  <c r="E40" i="69" s="1"/>
  <c r="F40" i="69"/>
  <c r="I39" i="69"/>
  <c r="G39" i="69"/>
  <c r="E39" i="69" s="1"/>
  <c r="F39" i="69"/>
  <c r="I38" i="69"/>
  <c r="G38" i="69"/>
  <c r="E38" i="69" s="1"/>
  <c r="F38" i="69"/>
  <c r="G37" i="69"/>
  <c r="E37" i="69" s="1"/>
  <c r="F37" i="69"/>
  <c r="K36" i="69"/>
  <c r="I36" i="69"/>
  <c r="G36" i="69"/>
  <c r="E36" i="69" s="1"/>
  <c r="F36" i="69"/>
  <c r="I35" i="69"/>
  <c r="G35" i="69"/>
  <c r="E35" i="69" s="1"/>
  <c r="F35" i="69"/>
  <c r="I34" i="69"/>
  <c r="G34" i="69"/>
  <c r="E34" i="69" s="1"/>
  <c r="F34" i="69"/>
  <c r="I33" i="69"/>
  <c r="G33" i="69"/>
  <c r="E33" i="69" s="1"/>
  <c r="F33" i="69"/>
  <c r="I32" i="69"/>
  <c r="G32" i="69"/>
  <c r="E32" i="69" s="1"/>
  <c r="F32" i="69"/>
  <c r="I31" i="69"/>
  <c r="G31" i="69"/>
  <c r="E31" i="69" s="1"/>
  <c r="F31" i="69"/>
  <c r="I30" i="69"/>
  <c r="G30" i="69"/>
  <c r="E30" i="69" s="1"/>
  <c r="F30" i="69"/>
  <c r="I29" i="69"/>
  <c r="G29" i="69"/>
  <c r="E29" i="69" s="1"/>
  <c r="F29" i="69"/>
  <c r="I28" i="69"/>
  <c r="G28" i="69"/>
  <c r="E28" i="69" s="1"/>
  <c r="F28" i="69"/>
  <c r="K27" i="69"/>
  <c r="I27" i="69"/>
  <c r="G27" i="69"/>
  <c r="E27" i="69" s="1"/>
  <c r="F27" i="69"/>
  <c r="I26" i="69"/>
  <c r="G26" i="69"/>
  <c r="E26" i="69" s="1"/>
  <c r="F26" i="69"/>
  <c r="I25" i="69"/>
  <c r="G25" i="69"/>
  <c r="F25" i="69"/>
  <c r="K24" i="69"/>
  <c r="K13" i="69" s="1"/>
  <c r="I24" i="69"/>
  <c r="G24" i="69"/>
  <c r="F24" i="69"/>
  <c r="E24" i="69"/>
  <c r="I23" i="69"/>
  <c r="H23" i="69"/>
  <c r="G23" i="69"/>
  <c r="E23" i="69" s="1"/>
  <c r="F23" i="69"/>
  <c r="I22" i="69"/>
  <c r="G22" i="69"/>
  <c r="E22" i="69" s="1"/>
  <c r="F22" i="69"/>
  <c r="I21" i="69"/>
  <c r="G21" i="69"/>
  <c r="E21" i="69" s="1"/>
  <c r="F21" i="69"/>
  <c r="I20" i="69"/>
  <c r="G20" i="69"/>
  <c r="E20" i="69" s="1"/>
  <c r="F20" i="69"/>
  <c r="I19" i="69"/>
  <c r="G19" i="69"/>
  <c r="E19" i="69" s="1"/>
  <c r="F19" i="69"/>
  <c r="K18" i="69"/>
  <c r="I18" i="69"/>
  <c r="G18" i="69"/>
  <c r="E18" i="69" s="1"/>
  <c r="F18" i="69"/>
  <c r="I17" i="69"/>
  <c r="G17" i="69"/>
  <c r="E17" i="69" s="1"/>
  <c r="F17" i="69"/>
  <c r="I16" i="69"/>
  <c r="G16" i="69"/>
  <c r="E16" i="69" s="1"/>
  <c r="F16" i="69"/>
  <c r="I15" i="69"/>
  <c r="G15" i="69"/>
  <c r="E15" i="69" s="1"/>
  <c r="F15" i="69"/>
  <c r="I14" i="69"/>
  <c r="G14" i="69"/>
  <c r="E14" i="69" s="1"/>
  <c r="F14" i="69"/>
  <c r="L164" i="69" l="1"/>
  <c r="F167" i="69"/>
  <c r="F277" i="69"/>
  <c r="H274" i="69"/>
  <c r="G17" i="71"/>
  <c r="E35" i="71"/>
  <c r="K78" i="69"/>
  <c r="K141" i="69"/>
  <c r="F262" i="69"/>
  <c r="E24" i="70"/>
  <c r="H13" i="71"/>
  <c r="E124" i="71"/>
  <c r="G127" i="71"/>
  <c r="E127" i="71" s="1"/>
  <c r="E131" i="71"/>
  <c r="L117" i="69"/>
  <c r="L115" i="69" s="1"/>
  <c r="E128" i="69"/>
  <c r="K126" i="69"/>
  <c r="K117" i="69" s="1"/>
  <c r="K115" i="69" s="1"/>
  <c r="I24" i="70"/>
  <c r="E88" i="71"/>
  <c r="G87" i="71"/>
  <c r="F108" i="71"/>
  <c r="H107" i="71"/>
  <c r="F133" i="71"/>
  <c r="H132" i="71"/>
  <c r="F132" i="71" s="1"/>
  <c r="J143" i="71"/>
  <c r="F80" i="70"/>
  <c r="F79" i="70" s="1"/>
  <c r="H79" i="70"/>
  <c r="H68" i="70" s="1"/>
  <c r="F68" i="70" s="1"/>
  <c r="E141" i="71"/>
  <c r="G140" i="71"/>
  <c r="E140" i="71" s="1"/>
  <c r="E147" i="71"/>
  <c r="G146" i="71"/>
  <c r="E146" i="71" s="1"/>
  <c r="E19" i="72"/>
  <c r="K17" i="72"/>
  <c r="K16" i="72" s="1"/>
  <c r="I13" i="69"/>
  <c r="F49" i="69"/>
  <c r="G59" i="69"/>
  <c r="G57" i="69" s="1"/>
  <c r="E57" i="69" s="1"/>
  <c r="F191" i="69"/>
  <c r="H190" i="69"/>
  <c r="F190" i="69" s="1"/>
  <c r="G262" i="69"/>
  <c r="E262" i="69" s="1"/>
  <c r="E263" i="69"/>
  <c r="F94" i="71"/>
  <c r="H93" i="71"/>
  <c r="E96" i="71"/>
  <c r="G94" i="71"/>
  <c r="F130" i="71"/>
  <c r="L129" i="71"/>
  <c r="F129" i="71" s="1"/>
  <c r="J117" i="69"/>
  <c r="J115" i="69" s="1"/>
  <c r="J308" i="69" s="1"/>
  <c r="J152" i="69"/>
  <c r="J141" i="69" s="1"/>
  <c r="F164" i="69"/>
  <c r="K171" i="69"/>
  <c r="K167" i="69" s="1"/>
  <c r="K164" i="69" s="1"/>
  <c r="K308" i="69" s="1"/>
  <c r="L238" i="69"/>
  <c r="L237" i="69" s="1"/>
  <c r="H267" i="69"/>
  <c r="F267" i="69" s="1"/>
  <c r="G14" i="70"/>
  <c r="K14" i="70"/>
  <c r="E14" i="70" s="1"/>
  <c r="J68" i="70"/>
  <c r="J105" i="70" s="1"/>
  <c r="G98" i="71"/>
  <c r="E98" i="71" s="1"/>
  <c r="G107" i="71"/>
  <c r="H124" i="71"/>
  <c r="F124" i="71" s="1"/>
  <c r="K132" i="71"/>
  <c r="G126" i="69"/>
  <c r="I152" i="69"/>
  <c r="K192" i="69"/>
  <c r="K191" i="69" s="1"/>
  <c r="K190" i="69" s="1"/>
  <c r="I237" i="69"/>
  <c r="E253" i="69"/>
  <c r="H14" i="70"/>
  <c r="L14" i="70"/>
  <c r="L105" i="70" s="1"/>
  <c r="F24" i="70"/>
  <c r="L13" i="71"/>
  <c r="J69" i="71"/>
  <c r="K93" i="71"/>
  <c r="I94" i="71"/>
  <c r="I93" i="71" s="1"/>
  <c r="J93" i="71"/>
  <c r="K110" i="71"/>
  <c r="I23" i="70"/>
  <c r="I105" i="70" s="1"/>
  <c r="I68" i="70"/>
  <c r="L93" i="71"/>
  <c r="L110" i="71"/>
  <c r="E13" i="72"/>
  <c r="K21" i="72"/>
  <c r="L21" i="72"/>
  <c r="F13" i="72"/>
  <c r="H17" i="72"/>
  <c r="F14" i="72"/>
  <c r="G16" i="72"/>
  <c r="G13" i="71"/>
  <c r="E17" i="71"/>
  <c r="K129" i="71"/>
  <c r="E129" i="71" s="1"/>
  <c r="E130" i="71"/>
  <c r="K13" i="71"/>
  <c r="E87" i="71"/>
  <c r="I13" i="71"/>
  <c r="I149" i="71" s="1"/>
  <c r="J13" i="71"/>
  <c r="G110" i="71"/>
  <c r="E110" i="71" s="1"/>
  <c r="G132" i="71"/>
  <c r="E132" i="71" s="1"/>
  <c r="G144" i="71"/>
  <c r="F17" i="71"/>
  <c r="G91" i="71"/>
  <c r="H144" i="71"/>
  <c r="K105" i="70"/>
  <c r="E33" i="70"/>
  <c r="H105" i="70"/>
  <c r="G31" i="70"/>
  <c r="G23" i="70" s="1"/>
  <c r="E23" i="70" s="1"/>
  <c r="G83" i="70"/>
  <c r="G68" i="70" s="1"/>
  <c r="E68" i="70" s="1"/>
  <c r="H13" i="69"/>
  <c r="E59" i="69"/>
  <c r="E196" i="69"/>
  <c r="G192" i="69"/>
  <c r="E242" i="69"/>
  <c r="G240" i="69"/>
  <c r="F274" i="69"/>
  <c r="L271" i="69"/>
  <c r="L308" i="69" s="1"/>
  <c r="E49" i="69"/>
  <c r="G44" i="69"/>
  <c r="E44" i="69" s="1"/>
  <c r="F65" i="69"/>
  <c r="H59" i="69"/>
  <c r="F86" i="69"/>
  <c r="H78" i="69"/>
  <c r="F78" i="69" s="1"/>
  <c r="G117" i="69"/>
  <c r="E126" i="69"/>
  <c r="E273" i="69"/>
  <c r="E299" i="69"/>
  <c r="G298" i="69"/>
  <c r="E298" i="69" s="1"/>
  <c r="E25" i="69"/>
  <c r="E76" i="69"/>
  <c r="G86" i="69"/>
  <c r="E86" i="69" s="1"/>
  <c r="E88" i="69"/>
  <c r="H126" i="69"/>
  <c r="I141" i="69"/>
  <c r="H271" i="69"/>
  <c r="F271" i="69" s="1"/>
  <c r="F306" i="69"/>
  <c r="G152" i="69"/>
  <c r="E152" i="69" s="1"/>
  <c r="E54" i="69"/>
  <c r="I78" i="69"/>
  <c r="I308" i="69" s="1"/>
  <c r="E173" i="69"/>
  <c r="G274" i="69"/>
  <c r="E274" i="69" s="1"/>
  <c r="K271" i="69"/>
  <c r="F74" i="69"/>
  <c r="H152" i="69"/>
  <c r="G167" i="69"/>
  <c r="G171" i="69"/>
  <c r="E171" i="69" s="1"/>
  <c r="H238" i="69"/>
  <c r="F105" i="70" l="1"/>
  <c r="L149" i="71"/>
  <c r="E94" i="71"/>
  <c r="G93" i="71"/>
  <c r="E93" i="71" s="1"/>
  <c r="E17" i="72"/>
  <c r="G141" i="69"/>
  <c r="E141" i="69" s="1"/>
  <c r="H110" i="71"/>
  <c r="F110" i="71" s="1"/>
  <c r="F107" i="71"/>
  <c r="H106" i="71"/>
  <c r="F106" i="71" s="1"/>
  <c r="F93" i="71"/>
  <c r="G13" i="69"/>
  <c r="F14" i="70"/>
  <c r="J149" i="71"/>
  <c r="F13" i="71"/>
  <c r="E107" i="71"/>
  <c r="G106" i="71"/>
  <c r="E106" i="71" s="1"/>
  <c r="G21" i="72"/>
  <c r="E21" i="72" s="1"/>
  <c r="E16" i="72"/>
  <c r="F17" i="72"/>
  <c r="H16" i="72"/>
  <c r="H143" i="71"/>
  <c r="F143" i="71" s="1"/>
  <c r="F144" i="71"/>
  <c r="G143" i="71"/>
  <c r="E143" i="71" s="1"/>
  <c r="E144" i="71"/>
  <c r="G90" i="71"/>
  <c r="E90" i="71" s="1"/>
  <c r="E91" i="71"/>
  <c r="K149" i="71"/>
  <c r="E13" i="71"/>
  <c r="G149" i="71"/>
  <c r="E149" i="71" s="1"/>
  <c r="G105" i="70"/>
  <c r="E105" i="70" s="1"/>
  <c r="E167" i="69"/>
  <c r="G164" i="69"/>
  <c r="E164" i="69" s="1"/>
  <c r="F13" i="69"/>
  <c r="F238" i="69"/>
  <c r="H237" i="69"/>
  <c r="F237" i="69" s="1"/>
  <c r="G271" i="69"/>
  <c r="E271" i="69" s="1"/>
  <c r="H57" i="69"/>
  <c r="F57" i="69" s="1"/>
  <c r="F59" i="69"/>
  <c r="E13" i="69"/>
  <c r="F152" i="69"/>
  <c r="H141" i="69"/>
  <c r="F141" i="69" s="1"/>
  <c r="G115" i="69"/>
  <c r="E115" i="69" s="1"/>
  <c r="E117" i="69"/>
  <c r="E192" i="69"/>
  <c r="G191" i="69"/>
  <c r="G78" i="69"/>
  <c r="E78" i="69" s="1"/>
  <c r="H117" i="69"/>
  <c r="F126" i="69"/>
  <c r="E240" i="69"/>
  <c r="G238" i="69"/>
  <c r="F16" i="72" l="1"/>
  <c r="H21" i="72"/>
  <c r="F21" i="72" s="1"/>
  <c r="H149" i="71"/>
  <c r="F149" i="71" s="1"/>
  <c r="H115" i="69"/>
  <c r="F115" i="69" s="1"/>
  <c r="F117" i="69"/>
  <c r="E238" i="69"/>
  <c r="G237" i="69"/>
  <c r="E237" i="69" s="1"/>
  <c r="E191" i="69"/>
  <c r="G190" i="69"/>
  <c r="E190" i="69" s="1"/>
  <c r="G308" i="69" l="1"/>
  <c r="E308" i="69" s="1"/>
  <c r="H308" i="69"/>
  <c r="F308" i="69" s="1"/>
  <c r="J17" i="41"/>
  <c r="J17" i="44" l="1"/>
  <c r="J39" i="41"/>
  <c r="L52" i="41" l="1"/>
  <c r="H39" i="41"/>
  <c r="H43" i="68" l="1"/>
  <c r="F43" i="68" s="1"/>
  <c r="J42" i="68"/>
  <c r="F53" i="68"/>
  <c r="F54" i="68"/>
  <c r="F55" i="68"/>
  <c r="F56" i="68"/>
  <c r="F57" i="68"/>
  <c r="F58" i="68"/>
  <c r="F59" i="68"/>
  <c r="F60" i="68"/>
  <c r="F61" i="68"/>
  <c r="F62" i="68"/>
  <c r="F63" i="68"/>
  <c r="F64" i="68"/>
  <c r="F65" i="68"/>
  <c r="F66" i="68"/>
  <c r="F67" i="68"/>
  <c r="F68" i="68"/>
  <c r="F70" i="68"/>
  <c r="F52" i="68"/>
  <c r="F50" i="68"/>
  <c r="F48" i="68"/>
  <c r="F47" i="68"/>
  <c r="F44" i="68"/>
  <c r="F45" i="68"/>
  <c r="F46" i="68"/>
  <c r="F16" i="68"/>
  <c r="F17" i="68"/>
  <c r="F18" i="68"/>
  <c r="F19" i="68"/>
  <c r="F20" i="68"/>
  <c r="F21" i="68"/>
  <c r="F22" i="68"/>
  <c r="F23" i="68"/>
  <c r="F24" i="68"/>
  <c r="F25" i="68"/>
  <c r="F26" i="68"/>
  <c r="F27" i="68"/>
  <c r="F28" i="68"/>
  <c r="F29" i="68"/>
  <c r="F30" i="68"/>
  <c r="F31" i="68"/>
  <c r="F32" i="68"/>
  <c r="F33" i="68"/>
  <c r="F34" i="68"/>
  <c r="F35" i="68"/>
  <c r="F36" i="68"/>
  <c r="F37" i="68"/>
  <c r="F38" i="68"/>
  <c r="F39" i="68"/>
  <c r="F40" i="68"/>
  <c r="F41" i="68"/>
  <c r="H42" i="68"/>
  <c r="H15" i="68" s="1"/>
  <c r="J15" i="68"/>
  <c r="L42" i="68"/>
  <c r="L15" i="68"/>
  <c r="H49" i="68"/>
  <c r="F49" i="68" s="1"/>
  <c r="J49" i="68"/>
  <c r="J51" i="68"/>
  <c r="L51" i="68"/>
  <c r="H69" i="68"/>
  <c r="F69" i="68" s="1"/>
  <c r="F73" i="68"/>
  <c r="H71" i="68"/>
  <c r="H72" i="68"/>
  <c r="F72" i="68" s="1"/>
  <c r="L71" i="68"/>
  <c r="F71" i="68" s="1"/>
  <c r="J71" i="68"/>
  <c r="J72" i="68"/>
  <c r="H51" i="68" l="1"/>
  <c r="F51" i="68" s="1"/>
  <c r="J14" i="68"/>
  <c r="J74" i="68" s="1"/>
  <c r="L14" i="68"/>
  <c r="L74" i="68" s="1"/>
  <c r="F42" i="68"/>
  <c r="H14" i="68"/>
  <c r="H74" i="68" s="1"/>
  <c r="F15" i="68"/>
  <c r="F14" i="68" l="1"/>
  <c r="F74" i="68"/>
  <c r="H56" i="41"/>
  <c r="H55" i="41"/>
  <c r="H22" i="41"/>
  <c r="H20" i="41" s="1"/>
  <c r="H18" i="41"/>
  <c r="H26" i="41"/>
  <c r="H25" i="41" s="1"/>
  <c r="F15" i="41"/>
  <c r="F17" i="41"/>
  <c r="F19" i="41"/>
  <c r="F21" i="41"/>
  <c r="F22" i="41"/>
  <c r="F23" i="41"/>
  <c r="F24" i="41"/>
  <c r="F26" i="41"/>
  <c r="F27" i="41"/>
  <c r="F28" i="41"/>
  <c r="H14" i="41"/>
  <c r="H16" i="41"/>
  <c r="G20" i="41"/>
  <c r="J23" i="41"/>
  <c r="J14" i="41"/>
  <c r="J16" i="41"/>
  <c r="J18" i="41"/>
  <c r="J20" i="41"/>
  <c r="J25" i="41"/>
  <c r="L14" i="41"/>
  <c r="L16" i="41"/>
  <c r="L18" i="41"/>
  <c r="L20" i="41"/>
  <c r="F31" i="41"/>
  <c r="F33" i="41"/>
  <c r="F34" i="41"/>
  <c r="H30" i="41"/>
  <c r="H32" i="41"/>
  <c r="J30" i="41"/>
  <c r="J32" i="41"/>
  <c r="L30" i="41"/>
  <c r="L32" i="41"/>
  <c r="L29" i="41" s="1"/>
  <c r="F39" i="41"/>
  <c r="F37" i="41"/>
  <c r="F40" i="41"/>
  <c r="F41" i="41"/>
  <c r="F42" i="41"/>
  <c r="F43" i="41"/>
  <c r="H36" i="41"/>
  <c r="J36" i="41"/>
  <c r="J38" i="41"/>
  <c r="J40" i="41"/>
  <c r="L36" i="41"/>
  <c r="L38" i="41"/>
  <c r="F46" i="41"/>
  <c r="H45" i="41"/>
  <c r="J45" i="41"/>
  <c r="J44" i="41" s="1"/>
  <c r="L45" i="41"/>
  <c r="L44" i="41" s="1"/>
  <c r="L50" i="41"/>
  <c r="F50" i="41" s="1"/>
  <c r="H48" i="41"/>
  <c r="F49" i="41"/>
  <c r="F51" i="41"/>
  <c r="F52" i="41"/>
  <c r="F53" i="41"/>
  <c r="H50" i="41"/>
  <c r="J48" i="41"/>
  <c r="J50" i="41"/>
  <c r="L48" i="41"/>
  <c r="F32" i="41" l="1"/>
  <c r="L13" i="41"/>
  <c r="F16" i="41"/>
  <c r="F36" i="41"/>
  <c r="F45" i="41"/>
  <c r="J29" i="41"/>
  <c r="H44" i="41"/>
  <c r="F44" i="41" s="1"/>
  <c r="H29" i="41"/>
  <c r="F29" i="41" s="1"/>
  <c r="F14" i="41"/>
  <c r="F18" i="41"/>
  <c r="J47" i="41"/>
  <c r="L35" i="41"/>
  <c r="L47" i="41"/>
  <c r="F48" i="41"/>
  <c r="H47" i="41"/>
  <c r="J35" i="41"/>
  <c r="F30" i="41"/>
  <c r="F20" i="41"/>
  <c r="J13" i="41"/>
  <c r="F25" i="41"/>
  <c r="H13" i="41"/>
  <c r="F13" i="41" s="1"/>
  <c r="H38" i="41"/>
  <c r="F47" i="41" l="1"/>
  <c r="F38" i="41"/>
  <c r="H35" i="41"/>
  <c r="F35" i="41" s="1"/>
  <c r="F55" i="41" l="1"/>
  <c r="F56" i="41"/>
  <c r="F57" i="41"/>
  <c r="F58" i="41"/>
  <c r="F59" i="41"/>
  <c r="F60" i="41"/>
  <c r="F61" i="41"/>
  <c r="F62" i="41"/>
  <c r="F63" i="41"/>
  <c r="F64" i="41"/>
  <c r="H54" i="41"/>
  <c r="J55" i="41"/>
  <c r="J60" i="41"/>
  <c r="L54" i="41"/>
  <c r="F67" i="41"/>
  <c r="F68" i="41"/>
  <c r="F69" i="41"/>
  <c r="F70" i="41"/>
  <c r="F71" i="41"/>
  <c r="F72" i="41"/>
  <c r="F73" i="41"/>
  <c r="F74" i="41"/>
  <c r="H66" i="41"/>
  <c r="H65" i="41" s="1"/>
  <c r="J54" i="41" l="1"/>
  <c r="F54" i="41"/>
  <c r="J66" i="41"/>
  <c r="J65" i="41" s="1"/>
  <c r="L66" i="41"/>
  <c r="F66" i="41" s="1"/>
  <c r="F77" i="41"/>
  <c r="F78" i="41"/>
  <c r="F79" i="41"/>
  <c r="H76" i="41"/>
  <c r="F76" i="41" s="1"/>
  <c r="J76" i="41"/>
  <c r="J75" i="41" s="1"/>
  <c r="L76" i="41"/>
  <c r="L75" i="41" s="1"/>
  <c r="H81" i="41"/>
  <c r="F81" i="41" s="1"/>
  <c r="J81" i="41"/>
  <c r="J80" i="41" s="1"/>
  <c r="L81" i="41"/>
  <c r="L80" i="41" s="1"/>
  <c r="L65" i="41" l="1"/>
  <c r="F65" i="41" s="1"/>
  <c r="J83" i="41"/>
  <c r="H80" i="41"/>
  <c r="F80" i="41" s="1"/>
  <c r="H75" i="41"/>
  <c r="L83" i="41"/>
  <c r="H15" i="60"/>
  <c r="F15" i="60" s="1"/>
  <c r="F14" i="60"/>
  <c r="F16" i="60"/>
  <c r="F17" i="60"/>
  <c r="F18" i="60"/>
  <c r="F19" i="60"/>
  <c r="F20" i="60"/>
  <c r="F21" i="60"/>
  <c r="F22" i="60"/>
  <c r="F23" i="60"/>
  <c r="F24" i="60"/>
  <c r="F25" i="60"/>
  <c r="F26" i="60"/>
  <c r="F27" i="60"/>
  <c r="F28" i="60"/>
  <c r="F29" i="60"/>
  <c r="F30" i="60"/>
  <c r="F31" i="60"/>
  <c r="F32" i="60"/>
  <c r="F33" i="60"/>
  <c r="F34" i="60"/>
  <c r="F36" i="60"/>
  <c r="F37" i="60"/>
  <c r="F38" i="60"/>
  <c r="F39" i="60"/>
  <c r="H35" i="60"/>
  <c r="F35" i="60" s="1"/>
  <c r="H13" i="60"/>
  <c r="F13" i="60" s="1"/>
  <c r="J33" i="60"/>
  <c r="J13" i="60"/>
  <c r="L13" i="60"/>
  <c r="F42" i="60"/>
  <c r="F41" i="60"/>
  <c r="F43" i="60"/>
  <c r="F44" i="60"/>
  <c r="H40" i="60"/>
  <c r="H47" i="60" s="1"/>
  <c r="J40" i="60"/>
  <c r="L40" i="60"/>
  <c r="F46" i="60"/>
  <c r="H45" i="60"/>
  <c r="J45" i="60"/>
  <c r="L45" i="60"/>
  <c r="H52" i="58"/>
  <c r="H36" i="58"/>
  <c r="H35" i="58" s="1"/>
  <c r="F48" i="58"/>
  <c r="H26" i="58"/>
  <c r="F26" i="58" s="1"/>
  <c r="F16" i="58"/>
  <c r="F17" i="58"/>
  <c r="F18" i="58"/>
  <c r="F19" i="58"/>
  <c r="F20" i="58"/>
  <c r="F21" i="58"/>
  <c r="F22" i="58"/>
  <c r="F23" i="58"/>
  <c r="F24" i="58"/>
  <c r="F25" i="58"/>
  <c r="F27" i="58"/>
  <c r="F28" i="58"/>
  <c r="F29" i="58"/>
  <c r="F30" i="58"/>
  <c r="F31" i="58"/>
  <c r="F32" i="58"/>
  <c r="F15" i="58"/>
  <c r="H14" i="58"/>
  <c r="F14" i="58" s="1"/>
  <c r="J14" i="58"/>
  <c r="L14" i="58"/>
  <c r="H33" i="58"/>
  <c r="J33" i="58"/>
  <c r="L33" i="58"/>
  <c r="F34" i="58"/>
  <c r="F37" i="58"/>
  <c r="F36" i="58"/>
  <c r="J35" i="58"/>
  <c r="L35" i="58"/>
  <c r="F39" i="58"/>
  <c r="H38" i="58"/>
  <c r="J38" i="58"/>
  <c r="L38" i="58"/>
  <c r="H42" i="58"/>
  <c r="H40" i="58" s="1"/>
  <c r="F41" i="58"/>
  <c r="F42" i="58"/>
  <c r="F43" i="58"/>
  <c r="F44" i="58"/>
  <c r="F45" i="58"/>
  <c r="F46" i="58"/>
  <c r="F47" i="58"/>
  <c r="J40" i="58"/>
  <c r="L40" i="58"/>
  <c r="F50" i="58"/>
  <c r="F51" i="58"/>
  <c r="F52" i="58"/>
  <c r="F53" i="58"/>
  <c r="F54" i="58"/>
  <c r="H49" i="58"/>
  <c r="J49" i="58"/>
  <c r="L49" i="58"/>
  <c r="H61" i="58"/>
  <c r="F61" i="58" s="1"/>
  <c r="F56" i="58"/>
  <c r="F57" i="58"/>
  <c r="F58" i="58"/>
  <c r="F59" i="58"/>
  <c r="F60" i="58"/>
  <c r="J55" i="58"/>
  <c r="L55" i="58"/>
  <c r="H17" i="62"/>
  <c r="F17" i="62" s="1"/>
  <c r="H30" i="62"/>
  <c r="H43" i="62"/>
  <c r="H58" i="62"/>
  <c r="F58" i="62" s="1"/>
  <c r="L40" i="62"/>
  <c r="L39" i="62" s="1"/>
  <c r="F15" i="62"/>
  <c r="F16" i="62"/>
  <c r="F18" i="62"/>
  <c r="F19" i="62"/>
  <c r="F20" i="62"/>
  <c r="F21" i="62"/>
  <c r="F22" i="62"/>
  <c r="F23" i="62"/>
  <c r="F24" i="62"/>
  <c r="F25" i="62"/>
  <c r="F26" i="62"/>
  <c r="F27" i="62"/>
  <c r="F28" i="62"/>
  <c r="F29" i="62"/>
  <c r="F30" i="62"/>
  <c r="F31" i="62"/>
  <c r="F32" i="62"/>
  <c r="F33" i="62"/>
  <c r="F34" i="62"/>
  <c r="F35" i="62"/>
  <c r="F36" i="62"/>
  <c r="F37" i="62"/>
  <c r="F38" i="62"/>
  <c r="F14" i="62"/>
  <c r="J13" i="62"/>
  <c r="L13" i="62"/>
  <c r="H39" i="62"/>
  <c r="J39" i="62"/>
  <c r="I39" i="62"/>
  <c r="F43" i="62"/>
  <c r="F44" i="62"/>
  <c r="F45" i="62"/>
  <c r="F46" i="62"/>
  <c r="F47" i="62"/>
  <c r="F48" i="62"/>
  <c r="F49" i="62"/>
  <c r="F42" i="62"/>
  <c r="H41" i="62"/>
  <c r="J41" i="62"/>
  <c r="L41" i="62"/>
  <c r="F52" i="62"/>
  <c r="F53" i="62"/>
  <c r="F54" i="62"/>
  <c r="F55" i="62"/>
  <c r="F56" i="62"/>
  <c r="F57" i="62"/>
  <c r="F59" i="62"/>
  <c r="F60" i="62"/>
  <c r="F61" i="62"/>
  <c r="F62" i="62"/>
  <c r="F51" i="62"/>
  <c r="J50" i="62"/>
  <c r="L50" i="62"/>
  <c r="H50" i="62" l="1"/>
  <c r="F50" i="62" s="1"/>
  <c r="F39" i="62"/>
  <c r="F45" i="60"/>
  <c r="F41" i="62"/>
  <c r="F38" i="58"/>
  <c r="J62" i="58"/>
  <c r="F35" i="58"/>
  <c r="H55" i="58"/>
  <c r="F55" i="58" s="1"/>
  <c r="F40" i="58"/>
  <c r="F33" i="58"/>
  <c r="L62" i="58"/>
  <c r="H13" i="62"/>
  <c r="F13" i="62" s="1"/>
  <c r="F40" i="62"/>
  <c r="F49" i="58"/>
  <c r="J47" i="60"/>
  <c r="L63" i="62"/>
  <c r="F75" i="41"/>
  <c r="H83" i="41"/>
  <c r="F83" i="41" s="1"/>
  <c r="L47" i="60"/>
  <c r="F47" i="60" s="1"/>
  <c r="F40" i="60"/>
  <c r="J63" i="62"/>
  <c r="H42" i="44"/>
  <c r="H37" i="44" s="1"/>
  <c r="H36" i="44" s="1"/>
  <c r="H18" i="44"/>
  <c r="H63" i="62" l="1"/>
  <c r="F63" i="62" s="1"/>
  <c r="H62" i="58"/>
  <c r="F62" i="58" s="1"/>
  <c r="H33" i="44"/>
  <c r="H32" i="44" s="1"/>
  <c r="G33" i="44"/>
  <c r="G32" i="44" s="1"/>
  <c r="F34" i="44"/>
  <c r="E34" i="44"/>
  <c r="F35" i="44"/>
  <c r="F38" i="44" l="1"/>
  <c r="F39" i="44"/>
  <c r="F40" i="44"/>
  <c r="F41" i="44"/>
  <c r="F42" i="44"/>
  <c r="J37" i="44"/>
  <c r="J36" i="44" s="1"/>
  <c r="I37" i="44"/>
  <c r="I36" i="44" s="1"/>
  <c r="L37" i="44"/>
  <c r="F37" i="44" s="1"/>
  <c r="J33" i="44"/>
  <c r="J32" i="44" s="1"/>
  <c r="L33" i="44"/>
  <c r="F33" i="44" s="1"/>
  <c r="F28" i="44"/>
  <c r="E28" i="44"/>
  <c r="H27" i="44"/>
  <c r="J27" i="44"/>
  <c r="L27" i="44"/>
  <c r="H29" i="44"/>
  <c r="J29" i="44"/>
  <c r="I29" i="44"/>
  <c r="L29" i="44"/>
  <c r="F30" i="44"/>
  <c r="F31" i="44"/>
  <c r="K27" i="44"/>
  <c r="F24" i="44"/>
  <c r="F25" i="44"/>
  <c r="H23" i="44"/>
  <c r="H22" i="44" s="1"/>
  <c r="J23" i="44"/>
  <c r="J22" i="44" s="1"/>
  <c r="L23" i="44"/>
  <c r="L22" i="44" s="1"/>
  <c r="J18" i="44"/>
  <c r="L18" i="44"/>
  <c r="F20" i="44"/>
  <c r="F21" i="44"/>
  <c r="F19" i="44"/>
  <c r="F15" i="44"/>
  <c r="F16" i="44"/>
  <c r="E16" i="44"/>
  <c r="F17" i="44"/>
  <c r="H14" i="44"/>
  <c r="H13" i="44" s="1"/>
  <c r="J14" i="44"/>
  <c r="L14" i="44"/>
  <c r="L32" i="44" l="1"/>
  <c r="F32" i="44" s="1"/>
  <c r="J13" i="44"/>
  <c r="J26" i="44"/>
  <c r="J43" i="44" s="1"/>
  <c r="L36" i="44"/>
  <c r="F36" i="44" s="1"/>
  <c r="F29" i="44"/>
  <c r="F22" i="44"/>
  <c r="L13" i="44"/>
  <c r="F23" i="44"/>
  <c r="F27" i="44"/>
  <c r="F14" i="44"/>
  <c r="L26" i="44"/>
  <c r="H26" i="44"/>
  <c r="F18" i="44"/>
  <c r="F26" i="44" l="1"/>
  <c r="H43" i="44"/>
  <c r="L43" i="44"/>
  <c r="F13" i="44"/>
  <c r="G36" i="68"/>
  <c r="E36" i="68" s="1"/>
  <c r="I50" i="68"/>
  <c r="I49" i="68" s="1"/>
  <c r="I39" i="68"/>
  <c r="I73" i="68"/>
  <c r="I72" i="68" s="1"/>
  <c r="K43" i="41"/>
  <c r="G43" i="41"/>
  <c r="K21" i="44"/>
  <c r="K28" i="41"/>
  <c r="K42" i="44"/>
  <c r="G42" i="44"/>
  <c r="K73" i="41"/>
  <c r="K66" i="41" s="1"/>
  <c r="E66" i="41" s="1"/>
  <c r="G73" i="41"/>
  <c r="G66" i="41" s="1"/>
  <c r="I27" i="44"/>
  <c r="I26" i="44" s="1"/>
  <c r="G27" i="44"/>
  <c r="E27" i="44" s="1"/>
  <c r="I14" i="44"/>
  <c r="K14" i="44"/>
  <c r="G14" i="44"/>
  <c r="E15" i="44"/>
  <c r="E17" i="44"/>
  <c r="I55" i="41"/>
  <c r="K55" i="41"/>
  <c r="G55" i="41"/>
  <c r="E56" i="41"/>
  <c r="E57" i="41"/>
  <c r="E58" i="41"/>
  <c r="E59" i="41"/>
  <c r="I48" i="41"/>
  <c r="K48" i="41"/>
  <c r="G48" i="41"/>
  <c r="E49" i="41"/>
  <c r="I38" i="41"/>
  <c r="K38" i="41"/>
  <c r="G38" i="41"/>
  <c r="I36" i="41"/>
  <c r="K36" i="41"/>
  <c r="G36" i="41"/>
  <c r="E37" i="41"/>
  <c r="E39" i="41"/>
  <c r="I32" i="41"/>
  <c r="K32" i="41"/>
  <c r="K29" i="41" s="1"/>
  <c r="I30" i="41"/>
  <c r="K30" i="41"/>
  <c r="G30" i="41"/>
  <c r="E30" i="41" s="1"/>
  <c r="E31" i="41"/>
  <c r="I20" i="41"/>
  <c r="K20" i="41"/>
  <c r="I18" i="41"/>
  <c r="K18" i="41"/>
  <c r="G18" i="41"/>
  <c r="I16" i="41"/>
  <c r="K16" i="41"/>
  <c r="G16" i="41"/>
  <c r="I14" i="41"/>
  <c r="K14" i="41"/>
  <c r="G14" i="41"/>
  <c r="E15" i="41"/>
  <c r="E17" i="41"/>
  <c r="E21" i="41"/>
  <c r="E23" i="41"/>
  <c r="E22" i="41"/>
  <c r="E19" i="41"/>
  <c r="E20" i="41"/>
  <c r="E14" i="41"/>
  <c r="G26" i="60"/>
  <c r="E26" i="60" s="1"/>
  <c r="G26" i="62"/>
  <c r="E26" i="62" s="1"/>
  <c r="G21" i="58"/>
  <c r="I29" i="68"/>
  <c r="K30" i="68"/>
  <c r="I30" i="68"/>
  <c r="G30" i="68"/>
  <c r="G27" i="62"/>
  <c r="E27" i="62" s="1"/>
  <c r="G27" i="60"/>
  <c r="E27" i="60" s="1"/>
  <c r="G22" i="58"/>
  <c r="G52" i="58"/>
  <c r="G57" i="62"/>
  <c r="G60" i="58"/>
  <c r="E60" i="58" s="1"/>
  <c r="G47" i="58"/>
  <c r="G56" i="58"/>
  <c r="K41" i="60"/>
  <c r="I41" i="60"/>
  <c r="G41" i="60"/>
  <c r="I48" i="68"/>
  <c r="G39" i="60"/>
  <c r="E39" i="60" s="1"/>
  <c r="I43" i="60"/>
  <c r="G43" i="60"/>
  <c r="K38" i="60"/>
  <c r="G38" i="60"/>
  <c r="K42" i="60"/>
  <c r="E42" i="60" s="1"/>
  <c r="I42" i="60"/>
  <c r="G42" i="60"/>
  <c r="G24" i="60"/>
  <c r="G24" i="62"/>
  <c r="E24" i="62" s="1"/>
  <c r="G19" i="58"/>
  <c r="I27" i="68"/>
  <c r="I47" i="68"/>
  <c r="G22" i="62"/>
  <c r="E22" i="62" s="1"/>
  <c r="G17" i="58"/>
  <c r="I25" i="68"/>
  <c r="G25" i="60"/>
  <c r="G25" i="62"/>
  <c r="G20" i="58"/>
  <c r="I28" i="68"/>
  <c r="I24" i="68"/>
  <c r="G23" i="60"/>
  <c r="E23" i="60" s="1"/>
  <c r="G23" i="62"/>
  <c r="I18" i="58"/>
  <c r="I14" i="58" s="1"/>
  <c r="G18" i="58"/>
  <c r="I26" i="68"/>
  <c r="G26" i="68"/>
  <c r="E26" i="68" s="1"/>
  <c r="I32" i="68"/>
  <c r="G28" i="60"/>
  <c r="E28" i="60" s="1"/>
  <c r="G23" i="58"/>
  <c r="E23" i="58" s="1"/>
  <c r="I31" i="68"/>
  <c r="G34" i="60"/>
  <c r="G29" i="58"/>
  <c r="E29" i="58" s="1"/>
  <c r="I38" i="68"/>
  <c r="G27" i="58"/>
  <c r="E27" i="58" s="1"/>
  <c r="G31" i="60"/>
  <c r="E31" i="60" s="1"/>
  <c r="I34" i="68"/>
  <c r="G30" i="60"/>
  <c r="E30" i="60" s="1"/>
  <c r="G30" i="62"/>
  <c r="E30" i="62" s="1"/>
  <c r="G24" i="58"/>
  <c r="E24" i="58" s="1"/>
  <c r="I33" i="68"/>
  <c r="G32" i="60"/>
  <c r="E32" i="60" s="1"/>
  <c r="G26" i="58"/>
  <c r="I36" i="68"/>
  <c r="I35" i="68"/>
  <c r="G43" i="62"/>
  <c r="G42" i="58"/>
  <c r="G44" i="58"/>
  <c r="E44" i="58" s="1"/>
  <c r="G44" i="62"/>
  <c r="E44" i="62" s="1"/>
  <c r="G43" i="58"/>
  <c r="G42" i="62"/>
  <c r="G41" i="58"/>
  <c r="G18" i="60"/>
  <c r="E18" i="60" s="1"/>
  <c r="G18" i="62"/>
  <c r="E18" i="62" s="1"/>
  <c r="I20" i="68"/>
  <c r="G20" i="68"/>
  <c r="E20" i="68" s="1"/>
  <c r="I19" i="68"/>
  <c r="G17" i="60"/>
  <c r="G17" i="62"/>
  <c r="G15" i="58"/>
  <c r="I23" i="68"/>
  <c r="G21" i="60"/>
  <c r="E21" i="60" s="1"/>
  <c r="G14" i="62"/>
  <c r="E14" i="62" s="1"/>
  <c r="G14" i="60"/>
  <c r="I16" i="68"/>
  <c r="G19" i="62"/>
  <c r="E19" i="62" s="1"/>
  <c r="G19" i="60"/>
  <c r="E19" i="60" s="1"/>
  <c r="G21" i="68"/>
  <c r="E21" i="68" s="1"/>
  <c r="I21" i="68"/>
  <c r="G73" i="68"/>
  <c r="E73" i="68" s="1"/>
  <c r="K71" i="68"/>
  <c r="E70" i="68"/>
  <c r="G69" i="68"/>
  <c r="E69" i="68" s="1"/>
  <c r="G68" i="68"/>
  <c r="E68" i="68" s="1"/>
  <c r="G67" i="68"/>
  <c r="E67" i="68"/>
  <c r="E66" i="68"/>
  <c r="G65" i="68"/>
  <c r="E65" i="68" s="1"/>
  <c r="G64" i="68"/>
  <c r="E64" i="68" s="1"/>
  <c r="G63" i="68"/>
  <c r="E63" i="68" s="1"/>
  <c r="G62" i="68"/>
  <c r="E62" i="68" s="1"/>
  <c r="G61" i="68"/>
  <c r="E61" i="68" s="1"/>
  <c r="G60" i="68"/>
  <c r="E60" i="68" s="1"/>
  <c r="G59" i="68"/>
  <c r="E59" i="68"/>
  <c r="E58" i="68"/>
  <c r="G57" i="68"/>
  <c r="E57" i="68" s="1"/>
  <c r="G56" i="68"/>
  <c r="E56" i="68"/>
  <c r="K55" i="68"/>
  <c r="K51" i="68" s="1"/>
  <c r="G55" i="68"/>
  <c r="G54" i="68"/>
  <c r="E54" i="68" s="1"/>
  <c r="G53" i="68"/>
  <c r="E53" i="68" s="1"/>
  <c r="G52" i="68"/>
  <c r="E52" i="68" s="1"/>
  <c r="I51" i="68"/>
  <c r="E50" i="68"/>
  <c r="G49" i="68"/>
  <c r="E49" i="68" s="1"/>
  <c r="G48" i="68"/>
  <c r="E48" i="68" s="1"/>
  <c r="G47" i="68"/>
  <c r="E47" i="68" s="1"/>
  <c r="I46" i="68"/>
  <c r="G46" i="68"/>
  <c r="E46" i="68" s="1"/>
  <c r="I45" i="68"/>
  <c r="G45" i="68"/>
  <c r="E45" i="68" s="1"/>
  <c r="I44" i="68"/>
  <c r="G44" i="68"/>
  <c r="E44" i="68" s="1"/>
  <c r="I43" i="68"/>
  <c r="G43" i="68"/>
  <c r="E43" i="68" s="1"/>
  <c r="K42" i="68"/>
  <c r="I41" i="68"/>
  <c r="G41" i="68"/>
  <c r="E41" i="68" s="1"/>
  <c r="I40" i="68"/>
  <c r="G40" i="68"/>
  <c r="E40" i="68" s="1"/>
  <c r="G39" i="68"/>
  <c r="E39" i="68" s="1"/>
  <c r="G38" i="68"/>
  <c r="E38" i="68" s="1"/>
  <c r="I37" i="68"/>
  <c r="G37" i="68"/>
  <c r="E37" i="68" s="1"/>
  <c r="G35" i="68"/>
  <c r="E35" i="68" s="1"/>
  <c r="G34" i="68"/>
  <c r="E34" i="68"/>
  <c r="G33" i="68"/>
  <c r="E33" i="68" s="1"/>
  <c r="G32" i="68"/>
  <c r="E32" i="68" s="1"/>
  <c r="G31" i="68"/>
  <c r="E31" i="68" s="1"/>
  <c r="G29" i="68"/>
  <c r="E29" i="68" s="1"/>
  <c r="G28" i="68"/>
  <c r="E28" i="68" s="1"/>
  <c r="G27" i="68"/>
  <c r="E27" i="68" s="1"/>
  <c r="G25" i="68"/>
  <c r="E25" i="68" s="1"/>
  <c r="G24" i="68"/>
  <c r="E24" i="68" s="1"/>
  <c r="G23" i="68"/>
  <c r="E23" i="68" s="1"/>
  <c r="I22" i="68"/>
  <c r="G22" i="68"/>
  <c r="E22" i="68" s="1"/>
  <c r="G19" i="68"/>
  <c r="E19" i="68" s="1"/>
  <c r="I18" i="68"/>
  <c r="G18" i="68"/>
  <c r="E18" i="68" s="1"/>
  <c r="I17" i="68"/>
  <c r="G17" i="68"/>
  <c r="E17" i="68" s="1"/>
  <c r="G16" i="68"/>
  <c r="E16" i="68" s="1"/>
  <c r="E41" i="44"/>
  <c r="E40" i="44"/>
  <c r="E39" i="44"/>
  <c r="E38" i="44"/>
  <c r="G37" i="44"/>
  <c r="G36" i="44" s="1"/>
  <c r="E35" i="44"/>
  <c r="K33" i="44"/>
  <c r="K32" i="44" s="1"/>
  <c r="E32" i="44" s="1"/>
  <c r="I33" i="44"/>
  <c r="I32" i="44" s="1"/>
  <c r="E31" i="44"/>
  <c r="E30" i="44"/>
  <c r="K29" i="44"/>
  <c r="K26" i="44" s="1"/>
  <c r="G29" i="44"/>
  <c r="X26" i="44"/>
  <c r="G25" i="44"/>
  <c r="G23" i="44" s="1"/>
  <c r="G22" i="44" s="1"/>
  <c r="E25" i="44"/>
  <c r="E24" i="44"/>
  <c r="K23" i="44"/>
  <c r="K22" i="44" s="1"/>
  <c r="I23" i="44"/>
  <c r="I22" i="44" s="1"/>
  <c r="G21" i="44"/>
  <c r="G18" i="44" s="1"/>
  <c r="E20" i="44"/>
  <c r="E19" i="44"/>
  <c r="I18" i="44"/>
  <c r="I13" i="44"/>
  <c r="E82" i="41"/>
  <c r="K81" i="41"/>
  <c r="K80" i="41" s="1"/>
  <c r="I81" i="41"/>
  <c r="I80" i="41"/>
  <c r="G81" i="41"/>
  <c r="G80" i="41" s="1"/>
  <c r="G79" i="41"/>
  <c r="G76" i="41" s="1"/>
  <c r="E78" i="41"/>
  <c r="K77" i="41"/>
  <c r="K76" i="41" s="1"/>
  <c r="I76" i="41"/>
  <c r="I75" i="41"/>
  <c r="E74" i="41"/>
  <c r="E72" i="41"/>
  <c r="E71" i="41"/>
  <c r="E70" i="41"/>
  <c r="E69" i="41"/>
  <c r="E68" i="41"/>
  <c r="E67" i="41"/>
  <c r="I66" i="41"/>
  <c r="I65" i="41" s="1"/>
  <c r="G65" i="41"/>
  <c r="E64" i="41"/>
  <c r="K63" i="41"/>
  <c r="E63" i="41" s="1"/>
  <c r="E62" i="41"/>
  <c r="E61" i="41"/>
  <c r="I60" i="41"/>
  <c r="G60" i="41"/>
  <c r="E53" i="41"/>
  <c r="E52" i="41"/>
  <c r="E51" i="41"/>
  <c r="K50" i="41"/>
  <c r="I50" i="41"/>
  <c r="G50" i="41"/>
  <c r="K46" i="41"/>
  <c r="K45" i="41" s="1"/>
  <c r="K44" i="41" s="1"/>
  <c r="G46" i="41"/>
  <c r="G45" i="41" s="1"/>
  <c r="I45" i="41"/>
  <c r="I44" i="41" s="1"/>
  <c r="E42" i="41"/>
  <c r="G41" i="41"/>
  <c r="E41" i="41" s="1"/>
  <c r="I40" i="41"/>
  <c r="G34" i="41"/>
  <c r="G32" i="41" s="1"/>
  <c r="E33" i="41"/>
  <c r="G28" i="41"/>
  <c r="K27" i="41"/>
  <c r="G27" i="41"/>
  <c r="E26" i="41"/>
  <c r="I25" i="41"/>
  <c r="G24" i="41"/>
  <c r="E24" i="41" s="1"/>
  <c r="G46" i="60"/>
  <c r="G45" i="60" s="1"/>
  <c r="E46" i="60"/>
  <c r="K45" i="60"/>
  <c r="I45" i="60"/>
  <c r="E44" i="60"/>
  <c r="E43" i="60"/>
  <c r="E37" i="60"/>
  <c r="G36" i="60"/>
  <c r="E36" i="60" s="1"/>
  <c r="K35" i="60"/>
  <c r="G35" i="60"/>
  <c r="E34" i="60"/>
  <c r="E33" i="60"/>
  <c r="E29" i="60"/>
  <c r="E25" i="60"/>
  <c r="E24" i="60"/>
  <c r="E22" i="60"/>
  <c r="G20" i="60"/>
  <c r="E20" i="60"/>
  <c r="E16" i="60"/>
  <c r="G15" i="60"/>
  <c r="E15" i="60"/>
  <c r="E14" i="60"/>
  <c r="I13" i="60"/>
  <c r="E62" i="62"/>
  <c r="E61" i="62"/>
  <c r="E60" i="62"/>
  <c r="E59" i="62"/>
  <c r="E58" i="62"/>
  <c r="E56" i="62"/>
  <c r="E55" i="62"/>
  <c r="E54" i="62"/>
  <c r="E53" i="62"/>
  <c r="E52" i="62"/>
  <c r="E51" i="62"/>
  <c r="K50" i="62"/>
  <c r="I50" i="62"/>
  <c r="E49" i="62"/>
  <c r="E48" i="62"/>
  <c r="E47" i="62"/>
  <c r="E46" i="62"/>
  <c r="E45" i="62"/>
  <c r="E43" i="62"/>
  <c r="K41" i="62"/>
  <c r="I41" i="62"/>
  <c r="G40" i="62"/>
  <c r="E40" i="62" s="1"/>
  <c r="K39" i="62"/>
  <c r="E38" i="62"/>
  <c r="G37" i="62"/>
  <c r="E37" i="62"/>
  <c r="E36" i="62"/>
  <c r="E35" i="62"/>
  <c r="E34" i="62"/>
  <c r="E33" i="62"/>
  <c r="E32" i="62"/>
  <c r="E31" i="62"/>
  <c r="E29" i="62"/>
  <c r="E28" i="62"/>
  <c r="E25" i="62"/>
  <c r="E23" i="62"/>
  <c r="G21" i="62"/>
  <c r="E21" i="62" s="1"/>
  <c r="E20" i="62"/>
  <c r="E17" i="62"/>
  <c r="E16" i="62"/>
  <c r="E15" i="62"/>
  <c r="K13" i="62"/>
  <c r="I13" i="62"/>
  <c r="I63" i="62" s="1"/>
  <c r="I38" i="58"/>
  <c r="K38" i="58"/>
  <c r="G38" i="58"/>
  <c r="E30" i="58"/>
  <c r="E57" i="58"/>
  <c r="E56" i="58"/>
  <c r="E41" i="58"/>
  <c r="E21" i="58"/>
  <c r="E22" i="58"/>
  <c r="E61" i="58"/>
  <c r="E58" i="58"/>
  <c r="E42" i="58"/>
  <c r="E26" i="58"/>
  <c r="E19" i="58"/>
  <c r="E37" i="58"/>
  <c r="E45" i="58"/>
  <c r="E59" i="58"/>
  <c r="K55" i="58"/>
  <c r="I55" i="58"/>
  <c r="E54" i="58"/>
  <c r="E53" i="58"/>
  <c r="E52" i="58"/>
  <c r="E51" i="58"/>
  <c r="E50" i="58"/>
  <c r="K49" i="58"/>
  <c r="I49" i="58"/>
  <c r="G49" i="58"/>
  <c r="E48" i="58"/>
  <c r="E47" i="58"/>
  <c r="E46" i="58"/>
  <c r="E43" i="58"/>
  <c r="K40" i="58"/>
  <c r="I40" i="58"/>
  <c r="E36" i="58"/>
  <c r="K35" i="58"/>
  <c r="I35" i="58"/>
  <c r="G35" i="58"/>
  <c r="E34" i="58"/>
  <c r="K33" i="58"/>
  <c r="E33" i="58" s="1"/>
  <c r="I33" i="58"/>
  <c r="G33" i="58"/>
  <c r="E32" i="58"/>
  <c r="E39" i="58"/>
  <c r="E31" i="58"/>
  <c r="E28" i="58"/>
  <c r="E25" i="58"/>
  <c r="E18" i="58"/>
  <c r="E17" i="58"/>
  <c r="E16" i="58"/>
  <c r="K14" i="58"/>
  <c r="G40" i="58"/>
  <c r="E40" i="58" s="1"/>
  <c r="E20" i="58"/>
  <c r="E79" i="41"/>
  <c r="G75" i="41"/>
  <c r="E27" i="41" l="1"/>
  <c r="I35" i="41"/>
  <c r="K47" i="41"/>
  <c r="E32" i="41"/>
  <c r="G71" i="68"/>
  <c r="E28" i="41"/>
  <c r="E29" i="44"/>
  <c r="G72" i="68"/>
  <c r="E72" i="68" s="1"/>
  <c r="G41" i="62"/>
  <c r="E41" i="62" s="1"/>
  <c r="E18" i="41"/>
  <c r="I29" i="41"/>
  <c r="E38" i="41"/>
  <c r="E42" i="44"/>
  <c r="E43" i="41"/>
  <c r="G26" i="44"/>
  <c r="E26" i="44" s="1"/>
  <c r="I71" i="68"/>
  <c r="K60" i="41"/>
  <c r="E60" i="41" s="1"/>
  <c r="E50" i="41"/>
  <c r="K65" i="41"/>
  <c r="E65" i="41" s="1"/>
  <c r="E36" i="41"/>
  <c r="E45" i="41"/>
  <c r="G44" i="41"/>
  <c r="E44" i="41" s="1"/>
  <c r="E34" i="41"/>
  <c r="K40" i="60"/>
  <c r="E35" i="60"/>
  <c r="E45" i="60"/>
  <c r="E38" i="60"/>
  <c r="E38" i="58"/>
  <c r="G14" i="58"/>
  <c r="E14" i="58" s="1"/>
  <c r="G55" i="58"/>
  <c r="E55" i="58" s="1"/>
  <c r="E80" i="41"/>
  <c r="E57" i="62"/>
  <c r="G50" i="62"/>
  <c r="G40" i="41"/>
  <c r="K37" i="44"/>
  <c r="K36" i="44" s="1"/>
  <c r="E36" i="44" s="1"/>
  <c r="I42" i="68"/>
  <c r="I15" i="68" s="1"/>
  <c r="I14" i="68" s="1"/>
  <c r="I74" i="68" s="1"/>
  <c r="K25" i="41"/>
  <c r="K13" i="41" s="1"/>
  <c r="I62" i="58"/>
  <c r="E77" i="41"/>
  <c r="G39" i="62"/>
  <c r="E39" i="62" s="1"/>
  <c r="E15" i="58"/>
  <c r="K13" i="60"/>
  <c r="K40" i="41"/>
  <c r="K35" i="41" s="1"/>
  <c r="I43" i="44"/>
  <c r="E41" i="60"/>
  <c r="G40" i="60"/>
  <c r="E16" i="41"/>
  <c r="I47" i="41"/>
  <c r="E21" i="44"/>
  <c r="E14" i="44"/>
  <c r="G13" i="44"/>
  <c r="E81" i="41"/>
  <c r="I13" i="41"/>
  <c r="E22" i="44"/>
  <c r="E37" i="44"/>
  <c r="K63" i="62"/>
  <c r="G42" i="68"/>
  <c r="G15" i="68" s="1"/>
  <c r="I40" i="60"/>
  <c r="I47" i="60" s="1"/>
  <c r="F43" i="44"/>
  <c r="E71" i="68"/>
  <c r="E35" i="58"/>
  <c r="E55" i="68"/>
  <c r="G51" i="68"/>
  <c r="E51" i="68" s="1"/>
  <c r="G13" i="60"/>
  <c r="E17" i="60"/>
  <c r="E42" i="62"/>
  <c r="G54" i="41"/>
  <c r="E55" i="41"/>
  <c r="E46" i="41"/>
  <c r="E33" i="44"/>
  <c r="E48" i="41"/>
  <c r="G47" i="41"/>
  <c r="E47" i="41" s="1"/>
  <c r="G29" i="41"/>
  <c r="E29" i="41" s="1"/>
  <c r="G25" i="41"/>
  <c r="K75" i="41"/>
  <c r="E75" i="41" s="1"/>
  <c r="E76" i="41"/>
  <c r="K62" i="58"/>
  <c r="E50" i="62"/>
  <c r="G13" i="62"/>
  <c r="E49" i="58"/>
  <c r="E73" i="41"/>
  <c r="K18" i="44"/>
  <c r="K13" i="44" s="1"/>
  <c r="K15" i="68"/>
  <c r="E23" i="44"/>
  <c r="E30" i="68"/>
  <c r="I54" i="41"/>
  <c r="G62" i="58" l="1"/>
  <c r="E40" i="60"/>
  <c r="K47" i="60"/>
  <c r="G14" i="68"/>
  <c r="G43" i="44"/>
  <c r="I83" i="41"/>
  <c r="K54" i="41"/>
  <c r="E54" i="41" s="1"/>
  <c r="E42" i="68"/>
  <c r="G35" i="41"/>
  <c r="E35" i="41" s="1"/>
  <c r="E40" i="41"/>
  <c r="E18" i="44"/>
  <c r="G63" i="62"/>
  <c r="E13" i="62"/>
  <c r="E25" i="41"/>
  <c r="G13" i="41"/>
  <c r="E13" i="60"/>
  <c r="G47" i="60"/>
  <c r="E62" i="58"/>
  <c r="K83" i="41"/>
  <c r="K14" i="68"/>
  <c r="K74" i="68" s="1"/>
  <c r="E15" i="68"/>
  <c r="G74" i="68"/>
  <c r="E14" i="68" l="1"/>
  <c r="E63" i="62"/>
  <c r="E47" i="60"/>
  <c r="E13" i="41"/>
  <c r="G83" i="41"/>
  <c r="E74" i="68"/>
  <c r="K43" i="44"/>
  <c r="E13" i="44"/>
  <c r="E43" i="44" l="1"/>
  <c r="E83" i="41"/>
</calcChain>
</file>

<file path=xl/sharedStrings.xml><?xml version="1.0" encoding="utf-8"?>
<sst xmlns="http://schemas.openxmlformats.org/spreadsheetml/2006/main" count="2068" uniqueCount="788">
  <si>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</si>
  <si>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</si>
  <si>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</si>
  <si>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</si>
  <si>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</si>
  <si>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</si>
  <si>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</si>
  <si>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</si>
  <si>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</si>
  <si>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</si>
  <si>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</si>
  <si>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</si>
  <si>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</si>
  <si>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</si>
  <si>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</si>
  <si>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</si>
  <si>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</si>
  <si>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</si>
  <si>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Iš jų:</t>
  </si>
  <si>
    <t>2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</si>
  <si>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</si>
  <si>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</si>
  <si>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</si>
  <si>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</si>
  <si>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</si>
  <si>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</si>
  <si>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</si>
  <si>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</si>
  <si>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</si>
  <si>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Programos Nr.</t>
  </si>
  <si>
    <t>turtui įsigyti</t>
  </si>
  <si>
    <t>iš viso</t>
  </si>
  <si>
    <t>iš jų darbo užmokesčiui</t>
  </si>
  <si>
    <t>4</t>
  </si>
  <si>
    <t>10.04.01.40</t>
  </si>
  <si>
    <t>01.06.01.02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</si>
  <si>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</si>
  <si>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</si>
  <si>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</si>
  <si>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</si>
  <si>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</si>
  <si>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</si>
  <si>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</si>
  <si>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</si>
  <si>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</si>
  <si>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</si>
  <si>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</si>
  <si>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</si>
  <si>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</si>
  <si>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</si>
  <si>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</si>
  <si>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Programos kodas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</si>
  <si>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</si>
  <si>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</si>
  <si>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</si>
  <si>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</si>
  <si>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</si>
  <si>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</si>
  <si>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</si>
  <si>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</si>
  <si>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02</t>
  </si>
  <si>
    <t>SVEIKATOS APSAUGA</t>
  </si>
  <si>
    <t>10.02.01.02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</si>
  <si>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</si>
  <si>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</si>
  <si>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</si>
  <si>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</si>
  <si>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</si>
  <si>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</si>
  <si>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</si>
  <si>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07</t>
  </si>
  <si>
    <t>INFRASTRUKTŪROS OBJEKTŲ  PRIEŽIŪRA IR PLĖTRA</t>
  </si>
  <si>
    <t>04.05.01.02 06.04.01.01</t>
  </si>
  <si>
    <t>06.01.01.01</t>
  </si>
  <si>
    <t>08</t>
  </si>
  <si>
    <t>APLINKOS APSAUGA</t>
  </si>
  <si>
    <t>05.01.01.01</t>
  </si>
  <si>
    <t>10</t>
  </si>
  <si>
    <t>Iš jų</t>
  </si>
  <si>
    <t>3</t>
  </si>
  <si>
    <t>06</t>
  </si>
  <si>
    <t>KULTŪROS PAVELDO IŠSAUGOJIMAS, TURIZMO SKATINIMAS IR VYSTYMAS</t>
  </si>
  <si>
    <t>04.07.03.01</t>
  </si>
  <si>
    <t xml:space="preserve">                                                               ___________________________________________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</si>
  <si>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</si>
  <si>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</si>
  <si>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</si>
  <si>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04.05.01.02</t>
  </si>
  <si>
    <t>7 priedas</t>
  </si>
  <si>
    <t>Kėdainių Juozo Paukštelio progimnazija</t>
  </si>
  <si>
    <t>08.06.01.01</t>
  </si>
  <si>
    <t>(tūkst. Eur)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</si>
  <si>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</si>
  <si>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</si>
  <si>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</si>
  <si>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</si>
  <si>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Truskavos pagrindinė mokykla</t>
  </si>
  <si>
    <t>Kėdainių r. Šėtos  gimnazija</t>
  </si>
  <si>
    <t xml:space="preserve">04.07.03.01. </t>
  </si>
  <si>
    <t>05.06.01.01</t>
  </si>
  <si>
    <t>3.1</t>
  </si>
  <si>
    <t>5.1</t>
  </si>
  <si>
    <t>Kėdainių pagalbos šeimai centras</t>
  </si>
  <si>
    <t>Atnaujinti Lietuvos sporto universiteto Kėdainių  „Aušros“ progimnaziją, kuriant modernias ir saugias erdves</t>
  </si>
  <si>
    <t>Atnaujinti Dotnuvos seniūnijos Akademijos miestelio visuomeninės paskirties pastatą, pritaikant jį kaimo bendruomenės poreikiams</t>
  </si>
  <si>
    <t xml:space="preserve">Užtikrinti socialinio būsto fondo plėtrą Kėdainiuose </t>
  </si>
  <si>
    <t>Atnaujinti Krakių miestelio kultūros centrą, pritaikant jį kaimo bendruomenės poreikiams</t>
  </si>
  <si>
    <t>Kompleksiškai sutvaryti Kėdainių Sinagogą (Smilgos g. 5A, Kėdainiai), pritaikant kultūrinėms bei kitoms reikmėms</t>
  </si>
  <si>
    <t xml:space="preserve">Įrengti pėsčiųjų ir dviračių takus Pramonės g. Kėdainių mieste  </t>
  </si>
  <si>
    <t>Kompleksiškai atnaujinti daugiabučių namų kvartalus (I etapas)</t>
  </si>
  <si>
    <t>Kompleksiškai atnaujinti daugiabučių namų kvartalus (II etapas)</t>
  </si>
  <si>
    <t>Atnaujinti ir plėsti komunalinių atliekų tvarkymo infrastruktūrą Kėdainių rajono savivaldybėje</t>
  </si>
  <si>
    <t>Sutvarkyti atvirais kasiniais pažeistas žemes Kėdainių rajone</t>
  </si>
  <si>
    <t>04-08</t>
  </si>
  <si>
    <t>04.07.03.01.</t>
  </si>
  <si>
    <t>3.2</t>
  </si>
  <si>
    <t xml:space="preserve"> Kompleksiškai sutvarkyti ir pritaikyti bendruomenei ir verslui Kėdainių miesto viešąsias erdves (Kėdainių miesto, Vytauto parko, universalaus daugiafunkcio aikštyno, lauko teniso kortų prieigas)</t>
  </si>
  <si>
    <t>Kompleksiškai sutvarkyti ir pritaikyti bendruomenei ir verslui Kėdainių miesto viešąsias erdves (Kėdainių miesto, Vytauto parko, universalaus daugiafunkcio aikštyno, lauko teniso kortų prieigas)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</si>
  <si>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</si>
  <si>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</si>
  <si>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</si>
  <si>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</si>
  <si>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</si>
  <si>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</si>
  <si>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</si>
  <si>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</si>
  <si>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</si>
  <si>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</si>
  <si>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>Įgyvendinti projektą „Jonavos, Kėdainių ir Raseinių rajonų savivaldybes jungiančių trasų ir turizmo maršrutų informacinės infrastruktūros plėtra“</t>
  </si>
  <si>
    <t>iš jų: infrastruktūros projektų nuosavam indėliui užtikrinti</t>
  </si>
  <si>
    <t>Teikti kompleksines paslaugas šeimai Kėdainių rajone</t>
  </si>
  <si>
    <t>Tobulinti Kėdainių sporto centro infrastruktūrą (Parko g. 4, Vilainiai)</t>
  </si>
  <si>
    <t>10.1</t>
  </si>
  <si>
    <t>Kėdainių rajono savivaldybės visuomenės sveikatos biuras iš viso:</t>
  </si>
  <si>
    <t>Aktualizuoti Kėdainių krašto muziejų, padidinant kultūros paveldo aktualumą, lankomumą ir žinomumą (įskaitant ekspozicijų atnaujinimą)</t>
  </si>
  <si>
    <t>Modernizuoti Kėdainių lopšelio-darželio „Vaikystė“ infrastruktūrą</t>
  </si>
  <si>
    <t>Modernizuoti Kėdainių lopšelio-darželio „Žilvitis“ infrastruktūrą</t>
  </si>
  <si>
    <t>3.3</t>
  </si>
  <si>
    <t>2.2</t>
  </si>
  <si>
    <t>4.1</t>
  </si>
  <si>
    <t>07.02.01.01</t>
  </si>
  <si>
    <t xml:space="preserve">iš jų: teikti integralią pagalbą į namus Kėdainių rajone </t>
  </si>
  <si>
    <t xml:space="preserve">Gerinti Kėdainių rajono savivaldybėje teikiamų paslaugų ir asmenų aptarnavimo kokybę  </t>
  </si>
  <si>
    <t>Kėdainių rajono savivaldybės administracija iš viso:</t>
  </si>
  <si>
    <t>Kėdainių r. Vilainių mokykla-darželis „Obelėlė“</t>
  </si>
  <si>
    <t>10.2</t>
  </si>
  <si>
    <t>Atnaujinti Truskavos kultūros centrą, pritaikant jį kaimo bendruomenės poreikiams bei kultūrinei veiklai</t>
  </si>
  <si>
    <t>Likviduoti apleistus (bešeimininkius ar savivaldybei nuosavybės teise priklausančius) pastatus ir kitus aplinką žalojančius objektus</t>
  </si>
  <si>
    <t xml:space="preserve">SPORTO VEIKLOS PLĖTRA </t>
  </si>
  <si>
    <t>Įgyvendinti priemones, skirtas žemo slenksčio paslaugų kokybės gerinimui Kėdainių rajono savivaldybėje</t>
  </si>
  <si>
    <t>07.06.01.05</t>
  </si>
  <si>
    <t>5.2</t>
  </si>
  <si>
    <t>7.2</t>
  </si>
  <si>
    <t>7.3</t>
  </si>
  <si>
    <t>8</t>
  </si>
  <si>
    <t>Kita tikslinė dotacija mokyklos specialiųjų ugdymosi poreikių turintiems mokiniams</t>
  </si>
  <si>
    <t>Kėdainių r. Miegenų pagrindinė mokykla</t>
  </si>
  <si>
    <t>Kėdainių švietimo pagalbos tarnyba</t>
  </si>
  <si>
    <t xml:space="preserve">Šėtos socialinis ir ugdymo centras </t>
  </si>
  <si>
    <t>Kėdainių rajono savivaldybės visuomenės sveikatos biuras</t>
  </si>
  <si>
    <t>4 priedas</t>
  </si>
  <si>
    <t>Asignavimai už atsitiktines paslaugas</t>
  </si>
  <si>
    <t>išlaidoms</t>
  </si>
  <si>
    <t xml:space="preserve">09.02.01.01   </t>
  </si>
  <si>
    <t>09.05.01.03</t>
  </si>
  <si>
    <t>07.04.01.02</t>
  </si>
  <si>
    <t>10.01.02.02 10.07.01.01</t>
  </si>
  <si>
    <t>10.09.01.09</t>
  </si>
  <si>
    <t xml:space="preserve">05.01.01.01 </t>
  </si>
  <si>
    <t>06.02.01.01</t>
  </si>
  <si>
    <t>01.03.02.09</t>
  </si>
  <si>
    <t xml:space="preserve">01.03.02.09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</si>
  <si>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</si>
  <si>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</si>
  <si>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</si>
  <si>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Atlikti Kėdainių r. Šėtos mstl. Sodų g. kapitalinį remontą</t>
  </si>
  <si>
    <t>Atlikti Kėdainių r. Pelėdnagių k. Ateities g. kapitalinį remontą</t>
  </si>
  <si>
    <t>Atlikti Kėdainių r. Šlapaberžės k. Linksmosios g.  ir Kalnaberžės k. Vyšnių g. kapitalinį remontą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</si>
  <si>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</si>
  <si>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</si>
  <si>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</si>
  <si>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</si>
  <si>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</si>
  <si>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</si>
  <si>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</si>
  <si>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 2021 METŲ ASIGNAVIMAI ĮSTAIGOMS IŠ PAJAMŲ, GAUTŲ UŽ PREKES IR PASLAUGAS </t>
  </si>
  <si>
    <t xml:space="preserve"> 2021 METŲ ASIGNAVIMAI ĮSTAIGOMS IŠ PAJAMŲ, GAUTŲ UŽ ILGALAIKIO IR TRUMPALAIKIO MATERIALIOJO TURTO NUOMĄ</t>
  </si>
  <si>
    <t>2021 METŲ ASIGNAVIMAI ĮSTAIGOMS IŠ PAJAMŲ, GAUTŲ UŽ IŠLAIKYMĄ ŠVIETIMO, SOCIALINĖS APSAUGOS IR KITOSE ĮSTAIGOSE</t>
  </si>
  <si>
    <t xml:space="preserve"> 09.05.01.03</t>
  </si>
  <si>
    <t xml:space="preserve"> Kita tikslinė dotacija ugdymo reikmėms COVID-19 pandemijos padariniams šalinti  (skaitmeninio ugdymo plėtrai)</t>
  </si>
  <si>
    <t>2021 METŲ VALSTYBĖS BIUDŽETO SPECIALIOS TIKSLINĖS DOTACIJOS SAVIVALDYBĖS BIUDŽETUI UGDYMO REIKMĖMS FINANSUOTI ASIGNAVIMAI</t>
  </si>
  <si>
    <t xml:space="preserve">KĖDAINIŲ RAJONO SAVIVALDYBĖS 2021 METŲ BIUDŽETO ASIGNAVIMAI PROJEKTAMS FINANSUOTI EUROPOS SĄJUNGOS LĖŠOMIS </t>
  </si>
  <si>
    <t>2021 METŲ VALSTYBĖS BIUDŽETO DOTACIJOS IŠ KITŲ VALDYMO LYGIŲ SAVIVALDYBĖS BIUDŽETUI PROJEKTAMS FINANSUOTI  ASIGNAVIMAI</t>
  </si>
  <si>
    <t xml:space="preserve">  </t>
  </si>
  <si>
    <t xml:space="preserve">06.02.01.01                       </t>
  </si>
  <si>
    <t>Plėtoti bendruomeninių vaikų globos namų ir vaikų dienos centrų tinklą Kėdainių rajono savivaldybėje</t>
  </si>
  <si>
    <t>Įgyvendinti projektą "Kėdainių gatvių apšvietimo modernizavimas"</t>
  </si>
  <si>
    <t xml:space="preserve">Įgyvendinti projektą "Kėdainių miesto A. Kanapinsko, P. Lukšio, Mindaugo, Pavasario ir Žemaitės gatvių rekonstrukcija"     </t>
  </si>
  <si>
    <t>7.1</t>
  </si>
  <si>
    <t>5</t>
  </si>
  <si>
    <t>9</t>
  </si>
  <si>
    <t>9.1</t>
  </si>
  <si>
    <t>13.1</t>
  </si>
  <si>
    <t>19.1</t>
  </si>
  <si>
    <t>29.1</t>
  </si>
  <si>
    <t>29.2</t>
  </si>
  <si>
    <t>29.3</t>
  </si>
  <si>
    <t>29.4</t>
  </si>
  <si>
    <t>2.1</t>
  </si>
  <si>
    <t>2.3</t>
  </si>
  <si>
    <t>8.1</t>
  </si>
  <si>
    <t>06.04.01.01.</t>
  </si>
  <si>
    <t>Naujai nutiesti gatvės dalį Kėdainių mieste (T. Bružaitės g.)</t>
  </si>
  <si>
    <t>01.1</t>
  </si>
  <si>
    <t>01.2</t>
  </si>
  <si>
    <t>01.3</t>
  </si>
  <si>
    <t>52.1</t>
  </si>
  <si>
    <t>12.1</t>
  </si>
  <si>
    <t>12.2</t>
  </si>
  <si>
    <t>12.3</t>
  </si>
  <si>
    <t>12.4</t>
  </si>
  <si>
    <t>12.5</t>
  </si>
  <si>
    <t>14.1</t>
  </si>
  <si>
    <t xml:space="preserve">Kėdainių r. Krakių Mikalojaus Katkaus gimnazija </t>
  </si>
  <si>
    <t>iš jų: lėšos skirtos kokybės krepšelis</t>
  </si>
  <si>
    <t>"Jaunimo erdvė be standartų"</t>
  </si>
  <si>
    <t>"Praktinis profesinių įgūdžių gidas - galimybė tau"</t>
  </si>
  <si>
    <t>09.05.01.02</t>
  </si>
  <si>
    <t>iš jų: įgyvendinti projektą "Sveikos gyvensenos skatinimas Kėdainių rajone"</t>
  </si>
  <si>
    <t>iš jų: įgyvendinti projektą „Vaikų gerovės ir saugumo didinimo, paslaugų šeimai, globėjams (rūpintojams) kokybės didinimo bei prieinamumo plėtra“</t>
  </si>
  <si>
    <t>Kėdainių kultūros centras iš viso:</t>
  </si>
  <si>
    <t>iš jų: dalyvauti projekte "Gyvenimo spalvos"</t>
  </si>
  <si>
    <t>iš jų: dalyvauti projektuose "Kunigaikščių Radvilų paveldo Kėdainiuose ir Nesvyžiuje išsaugojimas bei pritaikymas turizmo reikmėms"</t>
  </si>
  <si>
    <t>Kėdainių suaugusiųjų ir jaunimo mokymo centras iš viso, iš jų dalyvauti projektuose:</t>
  </si>
  <si>
    <t>"Draugiška senjorams bendruomenė"</t>
  </si>
  <si>
    <t>Kėdainių krašto muziejus iš viso, iš jų dalyvauti projektuose:</t>
  </si>
  <si>
    <t>„Memo“ istorija (Latvija)</t>
  </si>
  <si>
    <t>Modernizuoti Kėdainių krašto muziejaus Daugiakultūrį centrą</t>
  </si>
  <si>
    <t>Lietuvos-Lenkijos istorija iš trijų miestų perspektyvos</t>
  </si>
  <si>
    <t>5.3</t>
  </si>
  <si>
    <t>12</t>
  </si>
  <si>
    <t>13</t>
  </si>
  <si>
    <t>14.2</t>
  </si>
  <si>
    <t>14.3</t>
  </si>
  <si>
    <t>15</t>
  </si>
  <si>
    <t>16</t>
  </si>
  <si>
    <t>16.1</t>
  </si>
  <si>
    <t>18.1</t>
  </si>
  <si>
    <t>19.2</t>
  </si>
  <si>
    <t>19.3</t>
  </si>
  <si>
    <t>21.1</t>
  </si>
  <si>
    <t>21.2</t>
  </si>
  <si>
    <t>21.3</t>
  </si>
  <si>
    <t>21.4</t>
  </si>
  <si>
    <t>22.1</t>
  </si>
  <si>
    <t>22.2</t>
  </si>
  <si>
    <t>22.3</t>
  </si>
  <si>
    <t>22.4</t>
  </si>
  <si>
    <t>24.1</t>
  </si>
  <si>
    <t>24.2</t>
  </si>
  <si>
    <t>24.3</t>
  </si>
  <si>
    <t>24.4</t>
  </si>
  <si>
    <t>24.5</t>
  </si>
  <si>
    <t>24.6</t>
  </si>
  <si>
    <t>24.7</t>
  </si>
  <si>
    <t>24.8</t>
  </si>
  <si>
    <t>26.1</t>
  </si>
  <si>
    <t>26.2</t>
  </si>
  <si>
    <t>26.3</t>
  </si>
  <si>
    <t>28.1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</si>
  <si>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</si>
  <si>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</si>
  <si>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</si>
  <si>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</si>
  <si>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VšĮ „Pažinimo taku“</t>
  </si>
  <si>
    <t>8.2</t>
  </si>
  <si>
    <t>Kėdainių „Spindulio“ mokykla</t>
  </si>
  <si>
    <t>Planas</t>
  </si>
  <si>
    <t>Įvykdyta</t>
  </si>
  <si>
    <t>Įykdyta</t>
  </si>
  <si>
    <t>Įvvykdyta</t>
  </si>
  <si>
    <t xml:space="preserve">                                                        Kėdainių rajono savivaldybės tarybos</t>
  </si>
  <si>
    <t>3 priedas</t>
  </si>
  <si>
    <t>KĖDAINIŲ RAJONO SAVIVALDYBĖS 2021 METŲ BIUDŽETO ASIGNAVIMAI  SAVARANKIŠKOMS FUNKCIJOMS ATLIKTI</t>
  </si>
  <si>
    <t>Eil.   Nr.</t>
  </si>
  <si>
    <t>09.01.01.01
09.05.01.01</t>
  </si>
  <si>
    <t>09.02.02.01
09.05.01.01</t>
  </si>
  <si>
    <t>Kėdainių r. Miegėnų pagrindinė mokykla</t>
  </si>
  <si>
    <t>09.02.01.01
09.02.02.01 
09.05.01.01
09.05.01.02</t>
  </si>
  <si>
    <t>09.05.01.01  09.05.01.02 09.05.01.03</t>
  </si>
  <si>
    <t>Šėtos socialinis ir ugdymo  centras</t>
  </si>
  <si>
    <t xml:space="preserve">Kėdainių rajono savivaldybės administracija iš viso: </t>
  </si>
  <si>
    <t>32.1</t>
  </si>
  <si>
    <t xml:space="preserve">09.08.01.09    </t>
  </si>
  <si>
    <t>32.2</t>
  </si>
  <si>
    <t>09.</t>
  </si>
  <si>
    <t>32.3</t>
  </si>
  <si>
    <t xml:space="preserve">Finansuoti vaikų vasaros stovyklų ir kitų neformaliojo vaikų švietimo veiklų programas  </t>
  </si>
  <si>
    <t>09.08.01.01</t>
  </si>
  <si>
    <t>32.4</t>
  </si>
  <si>
    <t>Skatinti  savivaldybės gabius mokinius</t>
  </si>
  <si>
    <t>09.06.01.01</t>
  </si>
  <si>
    <t>32.5</t>
  </si>
  <si>
    <t>Kėdainių rajono savivaldybės 2021 m. biudžeto asignavimai investicijų projektams ir remonto darbams finansuoti pagal objektus:</t>
  </si>
  <si>
    <t>32.5.1</t>
  </si>
  <si>
    <t>32.5.2</t>
  </si>
  <si>
    <t>32.5.3</t>
  </si>
  <si>
    <t>32.5.4</t>
  </si>
  <si>
    <t>Sudaryti saugias ugdymo sąlygas įstaigose, vykdančiose ugdymo programas</t>
  </si>
  <si>
    <t>32.5.5</t>
  </si>
  <si>
    <t>Įrengti vėdinimo  ir kondicionavimo sistemas savivaldybės ugdymo įstaigose</t>
  </si>
  <si>
    <t>32.5.6</t>
  </si>
  <si>
    <t>Koofinansuoti  švietimo įstaigų dalyvavimą infrastruktūros gerinimo/modernizavimo projektuose</t>
  </si>
  <si>
    <t>32.5.7</t>
  </si>
  <si>
    <t>Parengti viešųjų pastatų, esančių Josvainių g. 53 ir Pavasario g. 8, Kėdainiuose, energinio efektyvumo didinimo investicijų projektus, rengiamus pastato energijos vartojimo audito pagrindu, ir techninius projektus</t>
  </si>
  <si>
    <t xml:space="preserve">07.04.01.02 </t>
  </si>
  <si>
    <t>35.1</t>
  </si>
  <si>
    <t>07.06.01.09</t>
  </si>
  <si>
    <t>35.2</t>
  </si>
  <si>
    <t>07.01.03.01</t>
  </si>
  <si>
    <t>35.3</t>
  </si>
  <si>
    <t>Vykdyti VšĮ Kėdainių ligoninės dantų protezavimo  programą</t>
  </si>
  <si>
    <t>07.02.03.01</t>
  </si>
  <si>
    <t>35.4</t>
  </si>
  <si>
    <t>35.5</t>
  </si>
  <si>
    <t>Vykdyti traumatologinės pagalbos kokybės gerinimo Kėdainių rajono savivaldybės gyventojams 2016–2021 m. programą</t>
  </si>
  <si>
    <t>35.6</t>
  </si>
  <si>
    <t xml:space="preserve">Vykdyti Kėdainių rajono tuberkuliozės prevencijos, ankstyvosios diagnostikos, gydymo ir kontrolės 2017–2022 m. programą </t>
  </si>
  <si>
    <t>35.7</t>
  </si>
  <si>
    <t>Vykdyti pirminės asmens sveikatos priežiūros paslaugų prieinamumo ir kokybės užtikrinimo Kėdainių rajono kaimiškųjų vietovių gyventojams 2017–2023 m. programą</t>
  </si>
  <si>
    <t>07.06.01.06</t>
  </si>
  <si>
    <t>35.8</t>
  </si>
  <si>
    <t>35.9</t>
  </si>
  <si>
    <t xml:space="preserve">Vykdyti akušerinės pagalbos kokybės gerinimo Kėdainių rajono savivaldybės moterims 2020-2021 m. programą </t>
  </si>
  <si>
    <t>07.03.01.01</t>
  </si>
  <si>
    <t>35.10</t>
  </si>
  <si>
    <t>Vykdyti endoskopinių paslaugų prieinamumo ir kokybės gerinimo Kėdainių rajono savivaldybėje 2020-2025 m. programą</t>
  </si>
  <si>
    <t>35.11</t>
  </si>
  <si>
    <t>Vykdyti mamografijos paslaugų tęstinumo, kokybės gerinimo Kėdainių rajono savivaldybėje 2020-2025 m. programą</t>
  </si>
  <si>
    <t>35.12</t>
  </si>
  <si>
    <t>Vykdyti kompiuterinės tomografijos paslaugų kokybės gerinimo Kėdainių rajono savivaldybėje 2021-2028 m. programą</t>
  </si>
  <si>
    <t>35.13</t>
  </si>
  <si>
    <t>Vykdyti aplinkos apsaugos rėmimo specialiąją programą (pridedama 13 priedas)</t>
  </si>
  <si>
    <t>07.06.01.02</t>
  </si>
  <si>
    <t>35.14</t>
  </si>
  <si>
    <t>35.14.1</t>
  </si>
  <si>
    <t>Gerinti pirminės asmens sveikatos priežiūros paslaugų teikimo prieinamumą tuberkuliozės srityje</t>
  </si>
  <si>
    <t>35.14.2</t>
  </si>
  <si>
    <t xml:space="preserve">Didinti pirminės asmens sveikatos priežiūros veiklos efektyvumą VšĮ Kėdainių pirminės sveikatos priežiūros centre </t>
  </si>
  <si>
    <t>35.14.3</t>
  </si>
  <si>
    <t>35.14.4</t>
  </si>
  <si>
    <t>Įrengti medicinos punktą Langakių kaime</t>
  </si>
  <si>
    <t>10.01.02.02
10.07.01.01
10.09.01.01</t>
  </si>
  <si>
    <t>iš jų: vykdyti socialinės paramos 2021 m. programą</t>
  </si>
  <si>
    <t xml:space="preserve">10.02.01.02 </t>
  </si>
  <si>
    <t>42.1</t>
  </si>
  <si>
    <t>10.01.02.02
10.06.01.01
10.09.01.01 
10.09.01.09</t>
  </si>
  <si>
    <t>42.2</t>
  </si>
  <si>
    <t>Organizuoti nemokamą socialiai remtinų vaikų maitinimą ikimokyklinėse įstaigose</t>
  </si>
  <si>
    <t>10.07.01.01</t>
  </si>
  <si>
    <t>42.3</t>
  </si>
  <si>
    <t xml:space="preserve">Kompensuoti nemokamo mokinių maitinimo kainą bendrojo lavinimo mokyklose </t>
  </si>
  <si>
    <t>42.4</t>
  </si>
  <si>
    <t>Organizuoti socialinės reabilitacijos paslaugų neįgaliesiems bendruomenėje projektų konkursus</t>
  </si>
  <si>
    <t>10.01.02.01</t>
  </si>
  <si>
    <t>42.5</t>
  </si>
  <si>
    <t xml:space="preserve">Dengti kainų skirtumą gyventojams už šildymą </t>
  </si>
  <si>
    <t>10.06.01.01</t>
  </si>
  <si>
    <t>42.6</t>
  </si>
  <si>
    <t>Kompensuoti karšto ir šalto vandens pardavimo kainą socialiai remtiniems asmenims</t>
  </si>
  <si>
    <t>42.7</t>
  </si>
  <si>
    <t xml:space="preserve">Kompensuoti kelionės išlaidas už lengvatinį keleivių vežimą </t>
  </si>
  <si>
    <t>09.06.01.01
10.01.02.40
10.02.01.40</t>
  </si>
  <si>
    <t>42.8</t>
  </si>
  <si>
    <t>Užtikrinti paslaugų teikimą VšĮ "Gyvenimo namai sutrikusio intelekto asmenims"</t>
  </si>
  <si>
    <t>10.01.02.40</t>
  </si>
  <si>
    <t>42.9</t>
  </si>
  <si>
    <t>Finansuoti dienos socialinės globos paslaugų teikimą Kėdainių socialinės globos namuose</t>
  </si>
  <si>
    <t>42.10</t>
  </si>
  <si>
    <t>Finansuoti vaikų dienos centrų veiklos programas</t>
  </si>
  <si>
    <t>42.11</t>
  </si>
  <si>
    <t>Teikti vienkartinę išmoką gimus vaikui Lietuvos Respublikos teritorijoje ir gyvenančiam Kėdainių rajono savivaldybėje</t>
  </si>
  <si>
    <t>42.12</t>
  </si>
  <si>
    <t>42.12.1</t>
  </si>
  <si>
    <t>42.12.2</t>
  </si>
  <si>
    <t>Remontuoti savivaldybės ir socialinį būstą</t>
  </si>
  <si>
    <t>10.06.01.40 06.01.01.01</t>
  </si>
  <si>
    <t>42.12.3</t>
  </si>
  <si>
    <t>42.12.4</t>
  </si>
  <si>
    <t>42.12.5</t>
  </si>
  <si>
    <t xml:space="preserve">10.06.01.01 10.07.01.01
10.09.01.09 </t>
  </si>
  <si>
    <t>10.06.01.01 10.07.01.01
10.09.01.09</t>
  </si>
  <si>
    <t>Kėdainių r sav administracijos Surviliškio seniūnija</t>
  </si>
  <si>
    <t>56.1</t>
  </si>
  <si>
    <t>08.06.01.09</t>
  </si>
  <si>
    <t>56.2</t>
  </si>
  <si>
    <t>Finansuoti strateginių sporto šakų programas, iš jų:</t>
  </si>
  <si>
    <t xml:space="preserve">VšĮ "Veržlusis Nevėžis" veiklos programai </t>
  </si>
  <si>
    <t>VšĮ „Sporto perspektyvos" veiklos programai</t>
  </si>
  <si>
    <t>Kėdainių bokso federacijos veiklos programai</t>
  </si>
  <si>
    <t>VšĮ „Sporto perspektyvos" vaikų ir jaunimo futbolo plėtros veiklos programai</t>
  </si>
  <si>
    <t>56.3</t>
  </si>
  <si>
    <t>Finansuoti fizinio aktyvumo ir sporto veiklos projektus</t>
  </si>
  <si>
    <t>56.4</t>
  </si>
  <si>
    <t xml:space="preserve">Finansuoti Vaikų mokymo plaukti veiklos programą, dalyvaujant projekte „Mokėk plaukti ir saugiau elgtis vandenyje“ </t>
  </si>
  <si>
    <t>56.5</t>
  </si>
  <si>
    <t>56.5.1</t>
  </si>
  <si>
    <t>56.5.2</t>
  </si>
  <si>
    <t>Atnaujinti Kėdainių  „Ryto“ progimnazijos stadioną ir sporto aikštyną</t>
  </si>
  <si>
    <t>56.5.3</t>
  </si>
  <si>
    <t xml:space="preserve">Rekonstruoti Kėdainių miesto stadioną ir atsargines futbolo, aktyvaus poilsio aikštes bei mašinų stovėjimo aikštelę šalia stadiono </t>
  </si>
  <si>
    <t>56.5.4</t>
  </si>
  <si>
    <t>Atnaujinti ir (arba) plėsti bendruomeninę fizinio aktyvumo infrastruktūrą  mieste ir rajone, pritaikant ją bendruomenės poreikiams bei laisvalaikiui</t>
  </si>
  <si>
    <t>iš jų: Dalyvauti akcijoje "Kėdainiams reikia vargonų"</t>
  </si>
  <si>
    <t>76.1</t>
  </si>
  <si>
    <t>08.02.01.06
08.06.01.09</t>
  </si>
  <si>
    <t>76.2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</si>
  <si>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</si>
  <si>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08.04.01.01</t>
  </si>
  <si>
    <t>76.3</t>
  </si>
  <si>
    <t xml:space="preserve">Sudaryti sąlygas bendruomeninių organizacijų veiklai </t>
  </si>
  <si>
    <t>76.4</t>
  </si>
  <si>
    <t>76.4.1</t>
  </si>
  <si>
    <t>Finansuoti Kėdainių rajono vietos veiklos grupės teritorijos vietos plėtros 2015-2023 m. strategijos įgyvendinimą</t>
  </si>
  <si>
    <t>01-10</t>
  </si>
  <si>
    <t>76.4.2</t>
  </si>
  <si>
    <t>Finansuoti Kėdainių miesto vietos veiklos grupės 2016–2022 m. vietos plėtros strategijos įgyvendinimą</t>
  </si>
  <si>
    <t>76.4.3</t>
  </si>
  <si>
    <t>76.4.4</t>
  </si>
  <si>
    <t>76.4.5</t>
  </si>
  <si>
    <t xml:space="preserve">Remontuoti Akademijos kultūros centrą </t>
  </si>
  <si>
    <t>76.4.6</t>
  </si>
  <si>
    <t>Įsigyti Kėdainių kultūros centro Labūnavos skyriaus pastatą</t>
  </si>
  <si>
    <t>Kėdainių krašto muziejus iš viso:</t>
  </si>
  <si>
    <t>iš jų: modernizuoti Kėdainių krašto muziejaus Daugiakultūrio centrą</t>
  </si>
  <si>
    <t>80.1</t>
  </si>
  <si>
    <t>Finansuoti VšĮ Kėdainių turizmo ir verslo informacijos centro turizmo veiklos programą</t>
  </si>
  <si>
    <t>80.2</t>
  </si>
  <si>
    <t>08.04.01.02</t>
  </si>
  <si>
    <t>80.3</t>
  </si>
  <si>
    <t>Vystyti piligriminį/religinį turizmą</t>
  </si>
  <si>
    <t>80.4</t>
  </si>
  <si>
    <t>80.4.1</t>
  </si>
  <si>
    <t xml:space="preserve">Įgyvendinti priemones, skirtas kovų už Lietuvos Nepriklausomybę vietoms ir paminklams įamžinti </t>
  </si>
  <si>
    <t xml:space="preserve">08.02.01.07
</t>
  </si>
  <si>
    <t>80.4.2</t>
  </si>
  <si>
    <t>Kompleksiškai sutvarkyti Kėdainių Sinagogą (Smilgos g. 5A, Kėdainiai), pritaikant kultūrinėms bei kitoms reikmėms</t>
  </si>
  <si>
    <t>80.4.3</t>
  </si>
  <si>
    <t xml:space="preserve">Parengti projektus ir remontuoti koplytėles, koplytstulpius, skulptūras, kapinaites  ir kapus   </t>
  </si>
  <si>
    <t>08.02.01.07</t>
  </si>
  <si>
    <t>80.4.4</t>
  </si>
  <si>
    <t>80.4.5</t>
  </si>
  <si>
    <t>Įrengti  valstybinės reikšmės kelių nuorodas į savivaldybės kultūros paveldo objektus</t>
  </si>
  <si>
    <t>80.4.6</t>
  </si>
  <si>
    <t>80.4.7</t>
  </si>
  <si>
    <t>Atlikti paveldo objektams parengtų tvarkybos projektų ekspertizę, parengti sąmatas</t>
  </si>
  <si>
    <t>80.4.8</t>
  </si>
  <si>
    <t>Atlikti kultūros paveldo objektų ar objektų, esančių kultūros paveldo teritorijų prieigose tvarkybos darbus seniūnijose</t>
  </si>
  <si>
    <t>80.4.9</t>
  </si>
  <si>
    <t xml:space="preserve">Vykdyti rezistentų paminklinio akmens ir teritorijos apimančios masinę kapavietę sutvarkymo darbus (Skongalio g.) </t>
  </si>
  <si>
    <t>80.4.10</t>
  </si>
  <si>
    <t>80.4.11</t>
  </si>
  <si>
    <t>80.4.12</t>
  </si>
  <si>
    <t>80.4.13</t>
  </si>
  <si>
    <t>04.06.01.01</t>
  </si>
  <si>
    <t>80.4.14</t>
  </si>
  <si>
    <t xml:space="preserve">Rengti nekilnojamųjų kultūros paveldo objektų, vietovių  individualius apsaugos reglamentus </t>
  </si>
  <si>
    <t>80.4.15</t>
  </si>
  <si>
    <t>Parengti Nekilnojamųjų kultūros vertybių vertinimo medžiagą ir pristatyti nekilnojamojo kultūros paveldo vertinimo tarybai</t>
  </si>
  <si>
    <t>80.4.16</t>
  </si>
  <si>
    <t>Parengti Akademijos parko tvarkybos ir techninius projektus ir atlikti darbus</t>
  </si>
  <si>
    <t>80.4.17</t>
  </si>
  <si>
    <t>Įrengti elektromobilių įkrovimo prieigas Kėdainių mieste</t>
  </si>
  <si>
    <t>04.05.01.02.</t>
  </si>
  <si>
    <t>80.4.18</t>
  </si>
  <si>
    <t>Plėsti dviračių takų infrastruktūrą mieste ir rajone</t>
  </si>
  <si>
    <t>Kėdainių rajono savivaldybės administracija iš viso :</t>
  </si>
  <si>
    <t>82.1</t>
  </si>
  <si>
    <t>82.1.1</t>
  </si>
  <si>
    <t>Rengti specialiuosius, detaliuosius, geodezinius planus bei  topografines nuotraukas</t>
  </si>
  <si>
    <t>04.09.01.01</t>
  </si>
  <si>
    <t>82.1.2</t>
  </si>
  <si>
    <t>Atnaujinti Kėdainių rajono teritorijos bendrąjį planą</t>
  </si>
  <si>
    <t>82.1.3</t>
  </si>
  <si>
    <t>Atnaujinti Kėdainių miesto teritorijos bendrąjį planą</t>
  </si>
  <si>
    <t>82.1.4</t>
  </si>
  <si>
    <t xml:space="preserve">Atlikti turto inventorizavimą, teisinę registraciją, parengti  dokumentus turto privatizavimui </t>
  </si>
  <si>
    <t>82.1.5</t>
  </si>
  <si>
    <t xml:space="preserve">Rengti infrastruktūros objektų tvarkymo investicinius projektus, paraiškas, kitą techninę dokumentaciją  ES fondų paramai gauti </t>
  </si>
  <si>
    <t>82.1.6</t>
  </si>
  <si>
    <t>Parengti Kėdainių rajono atsinaujinančių energijos išteklių plėtros  planą</t>
  </si>
  <si>
    <t>04.03.07.01</t>
  </si>
  <si>
    <t>82.1.7</t>
  </si>
  <si>
    <t>Įrengti, rekonstruoti, išplėsti vandentiekio ir/ar nuotekų tinklus Kėdainių mieste (Algirdo g., Parakinės g., Rūtų g., Pievų g., Šviesos g. J. Biliūno g.)</t>
  </si>
  <si>
    <t>05.02.01.01 
06.03.01.01</t>
  </si>
  <si>
    <t>82.1.8</t>
  </si>
  <si>
    <t>Rekonstruoti ir plėsti vandentiekio ir buitinių nuotekų infrastruktūrą Šėtos mstl, Kunionių kaime bei Kėdainių mieste</t>
  </si>
  <si>
    <t>06.03.01.01</t>
  </si>
  <si>
    <t>82.1.9</t>
  </si>
  <si>
    <t>Rekonstruoti ir plėsti Kėdainių miesto paviršinių nuotekų tinklus</t>
  </si>
  <si>
    <t>05.02.01.01</t>
  </si>
  <si>
    <t>82.1.10</t>
  </si>
  <si>
    <t>Rekonstruoti Kėdainių miesto nuotekų valyklą</t>
  </si>
  <si>
    <t>82.1.11</t>
  </si>
  <si>
    <t>Rekonstruoti Akademijos  nuotekų valyklą</t>
  </si>
  <si>
    <t>82.1.12</t>
  </si>
  <si>
    <t>82.1.13</t>
  </si>
  <si>
    <t>Likviduoti avarinius židinius</t>
  </si>
  <si>
    <t>82.1.14</t>
  </si>
  <si>
    <t xml:space="preserve">Plėsti vandentiekio ir buitinių nuotekų tinklus Kalnaberžės kaime </t>
  </si>
  <si>
    <t>06.03.01.01 05.02.01.01</t>
  </si>
  <si>
    <t>82.1.15</t>
  </si>
  <si>
    <t xml:space="preserve">Įrengti biologinius ar individualius  nuotekų valymo įrenginius </t>
  </si>
  <si>
    <t>05.02.01.01.</t>
  </si>
  <si>
    <t>82.1.16</t>
  </si>
  <si>
    <t>Parengti buitinių nuotekų tinklų išplėtimo Pavermenio kaime techninį projektą ir atlikti darbus</t>
  </si>
  <si>
    <t>82.1.17</t>
  </si>
  <si>
    <t>06.04.01.01</t>
  </si>
  <si>
    <t>82.1.18</t>
  </si>
  <si>
    <t>82.1.19</t>
  </si>
  <si>
    <t>82.1.20</t>
  </si>
  <si>
    <t>82.1.21</t>
  </si>
  <si>
    <t>Remontuoti biudžetinių įstaigų kiemus</t>
  </si>
  <si>
    <t>82.1.22</t>
  </si>
  <si>
    <t>Finansuoti inžinierines paslaugas, darbus ir įrengimus</t>
  </si>
  <si>
    <t>82.1.23</t>
  </si>
  <si>
    <t>82.1.24</t>
  </si>
  <si>
    <t>82.1.25</t>
  </si>
  <si>
    <t>82.1.26</t>
  </si>
  <si>
    <t>Remontuoti viešųjų ir biudžetinių įstaigų stogus</t>
  </si>
  <si>
    <t>82.1.27</t>
  </si>
  <si>
    <t>82.1.28</t>
  </si>
  <si>
    <t xml:space="preserve">Dalyvauti energinio efektyvumo didinimo daugiabučiuose namuose programoje, kompensuojant Savivaldybei priklausančių būstų renovacijos išlaidas </t>
  </si>
  <si>
    <t>82.1.29</t>
  </si>
  <si>
    <t>Apmokėti Europos Sąjungos projektų, kuriems taikomas apmokėjimas  kompensavimo būdu,  išlaidas</t>
  </si>
  <si>
    <t>82.1.30</t>
  </si>
  <si>
    <t xml:space="preserve">Parengti vandentiekio ir nuotekų tinklų išplėtimo Surviliškio k. statybos projektą </t>
  </si>
  <si>
    <t>82.1.31</t>
  </si>
  <si>
    <t xml:space="preserve">Parengti vandentiekio ir nuotekų tinklų įrengimo Nevėžio ir Vainikų g. Labūnavos k. statybos projektą </t>
  </si>
  <si>
    <t>82.1.32</t>
  </si>
  <si>
    <t xml:space="preserve">Parengti vandentiekio ir nuotekų tinklų įrengimo Langakių k. statybos projektą   </t>
  </si>
  <si>
    <t>82.1.33</t>
  </si>
  <si>
    <t>95.1</t>
  </si>
  <si>
    <t>95.2</t>
  </si>
  <si>
    <t>95.2.1</t>
  </si>
  <si>
    <t xml:space="preserve">Finansuoti žvyro įsigijimą seniūnijų keliams prižiūrėti </t>
  </si>
  <si>
    <t>95.2.2</t>
  </si>
  <si>
    <t>95.2.3</t>
  </si>
  <si>
    <t>95.2.4</t>
  </si>
  <si>
    <t>95.2.5</t>
  </si>
  <si>
    <t>Įgyvendinti visuomenės aplinkosauginio švietimo priemones</t>
  </si>
  <si>
    <t>95.2.6</t>
  </si>
  <si>
    <t xml:space="preserve">Prižiūrėti ir tvarkyti viešąsias erdves, atnaujintas įgyvendinant ES projektus  </t>
  </si>
  <si>
    <t>95.2.7</t>
  </si>
  <si>
    <t>95.3</t>
  </si>
  <si>
    <t>05.03.01.01</t>
  </si>
  <si>
    <t>95.4</t>
  </si>
  <si>
    <t>Vykdyti atliekų tvarkymo sistemos organizavimo funkciją</t>
  </si>
  <si>
    <t>95.5</t>
  </si>
  <si>
    <t>Vykdyti savivaldybės viešųjų teritorijų tvarkymą</t>
  </si>
  <si>
    <t xml:space="preserve">05.01.01.01  05.02.01.01
06.03.01.01                       </t>
  </si>
  <si>
    <t xml:space="preserve">05.01.01.01
06.02.01.01                       </t>
  </si>
  <si>
    <t xml:space="preserve">05.01.01.01               </t>
  </si>
  <si>
    <t>09</t>
  </si>
  <si>
    <t xml:space="preserve"> ŽEMĖS ŪKIO PLĖTRA IR MELIORACIJA</t>
  </si>
  <si>
    <t>108.1</t>
  </si>
  <si>
    <t>108.1.1</t>
  </si>
  <si>
    <t>Rengti projektus ir remontuoti gyvenviečių lietaus nuotekų-drenažų sistemas</t>
  </si>
  <si>
    <t>108.1.2</t>
  </si>
  <si>
    <t>Įgyvendinti projektą "Asociacijos "Laputis" nariams priklausančių ir valstybinių melioracijos statinių rekonstravimas "</t>
  </si>
  <si>
    <t>04.02.01.01</t>
  </si>
  <si>
    <t>PARAMA VERSLUI IR VERSLO PLĖTRA</t>
  </si>
  <si>
    <t>110.1</t>
  </si>
  <si>
    <t>Finansuoti VšĮ Kėdainių turizmo ir verslo informacijos centro viešųjų paslaugų verslui  programą</t>
  </si>
  <si>
    <t>04.01.01.01</t>
  </si>
  <si>
    <t>110.2</t>
  </si>
  <si>
    <t xml:space="preserve">Kėdainių rajono savivaldybės administracija  </t>
  </si>
  <si>
    <t>04.01.02.09</t>
  </si>
  <si>
    <t>Kėdainių rajono savivaldybės kontrolės ir audito tarnyba</t>
  </si>
  <si>
    <t>01.01.01.09</t>
  </si>
  <si>
    <t>114.1</t>
  </si>
  <si>
    <t>01.01.01.02
01.01.01.09
01.03.02.09
01.06.01.02
04.05.06.09 06.06.01.01
06.06.01.09</t>
  </si>
  <si>
    <t>114.2</t>
  </si>
  <si>
    <t>Įgyvendinti priemones, finansuojamas iš Savivaldybės administracijos direktoriaus rezervo</t>
  </si>
  <si>
    <t>01.06.01.04</t>
  </si>
  <si>
    <t>114.3</t>
  </si>
  <si>
    <t>114.4</t>
  </si>
  <si>
    <t xml:space="preserve">Kompensuoti UAB "Kėdbusas“ nuostolingus maršrutus </t>
  </si>
  <si>
    <t>04.05.01.01</t>
  </si>
  <si>
    <t>114.5</t>
  </si>
  <si>
    <t>Dalyvauti Kauno regiono plėtros agentūros veikloje</t>
  </si>
  <si>
    <t>114.6</t>
  </si>
  <si>
    <t xml:space="preserve">Finansuoti prevencinę programą „Saugios aplinkos kūrimas ir bendruomenės teisėtvarkos kūrimas" </t>
  </si>
  <si>
    <t>03.01.01.01</t>
  </si>
  <si>
    <t>114.7</t>
  </si>
  <si>
    <t>Mokėti palūkanas</t>
  </si>
  <si>
    <t>01.07.01.01</t>
  </si>
  <si>
    <t>114.8</t>
  </si>
  <si>
    <t>Grąžinti valstybės biudžeto lėšas (dotaciją)</t>
  </si>
  <si>
    <t>01.08.01.02</t>
  </si>
  <si>
    <t>114.9</t>
  </si>
  <si>
    <t xml:space="preserve">Grąžinti suteiktą valstybės biudžeto trumpalaikę paskolą </t>
  </si>
  <si>
    <t>01.03.02.01</t>
  </si>
  <si>
    <t>114.10</t>
  </si>
  <si>
    <t>Grąžinti  banko suteiktą ilgalaikę paskolą</t>
  </si>
  <si>
    <t>114.11</t>
  </si>
  <si>
    <t>114.11.1</t>
  </si>
  <si>
    <t>01.03.02.09
04.01.02.01</t>
  </si>
  <si>
    <t>iš jų: užimtumo didinimo programai įgyvendinti</t>
  </si>
  <si>
    <t>04.01.02.01</t>
  </si>
  <si>
    <t xml:space="preserve">01.03.02.09
</t>
  </si>
  <si>
    <t xml:space="preserve">                                                                   _____________________________________                                                                                       </t>
  </si>
  <si>
    <t>8 priedas</t>
  </si>
  <si>
    <t>2021 METŲ VALSTYBĖS BIUDŽETO SPECIALIOS TIKSLINĖS DOTACIJOS SAVIVALDYBĖS BIUDŽETUI VALSTYBINĖMS (VALSTYBĖS PERDUOTOMS SAVIVALDYBEI) FUNKCIJOMS ATLIKTI ASIGNAVIMAI</t>
  </si>
  <si>
    <t>Funkcinis kodas</t>
  </si>
  <si>
    <t>Valstybinėms (perduotoms savivaldybėms) funkcijoms</t>
  </si>
  <si>
    <t>02.1</t>
  </si>
  <si>
    <t>Mokinių visuomenės sveikatos priežiūrai</t>
  </si>
  <si>
    <t>02.2</t>
  </si>
  <si>
    <t>Visuomenės sveikatos stiprinimui ir stebėsenai</t>
  </si>
  <si>
    <t>02.3</t>
  </si>
  <si>
    <t>Visuomenės psichikos sveikatos gerinimui</t>
  </si>
  <si>
    <t>02.4</t>
  </si>
  <si>
    <t>Neveiksnių asmenų būklės peržiūrėjimui</t>
  </si>
  <si>
    <t>03.1</t>
  </si>
  <si>
    <t>Socialinėms paslaugoms:
Socialinei globai asmenims su sunkia negalia</t>
  </si>
  <si>
    <t xml:space="preserve"> iš jų: finansuoti dienos socialinės globos paslaugas Kėdainių socialinės globos namuose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</si>
  <si>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</si>
  <si>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</si>
  <si>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</si>
  <si>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</si>
  <si>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</si>
  <si>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</si>
  <si>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</si>
  <si>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</si>
  <si>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</si>
  <si>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</si>
  <si>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</si>
  <si>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</si>
  <si>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</si>
  <si>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Kėdainių rajono savivaldybės 2021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</si>
  <si>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iš jų: polderiams eksploatuoti</t>
  </si>
  <si>
    <t>51</t>
  </si>
  <si>
    <t>Tvarkyti erdvinių duomenų rinkinį</t>
  </si>
  <si>
    <t>04.02.01.02</t>
  </si>
  <si>
    <t>53</t>
  </si>
  <si>
    <t>54</t>
  </si>
  <si>
    <t>11.1</t>
  </si>
  <si>
    <t>Priešgaisrinių tarnybų organizavimas</t>
  </si>
  <si>
    <t>55</t>
  </si>
  <si>
    <t>56</t>
  </si>
  <si>
    <t>11.2</t>
  </si>
  <si>
    <t>Gyventojų registro tvarkymas ir duomenų valstybės registrui teikimas</t>
  </si>
  <si>
    <t>01.03.03.02</t>
  </si>
  <si>
    <t>57</t>
  </si>
  <si>
    <t>58</t>
  </si>
  <si>
    <t>11.3</t>
  </si>
  <si>
    <t>Archyvinių dokumentų tvarkymas</t>
  </si>
  <si>
    <t>59</t>
  </si>
  <si>
    <t>60</t>
  </si>
  <si>
    <t>11.4</t>
  </si>
  <si>
    <t>Civilinės būklės aktų registravimas</t>
  </si>
  <si>
    <t>61</t>
  </si>
  <si>
    <t>62</t>
  </si>
  <si>
    <t>11.5</t>
  </si>
  <si>
    <t>Civilinės saugos organizavimas</t>
  </si>
  <si>
    <t>02.02.01.01</t>
  </si>
  <si>
    <t>63</t>
  </si>
  <si>
    <t>64</t>
  </si>
  <si>
    <t>11.6</t>
  </si>
  <si>
    <t>Valstybinės kalbos vartojimo ir taisyklingumo kontrolė</t>
  </si>
  <si>
    <t>65</t>
  </si>
  <si>
    <t>66</t>
  </si>
  <si>
    <t>11.7</t>
  </si>
  <si>
    <t>Mobilizacijos administravimas</t>
  </si>
  <si>
    <t>02.01.01.04</t>
  </si>
  <si>
    <t>67</t>
  </si>
  <si>
    <t>68</t>
  </si>
  <si>
    <t>11.9</t>
  </si>
  <si>
    <t>Jaunimo teisių apsauga</t>
  </si>
  <si>
    <t>69</t>
  </si>
  <si>
    <t>70</t>
  </si>
  <si>
    <t>11.10</t>
  </si>
  <si>
    <t>Pirminė teisinė pagalba</t>
  </si>
  <si>
    <t>71</t>
  </si>
  <si>
    <t>72</t>
  </si>
  <si>
    <t>11.11</t>
  </si>
  <si>
    <t>Duomenų teikimas Valstybės suteiktos pagalbos registrui</t>
  </si>
  <si>
    <t>73</t>
  </si>
  <si>
    <t>74</t>
  </si>
  <si>
    <t>11.12</t>
  </si>
  <si>
    <t>Gyvenamosios vietos deklaravimas</t>
  </si>
  <si>
    <t>75</t>
  </si>
  <si>
    <t>76</t>
  </si>
  <si>
    <t>11.13</t>
  </si>
  <si>
    <t>Užimtumo didinimo programos įgyvendinimas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</si>
  <si>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</si>
  <si>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</si>
  <si>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</si>
  <si>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</si>
  <si>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</si>
  <si>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</si>
  <si>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</si>
  <si>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</si>
  <si>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</si>
  <si>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</si>
  <si>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</si>
  <si>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</si>
  <si>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11.14</t>
  </si>
  <si>
    <t>Koordinuotai teikiamų paslaugų vaikams nuo gimimo iki 18 metų (turintiems didelių ir labai didelių specialiųjų ugdymosi poreikių − iki 21 metų) ir vaiko atstovams koordinavimas</t>
  </si>
  <si>
    <t>89</t>
  </si>
  <si>
    <t>09.08.01.09</t>
  </si>
  <si>
    <t>90</t>
  </si>
  <si>
    <t xml:space="preserve">                                                                                               ________________________________</t>
  </si>
  <si>
    <t xml:space="preserve">2021 METŲ VALSTYBĖS BIUDŽETO SPECIALIOS TIKSLINĖS DOTACIJOS SAVIVALDYBĖS BIUDŽETUI KITI ASIGNAVIMAI </t>
  </si>
  <si>
    <t>Kita dotacija neformaliajam vaikų švietimui</t>
  </si>
  <si>
    <t>Kėdainių rajono savivaldybės administracija</t>
  </si>
  <si>
    <t xml:space="preserve"> 09.05.01.01</t>
  </si>
  <si>
    <t>Kita dotacija konsultacijoms mokiniams, patiriantiems mokymosi sunkumų</t>
  </si>
  <si>
    <t>23.1</t>
  </si>
  <si>
    <t>Kita dotacija  naujoms mokytojų padėjėjų pareigybėms savivaldybėje  įsteigti</t>
  </si>
  <si>
    <t>01.4</t>
  </si>
  <si>
    <t>Kita dotacija mokinių, pasirinkusių laikyti brandos egzaminus 2021 metais ir dėl COVID-19 pandemijos patyrusių mokymosi praradimų, tiesioginėms konsultacijoms</t>
  </si>
  <si>
    <t>01.5</t>
  </si>
  <si>
    <t>Kita dotacija išlaidoms, susijusioms su pedagoginių darbuotojų skaičiaus optimizavimu</t>
  </si>
  <si>
    <t>01.6</t>
  </si>
  <si>
    <t>Kita dotacija išlaidoms, susijusioms su ugdymu, maitinimu ir pavėžėjimu socialinę riziką patiriantiems vaikams ikimokykliniame ugdyme</t>
  </si>
  <si>
    <t>01.7</t>
  </si>
  <si>
    <t>Kita dotacija išlaidoms, skirtoms konsultacijoms mokiniams, mokymosi praradimams kompensuoti</t>
  </si>
  <si>
    <t>01.8</t>
  </si>
  <si>
    <t>Kita dotacija valstybės investicijų 2021 m. programoje numatytoms kapitalo investicijoms</t>
  </si>
  <si>
    <t>Rekonstruoti Kėdainių šviesiosios gimnazijos pastatą Kėdainiuose, Didžioji g. 60</t>
  </si>
  <si>
    <t>Kita dotacija kompensuoti patirtas išlaidas už skiepijimo nuo COVID-19 ligos (koronaviruso infekcijos) paslaugas</t>
  </si>
  <si>
    <t>Kita dotacija socialinių paslaugų šakos kolektyvinės sutarties įsipareigojimams igyvendinti</t>
  </si>
  <si>
    <t>Kita dotacija akredituotai vaikų dienos socialinei priežiūrai organizuoti</t>
  </si>
  <si>
    <t>Kita dotacija savivaldybės socialinių paslaugų srities darbuotojų minimaliems pareiginės algos pastoviosios dalies koeficientams ir socialinių darbuotojų pareiginės algos pastoviajai daliai didinti</t>
  </si>
  <si>
    <t>04.1</t>
  </si>
  <si>
    <t xml:space="preserve">Rekonstruoti Kėdainių miesto stadioną Kėdainiuose, J. Basanavičiaus g. 1 </t>
  </si>
  <si>
    <t>05.1</t>
  </si>
  <si>
    <t>Kita dotacija savivaldybės viešajai bibliotekai dokumentams 2021 metais įsigyti</t>
  </si>
  <si>
    <t>05.2</t>
  </si>
  <si>
    <t>Kita dotacija kultūros ir meno darbuotojų darbo užmokesčiui padidinti</t>
  </si>
  <si>
    <t>05.3</t>
  </si>
  <si>
    <t>Rekonstruoti Kėdainių rajono savivaldybės kultūros centro pastatą Kėdainiuose, J. Basanavičiaus g. 24</t>
  </si>
  <si>
    <t>Kita dotacija nevyriausybinių organizacijų ir bendruomeninės veiklos stiprinimui</t>
  </si>
  <si>
    <t>10.09.01.01</t>
  </si>
  <si>
    <t>07.1</t>
  </si>
  <si>
    <t>Kita dotacija  savivaldybės institucijos valdomiems vietinės reikšmės keliams</t>
  </si>
  <si>
    <t>08.1</t>
  </si>
  <si>
    <t>Kita dotacija „Sosnovskio barsčio naikinimas Kėdainių rajone“</t>
  </si>
  <si>
    <t>Kita dotacija įrengti vandens transporto priemonių nuleidimo vietą Angirių tvenkinyje</t>
  </si>
  <si>
    <t>Kita dotacija  stumbrų daromos žalos apskaičiavimui, naudojant pažangius dirbtinio intelekto pagrindu sukurtus algoritmus ir palydovinių vaizdų informaciją</t>
  </si>
  <si>
    <t>04.02.04.01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</si>
  <si>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</si>
  <si>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>04.01.01.06</t>
  </si>
  <si>
    <t xml:space="preserve"> Kita dotacija kompensuoti savivaldybės patirtas išlaidas, esant valstybės lygio ekstremaliajai situacijai, siekiant šalinti COVID-19 ligos (koronaviruso infekcijos) padarinius</t>
  </si>
  <si>
    <t>Kita dotacija  kompensuoti savivaldybės patirtas išlaidas, vykdant įsipareigojimus vietinio (miesto ir priemiesčio) transporto vežėjams, kurie negavo pajamų dėl su COVID-19 pandemija susijusių keleivių vežimo apribojimų, esant valstybės lygio ekstremaliajai situacijai</t>
  </si>
  <si>
    <t>KĖDAINIŲ RAJONO SAVIVALDYBĖS  2021 METŲ BIUDŽETO ASIGNAVIMAI INVESTICIJŲ PROJEKTAMS FINANSUOTI  PASKOLŲ LĖŠOMIS PAGAL OBJEKTUS</t>
  </si>
  <si>
    <t>Iš jų darbo užmokesčiui</t>
  </si>
  <si>
    <t>Didinti Kėdainių lopšelio-darželio „Vaikystė“ viešojo pastato, esančio Mindaugo g. 21, Kėdainių m., Kėdainių r. sav., energinį efektyvumą</t>
  </si>
  <si>
    <t>4.2</t>
  </si>
  <si>
    <t>4.3</t>
  </si>
  <si>
    <t xml:space="preserve">                                                                      2022 m. rugsėjo 30 d. sprendimo Nr. TS-</t>
  </si>
  <si>
    <t>1 priedas</t>
  </si>
  <si>
    <t>2 priedas</t>
  </si>
  <si>
    <t>9 priedas</t>
  </si>
  <si>
    <t>10 priedas</t>
  </si>
  <si>
    <t>Kėdainių rajono savivaldybės administracijos Dotnuvos  seniūnija</t>
  </si>
  <si>
    <t>Kėdainių rajono savivaldybės administracijos Truskavos  seniūnija</t>
  </si>
  <si>
    <t>Vykdyti Ultragarsinių diagnostinių paslaugų teikimo efektyvumo gerinimo Kėdainių rajono savivaldybėje 2017–2022 m. programą</t>
  </si>
  <si>
    <t xml:space="preserve">Vykdyti ambulatorinės akušerinės ir ginekologinės pagalbos kokybės gerinimo Kėdainių rajono savivaldybės moterims 2019-2024 m. programą </t>
  </si>
  <si>
    <t>Pritaikyti viešąją aplinką specialųjų poreikių turintiems gyventojams</t>
  </si>
  <si>
    <t>Pritaikyti A. Budrio g. specialiųjų poreikių turintiems gyventojams</t>
  </si>
  <si>
    <t xml:space="preserve">iš jų: dalyvauti projekte „Inovacijų keliu per buvusias LDK žemes“ </t>
  </si>
  <si>
    <t>Įgyvendinti Kėdainių rajono savivaldybės bažnyčių rėmimo programą</t>
  </si>
  <si>
    <t>Atlikti Paberžės klebonijos ir svirno restauravimo ir remonto darbus</t>
  </si>
  <si>
    <t xml:space="preserve">Atlikti archeologinius ir kitus tyrinėjimus kultūros paveldo teritorijose </t>
  </si>
  <si>
    <t>Vykdyti WiFi prieigų tinklo plėtrą miesto ir rajono viešosiose erdvėse</t>
  </si>
  <si>
    <t xml:space="preserve">Rekonstruoti/įrengti/modernizuoti Kėdainių miesto gatvių apšvietimą </t>
  </si>
  <si>
    <t>Rekonstruoti/įrengti/modernizuoti Kėdainių rajono gatvių apšvietimą</t>
  </si>
  <si>
    <t xml:space="preserve">Rekonstruoti šaligatvius, įgyvendinant projektą "Kėdainių miesto J.Basanavičiaus, Birutės, Dotnuvos ir  Šėtos gatvių rekonstrukcija" </t>
  </si>
  <si>
    <t>Įgyvendinti priemones, finansuojamas iš Savivaldybės mero fondo</t>
  </si>
  <si>
    <t>Kėdainių rajono savivaldybės administracijos Šėtos  seniūnija</t>
  </si>
  <si>
    <t>Remontuoti objektus pagal administracijos direktoriaus įsakymus</t>
  </si>
  <si>
    <t>Įrengti vandens transporto priemonių nuleidimo vietą Angirių tvenkinyje</t>
  </si>
  <si>
    <t>Vykdyti E. sveikatos informacinės sistemos diegimo,  palaikymo ir tobulinimo VšĮ PSPC  ir VšĮ Kėdainių ligoninėje 2016–2021 m. programą</t>
  </si>
  <si>
    <t>Įgyvendinti  Kėdainių rajono savivaldybės mokytojų motyvacijos programą</t>
  </si>
  <si>
    <r>
      <t>Kėdainių rajono savivaldybės visuomenės sveikatos biuras iš viso</t>
    </r>
    <r>
      <rPr>
        <sz val="9"/>
        <color rgb="FFFF0000"/>
        <rFont val="Times New Roman"/>
        <family val="1"/>
        <charset val="186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</si>
</sst>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"/>
    <numFmt numFmtId="172" formatCode="0.0;\-0.0;;"/>
    <numFmt numFmtId="173" formatCode="0.000"/>
  </numFmts>
  <fonts count="21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i/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7" fillId="0" borderId="0"/>
    <xf numFmtId="0" fontId="1" fillId="0" borderId="0"/>
    <xf numFmtId="0" fontId="7" fillId="0" borderId="0"/>
    <xf numFmtId="0" fontId="11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428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167" fontId="1" fillId="0" borderId="0" xfId="0" applyNumberFormat="1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vertical="center" wrapText="1"/>
    </xf>
    <xf numFmtId="167" fontId="1" fillId="0" borderId="3" xfId="0" applyNumberFormat="1" applyFont="1" applyFill="1" applyBorder="1" applyAlignment="1">
      <alignment horizontal="left" vertical="center" wrapText="1"/>
    </xf>
    <xf numFmtId="17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7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0" fontId="1" fillId="0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vertical="center"/>
    </xf>
    <xf numFmtId="168" fontId="1" fillId="0" borderId="1" xfId="18" applyNumberFormat="1" applyBorder="1" applyAlignment="1">
      <alignment horizontal="right" vertical="center"/>
    </xf>
    <xf numFmtId="168" fontId="1" fillId="0" borderId="1" xfId="0" applyNumberFormat="1" applyFont="1" applyBorder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/>
    </xf>
    <xf numFmtId="169" fontId="1" fillId="0" borderId="0" xfId="0" applyNumberFormat="1" applyFont="1" applyAlignment="1">
      <alignment horizontal="right"/>
    </xf>
    <xf numFmtId="168" fontId="1" fillId="0" borderId="1" xfId="0" applyNumberFormat="1" applyFont="1" applyBorder="1" applyAlignment="1">
      <alignment horizontal="right" vertical="center" wrapText="1"/>
    </xf>
    <xf numFmtId="168" fontId="2" fillId="0" borderId="1" xfId="18" applyNumberFormat="1" applyFont="1" applyBorder="1" applyAlignment="1">
      <alignment horizontal="center" vertical="center"/>
    </xf>
    <xf numFmtId="171" fontId="1" fillId="0" borderId="0" xfId="18" applyNumberFormat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2" fillId="0" borderId="0" xfId="0" applyFont="1"/>
    <xf numFmtId="49" fontId="2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7" fontId="1" fillId="0" borderId="2" xfId="0" applyNumberFormat="1" applyFont="1" applyBorder="1" applyAlignment="1">
      <alignment horizontal="left" vertical="center" wrapText="1"/>
    </xf>
    <xf numFmtId="167" fontId="12" fillId="0" borderId="0" xfId="0" applyNumberFormat="1" applyFont="1"/>
    <xf numFmtId="167" fontId="9" fillId="0" borderId="0" xfId="0" applyNumberFormat="1" applyFont="1"/>
    <xf numFmtId="49" fontId="12" fillId="0" borderId="1" xfId="0" applyNumberFormat="1" applyFont="1" applyBorder="1" applyAlignment="1">
      <alignment horizontal="center" vertical="center"/>
    </xf>
    <xf numFmtId="168" fontId="1" fillId="0" borderId="1" xfId="18" applyNumberFormat="1" applyBorder="1" applyAlignment="1">
      <alignment vertical="center"/>
    </xf>
    <xf numFmtId="168" fontId="12" fillId="0" borderId="1" xfId="18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/>
    </xf>
    <xf numFmtId="168" fontId="14" fillId="0" borderId="1" xfId="18" applyNumberFormat="1" applyFont="1" applyBorder="1" applyAlignment="1">
      <alignment horizontal="right" vertical="center"/>
    </xf>
    <xf numFmtId="167" fontId="14" fillId="0" borderId="0" xfId="0" applyNumberFormat="1" applyFont="1"/>
    <xf numFmtId="167" fontId="15" fillId="0" borderId="0" xfId="0" applyNumberFormat="1" applyFont="1"/>
    <xf numFmtId="0" fontId="14" fillId="0" borderId="0" xfId="0" applyFont="1"/>
    <xf numFmtId="49" fontId="1" fillId="0" borderId="3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8" fontId="6" fillId="0" borderId="1" xfId="0" applyNumberFormat="1" applyFont="1" applyBorder="1" applyAlignment="1">
      <alignment horizontal="right" vertical="center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17" fontId="9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70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/>
    </xf>
    <xf numFmtId="170" fontId="1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168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7" fontId="1" fillId="0" borderId="1" xfId="0" applyNumberFormat="1" applyFont="1" applyBorder="1"/>
    <xf numFmtId="0" fontId="1" fillId="2" borderId="1" xfId="0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1" fillId="2" borderId="1" xfId="18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/>
    <xf numFmtId="167" fontId="1" fillId="2" borderId="0" xfId="0" applyNumberFormat="1" applyFont="1" applyFill="1"/>
    <xf numFmtId="169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171" fontId="1" fillId="2" borderId="0" xfId="18" applyNumberFormat="1" applyFill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68" fontId="1" fillId="2" borderId="1" xfId="18" applyNumberFormat="1" applyFill="1" applyBorder="1" applyAlignment="1">
      <alignment horizontal="right" vertical="center"/>
    </xf>
    <xf numFmtId="167" fontId="1" fillId="2" borderId="0" xfId="18" applyNumberFormat="1" applyFill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vertical="center" wrapText="1"/>
    </xf>
    <xf numFmtId="168" fontId="1" fillId="2" borderId="1" xfId="0" applyNumberFormat="1" applyFont="1" applyFill="1" applyBorder="1" applyAlignment="1">
      <alignment horizontal="right" vertical="center"/>
    </xf>
    <xf numFmtId="0" fontId="12" fillId="2" borderId="0" xfId="0" applyFont="1" applyFill="1"/>
    <xf numFmtId="0" fontId="1" fillId="2" borderId="0" xfId="0" applyFont="1" applyFill="1"/>
    <xf numFmtId="49" fontId="1" fillId="2" borderId="1" xfId="0" applyNumberFormat="1" applyFont="1" applyFill="1" applyBorder="1" applyAlignment="1">
      <alignment horizontal="left" vertical="center" wrapText="1"/>
    </xf>
    <xf numFmtId="168" fontId="1" fillId="2" borderId="1" xfId="0" applyNumberFormat="1" applyFont="1" applyFill="1" applyBorder="1" applyAlignment="1">
      <alignment horizontal="right" vertical="center" wrapText="1"/>
    </xf>
    <xf numFmtId="167" fontId="12" fillId="2" borderId="0" xfId="0" applyNumberFormat="1" applyFont="1" applyFill="1" applyAlignment="1">
      <alignment horizontal="right"/>
    </xf>
    <xf numFmtId="49" fontId="1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1" fillId="2" borderId="1" xfId="17" applyNumberForma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right" vertical="center"/>
    </xf>
    <xf numFmtId="167" fontId="16" fillId="2" borderId="0" xfId="0" applyNumberFormat="1" applyFont="1" applyFill="1"/>
    <xf numFmtId="168" fontId="2" fillId="2" borderId="1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left" vertical="center" wrapText="1"/>
    </xf>
    <xf numFmtId="167" fontId="12" fillId="2" borderId="0" xfId="0" applyNumberFormat="1" applyFont="1" applyFill="1"/>
    <xf numFmtId="167" fontId="9" fillId="2" borderId="0" xfId="0" applyNumberFormat="1" applyFont="1" applyFill="1"/>
    <xf numFmtId="49" fontId="12" fillId="2" borderId="1" xfId="0" applyNumberFormat="1" applyFont="1" applyFill="1" applyBorder="1" applyAlignment="1">
      <alignment horizontal="center" vertical="center"/>
    </xf>
    <xf numFmtId="168" fontId="1" fillId="2" borderId="1" xfId="18" applyNumberFormat="1" applyFill="1" applyBorder="1" applyAlignment="1">
      <alignment vertical="center"/>
    </xf>
    <xf numFmtId="168" fontId="12" fillId="2" borderId="1" xfId="18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168" fontId="2" fillId="2" borderId="1" xfId="18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vertical="center"/>
    </xf>
    <xf numFmtId="167" fontId="6" fillId="2" borderId="1" xfId="0" applyNumberFormat="1" applyFont="1" applyFill="1" applyBorder="1" applyAlignment="1">
      <alignment vertical="center" wrapText="1"/>
    </xf>
    <xf numFmtId="167" fontId="1" fillId="2" borderId="1" xfId="18" applyNumberForma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vertical="center"/>
    </xf>
    <xf numFmtId="167" fontId="1" fillId="2" borderId="4" xfId="0" applyNumberFormat="1" applyFont="1" applyFill="1" applyBorder="1" applyAlignment="1">
      <alignment vertical="center" wrapText="1"/>
    </xf>
    <xf numFmtId="167" fontId="1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right" vertical="center"/>
    </xf>
    <xf numFmtId="170" fontId="2" fillId="2" borderId="1" xfId="0" applyNumberFormat="1" applyFont="1" applyFill="1" applyBorder="1" applyAlignment="1">
      <alignment horizontal="center" vertical="center"/>
    </xf>
    <xf numFmtId="167" fontId="1" fillId="2" borderId="1" xfId="18" applyNumberFormat="1" applyFill="1" applyBorder="1" applyAlignment="1">
      <alignment vertical="center"/>
    </xf>
    <xf numFmtId="170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vertical="center" wrapText="1"/>
    </xf>
    <xf numFmtId="167" fontId="1" fillId="2" borderId="3" xfId="0" applyNumberFormat="1" applyFont="1" applyFill="1" applyBorder="1" applyAlignment="1">
      <alignment horizontal="left" vertical="center" wrapText="1"/>
    </xf>
    <xf numFmtId="49" fontId="1" fillId="2" borderId="5" xfId="18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/>
    <xf numFmtId="168" fontId="1" fillId="2" borderId="1" xfId="18" applyNumberFormat="1" applyFont="1" applyFill="1" applyBorder="1" applyAlignment="1">
      <alignment horizontal="right"/>
    </xf>
    <xf numFmtId="167" fontId="1" fillId="2" borderId="1" xfId="0" applyNumberFormat="1" applyFont="1" applyFill="1" applyBorder="1" applyAlignment="1"/>
    <xf numFmtId="168" fontId="1" fillId="2" borderId="1" xfId="18" applyNumberForma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68" fontId="1" fillId="0" borderId="1" xfId="18" applyNumberFormat="1" applyFont="1" applyBorder="1" applyAlignment="1">
      <alignment horizontal="center" vertical="center"/>
    </xf>
    <xf numFmtId="2" fontId="1" fillId="2" borderId="0" xfId="0" applyNumberFormat="1" applyFont="1" applyFill="1"/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72" fontId="1" fillId="0" borderId="0" xfId="0" applyNumberFormat="1" applyFont="1"/>
    <xf numFmtId="167" fontId="4" fillId="0" borderId="1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vertical="center" wrapText="1"/>
    </xf>
    <xf numFmtId="173" fontId="1" fillId="0" borderId="0" xfId="0" applyNumberFormat="1" applyFont="1"/>
    <xf numFmtId="167" fontId="1" fillId="0" borderId="0" xfId="0" applyNumberFormat="1" applyFont="1" applyAlignment="1">
      <alignment wrapText="1"/>
    </xf>
    <xf numFmtId="172" fontId="1" fillId="0" borderId="1" xfId="0" applyNumberFormat="1" applyFont="1" applyBorder="1" applyAlignment="1">
      <alignment horizontal="right" vertical="center"/>
    </xf>
    <xf numFmtId="167" fontId="4" fillId="0" borderId="1" xfId="18" applyNumberFormat="1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left" vertical="center" wrapText="1"/>
    </xf>
    <xf numFmtId="167" fontId="4" fillId="0" borderId="1" xfId="18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 wrapText="1"/>
    </xf>
    <xf numFmtId="168" fontId="2" fillId="0" borderId="1" xfId="18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2" fontId="12" fillId="0" borderId="0" xfId="0" applyNumberFormat="1" applyFont="1"/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right" vertical="center"/>
    </xf>
    <xf numFmtId="0" fontId="4" fillId="0" borderId="1" xfId="2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167" fontId="20" fillId="0" borderId="1" xfId="0" applyNumberFormat="1" applyFont="1" applyBorder="1" applyAlignment="1">
      <alignment vertical="center" wrapText="1"/>
    </xf>
    <xf numFmtId="167" fontId="4" fillId="0" borderId="1" xfId="18" applyNumberFormat="1" applyFont="1" applyBorder="1" applyAlignment="1">
      <alignment vertical="center"/>
    </xf>
    <xf numFmtId="49" fontId="9" fillId="0" borderId="1" xfId="18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18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20" fillId="0" borderId="1" xfId="20" applyFont="1" applyBorder="1" applyAlignment="1">
      <alignment vertical="center" wrapText="1"/>
    </xf>
    <xf numFmtId="168" fontId="12" fillId="0" borderId="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73" fontId="2" fillId="0" borderId="0" xfId="0" applyNumberFormat="1" applyFont="1"/>
    <xf numFmtId="167" fontId="8" fillId="0" borderId="1" xfId="0" applyNumberFormat="1" applyFont="1" applyBorder="1" applyAlignment="1">
      <alignment vertical="center" wrapText="1"/>
    </xf>
    <xf numFmtId="173" fontId="12" fillId="0" borderId="0" xfId="0" applyNumberFormat="1" applyFont="1"/>
    <xf numFmtId="2" fontId="1" fillId="0" borderId="0" xfId="0" applyNumberFormat="1" applyFont="1"/>
    <xf numFmtId="49" fontId="9" fillId="0" borderId="1" xfId="1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9" fillId="0" borderId="1" xfId="20" applyNumberFormat="1" applyFont="1" applyBorder="1" applyAlignment="1">
      <alignment horizontal="center" vertical="center" wrapText="1"/>
    </xf>
    <xf numFmtId="49" fontId="17" fillId="0" borderId="1" xfId="18" applyNumberFormat="1" applyFont="1" applyBorder="1" applyAlignment="1">
      <alignment horizontal="center" vertical="center" wrapText="1"/>
    </xf>
    <xf numFmtId="168" fontId="1" fillId="0" borderId="0" xfId="0" applyNumberFormat="1" applyFont="1"/>
    <xf numFmtId="49" fontId="9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167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horizontal="right" vertical="center"/>
    </xf>
    <xf numFmtId="49" fontId="1" fillId="0" borderId="1" xfId="18" applyNumberFormat="1" applyBorder="1" applyAlignment="1">
      <alignment horizontal="center" vertical="center"/>
    </xf>
    <xf numFmtId="17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0" xfId="1" applyFont="1" applyAlignment="1">
      <alignment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170" fontId="2" fillId="0" borderId="1" xfId="0" applyNumberFormat="1" applyFont="1" applyBorder="1" applyAlignment="1">
      <alignment horizontal="center" vertical="center" wrapText="1"/>
    </xf>
    <xf numFmtId="170" fontId="1" fillId="0" borderId="1" xfId="18" applyNumberFormat="1" applyBorder="1" applyAlignment="1">
      <alignment horizontal="right" vertical="center"/>
    </xf>
    <xf numFmtId="171" fontId="1" fillId="0" borderId="1" xfId="18" applyNumberFormat="1" applyBorder="1" applyAlignment="1">
      <alignment horizontal="right" vertical="center"/>
    </xf>
    <xf numFmtId="167" fontId="1" fillId="0" borderId="4" xfId="0" applyNumberFormat="1" applyFont="1" applyBorder="1" applyAlignment="1">
      <alignment vertical="center" wrapText="1"/>
    </xf>
    <xf numFmtId="170" fontId="2" fillId="0" borderId="1" xfId="18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/>
    </xf>
    <xf numFmtId="170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vertical="center"/>
    </xf>
    <xf numFmtId="49" fontId="9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4" fillId="3" borderId="1" xfId="2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68" fontId="1" fillId="3" borderId="1" xfId="0" applyNumberFormat="1" applyFont="1" applyFill="1" applyBorder="1" applyAlignment="1">
      <alignment horizontal="right" vertical="center"/>
    </xf>
    <xf numFmtId="167" fontId="1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167" fontId="4" fillId="3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right" vertical="center"/>
    </xf>
    <xf numFmtId="167" fontId="4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horizontal="right" vertical="center"/>
    </xf>
    <xf numFmtId="167" fontId="1" fillId="3" borderId="1" xfId="0" applyNumberFormat="1" applyFont="1" applyFill="1" applyBorder="1"/>
    <xf numFmtId="173" fontId="1" fillId="0" borderId="0" xfId="0" applyNumberFormat="1" applyFont="1" applyFill="1"/>
    <xf numFmtId="172" fontId="1" fillId="0" borderId="0" xfId="0" applyNumberFormat="1" applyFont="1" applyFill="1"/>
    <xf numFmtId="49" fontId="20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vertical="center"/>
    </xf>
    <xf numFmtId="167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wrapText="1"/>
    </xf>
    <xf numFmtId="167" fontId="4" fillId="0" borderId="1" xfId="0" applyNumberFormat="1" applyFont="1" applyBorder="1" applyAlignment="1">
      <alignment horizontal="left" vertical="center"/>
    </xf>
    <xf numFmtId="168" fontId="1" fillId="0" borderId="1" xfId="18" applyNumberFormat="1" applyFont="1" applyBorder="1" applyAlignment="1">
      <alignment horizontal="right" vertical="center"/>
    </xf>
    <xf numFmtId="168" fontId="1" fillId="3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1">
    <cellStyle name="Įprastas" xfId="0" builtinId="0"/>
    <cellStyle name="Įprastas 2" xfId="1"/>
    <cellStyle name="Įprastas 3" xfId="2"/>
    <cellStyle name="Įprastas 4" xfId="3"/>
    <cellStyle name="Įprastas 5" xfId="4"/>
    <cellStyle name="Kablelis 2" xfId="5"/>
    <cellStyle name="Kablelis 2 2" xfId="6"/>
    <cellStyle name="Kablelis 2 2 2" xfId="7"/>
    <cellStyle name="Kablelis 3" xfId="8"/>
    <cellStyle name="Kablelis 4" xfId="9"/>
    <cellStyle name="Kablelis 4 2" xfId="10"/>
    <cellStyle name="Kablelis 4 3" xfId="11"/>
    <cellStyle name="Kablelis 5" xfId="12"/>
    <cellStyle name="Kablelis 5 2" xfId="13"/>
    <cellStyle name="Normal 2" xfId="14"/>
    <cellStyle name="Normal 3" xfId="15"/>
    <cellStyle name="Normal_biudžetas 6" xfId="16"/>
    <cellStyle name="Normal_biudžetas 6_2009 m 02 men biudzetas." xfId="20"/>
    <cellStyle name="Normal_Sheet1" xfId="17"/>
    <cellStyle name="Normal_Sheet1_2009 m 02 men biudzetas." xfId="18"/>
    <cellStyle name="Paprastas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5"/>
  <sheetViews>
    <sheetView workbookViewId="0">
      <selection activeCell="C2" sqref="C2:L2"/>
    </sheetView>
  </sheetViews>
  <sheetFormatPr defaultColWidth="9.109375" defaultRowHeight="13.2" x14ac:dyDescent="0.25"/>
  <cols>
    <col min="1" max="1" width="5.6640625" style="240" customWidth="1"/>
    <col min="2" max="2" width="3" style="41" customWidth="1"/>
    <col min="3" max="3" width="46.44140625" style="118" customWidth="1"/>
    <col min="4" max="4" width="9.44140625" style="241" customWidth="1"/>
    <col min="5" max="5" width="7.88671875" style="39" customWidth="1"/>
    <col min="6" max="6" width="7.88671875" style="151" customWidth="1"/>
    <col min="7" max="7" width="8.109375" style="39" customWidth="1"/>
    <col min="8" max="8" width="8.33203125" style="39" customWidth="1"/>
    <col min="9" max="9" width="8.6640625" style="39" customWidth="1"/>
    <col min="10" max="10" width="8" style="39" customWidth="1"/>
    <col min="11" max="11" width="7.6640625" style="39" customWidth="1"/>
    <col min="12" max="12" width="9.109375" style="39"/>
    <col min="13" max="13" width="11.44140625" style="26" bestFit="1" customWidth="1"/>
    <col min="14" max="14" width="9.44140625" style="26" bestFit="1" customWidth="1"/>
    <col min="15" max="16384" width="9.109375" style="26"/>
  </cols>
  <sheetData>
    <row r="1" spans="1:22" ht="15.75" customHeight="1" x14ac:dyDescent="0.3"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22" ht="15.6" x14ac:dyDescent="0.3"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22" ht="14.25" customHeight="1" x14ac:dyDescent="0.25">
      <c r="B3" s="27"/>
      <c r="E3" s="392" t="s">
        <v>763</v>
      </c>
      <c r="F3" s="392"/>
      <c r="G3" s="392"/>
      <c r="H3" s="392"/>
      <c r="I3" s="392"/>
      <c r="J3" s="392"/>
      <c r="K3" s="392"/>
      <c r="L3" s="392"/>
    </row>
    <row r="4" spans="1:22" ht="15.6" x14ac:dyDescent="0.25">
      <c r="B4" s="27"/>
      <c r="E4" s="234"/>
      <c r="F4" s="234"/>
      <c r="G4" s="234"/>
      <c r="H4" s="234"/>
      <c r="I4" s="234"/>
      <c r="J4" s="234"/>
      <c r="K4" s="234"/>
    </row>
    <row r="5" spans="1:22" ht="25.5" customHeight="1" x14ac:dyDescent="0.25">
      <c r="A5" s="356" t="s">
        <v>283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</row>
    <row r="6" spans="1:22" x14ac:dyDescent="0.25">
      <c r="A6" s="242"/>
      <c r="B6" s="236"/>
      <c r="C6" s="243"/>
      <c r="D6" s="242"/>
      <c r="E6" s="236"/>
      <c r="F6" s="244"/>
      <c r="G6" s="236"/>
      <c r="H6" s="236"/>
      <c r="I6" s="236"/>
      <c r="J6" s="236"/>
      <c r="K6" s="236"/>
    </row>
    <row r="7" spans="1:22" x14ac:dyDescent="0.25">
      <c r="B7" s="27"/>
      <c r="E7" s="151"/>
      <c r="G7" s="151"/>
      <c r="H7" s="151"/>
      <c r="I7" s="357" t="s">
        <v>91</v>
      </c>
      <c r="J7" s="357"/>
      <c r="K7" s="357"/>
      <c r="L7" s="357"/>
    </row>
    <row r="8" spans="1:22" ht="12.75" customHeight="1" x14ac:dyDescent="0.25">
      <c r="A8" s="358" t="s">
        <v>284</v>
      </c>
      <c r="B8" s="361" t="s">
        <v>51</v>
      </c>
      <c r="C8" s="364" t="s">
        <v>16</v>
      </c>
      <c r="D8" s="361" t="s">
        <v>52</v>
      </c>
      <c r="E8" s="367" t="s">
        <v>17</v>
      </c>
      <c r="F8" s="368"/>
      <c r="G8" s="371" t="s">
        <v>18</v>
      </c>
      <c r="H8" s="372"/>
      <c r="I8" s="372"/>
      <c r="J8" s="372"/>
      <c r="K8" s="372"/>
      <c r="L8" s="373"/>
    </row>
    <row r="9" spans="1:22" ht="12.75" customHeight="1" x14ac:dyDescent="0.25">
      <c r="A9" s="359"/>
      <c r="B9" s="362"/>
      <c r="C9" s="365"/>
      <c r="D9" s="362"/>
      <c r="E9" s="369"/>
      <c r="F9" s="370"/>
      <c r="G9" s="374" t="s">
        <v>162</v>
      </c>
      <c r="H9" s="375"/>
      <c r="I9" s="375"/>
      <c r="J9" s="376"/>
      <c r="K9" s="367" t="s">
        <v>30</v>
      </c>
      <c r="L9" s="368"/>
    </row>
    <row r="10" spans="1:22" ht="22.2" customHeight="1" x14ac:dyDescent="0.25">
      <c r="A10" s="359"/>
      <c r="B10" s="362"/>
      <c r="C10" s="365"/>
      <c r="D10" s="362"/>
      <c r="E10" s="377" t="s">
        <v>277</v>
      </c>
      <c r="F10" s="379" t="s">
        <v>278</v>
      </c>
      <c r="G10" s="381" t="s">
        <v>31</v>
      </c>
      <c r="H10" s="382"/>
      <c r="I10" s="383" t="s">
        <v>32</v>
      </c>
      <c r="J10" s="384"/>
      <c r="K10" s="369"/>
      <c r="L10" s="370"/>
    </row>
    <row r="11" spans="1:22" ht="25.2" customHeight="1" x14ac:dyDescent="0.25">
      <c r="A11" s="360"/>
      <c r="B11" s="363"/>
      <c r="C11" s="366"/>
      <c r="D11" s="363"/>
      <c r="E11" s="378"/>
      <c r="F11" s="380"/>
      <c r="G11" s="229" t="s">
        <v>277</v>
      </c>
      <c r="H11" s="229" t="s">
        <v>278</v>
      </c>
      <c r="I11" s="89" t="s">
        <v>277</v>
      </c>
      <c r="J11" s="245" t="s">
        <v>278</v>
      </c>
      <c r="K11" s="233" t="s">
        <v>277</v>
      </c>
      <c r="L11" s="210" t="s">
        <v>278</v>
      </c>
    </row>
    <row r="12" spans="1:22" x14ac:dyDescent="0.25">
      <c r="A12" s="246">
        <v>1</v>
      </c>
      <c r="B12" s="30" t="s">
        <v>19</v>
      </c>
      <c r="C12" s="89">
        <v>3</v>
      </c>
      <c r="D12" s="247">
        <v>4</v>
      </c>
      <c r="E12" s="229">
        <v>5</v>
      </c>
      <c r="F12" s="248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152">
        <v>12</v>
      </c>
    </row>
    <row r="13" spans="1:22" ht="20.100000000000001" customHeight="1" x14ac:dyDescent="0.25">
      <c r="A13" s="333">
        <v>1</v>
      </c>
      <c r="B13" s="336" t="s">
        <v>53</v>
      </c>
      <c r="C13" s="249" t="s">
        <v>54</v>
      </c>
      <c r="D13" s="247"/>
      <c r="E13" s="53">
        <f>+G13+K13</f>
        <v>10647.1</v>
      </c>
      <c r="F13" s="53">
        <f>+H13+L13</f>
        <v>10539.7</v>
      </c>
      <c r="G13" s="53">
        <f t="shared" ref="G13:K13" si="0">+G14+G15+G16+G17+G18+G19+G20+G21+G22+G23+G24+G25+G26+G27+G28+G29+G30+G31+G32+G33+G34+G35+G36+G37+G38+G39+G40+G41+G42+G43+G44</f>
        <v>10516.6</v>
      </c>
      <c r="H13" s="53">
        <f>+H14+H15+H16+H17+H18+H19+H20+H21+H22+H23+H24+H25+H26+H27+H28+H29+H30+H31+H32+H33+H34+H35+H36+H37+H38+H39+H40+H41+H42+H43+H44</f>
        <v>10464.1</v>
      </c>
      <c r="I13" s="53">
        <f t="shared" si="0"/>
        <v>8374.1999999999989</v>
      </c>
      <c r="J13" s="53">
        <f t="shared" si="0"/>
        <v>8346.7999999999993</v>
      </c>
      <c r="K13" s="53">
        <f t="shared" si="0"/>
        <v>130.5</v>
      </c>
      <c r="L13" s="53">
        <f>+L14+L15+L16+L17+L18+L19+L20+L21+L22+L23+L24+L25+L26+L27+L28+L29+L30+L31+L32+L33+L34+L35+L36+L37+L38+L39+L40+L41+L42+L43+L44</f>
        <v>75.600000000000009</v>
      </c>
      <c r="M13" s="32"/>
      <c r="N13" s="32"/>
      <c r="O13" s="32"/>
      <c r="Q13" s="250"/>
      <c r="T13" s="250"/>
      <c r="U13" s="250"/>
      <c r="V13" s="250"/>
    </row>
    <row r="14" spans="1:22" ht="24.6" customHeight="1" x14ac:dyDescent="0.25">
      <c r="A14" s="333">
        <v>2</v>
      </c>
      <c r="B14" s="334"/>
      <c r="C14" s="251" t="s">
        <v>127</v>
      </c>
      <c r="D14" s="337" t="s">
        <v>285</v>
      </c>
      <c r="E14" s="67">
        <f>+G14+K14</f>
        <v>328.5</v>
      </c>
      <c r="F14" s="73">
        <f t="shared" ref="F14:F48" si="1">+H14+L14</f>
        <v>328.5</v>
      </c>
      <c r="G14" s="57">
        <f>295.6+3.9+16.9+12.1</f>
        <v>328.5</v>
      </c>
      <c r="H14" s="57">
        <v>328.5</v>
      </c>
      <c r="I14" s="57">
        <f>255.8+16.6+4.2-1.3+11.9</f>
        <v>287.2</v>
      </c>
      <c r="J14" s="57">
        <v>287.2</v>
      </c>
      <c r="K14" s="57"/>
      <c r="L14" s="90"/>
      <c r="M14" s="32"/>
      <c r="N14" s="32"/>
      <c r="O14" s="32"/>
      <c r="Q14" s="250"/>
      <c r="T14" s="250"/>
      <c r="U14" s="250"/>
      <c r="V14" s="250"/>
    </row>
    <row r="15" spans="1:22" ht="12.75" customHeight="1" x14ac:dyDescent="0.25">
      <c r="A15" s="333">
        <v>3</v>
      </c>
      <c r="B15" s="334"/>
      <c r="C15" s="251" t="s">
        <v>118</v>
      </c>
      <c r="D15" s="335" t="s">
        <v>55</v>
      </c>
      <c r="E15" s="67">
        <f t="shared" ref="E15:E40" si="2">+G15+K15</f>
        <v>357</v>
      </c>
      <c r="F15" s="73">
        <f t="shared" si="1"/>
        <v>357</v>
      </c>
      <c r="G15" s="57">
        <f>322.2+3.4+18.3+13.1</f>
        <v>357</v>
      </c>
      <c r="H15" s="57">
        <v>357</v>
      </c>
      <c r="I15" s="57">
        <f>282.2+18+2.1</f>
        <v>302.3</v>
      </c>
      <c r="J15" s="57">
        <v>302.3</v>
      </c>
      <c r="K15" s="57"/>
      <c r="L15" s="90"/>
      <c r="M15" s="32"/>
      <c r="N15" s="32"/>
      <c r="O15" s="32"/>
      <c r="Q15" s="250"/>
      <c r="T15" s="250"/>
      <c r="U15" s="250"/>
      <c r="V15" s="250"/>
    </row>
    <row r="16" spans="1:22" ht="12.75" customHeight="1" x14ac:dyDescent="0.25">
      <c r="A16" s="333">
        <v>4</v>
      </c>
      <c r="B16" s="334"/>
      <c r="C16" s="251" t="s">
        <v>119</v>
      </c>
      <c r="D16" s="335" t="s">
        <v>55</v>
      </c>
      <c r="E16" s="67">
        <f t="shared" si="2"/>
        <v>337.29999999999995</v>
      </c>
      <c r="F16" s="73">
        <f t="shared" si="1"/>
        <v>337.3</v>
      </c>
      <c r="G16" s="57">
        <f>302.9+4.1+17.2+12.4+0.7</f>
        <v>337.29999999999995</v>
      </c>
      <c r="H16" s="57">
        <v>337.3</v>
      </c>
      <c r="I16" s="57">
        <f>261.2+16.9+8</f>
        <v>286.09999999999997</v>
      </c>
      <c r="J16" s="57">
        <v>286.10000000000002</v>
      </c>
      <c r="K16" s="57"/>
      <c r="L16" s="90"/>
      <c r="M16" s="32"/>
      <c r="N16" s="32"/>
      <c r="O16" s="32"/>
      <c r="Q16" s="250"/>
      <c r="T16" s="250"/>
      <c r="U16" s="250"/>
      <c r="V16" s="250"/>
    </row>
    <row r="17" spans="1:22" ht="12.75" customHeight="1" x14ac:dyDescent="0.25">
      <c r="A17" s="333">
        <v>5</v>
      </c>
      <c r="B17" s="334"/>
      <c r="C17" s="251" t="s">
        <v>123</v>
      </c>
      <c r="D17" s="335" t="s">
        <v>55</v>
      </c>
      <c r="E17" s="67">
        <f t="shared" si="2"/>
        <v>344.3</v>
      </c>
      <c r="F17" s="73">
        <f t="shared" si="1"/>
        <v>344.3</v>
      </c>
      <c r="G17" s="57">
        <f>303.6+4.2+6.2+17.2+0.8+12.3</f>
        <v>344.3</v>
      </c>
      <c r="H17" s="57">
        <v>344.3</v>
      </c>
      <c r="I17" s="57">
        <f>260.9+16.9-3.8+4</f>
        <v>277.99999999999994</v>
      </c>
      <c r="J17" s="57">
        <v>278</v>
      </c>
      <c r="K17" s="57"/>
      <c r="L17" s="90"/>
      <c r="M17" s="32"/>
      <c r="N17" s="32"/>
      <c r="O17" s="32"/>
      <c r="Q17" s="250"/>
      <c r="T17" s="250"/>
      <c r="U17" s="250"/>
      <c r="V17" s="250"/>
    </row>
    <row r="18" spans="1:22" ht="12.75" customHeight="1" x14ac:dyDescent="0.25">
      <c r="A18" s="333">
        <v>6</v>
      </c>
      <c r="B18" s="334"/>
      <c r="C18" s="251" t="s">
        <v>120</v>
      </c>
      <c r="D18" s="335" t="s">
        <v>55</v>
      </c>
      <c r="E18" s="67">
        <f t="shared" si="2"/>
        <v>357</v>
      </c>
      <c r="F18" s="73">
        <f t="shared" si="1"/>
        <v>357</v>
      </c>
      <c r="G18" s="57">
        <f>304.3+4.5+17.2+0.6+10.4</f>
        <v>337</v>
      </c>
      <c r="H18" s="57">
        <v>337</v>
      </c>
      <c r="I18" s="57">
        <f>261.9+16.9-2.9</f>
        <v>275.89999999999998</v>
      </c>
      <c r="J18" s="57">
        <v>275.89999999999998</v>
      </c>
      <c r="K18" s="57">
        <f>18+2</f>
        <v>20</v>
      </c>
      <c r="L18" s="90">
        <v>20</v>
      </c>
      <c r="M18" s="32"/>
      <c r="N18" s="32"/>
      <c r="O18" s="32"/>
      <c r="Q18" s="250"/>
      <c r="T18" s="250"/>
      <c r="U18" s="250"/>
      <c r="V18" s="250"/>
    </row>
    <row r="19" spans="1:22" ht="12.75" customHeight="1" x14ac:dyDescent="0.25">
      <c r="A19" s="333">
        <v>7</v>
      </c>
      <c r="B19" s="334"/>
      <c r="C19" s="251" t="s">
        <v>121</v>
      </c>
      <c r="D19" s="335" t="s">
        <v>55</v>
      </c>
      <c r="E19" s="67">
        <f t="shared" si="2"/>
        <v>436.90000000000003</v>
      </c>
      <c r="F19" s="73">
        <f t="shared" si="1"/>
        <v>436.9</v>
      </c>
      <c r="G19" s="57">
        <f>390+5+22.8+2.8+16.3</f>
        <v>436.90000000000003</v>
      </c>
      <c r="H19" s="57">
        <v>436.9</v>
      </c>
      <c r="I19" s="57">
        <f>345.1+22.3-4</f>
        <v>363.40000000000003</v>
      </c>
      <c r="J19" s="57">
        <v>363.4</v>
      </c>
      <c r="K19" s="57"/>
      <c r="L19" s="90"/>
      <c r="M19" s="32"/>
      <c r="N19" s="32"/>
      <c r="O19" s="32"/>
      <c r="Q19" s="250"/>
      <c r="T19" s="250"/>
      <c r="U19" s="250"/>
      <c r="V19" s="250"/>
    </row>
    <row r="20" spans="1:22" ht="12.75" customHeight="1" x14ac:dyDescent="0.25">
      <c r="A20" s="333">
        <v>8</v>
      </c>
      <c r="B20" s="334"/>
      <c r="C20" s="251" t="s">
        <v>122</v>
      </c>
      <c r="D20" s="335" t="s">
        <v>55</v>
      </c>
      <c r="E20" s="67">
        <f t="shared" si="2"/>
        <v>378.40000000000003</v>
      </c>
      <c r="F20" s="73">
        <f t="shared" si="1"/>
        <v>378.4</v>
      </c>
      <c r="G20" s="57">
        <f>336.1+5.6+18.8+4.4+13.5</f>
        <v>378.40000000000003</v>
      </c>
      <c r="H20" s="57">
        <v>378.4</v>
      </c>
      <c r="I20" s="57">
        <f>285.1+18.4+6.6</f>
        <v>310.10000000000002</v>
      </c>
      <c r="J20" s="57">
        <v>310.10000000000002</v>
      </c>
      <c r="K20" s="57"/>
      <c r="L20" s="90"/>
      <c r="M20" s="32"/>
      <c r="N20" s="32"/>
      <c r="O20" s="32"/>
      <c r="Q20" s="250"/>
      <c r="T20" s="250"/>
      <c r="U20" s="250"/>
      <c r="V20" s="250"/>
    </row>
    <row r="21" spans="1:22" ht="12.75" customHeight="1" x14ac:dyDescent="0.25">
      <c r="A21" s="333">
        <v>9</v>
      </c>
      <c r="B21" s="334"/>
      <c r="C21" s="253" t="s">
        <v>144</v>
      </c>
      <c r="D21" s="335" t="s">
        <v>56</v>
      </c>
      <c r="E21" s="67">
        <f t="shared" si="2"/>
        <v>326.29999999999995</v>
      </c>
      <c r="F21" s="73">
        <f t="shared" si="1"/>
        <v>326.10000000000002</v>
      </c>
      <c r="G21" s="57">
        <f>291.7+3.9+1+16.5+1.4+11.8</f>
        <v>326.29999999999995</v>
      </c>
      <c r="H21" s="57">
        <v>326.10000000000002</v>
      </c>
      <c r="I21" s="57">
        <f>249.4+16.2+5.6</f>
        <v>271.20000000000005</v>
      </c>
      <c r="J21" s="57">
        <v>271.2</v>
      </c>
      <c r="K21" s="57"/>
      <c r="L21" s="90"/>
      <c r="M21" s="32"/>
      <c r="N21" s="32"/>
      <c r="O21" s="32"/>
      <c r="Q21" s="250"/>
      <c r="T21" s="250"/>
      <c r="U21" s="250"/>
      <c r="V21" s="250"/>
    </row>
    <row r="22" spans="1:22" ht="12.75" customHeight="1" x14ac:dyDescent="0.25">
      <c r="A22" s="333">
        <v>10</v>
      </c>
      <c r="B22" s="334"/>
      <c r="C22" s="251" t="s">
        <v>126</v>
      </c>
      <c r="D22" s="335" t="s">
        <v>57</v>
      </c>
      <c r="E22" s="67">
        <f>+G22+K22</f>
        <v>330.3</v>
      </c>
      <c r="F22" s="73">
        <f t="shared" si="1"/>
        <v>330.3</v>
      </c>
      <c r="G22" s="57">
        <f>297+6+15.2-6+1.3+10.8</f>
        <v>324.3</v>
      </c>
      <c r="H22" s="176">
        <v>324.3</v>
      </c>
      <c r="I22" s="57">
        <f>229.4+14.9+1.3+10.6</f>
        <v>256.20000000000005</v>
      </c>
      <c r="J22" s="57">
        <v>256.2</v>
      </c>
      <c r="K22" s="57">
        <v>6</v>
      </c>
      <c r="L22" s="90">
        <v>6</v>
      </c>
      <c r="M22" s="32"/>
      <c r="N22" s="32"/>
      <c r="O22" s="32"/>
      <c r="Q22" s="250"/>
      <c r="T22" s="250"/>
      <c r="U22" s="250"/>
      <c r="V22" s="250"/>
    </row>
    <row r="23" spans="1:22" ht="20.399999999999999" x14ac:dyDescent="0.25">
      <c r="A23" s="333">
        <v>11</v>
      </c>
      <c r="B23" s="334"/>
      <c r="C23" s="251" t="s">
        <v>42</v>
      </c>
      <c r="D23" s="337" t="s">
        <v>286</v>
      </c>
      <c r="E23" s="67">
        <f t="shared" si="2"/>
        <v>298.40000000000003</v>
      </c>
      <c r="F23" s="180">
        <f>+H23+L23</f>
        <v>298.2</v>
      </c>
      <c r="G23" s="57">
        <f>275.3+4.2+11.1-1.7+7.8</f>
        <v>296.70000000000005</v>
      </c>
      <c r="H23" s="176">
        <f>296.6-0.1</f>
        <v>296.5</v>
      </c>
      <c r="I23" s="57">
        <f>195+11.1+7</f>
        <v>213.1</v>
      </c>
      <c r="J23" s="57">
        <v>213.1</v>
      </c>
      <c r="K23" s="57">
        <v>1.7</v>
      </c>
      <c r="L23" s="90">
        <v>1.7</v>
      </c>
      <c r="M23" s="254"/>
      <c r="N23" s="32"/>
      <c r="O23" s="32"/>
      <c r="Q23" s="250"/>
      <c r="T23" s="250"/>
      <c r="U23" s="250"/>
      <c r="V23" s="250"/>
    </row>
    <row r="24" spans="1:22" ht="12.75" customHeight="1" x14ac:dyDescent="0.25">
      <c r="A24" s="333">
        <v>12</v>
      </c>
      <c r="B24" s="334"/>
      <c r="C24" s="253" t="s">
        <v>93</v>
      </c>
      <c r="D24" s="335" t="s">
        <v>57</v>
      </c>
      <c r="E24" s="67">
        <f t="shared" si="2"/>
        <v>683.3</v>
      </c>
      <c r="F24" s="73">
        <f t="shared" si="1"/>
        <v>683</v>
      </c>
      <c r="G24" s="57">
        <f>614.1+9.2+33.1-3.6+3.3+22.8</f>
        <v>678.9</v>
      </c>
      <c r="H24" s="57">
        <v>678.7</v>
      </c>
      <c r="I24" s="57">
        <f>505.7+32.4+19.1</f>
        <v>557.20000000000005</v>
      </c>
      <c r="J24" s="57">
        <v>557.20000000000005</v>
      </c>
      <c r="K24" s="57">
        <f>3.6+0.8</f>
        <v>4.4000000000000004</v>
      </c>
      <c r="L24" s="90">
        <v>4.3</v>
      </c>
      <c r="M24" s="32"/>
      <c r="N24" s="32"/>
      <c r="O24" s="32"/>
      <c r="Q24" s="250"/>
      <c r="T24" s="250"/>
      <c r="U24" s="250"/>
      <c r="V24" s="250"/>
    </row>
    <row r="25" spans="1:22" ht="12.75" customHeight="1" x14ac:dyDescent="0.25">
      <c r="A25" s="333">
        <v>13</v>
      </c>
      <c r="B25" s="334"/>
      <c r="C25" s="253" t="s">
        <v>94</v>
      </c>
      <c r="D25" s="335" t="s">
        <v>57</v>
      </c>
      <c r="E25" s="67">
        <f t="shared" si="2"/>
        <v>313.09999999999997</v>
      </c>
      <c r="F25" s="73">
        <f t="shared" si="1"/>
        <v>313.10000000000002</v>
      </c>
      <c r="G25" s="57">
        <f>279.3+4.2+3.9+2+12.7+2+9</f>
        <v>313.09999999999997</v>
      </c>
      <c r="H25" s="57">
        <v>313.10000000000002</v>
      </c>
      <c r="I25" s="57">
        <f>214.4+3.8+12.4+5.5+9</f>
        <v>245.10000000000002</v>
      </c>
      <c r="J25" s="57">
        <v>245.1</v>
      </c>
      <c r="K25" s="57"/>
      <c r="L25" s="90"/>
      <c r="M25" s="32"/>
      <c r="N25" s="32"/>
      <c r="O25" s="32"/>
      <c r="Q25" s="250"/>
      <c r="T25" s="250"/>
      <c r="U25" s="250"/>
      <c r="V25" s="250"/>
    </row>
    <row r="26" spans="1:22" ht="12.75" customHeight="1" x14ac:dyDescent="0.25">
      <c r="A26" s="333">
        <v>14</v>
      </c>
      <c r="B26" s="334"/>
      <c r="C26" s="253" t="s">
        <v>36</v>
      </c>
      <c r="D26" s="335" t="s">
        <v>57</v>
      </c>
      <c r="E26" s="67">
        <f t="shared" si="2"/>
        <v>683.90000000000009</v>
      </c>
      <c r="F26" s="73">
        <f t="shared" si="1"/>
        <v>683.9</v>
      </c>
      <c r="G26" s="57">
        <f>616.2+8.2+32.2+0.6+3.8+16.9</f>
        <v>677.90000000000009</v>
      </c>
      <c r="H26" s="57">
        <v>677.9</v>
      </c>
      <c r="I26" s="57">
        <f>499.7+31.5+12</f>
        <v>543.20000000000005</v>
      </c>
      <c r="J26" s="57">
        <v>543.20000000000005</v>
      </c>
      <c r="K26" s="57">
        <v>6</v>
      </c>
      <c r="L26" s="90">
        <v>6</v>
      </c>
      <c r="M26" s="98"/>
      <c r="N26" s="32"/>
      <c r="O26" s="32"/>
      <c r="Q26" s="250"/>
      <c r="T26" s="250"/>
      <c r="U26" s="250"/>
      <c r="V26" s="250"/>
    </row>
    <row r="27" spans="1:22" ht="12.75" customHeight="1" x14ac:dyDescent="0.25">
      <c r="A27" s="333">
        <v>15</v>
      </c>
      <c r="B27" s="334"/>
      <c r="C27" s="251" t="s">
        <v>97</v>
      </c>
      <c r="D27" s="335" t="s">
        <v>57</v>
      </c>
      <c r="E27" s="67">
        <f>+G27+K27</f>
        <v>372.89999999999992</v>
      </c>
      <c r="F27" s="73">
        <f t="shared" si="1"/>
        <v>372.8</v>
      </c>
      <c r="G27" s="57">
        <f>337.9+8.8+14.4-9.1+2+10.2</f>
        <v>364.19999999999993</v>
      </c>
      <c r="H27" s="57">
        <v>364.2</v>
      </c>
      <c r="I27" s="57">
        <f>235.4+14.1+4.3+10.1</f>
        <v>263.90000000000003</v>
      </c>
      <c r="J27" s="57">
        <v>263.89999999999998</v>
      </c>
      <c r="K27" s="57">
        <f>9.1-0.4</f>
        <v>8.6999999999999993</v>
      </c>
      <c r="L27" s="90">
        <v>8.6</v>
      </c>
      <c r="M27" s="98"/>
      <c r="N27" s="32"/>
      <c r="O27" s="32"/>
      <c r="Q27" s="250"/>
      <c r="T27" s="250"/>
      <c r="U27" s="250"/>
      <c r="V27" s="250"/>
    </row>
    <row r="28" spans="1:22" ht="12.75" customHeight="1" x14ac:dyDescent="0.25">
      <c r="A28" s="333">
        <v>16</v>
      </c>
      <c r="B28" s="334"/>
      <c r="C28" s="253" t="s">
        <v>124</v>
      </c>
      <c r="D28" s="335" t="s">
        <v>58</v>
      </c>
      <c r="E28" s="67">
        <f t="shared" si="2"/>
        <v>502.7</v>
      </c>
      <c r="F28" s="73">
        <f t="shared" si="1"/>
        <v>502.7</v>
      </c>
      <c r="G28" s="57">
        <f>449+12.9+21+4.8+15</f>
        <v>502.7</v>
      </c>
      <c r="H28" s="57">
        <v>502.7</v>
      </c>
      <c r="I28" s="57">
        <f>317.6+20.6+13.7</f>
        <v>351.90000000000003</v>
      </c>
      <c r="J28" s="57">
        <v>351.9</v>
      </c>
      <c r="K28" s="57"/>
      <c r="L28" s="90"/>
      <c r="M28" s="32"/>
      <c r="N28" s="32"/>
      <c r="O28" s="32"/>
      <c r="Q28" s="250"/>
      <c r="T28" s="250"/>
      <c r="U28" s="250"/>
      <c r="V28" s="250"/>
    </row>
    <row r="29" spans="1:22" ht="12.75" customHeight="1" x14ac:dyDescent="0.25">
      <c r="A29" s="333">
        <v>17</v>
      </c>
      <c r="B29" s="334"/>
      <c r="C29" s="251" t="s">
        <v>125</v>
      </c>
      <c r="D29" s="335" t="s">
        <v>58</v>
      </c>
      <c r="E29" s="67">
        <f t="shared" si="2"/>
        <v>345.40000000000003</v>
      </c>
      <c r="F29" s="73">
        <f t="shared" si="1"/>
        <v>345.4</v>
      </c>
      <c r="G29" s="57">
        <f>313+5.8+15.5+11.1</f>
        <v>345.40000000000003</v>
      </c>
      <c r="H29" s="57">
        <v>345.4</v>
      </c>
      <c r="I29" s="57">
        <f>234.5+15.2+5</f>
        <v>254.7</v>
      </c>
      <c r="J29" s="57">
        <v>254.7</v>
      </c>
      <c r="K29" s="57"/>
      <c r="L29" s="90"/>
      <c r="M29" s="32"/>
      <c r="N29" s="32"/>
      <c r="O29" s="32"/>
      <c r="Q29" s="250"/>
      <c r="T29" s="250"/>
      <c r="U29" s="250"/>
      <c r="V29" s="250"/>
    </row>
    <row r="30" spans="1:22" ht="12.75" customHeight="1" x14ac:dyDescent="0.25">
      <c r="A30" s="333">
        <v>18</v>
      </c>
      <c r="B30" s="334"/>
      <c r="C30" s="253" t="s">
        <v>89</v>
      </c>
      <c r="D30" s="335" t="s">
        <v>58</v>
      </c>
      <c r="E30" s="67">
        <f t="shared" si="2"/>
        <v>333.39999999999992</v>
      </c>
      <c r="F30" s="73">
        <f t="shared" si="1"/>
        <v>333.4</v>
      </c>
      <c r="G30" s="57">
        <f>296.7+8.9+14.7+2.7+10.4</f>
        <v>333.39999999999992</v>
      </c>
      <c r="H30" s="57">
        <v>333.4</v>
      </c>
      <c r="I30" s="57">
        <f>220.8+14.4+2+10.2</f>
        <v>247.4</v>
      </c>
      <c r="J30" s="57">
        <v>247.4</v>
      </c>
      <c r="K30" s="57"/>
      <c r="L30" s="90"/>
      <c r="M30" s="255"/>
      <c r="N30" s="32"/>
      <c r="O30" s="32"/>
      <c r="Q30" s="250"/>
      <c r="T30" s="250"/>
      <c r="U30" s="250"/>
      <c r="V30" s="250"/>
    </row>
    <row r="31" spans="1:22" ht="12.75" customHeight="1" x14ac:dyDescent="0.25">
      <c r="A31" s="333">
        <v>19</v>
      </c>
      <c r="B31" s="334"/>
      <c r="C31" s="253" t="s">
        <v>37</v>
      </c>
      <c r="D31" s="335" t="s">
        <v>58</v>
      </c>
      <c r="E31" s="67">
        <f t="shared" si="2"/>
        <v>210.8</v>
      </c>
      <c r="F31" s="73">
        <f t="shared" si="1"/>
        <v>210.8</v>
      </c>
      <c r="G31" s="57">
        <f>186.9+3.9+9.9+3.1+7</f>
        <v>210.8</v>
      </c>
      <c r="H31" s="57">
        <v>210.8</v>
      </c>
      <c r="I31" s="57">
        <f>148.9+9.6+10.4+6.9</f>
        <v>175.8</v>
      </c>
      <c r="J31" s="57">
        <v>175.8</v>
      </c>
      <c r="K31" s="57"/>
      <c r="L31" s="90"/>
      <c r="M31" s="32"/>
      <c r="N31" s="32"/>
      <c r="O31" s="32"/>
      <c r="Q31" s="250"/>
      <c r="T31" s="250"/>
      <c r="U31" s="250"/>
      <c r="V31" s="250"/>
    </row>
    <row r="32" spans="1:22" ht="12.75" customHeight="1" x14ac:dyDescent="0.25">
      <c r="A32" s="333">
        <v>20</v>
      </c>
      <c r="B32" s="334"/>
      <c r="C32" s="253" t="s">
        <v>95</v>
      </c>
      <c r="D32" s="335" t="s">
        <v>58</v>
      </c>
      <c r="E32" s="67">
        <f t="shared" si="2"/>
        <v>608</v>
      </c>
      <c r="F32" s="73">
        <f t="shared" si="1"/>
        <v>608</v>
      </c>
      <c r="G32" s="57">
        <f>544.7+16.8+26.5+1.2+18.8</f>
        <v>608</v>
      </c>
      <c r="H32" s="57">
        <v>608</v>
      </c>
      <c r="I32" s="57">
        <f>423.8+26+18.5</f>
        <v>468.3</v>
      </c>
      <c r="J32" s="57">
        <v>468.3</v>
      </c>
      <c r="K32" s="57"/>
      <c r="L32" s="90"/>
      <c r="M32" s="32"/>
      <c r="N32" s="32"/>
      <c r="O32" s="32"/>
      <c r="Q32" s="250"/>
      <c r="T32" s="250"/>
      <c r="U32" s="250"/>
      <c r="V32" s="250"/>
    </row>
    <row r="33" spans="1:22" ht="12.75" customHeight="1" x14ac:dyDescent="0.25">
      <c r="A33" s="333">
        <v>21</v>
      </c>
      <c r="B33" s="334"/>
      <c r="C33" s="253" t="s">
        <v>287</v>
      </c>
      <c r="D33" s="335" t="s">
        <v>58</v>
      </c>
      <c r="E33" s="67">
        <f t="shared" si="2"/>
        <v>137.69999999999999</v>
      </c>
      <c r="F33" s="73">
        <f t="shared" si="1"/>
        <v>137.69999999999999</v>
      </c>
      <c r="G33" s="57">
        <f>124.6+2.3+6.3+4.5</f>
        <v>137.69999999999999</v>
      </c>
      <c r="H33" s="57">
        <v>137.69999999999999</v>
      </c>
      <c r="I33" s="57">
        <f>94.9+6.2+2.4+4.5</f>
        <v>108.00000000000001</v>
      </c>
      <c r="J33" s="57">
        <v>108</v>
      </c>
      <c r="K33" s="57"/>
      <c r="L33" s="90"/>
      <c r="M33" s="32"/>
      <c r="N33" s="32"/>
      <c r="O33" s="32"/>
      <c r="Q33" s="250"/>
      <c r="T33" s="250"/>
      <c r="U33" s="250"/>
      <c r="V33" s="250"/>
    </row>
    <row r="34" spans="1:22" ht="12.75" customHeight="1" x14ac:dyDescent="0.25">
      <c r="A34" s="333">
        <v>22</v>
      </c>
      <c r="B34" s="334"/>
      <c r="C34" s="253" t="s">
        <v>38</v>
      </c>
      <c r="D34" s="335" t="s">
        <v>58</v>
      </c>
      <c r="E34" s="67">
        <f t="shared" si="2"/>
        <v>185.3</v>
      </c>
      <c r="F34" s="73">
        <f t="shared" si="1"/>
        <v>185.2</v>
      </c>
      <c r="G34" s="57">
        <f>167.3+2.6+9+6.4</f>
        <v>185.3</v>
      </c>
      <c r="H34" s="57">
        <v>185.2</v>
      </c>
      <c r="I34" s="57">
        <f>135.8+8.8+6.4+6.4</f>
        <v>157.40000000000003</v>
      </c>
      <c r="J34" s="57">
        <v>157.4</v>
      </c>
      <c r="K34" s="57"/>
      <c r="L34" s="90"/>
      <c r="M34" s="32"/>
      <c r="N34" s="32"/>
      <c r="O34" s="32"/>
      <c r="Q34" s="250"/>
      <c r="T34" s="250"/>
      <c r="U34" s="250"/>
      <c r="V34" s="250"/>
    </row>
    <row r="35" spans="1:22" ht="12.75" customHeight="1" x14ac:dyDescent="0.25">
      <c r="A35" s="333">
        <v>23</v>
      </c>
      <c r="B35" s="334"/>
      <c r="C35" s="253" t="s">
        <v>96</v>
      </c>
      <c r="D35" s="335" t="s">
        <v>58</v>
      </c>
      <c r="E35" s="67">
        <f t="shared" si="2"/>
        <v>172.30000000000004</v>
      </c>
      <c r="F35" s="73">
        <f t="shared" si="1"/>
        <v>172.20000000000002</v>
      </c>
      <c r="G35" s="57">
        <f>156.8+2.9+7.3-1.9+5.3</f>
        <v>170.40000000000003</v>
      </c>
      <c r="H35" s="57">
        <v>170.3</v>
      </c>
      <c r="I35" s="57">
        <f>120.2+7.2+5.2</f>
        <v>132.6</v>
      </c>
      <c r="J35" s="57">
        <v>132.6</v>
      </c>
      <c r="K35" s="57">
        <v>1.9</v>
      </c>
      <c r="L35" s="90">
        <v>1.9</v>
      </c>
      <c r="M35" s="32"/>
      <c r="N35" s="32"/>
      <c r="O35" s="32"/>
      <c r="Q35" s="250"/>
      <c r="T35" s="250"/>
      <c r="U35" s="250"/>
      <c r="V35" s="250"/>
    </row>
    <row r="36" spans="1:22" ht="40.799999999999997" x14ac:dyDescent="0.25">
      <c r="A36" s="333">
        <v>24</v>
      </c>
      <c r="B36" s="334"/>
      <c r="C36" s="253" t="s">
        <v>84</v>
      </c>
      <c r="D36" s="337" t="s">
        <v>288</v>
      </c>
      <c r="E36" s="67">
        <f t="shared" si="2"/>
        <v>389.49999999999994</v>
      </c>
      <c r="F36" s="73">
        <f t="shared" si="1"/>
        <v>389.5</v>
      </c>
      <c r="G36" s="57">
        <f>332.8+13.4+16.6+5-2.1-0.1+9.9+11.8</f>
        <v>387.29999999999995</v>
      </c>
      <c r="H36" s="57">
        <v>387.3</v>
      </c>
      <c r="I36" s="57">
        <f>253.2+16.3+1.8+8.2</f>
        <v>279.5</v>
      </c>
      <c r="J36" s="57">
        <v>279.5</v>
      </c>
      <c r="K36" s="57">
        <f>2.1+0.1</f>
        <v>2.2000000000000002</v>
      </c>
      <c r="L36" s="90">
        <v>2.2000000000000002</v>
      </c>
      <c r="M36" s="32"/>
      <c r="N36" s="32"/>
      <c r="O36" s="32"/>
      <c r="Q36" s="250"/>
      <c r="T36" s="250"/>
      <c r="U36" s="250"/>
      <c r="V36" s="250"/>
    </row>
    <row r="37" spans="1:22" x14ac:dyDescent="0.25">
      <c r="A37" s="333">
        <v>25</v>
      </c>
      <c r="B37" s="334"/>
      <c r="C37" s="251" t="s">
        <v>276</v>
      </c>
      <c r="D37" s="337" t="s">
        <v>58</v>
      </c>
      <c r="E37" s="67">
        <f t="shared" si="2"/>
        <v>16.3</v>
      </c>
      <c r="F37" s="73">
        <f t="shared" si="1"/>
        <v>16.2</v>
      </c>
      <c r="G37" s="57">
        <f>1.5+14.8</f>
        <v>16.3</v>
      </c>
      <c r="H37" s="57">
        <v>16.2</v>
      </c>
      <c r="I37" s="57"/>
      <c r="J37" s="57"/>
      <c r="K37" s="57"/>
      <c r="L37" s="90"/>
      <c r="M37" s="32"/>
      <c r="N37" s="32"/>
      <c r="O37" s="32"/>
      <c r="Q37" s="250"/>
      <c r="T37" s="250"/>
      <c r="U37" s="250"/>
      <c r="V37" s="250"/>
    </row>
    <row r="38" spans="1:22" ht="15" customHeight="1" x14ac:dyDescent="0.25">
      <c r="A38" s="333">
        <v>26</v>
      </c>
      <c r="B38" s="334"/>
      <c r="C38" s="251" t="s">
        <v>50</v>
      </c>
      <c r="D38" s="335" t="s">
        <v>59</v>
      </c>
      <c r="E38" s="67">
        <f t="shared" si="2"/>
        <v>246.7</v>
      </c>
      <c r="F38" s="73">
        <f t="shared" si="1"/>
        <v>246.7</v>
      </c>
      <c r="G38" s="57">
        <f>222.2+16.4+8.1</f>
        <v>246.7</v>
      </c>
      <c r="H38" s="57">
        <v>246.7</v>
      </c>
      <c r="I38" s="57">
        <f>216.9+16.2+0.6+8.1</f>
        <v>241.79999999999998</v>
      </c>
      <c r="J38" s="57">
        <v>241.8</v>
      </c>
      <c r="K38" s="57"/>
      <c r="L38" s="90"/>
      <c r="M38" s="32"/>
      <c r="N38" s="32"/>
      <c r="O38" s="32"/>
      <c r="Q38" s="250"/>
      <c r="T38" s="250"/>
      <c r="U38" s="250"/>
      <c r="V38" s="250"/>
    </row>
    <row r="39" spans="1:22" ht="15" customHeight="1" x14ac:dyDescent="0.25">
      <c r="A39" s="333">
        <v>27</v>
      </c>
      <c r="B39" s="334"/>
      <c r="C39" s="251" t="s">
        <v>43</v>
      </c>
      <c r="D39" s="335" t="s">
        <v>59</v>
      </c>
      <c r="E39" s="67">
        <f t="shared" si="2"/>
        <v>282.40000000000003</v>
      </c>
      <c r="F39" s="73">
        <f t="shared" si="1"/>
        <v>263.3</v>
      </c>
      <c r="G39" s="57">
        <f>262.8+19.6</f>
        <v>282.40000000000003</v>
      </c>
      <c r="H39" s="57">
        <v>263.3</v>
      </c>
      <c r="I39" s="57">
        <f>257.7+19.3-3.1</f>
        <v>273.89999999999998</v>
      </c>
      <c r="J39" s="57">
        <v>254.6</v>
      </c>
      <c r="K39" s="256"/>
      <c r="L39" s="90"/>
      <c r="M39" s="254"/>
      <c r="N39" s="32"/>
      <c r="O39" s="32"/>
      <c r="Q39" s="250"/>
      <c r="T39" s="250"/>
      <c r="U39" s="250"/>
      <c r="V39" s="250"/>
    </row>
    <row r="40" spans="1:22" ht="15" customHeight="1" x14ac:dyDescent="0.25">
      <c r="A40" s="333">
        <v>28</v>
      </c>
      <c r="B40" s="334"/>
      <c r="C40" s="251" t="s">
        <v>44</v>
      </c>
      <c r="D40" s="335" t="s">
        <v>59</v>
      </c>
      <c r="E40" s="67">
        <f t="shared" si="2"/>
        <v>797.09999999999991</v>
      </c>
      <c r="F40" s="73">
        <f t="shared" si="1"/>
        <v>797.1</v>
      </c>
      <c r="G40" s="57">
        <f>716.4+53.3+1.3+26.1</f>
        <v>797.09999999999991</v>
      </c>
      <c r="H40" s="57">
        <v>797.1</v>
      </c>
      <c r="I40" s="57">
        <f>701.2+52.5+1.3+24.3</f>
        <v>779.3</v>
      </c>
      <c r="J40" s="57">
        <v>779.3</v>
      </c>
      <c r="K40" s="57"/>
      <c r="L40" s="90"/>
      <c r="M40" s="32"/>
      <c r="N40" s="32"/>
      <c r="O40" s="32"/>
      <c r="Q40" s="250"/>
      <c r="T40" s="250"/>
      <c r="U40" s="250"/>
      <c r="V40" s="250"/>
    </row>
    <row r="41" spans="1:22" ht="30.6" x14ac:dyDescent="0.25">
      <c r="A41" s="333">
        <v>29</v>
      </c>
      <c r="B41" s="334"/>
      <c r="C41" s="251" t="s">
        <v>92</v>
      </c>
      <c r="D41" s="337" t="s">
        <v>289</v>
      </c>
      <c r="E41" s="67">
        <f>+G41+K41</f>
        <v>119.7</v>
      </c>
      <c r="F41" s="73">
        <f t="shared" si="1"/>
        <v>119.6</v>
      </c>
      <c r="G41" s="57">
        <f>110.4+0.7+6.1-5+7.5</f>
        <v>119.7</v>
      </c>
      <c r="H41" s="57">
        <v>119.6</v>
      </c>
      <c r="I41" s="57">
        <f>91.1+6+1.8+7.5</f>
        <v>106.39999999999999</v>
      </c>
      <c r="J41" s="57">
        <v>106.4</v>
      </c>
      <c r="K41" s="57"/>
      <c r="L41" s="90"/>
      <c r="M41" s="254"/>
      <c r="N41" s="32"/>
      <c r="O41" s="32"/>
      <c r="Q41" s="250"/>
      <c r="T41" s="250"/>
      <c r="U41" s="250"/>
      <c r="V41" s="250"/>
    </row>
    <row r="42" spans="1:22" ht="15" customHeight="1" x14ac:dyDescent="0.25">
      <c r="A42" s="333">
        <v>30</v>
      </c>
      <c r="B42" s="334"/>
      <c r="C42" s="257" t="s">
        <v>15</v>
      </c>
      <c r="D42" s="335" t="s">
        <v>55</v>
      </c>
      <c r="E42" s="67">
        <f>+G42+K42</f>
        <v>125.2</v>
      </c>
      <c r="F42" s="73">
        <f t="shared" si="1"/>
        <v>125.1</v>
      </c>
      <c r="G42" s="57">
        <f>116.7+2.3+0.7+5.5</f>
        <v>125.2</v>
      </c>
      <c r="H42" s="57">
        <v>125.1</v>
      </c>
      <c r="I42" s="57">
        <f>95.6+2.2-3.4+0.7+5.5</f>
        <v>100.6</v>
      </c>
      <c r="J42" s="57">
        <v>100.6</v>
      </c>
      <c r="K42" s="57"/>
      <c r="L42" s="90"/>
      <c r="M42" s="254"/>
      <c r="N42" s="32"/>
      <c r="O42" s="32"/>
      <c r="Q42" s="250"/>
      <c r="T42" s="250"/>
      <c r="U42" s="250"/>
      <c r="V42" s="250"/>
    </row>
    <row r="43" spans="1:22" ht="15" customHeight="1" x14ac:dyDescent="0.25">
      <c r="A43" s="333">
        <v>31</v>
      </c>
      <c r="B43" s="334"/>
      <c r="C43" s="257" t="s">
        <v>290</v>
      </c>
      <c r="D43" s="335" t="s">
        <v>55</v>
      </c>
      <c r="E43" s="67">
        <f>+G43+K43</f>
        <v>128.6</v>
      </c>
      <c r="F43" s="73">
        <f t="shared" si="1"/>
        <v>128.4</v>
      </c>
      <c r="G43" s="57">
        <f>112+1.1+8.6+6.2+0.7</f>
        <v>128.6</v>
      </c>
      <c r="H43" s="57">
        <v>128.4</v>
      </c>
      <c r="I43" s="57">
        <f>91.6+8.4+1+6.1</f>
        <v>107.1</v>
      </c>
      <c r="J43" s="67">
        <v>107.1</v>
      </c>
      <c r="K43" s="57"/>
      <c r="L43" s="90"/>
      <c r="M43" s="254"/>
      <c r="N43" s="32"/>
      <c r="O43" s="32"/>
      <c r="Q43" s="250"/>
      <c r="R43" s="250"/>
      <c r="S43" s="250"/>
      <c r="T43" s="250"/>
    </row>
    <row r="44" spans="1:22" ht="15" customHeight="1" x14ac:dyDescent="0.25">
      <c r="A44" s="333">
        <v>32</v>
      </c>
      <c r="B44" s="334"/>
      <c r="C44" s="258" t="s">
        <v>291</v>
      </c>
      <c r="D44" s="335"/>
      <c r="E44" s="67">
        <f>+G44+K44</f>
        <v>498.4</v>
      </c>
      <c r="F44" s="73">
        <f t="shared" si="1"/>
        <v>411.6</v>
      </c>
      <c r="G44" s="67">
        <f>+G45+G46+G47+G48+G49</f>
        <v>418.79999999999995</v>
      </c>
      <c r="H44" s="67">
        <f>+H45+H46+H47+H48+H49</f>
        <v>386.70000000000005</v>
      </c>
      <c r="I44" s="67">
        <f>+I45+I47+I48+I49</f>
        <v>136.6</v>
      </c>
      <c r="J44" s="67">
        <f>+J45+J47+J48+J49</f>
        <v>128.5</v>
      </c>
      <c r="K44" s="67">
        <f>+K45+K47+K48+K49</f>
        <v>79.599999999999994</v>
      </c>
      <c r="L44" s="67">
        <f>+L45+L47+L48+L49</f>
        <v>24.900000000000002</v>
      </c>
      <c r="M44" s="32"/>
      <c r="N44" s="32"/>
      <c r="O44" s="32"/>
      <c r="Q44" s="250"/>
      <c r="R44" s="250"/>
      <c r="S44" s="250"/>
      <c r="T44" s="250"/>
    </row>
    <row r="45" spans="1:22" ht="15" customHeight="1" x14ac:dyDescent="0.25">
      <c r="A45" s="338" t="s">
        <v>292</v>
      </c>
      <c r="B45" s="334"/>
      <c r="C45" s="251" t="s">
        <v>3</v>
      </c>
      <c r="D45" s="337" t="s">
        <v>293</v>
      </c>
      <c r="E45" s="67">
        <f t="shared" ref="E45:F60" si="3">+G45+K45</f>
        <v>145.69999999999999</v>
      </c>
      <c r="F45" s="73">
        <f t="shared" si="1"/>
        <v>135.5</v>
      </c>
      <c r="G45" s="67">
        <f>123.3+22.4</f>
        <v>145.69999999999999</v>
      </c>
      <c r="H45" s="172">
        <v>135.5</v>
      </c>
      <c r="I45" s="67">
        <f>114.4+22.2</f>
        <v>136.6</v>
      </c>
      <c r="J45" s="67">
        <v>128.5</v>
      </c>
      <c r="K45" s="67"/>
      <c r="L45" s="90"/>
      <c r="M45" s="254"/>
      <c r="N45" s="254"/>
      <c r="O45" s="32"/>
      <c r="Q45" s="250"/>
      <c r="R45" s="250"/>
      <c r="S45" s="250"/>
      <c r="T45" s="250"/>
    </row>
    <row r="46" spans="1:22" ht="24" x14ac:dyDescent="0.25">
      <c r="A46" s="338" t="s">
        <v>294</v>
      </c>
      <c r="B46" s="334"/>
      <c r="C46" s="253" t="s">
        <v>786</v>
      </c>
      <c r="D46" s="337" t="s">
        <v>295</v>
      </c>
      <c r="E46" s="67">
        <f t="shared" si="3"/>
        <v>50</v>
      </c>
      <c r="F46" s="73">
        <f t="shared" si="1"/>
        <v>45.8</v>
      </c>
      <c r="G46" s="67">
        <v>50</v>
      </c>
      <c r="H46" s="67">
        <v>45.8</v>
      </c>
      <c r="I46" s="57"/>
      <c r="J46" s="57"/>
      <c r="K46" s="57"/>
      <c r="L46" s="90"/>
      <c r="M46" s="32"/>
      <c r="N46" s="32"/>
      <c r="O46" s="32"/>
      <c r="Q46" s="250"/>
      <c r="R46" s="250"/>
      <c r="S46" s="250"/>
      <c r="T46" s="250"/>
    </row>
    <row r="47" spans="1:22" ht="24" x14ac:dyDescent="0.25">
      <c r="A47" s="338" t="s">
        <v>296</v>
      </c>
      <c r="B47" s="334"/>
      <c r="C47" s="259" t="s">
        <v>297</v>
      </c>
      <c r="D47" s="335" t="s">
        <v>298</v>
      </c>
      <c r="E47" s="67">
        <f t="shared" si="3"/>
        <v>25</v>
      </c>
      <c r="F47" s="73">
        <f t="shared" si="1"/>
        <v>25</v>
      </c>
      <c r="G47" s="67">
        <v>25</v>
      </c>
      <c r="H47" s="67">
        <v>25</v>
      </c>
      <c r="I47" s="57"/>
      <c r="J47" s="57"/>
      <c r="K47" s="57"/>
      <c r="L47" s="90"/>
      <c r="M47" s="32"/>
      <c r="N47" s="32"/>
      <c r="O47" s="32"/>
      <c r="Q47" s="250"/>
      <c r="R47" s="250"/>
      <c r="S47" s="250"/>
      <c r="T47" s="250"/>
    </row>
    <row r="48" spans="1:22" x14ac:dyDescent="0.25">
      <c r="A48" s="338" t="s">
        <v>299</v>
      </c>
      <c r="B48" s="334"/>
      <c r="C48" s="259" t="s">
        <v>300</v>
      </c>
      <c r="D48" s="335" t="s">
        <v>301</v>
      </c>
      <c r="E48" s="67">
        <f t="shared" si="3"/>
        <v>14</v>
      </c>
      <c r="F48" s="73">
        <f t="shared" si="1"/>
        <v>7.9</v>
      </c>
      <c r="G48" s="67">
        <v>14</v>
      </c>
      <c r="H48" s="67">
        <v>7.9</v>
      </c>
      <c r="I48" s="57"/>
      <c r="J48" s="57"/>
      <c r="K48" s="57"/>
      <c r="L48" s="90"/>
      <c r="M48" s="32"/>
      <c r="N48" s="32"/>
      <c r="O48" s="32"/>
      <c r="Q48" s="250"/>
      <c r="R48" s="250"/>
      <c r="S48" s="250"/>
      <c r="T48" s="250"/>
    </row>
    <row r="49" spans="1:20" ht="39" customHeight="1" x14ac:dyDescent="0.25">
      <c r="A49" s="338" t="s">
        <v>302</v>
      </c>
      <c r="B49" s="334"/>
      <c r="C49" s="260" t="s">
        <v>303</v>
      </c>
      <c r="D49" s="335"/>
      <c r="E49" s="261">
        <f>+G49+K49</f>
        <v>263.7</v>
      </c>
      <c r="F49" s="261">
        <f>+H49+L49</f>
        <v>197.4</v>
      </c>
      <c r="G49" s="262">
        <f t="shared" ref="G49:L49" si="4">+G50+G51+G52+G53+G54+G55+G56</f>
        <v>184.1</v>
      </c>
      <c r="H49" s="262">
        <f t="shared" si="4"/>
        <v>172.5</v>
      </c>
      <c r="I49" s="262">
        <f t="shared" si="4"/>
        <v>0</v>
      </c>
      <c r="J49" s="262">
        <f t="shared" si="4"/>
        <v>0</v>
      </c>
      <c r="K49" s="262">
        <f t="shared" si="4"/>
        <v>79.599999999999994</v>
      </c>
      <c r="L49" s="262">
        <f t="shared" si="4"/>
        <v>24.900000000000002</v>
      </c>
      <c r="M49" s="32"/>
      <c r="N49" s="32"/>
      <c r="O49" s="32"/>
      <c r="Q49" s="250"/>
      <c r="R49" s="250"/>
      <c r="S49" s="250"/>
      <c r="T49" s="250"/>
    </row>
    <row r="50" spans="1:20" ht="25.2" customHeight="1" x14ac:dyDescent="0.25">
      <c r="A50" s="338" t="s">
        <v>304</v>
      </c>
      <c r="B50" s="334"/>
      <c r="C50" s="263" t="s">
        <v>103</v>
      </c>
      <c r="D50" s="335" t="s">
        <v>58</v>
      </c>
      <c r="E50" s="67">
        <f t="shared" si="3"/>
        <v>28.6</v>
      </c>
      <c r="F50" s="353">
        <f t="shared" si="3"/>
        <v>20.900000000000002</v>
      </c>
      <c r="G50" s="67">
        <v>0.7</v>
      </c>
      <c r="H50" s="67">
        <v>-1.4</v>
      </c>
      <c r="I50" s="57"/>
      <c r="J50" s="57"/>
      <c r="K50" s="57">
        <f>11.4+7.2-0.7+10</f>
        <v>27.900000000000002</v>
      </c>
      <c r="L50" s="90">
        <v>22.3</v>
      </c>
      <c r="M50" s="32"/>
      <c r="N50" s="32"/>
      <c r="O50" s="32"/>
      <c r="Q50" s="250"/>
      <c r="R50" s="264"/>
      <c r="S50" s="250"/>
      <c r="T50" s="250"/>
    </row>
    <row r="51" spans="1:20" x14ac:dyDescent="0.25">
      <c r="A51" s="338" t="s">
        <v>305</v>
      </c>
      <c r="B51" s="334"/>
      <c r="C51" s="355" t="s">
        <v>135</v>
      </c>
      <c r="D51" s="335" t="s">
        <v>55</v>
      </c>
      <c r="E51" s="67">
        <f>+G51+K51</f>
        <v>7.7</v>
      </c>
      <c r="F51" s="353">
        <f t="shared" si="3"/>
        <v>3</v>
      </c>
      <c r="G51" s="67">
        <v>0.5</v>
      </c>
      <c r="H51" s="67">
        <v>0.2</v>
      </c>
      <c r="I51" s="57"/>
      <c r="J51" s="57"/>
      <c r="K51" s="57">
        <v>7.2</v>
      </c>
      <c r="L51" s="90">
        <v>2.8</v>
      </c>
      <c r="M51" s="32"/>
      <c r="N51" s="32"/>
      <c r="O51" s="32"/>
      <c r="Q51" s="250"/>
      <c r="R51" s="250"/>
      <c r="S51" s="250"/>
      <c r="T51" s="250"/>
    </row>
    <row r="52" spans="1:20" ht="18.600000000000001" customHeight="1" x14ac:dyDescent="0.25">
      <c r="A52" s="338" t="s">
        <v>306</v>
      </c>
      <c r="B52" s="334"/>
      <c r="C52" s="266" t="s">
        <v>136</v>
      </c>
      <c r="D52" s="335" t="s">
        <v>55</v>
      </c>
      <c r="E52" s="67">
        <f>+G52+K52</f>
        <v>15.4</v>
      </c>
      <c r="F52" s="353">
        <f t="shared" si="3"/>
        <v>0.3</v>
      </c>
      <c r="G52" s="67">
        <v>0.9</v>
      </c>
      <c r="H52" s="67">
        <v>0.5</v>
      </c>
      <c r="I52" s="57"/>
      <c r="J52" s="57"/>
      <c r="K52" s="57">
        <v>14.5</v>
      </c>
      <c r="L52" s="90">
        <v>-0.2</v>
      </c>
      <c r="M52" s="32"/>
      <c r="N52" s="32"/>
      <c r="O52" s="32"/>
      <c r="Q52" s="250"/>
      <c r="R52" s="250"/>
      <c r="S52" s="250"/>
      <c r="T52" s="250"/>
    </row>
    <row r="53" spans="1:20" ht="24" x14ac:dyDescent="0.25">
      <c r="A53" s="338" t="s">
        <v>307</v>
      </c>
      <c r="B53" s="334"/>
      <c r="C53" s="266" t="s">
        <v>308</v>
      </c>
      <c r="D53" s="337" t="s">
        <v>295</v>
      </c>
      <c r="E53" s="67">
        <f t="shared" si="3"/>
        <v>50</v>
      </c>
      <c r="F53" s="353">
        <f t="shared" si="3"/>
        <v>50</v>
      </c>
      <c r="G53" s="67">
        <v>50</v>
      </c>
      <c r="H53" s="67">
        <v>50</v>
      </c>
      <c r="I53" s="57"/>
      <c r="J53" s="57"/>
      <c r="K53" s="57"/>
      <c r="L53" s="90"/>
      <c r="M53" s="32"/>
      <c r="N53" s="32"/>
      <c r="O53" s="32"/>
      <c r="Q53" s="250"/>
      <c r="R53" s="250"/>
      <c r="S53" s="250"/>
      <c r="T53" s="250"/>
    </row>
    <row r="54" spans="1:20" ht="24" x14ac:dyDescent="0.25">
      <c r="A54" s="338" t="s">
        <v>309</v>
      </c>
      <c r="B54" s="49"/>
      <c r="C54" s="263" t="s">
        <v>310</v>
      </c>
      <c r="D54" s="337" t="s">
        <v>295</v>
      </c>
      <c r="E54" s="67">
        <f t="shared" si="3"/>
        <v>72</v>
      </c>
      <c r="F54" s="353">
        <f t="shared" si="3"/>
        <v>72</v>
      </c>
      <c r="G54" s="68">
        <f>30+42</f>
        <v>72</v>
      </c>
      <c r="H54" s="68">
        <v>72</v>
      </c>
      <c r="I54" s="68"/>
      <c r="J54" s="68"/>
      <c r="K54" s="68"/>
      <c r="L54" s="90"/>
      <c r="M54" s="32"/>
      <c r="N54" s="32"/>
      <c r="O54" s="32"/>
      <c r="Q54" s="250"/>
      <c r="R54" s="250"/>
      <c r="S54" s="250"/>
      <c r="T54" s="250"/>
    </row>
    <row r="55" spans="1:20" ht="24" x14ac:dyDescent="0.25">
      <c r="A55" s="338" t="s">
        <v>311</v>
      </c>
      <c r="B55" s="334"/>
      <c r="C55" s="259" t="s">
        <v>312</v>
      </c>
      <c r="D55" s="337" t="s">
        <v>295</v>
      </c>
      <c r="E55" s="67">
        <f t="shared" si="3"/>
        <v>50</v>
      </c>
      <c r="F55" s="353">
        <f t="shared" si="3"/>
        <v>41.3</v>
      </c>
      <c r="G55" s="67">
        <v>50</v>
      </c>
      <c r="H55" s="67">
        <v>41.3</v>
      </c>
      <c r="I55" s="57"/>
      <c r="J55" s="57"/>
      <c r="K55" s="57"/>
      <c r="L55" s="90"/>
      <c r="M55" s="32"/>
      <c r="N55" s="32"/>
      <c r="O55" s="32"/>
      <c r="Q55" s="250"/>
      <c r="R55" s="250"/>
      <c r="S55" s="250"/>
      <c r="T55" s="250"/>
    </row>
    <row r="56" spans="1:20" ht="56.25" customHeight="1" x14ac:dyDescent="0.25">
      <c r="A56" s="338" t="s">
        <v>313</v>
      </c>
      <c r="B56" s="334"/>
      <c r="C56" s="259" t="s">
        <v>314</v>
      </c>
      <c r="D56" s="337" t="s">
        <v>295</v>
      </c>
      <c r="E56" s="67">
        <f t="shared" si="3"/>
        <v>40</v>
      </c>
      <c r="F56" s="353">
        <f t="shared" si="3"/>
        <v>9.9</v>
      </c>
      <c r="G56" s="67">
        <f>10+30-30</f>
        <v>10</v>
      </c>
      <c r="H56" s="67">
        <v>9.9</v>
      </c>
      <c r="I56" s="57"/>
      <c r="J56" s="57"/>
      <c r="K56" s="57">
        <v>30</v>
      </c>
      <c r="L56" s="206">
        <v>0</v>
      </c>
      <c r="M56" s="32"/>
      <c r="N56" s="32"/>
      <c r="O56" s="32"/>
      <c r="Q56" s="250"/>
      <c r="R56" s="264"/>
      <c r="S56" s="250"/>
      <c r="T56" s="250"/>
    </row>
    <row r="57" spans="1:20" ht="20.100000000000001" customHeight="1" x14ac:dyDescent="0.25">
      <c r="A57" s="333">
        <v>33</v>
      </c>
      <c r="B57" s="336" t="s">
        <v>60</v>
      </c>
      <c r="C57" s="35" t="s">
        <v>61</v>
      </c>
      <c r="D57" s="247"/>
      <c r="E57" s="61">
        <f t="shared" si="3"/>
        <v>483.09999999999997</v>
      </c>
      <c r="F57" s="61">
        <f t="shared" si="3"/>
        <v>398</v>
      </c>
      <c r="G57" s="61">
        <f t="shared" ref="G57:L57" si="5">+G58+G59</f>
        <v>430.79999999999995</v>
      </c>
      <c r="H57" s="61">
        <f t="shared" si="5"/>
        <v>354.59999999999997</v>
      </c>
      <c r="I57" s="61">
        <f t="shared" si="5"/>
        <v>57.099999999999994</v>
      </c>
      <c r="J57" s="61">
        <f t="shared" si="5"/>
        <v>57.1</v>
      </c>
      <c r="K57" s="61">
        <f t="shared" si="5"/>
        <v>52.3</v>
      </c>
      <c r="L57" s="61">
        <f t="shared" si="5"/>
        <v>43.400000000000006</v>
      </c>
      <c r="M57" s="32"/>
      <c r="N57" s="32"/>
      <c r="O57" s="32"/>
      <c r="Q57" s="250"/>
      <c r="R57" s="250"/>
      <c r="S57" s="250"/>
      <c r="T57" s="250"/>
    </row>
    <row r="58" spans="1:20" x14ac:dyDescent="0.25">
      <c r="A58" s="333">
        <v>34</v>
      </c>
      <c r="B58" s="336"/>
      <c r="C58" s="251" t="s">
        <v>787</v>
      </c>
      <c r="D58" s="337" t="s">
        <v>315</v>
      </c>
      <c r="E58" s="57">
        <f t="shared" si="3"/>
        <v>58.3</v>
      </c>
      <c r="F58" s="57">
        <f t="shared" si="3"/>
        <v>58.3</v>
      </c>
      <c r="G58" s="57">
        <f>52.5+3.4+2.4</f>
        <v>58.3</v>
      </c>
      <c r="H58" s="57">
        <v>58.3</v>
      </c>
      <c r="I58" s="57">
        <f>51.4+3.3+2.4</f>
        <v>57.099999999999994</v>
      </c>
      <c r="J58" s="57">
        <v>57.1</v>
      </c>
      <c r="K58" s="57"/>
      <c r="L58" s="90"/>
      <c r="M58" s="32"/>
      <c r="N58" s="254"/>
      <c r="O58" s="32"/>
      <c r="Q58" s="250"/>
      <c r="R58" s="250"/>
      <c r="S58" s="250"/>
      <c r="T58" s="250"/>
    </row>
    <row r="59" spans="1:20" x14ac:dyDescent="0.25">
      <c r="A59" s="333">
        <v>35</v>
      </c>
      <c r="B59" s="334"/>
      <c r="C59" s="258" t="s">
        <v>291</v>
      </c>
      <c r="D59" s="337"/>
      <c r="E59" s="57">
        <f t="shared" si="3"/>
        <v>424.79999999999995</v>
      </c>
      <c r="F59" s="57">
        <f t="shared" si="3"/>
        <v>339.69999999999993</v>
      </c>
      <c r="G59" s="57">
        <f t="shared" ref="G59:L59" si="6">+G60+G61+G62+G63+G64+G65+G66+G67+G68+G69+G70+G71+G72+G73</f>
        <v>372.49999999999994</v>
      </c>
      <c r="H59" s="57">
        <f t="shared" si="6"/>
        <v>296.29999999999995</v>
      </c>
      <c r="I59" s="57">
        <f t="shared" si="6"/>
        <v>0</v>
      </c>
      <c r="J59" s="57">
        <f t="shared" si="6"/>
        <v>0</v>
      </c>
      <c r="K59" s="57">
        <f t="shared" si="6"/>
        <v>52.3</v>
      </c>
      <c r="L59" s="57">
        <f t="shared" si="6"/>
        <v>43.400000000000006</v>
      </c>
      <c r="M59" s="32"/>
      <c r="N59" s="32"/>
      <c r="O59" s="32"/>
      <c r="Q59" s="250"/>
      <c r="R59" s="250"/>
      <c r="S59" s="250"/>
      <c r="T59" s="250"/>
    </row>
    <row r="60" spans="1:20" x14ac:dyDescent="0.25">
      <c r="A60" s="338" t="s">
        <v>316</v>
      </c>
      <c r="B60" s="334"/>
      <c r="C60" s="251" t="s">
        <v>3</v>
      </c>
      <c r="D60" s="335" t="s">
        <v>317</v>
      </c>
      <c r="E60" s="57">
        <f t="shared" si="3"/>
        <v>1</v>
      </c>
      <c r="F60" s="57">
        <f t="shared" si="3"/>
        <v>0</v>
      </c>
      <c r="G60" s="57">
        <v>1</v>
      </c>
      <c r="H60" s="57">
        <v>0</v>
      </c>
      <c r="I60" s="57"/>
      <c r="J60" s="57"/>
      <c r="K60" s="57"/>
      <c r="L60" s="90"/>
      <c r="M60" s="32"/>
      <c r="N60" s="32"/>
      <c r="O60" s="32"/>
      <c r="Q60" s="250"/>
      <c r="R60" s="250"/>
      <c r="S60" s="250"/>
      <c r="T60" s="250"/>
    </row>
    <row r="61" spans="1:20" ht="32.25" customHeight="1" x14ac:dyDescent="0.25">
      <c r="A61" s="338" t="s">
        <v>318</v>
      </c>
      <c r="B61" s="334"/>
      <c r="C61" s="268" t="s">
        <v>785</v>
      </c>
      <c r="D61" s="337" t="s">
        <v>319</v>
      </c>
      <c r="E61" s="57">
        <f t="shared" ref="E61:F102" si="7">+G61+K61</f>
        <v>20</v>
      </c>
      <c r="F61" s="57">
        <f t="shared" si="7"/>
        <v>20</v>
      </c>
      <c r="G61" s="57">
        <v>20</v>
      </c>
      <c r="H61" s="57">
        <v>20</v>
      </c>
      <c r="I61" s="57"/>
      <c r="J61" s="57"/>
      <c r="K61" s="57"/>
      <c r="L61" s="90"/>
      <c r="M61" s="32"/>
      <c r="N61" s="32"/>
      <c r="O61" s="32"/>
      <c r="Q61" s="250"/>
      <c r="R61" s="250"/>
      <c r="S61" s="250"/>
      <c r="T61" s="250"/>
    </row>
    <row r="62" spans="1:20" x14ac:dyDescent="0.25">
      <c r="A62" s="338" t="s">
        <v>320</v>
      </c>
      <c r="B62" s="334"/>
      <c r="C62" s="268" t="s">
        <v>321</v>
      </c>
      <c r="D62" s="337" t="s">
        <v>322</v>
      </c>
      <c r="E62" s="57">
        <f t="shared" si="7"/>
        <v>40</v>
      </c>
      <c r="F62" s="57">
        <f t="shared" si="7"/>
        <v>40</v>
      </c>
      <c r="G62" s="57">
        <v>40</v>
      </c>
      <c r="H62" s="57">
        <v>40</v>
      </c>
      <c r="I62" s="57"/>
      <c r="J62" s="57"/>
      <c r="K62" s="57"/>
      <c r="L62" s="90"/>
      <c r="M62" s="32"/>
      <c r="N62" s="32"/>
      <c r="O62" s="32"/>
      <c r="Q62" s="250"/>
      <c r="R62" s="250"/>
      <c r="S62" s="250"/>
      <c r="T62" s="250"/>
    </row>
    <row r="63" spans="1:20" ht="27.75" customHeight="1" x14ac:dyDescent="0.25">
      <c r="A63" s="338" t="s">
        <v>323</v>
      </c>
      <c r="B63" s="334"/>
      <c r="C63" s="268" t="s">
        <v>769</v>
      </c>
      <c r="D63" s="337" t="s">
        <v>319</v>
      </c>
      <c r="E63" s="57">
        <f t="shared" si="7"/>
        <v>10.3</v>
      </c>
      <c r="F63" s="57">
        <f t="shared" si="7"/>
        <v>10.3</v>
      </c>
      <c r="G63" s="57">
        <v>10.3</v>
      </c>
      <c r="H63" s="57">
        <v>10.3</v>
      </c>
      <c r="I63" s="57"/>
      <c r="J63" s="57"/>
      <c r="K63" s="57"/>
      <c r="L63" s="90"/>
      <c r="M63" s="32"/>
      <c r="N63" s="32"/>
      <c r="O63" s="32"/>
      <c r="Q63" s="250"/>
      <c r="R63" s="250"/>
      <c r="S63" s="250"/>
      <c r="T63" s="250"/>
    </row>
    <row r="64" spans="1:20" ht="24" customHeight="1" x14ac:dyDescent="0.25">
      <c r="A64" s="338" t="s">
        <v>324</v>
      </c>
      <c r="B64" s="334"/>
      <c r="C64" s="268" t="s">
        <v>325</v>
      </c>
      <c r="D64" s="337" t="s">
        <v>319</v>
      </c>
      <c r="E64" s="57">
        <f t="shared" si="7"/>
        <v>10.9</v>
      </c>
      <c r="F64" s="57">
        <f t="shared" si="7"/>
        <v>10.9</v>
      </c>
      <c r="G64" s="57">
        <v>10.9</v>
      </c>
      <c r="H64" s="57">
        <v>10.9</v>
      </c>
      <c r="I64" s="57"/>
      <c r="J64" s="57"/>
      <c r="K64" s="57"/>
      <c r="L64" s="90"/>
      <c r="M64" s="32"/>
      <c r="N64" s="32"/>
      <c r="O64" s="32"/>
      <c r="Q64" s="250"/>
      <c r="R64" s="250"/>
      <c r="S64" s="250"/>
      <c r="T64" s="250"/>
    </row>
    <row r="65" spans="1:20" ht="31.5" customHeight="1" x14ac:dyDescent="0.25">
      <c r="A65" s="338" t="s">
        <v>326</v>
      </c>
      <c r="B65" s="334"/>
      <c r="C65" s="268" t="s">
        <v>327</v>
      </c>
      <c r="D65" s="337" t="s">
        <v>319</v>
      </c>
      <c r="E65" s="57">
        <f t="shared" si="7"/>
        <v>43.3</v>
      </c>
      <c r="F65" s="57">
        <f t="shared" si="7"/>
        <v>42.8</v>
      </c>
      <c r="G65" s="57">
        <v>43.3</v>
      </c>
      <c r="H65" s="176">
        <f>42.9-0.1</f>
        <v>42.8</v>
      </c>
      <c r="I65" s="57"/>
      <c r="J65" s="57"/>
      <c r="K65" s="57"/>
      <c r="L65" s="90"/>
      <c r="M65" s="32"/>
      <c r="N65" s="254"/>
      <c r="O65" s="32"/>
      <c r="Q65" s="250"/>
      <c r="R65" s="250"/>
      <c r="S65" s="250"/>
      <c r="T65" s="250"/>
    </row>
    <row r="66" spans="1:20" ht="36" x14ac:dyDescent="0.25">
      <c r="A66" s="338" t="s">
        <v>328</v>
      </c>
      <c r="B66" s="334"/>
      <c r="C66" s="268" t="s">
        <v>329</v>
      </c>
      <c r="D66" s="337" t="s">
        <v>330</v>
      </c>
      <c r="E66" s="57">
        <f t="shared" si="7"/>
        <v>20</v>
      </c>
      <c r="F66" s="57">
        <f t="shared" si="7"/>
        <v>20</v>
      </c>
      <c r="G66" s="57">
        <f>20+10-10</f>
        <v>20</v>
      </c>
      <c r="H66" s="176">
        <v>20</v>
      </c>
      <c r="I66" s="57"/>
      <c r="J66" s="57"/>
      <c r="K66" s="57"/>
      <c r="L66" s="90"/>
      <c r="M66" s="32"/>
      <c r="N66" s="32"/>
      <c r="O66" s="32"/>
      <c r="Q66" s="250"/>
      <c r="R66" s="250"/>
      <c r="S66" s="250"/>
      <c r="T66" s="250"/>
    </row>
    <row r="67" spans="1:20" ht="39" customHeight="1" x14ac:dyDescent="0.25">
      <c r="A67" s="338" t="s">
        <v>331</v>
      </c>
      <c r="B67" s="334"/>
      <c r="C67" s="268" t="s">
        <v>770</v>
      </c>
      <c r="D67" s="337" t="s">
        <v>140</v>
      </c>
      <c r="E67" s="57">
        <f t="shared" si="7"/>
        <v>8</v>
      </c>
      <c r="F67" s="57">
        <f t="shared" si="7"/>
        <v>8</v>
      </c>
      <c r="G67" s="57">
        <v>8</v>
      </c>
      <c r="H67" s="57">
        <v>8</v>
      </c>
      <c r="I67" s="57"/>
      <c r="J67" s="57"/>
      <c r="K67" s="57"/>
      <c r="L67" s="90"/>
      <c r="M67" s="32"/>
      <c r="N67" s="32"/>
      <c r="O67" s="32"/>
      <c r="Q67" s="250"/>
      <c r="R67" s="250"/>
      <c r="S67" s="250"/>
      <c r="T67" s="250"/>
    </row>
    <row r="68" spans="1:20" ht="24" x14ac:dyDescent="0.25">
      <c r="A68" s="338" t="s">
        <v>332</v>
      </c>
      <c r="B68" s="334"/>
      <c r="C68" s="268" t="s">
        <v>333</v>
      </c>
      <c r="D68" s="337" t="s">
        <v>334</v>
      </c>
      <c r="E68" s="57">
        <f t="shared" si="7"/>
        <v>36.1</v>
      </c>
      <c r="F68" s="57">
        <f t="shared" si="7"/>
        <v>36.1</v>
      </c>
      <c r="G68" s="57">
        <v>36.1</v>
      </c>
      <c r="H68" s="57">
        <v>36.1</v>
      </c>
      <c r="I68" s="57"/>
      <c r="J68" s="57"/>
      <c r="K68" s="57"/>
      <c r="L68" s="90"/>
      <c r="M68" s="32"/>
      <c r="N68" s="32"/>
      <c r="O68" s="32"/>
      <c r="Q68" s="250"/>
      <c r="R68" s="250"/>
      <c r="S68" s="250"/>
      <c r="T68" s="250"/>
    </row>
    <row r="69" spans="1:20" ht="27.6" customHeight="1" x14ac:dyDescent="0.25">
      <c r="A69" s="338" t="s">
        <v>335</v>
      </c>
      <c r="B69" s="334"/>
      <c r="C69" s="268" t="s">
        <v>336</v>
      </c>
      <c r="D69" s="337" t="s">
        <v>334</v>
      </c>
      <c r="E69" s="57">
        <f t="shared" si="7"/>
        <v>21.1</v>
      </c>
      <c r="F69" s="57">
        <f t="shared" si="7"/>
        <v>21.1</v>
      </c>
      <c r="G69" s="57">
        <v>21.1</v>
      </c>
      <c r="H69" s="57">
        <v>21.1</v>
      </c>
      <c r="I69" s="57"/>
      <c r="J69" s="57"/>
      <c r="K69" s="57"/>
      <c r="L69" s="90"/>
      <c r="M69" s="32"/>
      <c r="N69" s="32"/>
      <c r="O69" s="32"/>
      <c r="Q69" s="250"/>
      <c r="R69" s="250"/>
      <c r="S69" s="250"/>
      <c r="T69" s="250"/>
    </row>
    <row r="70" spans="1:20" ht="24" x14ac:dyDescent="0.25">
      <c r="A70" s="338" t="s">
        <v>337</v>
      </c>
      <c r="B70" s="334"/>
      <c r="C70" s="268" t="s">
        <v>338</v>
      </c>
      <c r="D70" s="337" t="s">
        <v>334</v>
      </c>
      <c r="E70" s="57">
        <f t="shared" si="7"/>
        <v>19.100000000000001</v>
      </c>
      <c r="F70" s="57">
        <f t="shared" si="7"/>
        <v>19.100000000000001</v>
      </c>
      <c r="G70" s="57">
        <v>19.100000000000001</v>
      </c>
      <c r="H70" s="57">
        <v>19.100000000000001</v>
      </c>
      <c r="I70" s="57"/>
      <c r="J70" s="57"/>
      <c r="K70" s="57"/>
      <c r="L70" s="90"/>
      <c r="M70" s="32"/>
      <c r="N70" s="32"/>
      <c r="O70" s="32"/>
      <c r="Q70" s="250"/>
      <c r="R70" s="250"/>
      <c r="S70" s="250"/>
      <c r="T70" s="250"/>
    </row>
    <row r="71" spans="1:20" ht="23.4" customHeight="1" x14ac:dyDescent="0.25">
      <c r="A71" s="338" t="s">
        <v>339</v>
      </c>
      <c r="B71" s="334"/>
      <c r="C71" s="269" t="s">
        <v>340</v>
      </c>
      <c r="D71" s="337" t="s">
        <v>319</v>
      </c>
      <c r="E71" s="57">
        <f t="shared" si="7"/>
        <v>40</v>
      </c>
      <c r="F71" s="57">
        <f t="shared" si="7"/>
        <v>0</v>
      </c>
      <c r="G71" s="57">
        <v>40</v>
      </c>
      <c r="H71" s="57">
        <v>0</v>
      </c>
      <c r="I71" s="57"/>
      <c r="J71" s="57"/>
      <c r="K71" s="57"/>
      <c r="L71" s="90"/>
      <c r="M71" s="32"/>
      <c r="N71" s="32"/>
      <c r="O71" s="32"/>
      <c r="Q71" s="250"/>
      <c r="R71" s="250"/>
      <c r="S71" s="250"/>
      <c r="T71" s="250"/>
    </row>
    <row r="72" spans="1:20" ht="29.25" customHeight="1" x14ac:dyDescent="0.25">
      <c r="A72" s="338" t="s">
        <v>341</v>
      </c>
      <c r="B72" s="334"/>
      <c r="C72" s="268" t="s">
        <v>342</v>
      </c>
      <c r="D72" s="337" t="s">
        <v>343</v>
      </c>
      <c r="E72" s="57">
        <f t="shared" si="7"/>
        <v>87.2</v>
      </c>
      <c r="F72" s="57">
        <f t="shared" si="7"/>
        <v>57.6</v>
      </c>
      <c r="G72" s="57">
        <v>85.2</v>
      </c>
      <c r="H72" s="57">
        <v>57.6</v>
      </c>
      <c r="I72" s="57"/>
      <c r="J72" s="57"/>
      <c r="K72" s="57">
        <v>2</v>
      </c>
      <c r="L72" s="90">
        <v>0</v>
      </c>
      <c r="M72" s="32"/>
      <c r="N72" s="32"/>
      <c r="O72" s="32"/>
      <c r="Q72" s="250"/>
      <c r="R72" s="250"/>
      <c r="S72" s="250"/>
      <c r="T72" s="250"/>
    </row>
    <row r="73" spans="1:20" ht="38.4" customHeight="1" x14ac:dyDescent="0.25">
      <c r="A73" s="338" t="s">
        <v>344</v>
      </c>
      <c r="B73" s="334"/>
      <c r="C73" s="260" t="s">
        <v>303</v>
      </c>
      <c r="D73" s="337"/>
      <c r="E73" s="267">
        <f t="shared" si="7"/>
        <v>67.8</v>
      </c>
      <c r="F73" s="267">
        <f t="shared" si="7"/>
        <v>53.800000000000004</v>
      </c>
      <c r="G73" s="267">
        <f t="shared" ref="G73:L73" si="8">+G75+G76+G74+G77</f>
        <v>17.5</v>
      </c>
      <c r="H73" s="267">
        <f t="shared" si="8"/>
        <v>10.4</v>
      </c>
      <c r="I73" s="267">
        <f t="shared" si="8"/>
        <v>0</v>
      </c>
      <c r="J73" s="267">
        <f t="shared" si="8"/>
        <v>0</v>
      </c>
      <c r="K73" s="267">
        <f t="shared" si="8"/>
        <v>50.3</v>
      </c>
      <c r="L73" s="267">
        <f t="shared" si="8"/>
        <v>43.400000000000006</v>
      </c>
      <c r="M73" s="32"/>
      <c r="N73" s="32"/>
      <c r="O73" s="32"/>
      <c r="Q73" s="250"/>
      <c r="R73" s="250"/>
      <c r="S73" s="250"/>
      <c r="T73" s="250"/>
    </row>
    <row r="74" spans="1:20" ht="24" x14ac:dyDescent="0.25">
      <c r="A74" s="338" t="s">
        <v>345</v>
      </c>
      <c r="B74" s="334"/>
      <c r="C74" s="268" t="s">
        <v>346</v>
      </c>
      <c r="D74" s="337" t="s">
        <v>330</v>
      </c>
      <c r="E74" s="57">
        <f>+G74+K74</f>
        <v>0.4</v>
      </c>
      <c r="F74" s="57">
        <f t="shared" si="7"/>
        <v>0.2</v>
      </c>
      <c r="G74" s="57">
        <v>0.4</v>
      </c>
      <c r="H74" s="176">
        <f>0.1+0.1</f>
        <v>0.2</v>
      </c>
      <c r="I74" s="57"/>
      <c r="J74" s="57"/>
      <c r="K74" s="57"/>
      <c r="L74" s="90"/>
      <c r="M74" s="32"/>
      <c r="N74" s="32"/>
      <c r="O74" s="32"/>
      <c r="Q74" s="250"/>
      <c r="R74" s="250"/>
      <c r="S74" s="250"/>
      <c r="T74" s="250"/>
    </row>
    <row r="75" spans="1:20" ht="24" x14ac:dyDescent="0.25">
      <c r="A75" s="338" t="s">
        <v>347</v>
      </c>
      <c r="B75" s="334"/>
      <c r="C75" s="265" t="s">
        <v>348</v>
      </c>
      <c r="D75" s="337" t="s">
        <v>334</v>
      </c>
      <c r="E75" s="57">
        <f t="shared" si="7"/>
        <v>15.1</v>
      </c>
      <c r="F75" s="57">
        <f t="shared" si="7"/>
        <v>8.8000000000000007</v>
      </c>
      <c r="G75" s="57">
        <v>15.1</v>
      </c>
      <c r="H75" s="57">
        <v>8.8000000000000007</v>
      </c>
      <c r="I75" s="57"/>
      <c r="J75" s="57"/>
      <c r="K75" s="57"/>
      <c r="L75" s="90"/>
      <c r="M75" s="32"/>
      <c r="N75" s="32"/>
      <c r="O75" s="32"/>
      <c r="Q75" s="250"/>
      <c r="R75" s="250"/>
      <c r="S75" s="250"/>
      <c r="T75" s="250"/>
    </row>
    <row r="76" spans="1:20" s="77" customFormat="1" ht="24.6" customHeight="1" x14ac:dyDescent="0.25">
      <c r="A76" s="338" t="s">
        <v>349</v>
      </c>
      <c r="B76" s="334"/>
      <c r="C76" s="265" t="s">
        <v>104</v>
      </c>
      <c r="D76" s="337" t="s">
        <v>140</v>
      </c>
      <c r="E76" s="57">
        <f t="shared" si="7"/>
        <v>2.2999999999999998</v>
      </c>
      <c r="F76" s="57">
        <f t="shared" si="7"/>
        <v>1.5999999999999999</v>
      </c>
      <c r="G76" s="57">
        <f>7.3-5.3</f>
        <v>2</v>
      </c>
      <c r="H76" s="57">
        <v>1.4</v>
      </c>
      <c r="I76" s="57"/>
      <c r="J76" s="57"/>
      <c r="K76" s="57">
        <f>5-4.7</f>
        <v>0.29999999999999982</v>
      </c>
      <c r="L76" s="90">
        <v>0.2</v>
      </c>
      <c r="M76" s="32"/>
      <c r="N76" s="98"/>
      <c r="O76" s="98"/>
      <c r="Q76" s="250"/>
      <c r="R76" s="250"/>
      <c r="S76" s="250"/>
      <c r="T76" s="250"/>
    </row>
    <row r="77" spans="1:20" x14ac:dyDescent="0.25">
      <c r="A77" s="338" t="s">
        <v>350</v>
      </c>
      <c r="B77" s="334"/>
      <c r="C77" s="265" t="s">
        <v>351</v>
      </c>
      <c r="D77" s="337" t="s">
        <v>330</v>
      </c>
      <c r="E77" s="57">
        <f t="shared" si="7"/>
        <v>50</v>
      </c>
      <c r="F77" s="57">
        <f t="shared" si="7"/>
        <v>43.2</v>
      </c>
      <c r="G77" s="57"/>
      <c r="H77" s="57"/>
      <c r="I77" s="57"/>
      <c r="J77" s="57"/>
      <c r="K77" s="57">
        <v>50</v>
      </c>
      <c r="L77" s="90">
        <v>43.2</v>
      </c>
      <c r="M77" s="32"/>
      <c r="N77" s="32"/>
      <c r="O77" s="32"/>
      <c r="Q77" s="250"/>
      <c r="R77" s="250"/>
      <c r="S77" s="250"/>
      <c r="T77" s="250"/>
    </row>
    <row r="78" spans="1:20" ht="21.75" customHeight="1" x14ac:dyDescent="0.25">
      <c r="A78" s="333">
        <v>36</v>
      </c>
      <c r="B78" s="336" t="s">
        <v>21</v>
      </c>
      <c r="C78" s="35" t="s">
        <v>22</v>
      </c>
      <c r="D78" s="247"/>
      <c r="E78" s="61">
        <f t="shared" si="7"/>
        <v>6808.5999999999995</v>
      </c>
      <c r="F78" s="61">
        <f t="shared" si="7"/>
        <v>6395.3000000000011</v>
      </c>
      <c r="G78" s="61">
        <f t="shared" ref="G78:L78" si="9">+G79+G82+G83+G84+G85+G86+G104+G105+G106+G107+G108+G109+G110+G111+G112+G113+G114</f>
        <v>6756.4</v>
      </c>
      <c r="H78" s="61">
        <f t="shared" si="9"/>
        <v>6360.7000000000007</v>
      </c>
      <c r="I78" s="61">
        <f t="shared" si="9"/>
        <v>2474.599999999999</v>
      </c>
      <c r="J78" s="61">
        <f t="shared" si="9"/>
        <v>2465.7999999999997</v>
      </c>
      <c r="K78" s="61">
        <f t="shared" si="9"/>
        <v>52.2</v>
      </c>
      <c r="L78" s="61">
        <f t="shared" si="9"/>
        <v>34.6</v>
      </c>
      <c r="M78" s="32"/>
      <c r="N78" s="32"/>
      <c r="O78" s="32"/>
      <c r="Q78" s="250"/>
      <c r="R78" s="250"/>
      <c r="S78" s="250"/>
      <c r="T78" s="250"/>
    </row>
    <row r="79" spans="1:20" ht="15" customHeight="1" x14ac:dyDescent="0.25">
      <c r="A79" s="385">
        <v>37</v>
      </c>
      <c r="B79" s="386"/>
      <c r="C79" s="251" t="s">
        <v>1</v>
      </c>
      <c r="D79" s="387" t="s">
        <v>352</v>
      </c>
      <c r="E79" s="57">
        <f t="shared" si="7"/>
        <v>835.60000000000014</v>
      </c>
      <c r="F79" s="57">
        <f t="shared" si="7"/>
        <v>819.4</v>
      </c>
      <c r="G79" s="57">
        <f>779.5+3.2+37.6+3.7</f>
        <v>824.00000000000011</v>
      </c>
      <c r="H79" s="57">
        <v>807.9</v>
      </c>
      <c r="I79" s="57">
        <f>568.8+36.9</f>
        <v>605.69999999999993</v>
      </c>
      <c r="J79" s="57">
        <v>605.6</v>
      </c>
      <c r="K79" s="57">
        <f>7.1+4.5</f>
        <v>11.6</v>
      </c>
      <c r="L79" s="90">
        <v>11.5</v>
      </c>
      <c r="M79" s="32"/>
      <c r="N79" s="32"/>
      <c r="O79" s="32"/>
      <c r="Q79" s="250"/>
      <c r="R79" s="250"/>
      <c r="S79" s="250"/>
      <c r="T79" s="250"/>
    </row>
    <row r="80" spans="1:20" ht="15" customHeight="1" x14ac:dyDescent="0.25">
      <c r="A80" s="385"/>
      <c r="B80" s="386"/>
      <c r="C80" s="270" t="s">
        <v>353</v>
      </c>
      <c r="D80" s="387"/>
      <c r="E80" s="57">
        <f t="shared" si="7"/>
        <v>173.4</v>
      </c>
      <c r="F80" s="57">
        <f t="shared" si="7"/>
        <v>157.6</v>
      </c>
      <c r="G80" s="57">
        <v>173.4</v>
      </c>
      <c r="H80" s="57">
        <v>157.6</v>
      </c>
      <c r="I80" s="57"/>
      <c r="J80" s="57"/>
      <c r="K80" s="57"/>
      <c r="L80" s="90"/>
      <c r="M80" s="32"/>
      <c r="N80" s="32"/>
      <c r="O80" s="32"/>
      <c r="Q80" s="250"/>
      <c r="R80" s="250"/>
      <c r="S80" s="250"/>
      <c r="T80" s="250"/>
    </row>
    <row r="81" spans="1:20" x14ac:dyDescent="0.25">
      <c r="A81" s="385"/>
      <c r="B81" s="386"/>
      <c r="C81" s="271" t="s">
        <v>141</v>
      </c>
      <c r="D81" s="387"/>
      <c r="E81" s="57">
        <f t="shared" si="7"/>
        <v>1</v>
      </c>
      <c r="F81" s="57">
        <f t="shared" si="7"/>
        <v>1</v>
      </c>
      <c r="G81" s="57">
        <v>1</v>
      </c>
      <c r="H81" s="57">
        <v>1</v>
      </c>
      <c r="I81" s="57"/>
      <c r="J81" s="57"/>
      <c r="K81" s="57"/>
      <c r="L81" s="90"/>
      <c r="M81" s="32"/>
      <c r="N81" s="32"/>
      <c r="O81" s="32"/>
      <c r="Q81" s="250"/>
      <c r="R81" s="250"/>
      <c r="S81" s="250"/>
      <c r="T81" s="250"/>
    </row>
    <row r="82" spans="1:20" x14ac:dyDescent="0.25">
      <c r="A82" s="333">
        <v>38</v>
      </c>
      <c r="B82" s="334"/>
      <c r="C82" s="272" t="s">
        <v>2</v>
      </c>
      <c r="D82" s="273" t="s">
        <v>62</v>
      </c>
      <c r="E82" s="57">
        <f t="shared" si="7"/>
        <v>239.3</v>
      </c>
      <c r="F82" s="57">
        <f t="shared" si="7"/>
        <v>239.3</v>
      </c>
      <c r="G82" s="57">
        <f>220.8+2.6+11.5+4.4</f>
        <v>239.3</v>
      </c>
      <c r="H82" s="57">
        <v>239.3</v>
      </c>
      <c r="I82" s="57">
        <f>172.7+11.2</f>
        <v>183.89999999999998</v>
      </c>
      <c r="J82" s="57">
        <v>183.9</v>
      </c>
      <c r="K82" s="57"/>
      <c r="L82" s="90"/>
      <c r="M82" s="32"/>
      <c r="N82" s="32"/>
      <c r="O82" s="32"/>
      <c r="Q82" s="250"/>
      <c r="R82" s="250"/>
      <c r="S82" s="250"/>
      <c r="T82" s="250"/>
    </row>
    <row r="83" spans="1:20" x14ac:dyDescent="0.25">
      <c r="A83" s="333">
        <v>39</v>
      </c>
      <c r="B83" s="334"/>
      <c r="C83" s="257" t="s">
        <v>15</v>
      </c>
      <c r="D83" s="337" t="s">
        <v>354</v>
      </c>
      <c r="E83" s="57">
        <f t="shared" si="7"/>
        <v>244.3</v>
      </c>
      <c r="F83" s="57">
        <f t="shared" si="7"/>
        <v>244.3</v>
      </c>
      <c r="G83" s="57">
        <f>208.5+3.1+18.4+14.3</f>
        <v>244.3</v>
      </c>
      <c r="H83" s="57">
        <v>244.3</v>
      </c>
      <c r="I83" s="68">
        <f>184.7+18.1+3+14.3</f>
        <v>220.1</v>
      </c>
      <c r="J83" s="68">
        <v>220.1</v>
      </c>
      <c r="K83" s="57"/>
      <c r="L83" s="90"/>
      <c r="M83" s="32"/>
      <c r="N83" s="32"/>
      <c r="O83" s="32"/>
      <c r="Q83" s="250"/>
      <c r="R83" s="250"/>
      <c r="S83" s="250"/>
      <c r="T83" s="250"/>
    </row>
    <row r="84" spans="1:20" ht="15" customHeight="1" x14ac:dyDescent="0.25">
      <c r="A84" s="333">
        <v>40</v>
      </c>
      <c r="B84" s="334"/>
      <c r="C84" s="257" t="s">
        <v>290</v>
      </c>
      <c r="D84" s="274" t="s">
        <v>62</v>
      </c>
      <c r="E84" s="57">
        <f t="shared" si="7"/>
        <v>282.2</v>
      </c>
      <c r="F84" s="57">
        <f t="shared" si="7"/>
        <v>282.10000000000002</v>
      </c>
      <c r="G84" s="57">
        <f>252.7+1.1+11.6+16.8</f>
        <v>282.2</v>
      </c>
      <c r="H84" s="57">
        <v>282.10000000000002</v>
      </c>
      <c r="I84" s="57">
        <f>213.6+11.4+1.7+16.7</f>
        <v>243.39999999999998</v>
      </c>
      <c r="J84" s="57">
        <v>243.4</v>
      </c>
      <c r="K84" s="57"/>
      <c r="L84" s="90"/>
      <c r="M84" s="32"/>
      <c r="N84" s="32"/>
      <c r="O84" s="32"/>
      <c r="Q84" s="250"/>
      <c r="R84" s="250"/>
      <c r="S84" s="250"/>
      <c r="T84" s="250"/>
    </row>
    <row r="85" spans="1:20" ht="15" customHeight="1" x14ac:dyDescent="0.25">
      <c r="A85" s="333">
        <v>41</v>
      </c>
      <c r="B85" s="334"/>
      <c r="C85" s="251" t="s">
        <v>102</v>
      </c>
      <c r="D85" s="273" t="s">
        <v>23</v>
      </c>
      <c r="E85" s="57">
        <f t="shared" si="7"/>
        <v>1034.7</v>
      </c>
      <c r="F85" s="57">
        <f t="shared" si="7"/>
        <v>1015.7</v>
      </c>
      <c r="G85" s="57">
        <f>971.8+3.2+49.5+10.2</f>
        <v>1034.7</v>
      </c>
      <c r="H85" s="176">
        <f>1015.6+0.1</f>
        <v>1015.7</v>
      </c>
      <c r="I85" s="57">
        <f>749.8+48.6+9.8</f>
        <v>808.19999999999993</v>
      </c>
      <c r="J85" s="57">
        <v>808.2</v>
      </c>
      <c r="K85" s="57"/>
      <c r="L85" s="90"/>
      <c r="M85" s="254"/>
      <c r="N85" s="32"/>
      <c r="O85" s="32"/>
      <c r="Q85" s="250"/>
      <c r="R85" s="250"/>
      <c r="S85" s="250"/>
      <c r="T85" s="250"/>
    </row>
    <row r="86" spans="1:20" ht="15" customHeight="1" x14ac:dyDescent="0.25">
      <c r="A86" s="333">
        <v>42</v>
      </c>
      <c r="B86" s="334"/>
      <c r="C86" s="258" t="s">
        <v>291</v>
      </c>
      <c r="D86" s="335"/>
      <c r="E86" s="67">
        <f t="shared" si="7"/>
        <v>2057.7999999999997</v>
      </c>
      <c r="F86" s="67">
        <f t="shared" si="7"/>
        <v>1819.5999999999997</v>
      </c>
      <c r="G86" s="67">
        <f t="shared" ref="G86:L86" si="10">+G87+G88+G89+G91+G92+G93+G94+G90+G95+G96+G98+G97</f>
        <v>2017.1999999999998</v>
      </c>
      <c r="H86" s="67">
        <f t="shared" si="10"/>
        <v>1796.4999999999998</v>
      </c>
      <c r="I86" s="67">
        <f t="shared" si="10"/>
        <v>63.699999999999996</v>
      </c>
      <c r="J86" s="67">
        <f t="shared" si="10"/>
        <v>62.9</v>
      </c>
      <c r="K86" s="67">
        <f t="shared" si="10"/>
        <v>40.6</v>
      </c>
      <c r="L86" s="67">
        <f t="shared" si="10"/>
        <v>23.1</v>
      </c>
      <c r="M86" s="32"/>
      <c r="N86" s="32"/>
      <c r="O86" s="32"/>
      <c r="Q86" s="250"/>
      <c r="R86" s="250"/>
      <c r="S86" s="250"/>
      <c r="T86" s="250"/>
    </row>
    <row r="87" spans="1:20" ht="40.799999999999997" x14ac:dyDescent="0.25">
      <c r="A87" s="338" t="s">
        <v>355</v>
      </c>
      <c r="B87" s="334"/>
      <c r="C87" s="258" t="s">
        <v>3</v>
      </c>
      <c r="D87" s="274" t="s">
        <v>356</v>
      </c>
      <c r="E87" s="57">
        <f t="shared" si="7"/>
        <v>1028.6999999999998</v>
      </c>
      <c r="F87" s="67">
        <f t="shared" si="7"/>
        <v>904.4</v>
      </c>
      <c r="G87" s="57">
        <f>1040.7+60+2.6-10-41+1.3-24.9</f>
        <v>1028.6999999999998</v>
      </c>
      <c r="H87" s="57">
        <v>904.4</v>
      </c>
      <c r="I87" s="57">
        <f>59.8+2.6+1.3</f>
        <v>63.699999999999996</v>
      </c>
      <c r="J87" s="176">
        <f>62.8+0.1</f>
        <v>62.9</v>
      </c>
      <c r="K87" s="57"/>
      <c r="L87" s="90"/>
      <c r="M87" s="32"/>
      <c r="N87" s="32"/>
      <c r="O87" s="32"/>
      <c r="Q87" s="250"/>
      <c r="R87" s="250"/>
      <c r="S87" s="250"/>
      <c r="T87" s="250"/>
    </row>
    <row r="88" spans="1:20" ht="25.2" customHeight="1" x14ac:dyDescent="0.25">
      <c r="A88" s="338" t="s">
        <v>357</v>
      </c>
      <c r="B88" s="334"/>
      <c r="C88" s="266" t="s">
        <v>358</v>
      </c>
      <c r="D88" s="275" t="s">
        <v>359</v>
      </c>
      <c r="E88" s="57">
        <f t="shared" si="7"/>
        <v>50</v>
      </c>
      <c r="F88" s="67">
        <f t="shared" si="7"/>
        <v>33.4</v>
      </c>
      <c r="G88" s="57">
        <f>50</f>
        <v>50</v>
      </c>
      <c r="H88" s="57">
        <v>33.4</v>
      </c>
      <c r="I88" s="57"/>
      <c r="J88" s="57"/>
      <c r="K88" s="57"/>
      <c r="L88" s="90"/>
      <c r="M88" s="32"/>
      <c r="N88" s="32"/>
      <c r="O88" s="32"/>
      <c r="Q88" s="250"/>
      <c r="R88" s="250"/>
      <c r="S88" s="250"/>
      <c r="T88" s="250"/>
    </row>
    <row r="89" spans="1:20" ht="24" x14ac:dyDescent="0.25">
      <c r="A89" s="338" t="s">
        <v>360</v>
      </c>
      <c r="B89" s="334"/>
      <c r="C89" s="268" t="s">
        <v>361</v>
      </c>
      <c r="D89" s="275" t="s">
        <v>359</v>
      </c>
      <c r="E89" s="57">
        <f t="shared" si="7"/>
        <v>115</v>
      </c>
      <c r="F89" s="67">
        <f t="shared" si="7"/>
        <v>115</v>
      </c>
      <c r="G89" s="57">
        <f>80+10+25</f>
        <v>115</v>
      </c>
      <c r="H89" s="57">
        <v>115</v>
      </c>
      <c r="I89" s="57"/>
      <c r="J89" s="57"/>
      <c r="K89" s="57"/>
      <c r="L89" s="90"/>
      <c r="M89" s="32"/>
      <c r="N89" s="32"/>
      <c r="O89" s="32"/>
      <c r="Q89" s="250"/>
      <c r="R89" s="250"/>
      <c r="S89" s="250"/>
      <c r="T89" s="250"/>
    </row>
    <row r="90" spans="1:20" ht="24" x14ac:dyDescent="0.25">
      <c r="A90" s="338" t="s">
        <v>362</v>
      </c>
      <c r="B90" s="334"/>
      <c r="C90" s="263" t="s">
        <v>363</v>
      </c>
      <c r="D90" s="335" t="s">
        <v>364</v>
      </c>
      <c r="E90" s="68">
        <f>+G90+K90</f>
        <v>22</v>
      </c>
      <c r="F90" s="67">
        <f t="shared" si="7"/>
        <v>16</v>
      </c>
      <c r="G90" s="68">
        <f>30-8</f>
        <v>22</v>
      </c>
      <c r="H90" s="68">
        <v>16</v>
      </c>
      <c r="I90" s="68"/>
      <c r="J90" s="68"/>
      <c r="K90" s="68"/>
      <c r="L90" s="90"/>
      <c r="M90" s="254"/>
      <c r="N90" s="32"/>
      <c r="O90" s="32"/>
      <c r="Q90" s="250"/>
      <c r="R90" s="250"/>
      <c r="S90" s="250"/>
      <c r="T90" s="250"/>
    </row>
    <row r="91" spans="1:20" ht="15" customHeight="1" x14ac:dyDescent="0.25">
      <c r="A91" s="338" t="s">
        <v>365</v>
      </c>
      <c r="B91" s="334"/>
      <c r="C91" s="263" t="s">
        <v>366</v>
      </c>
      <c r="D91" s="273" t="s">
        <v>367</v>
      </c>
      <c r="E91" s="57">
        <f t="shared" si="7"/>
        <v>70</v>
      </c>
      <c r="F91" s="67">
        <f t="shared" si="7"/>
        <v>64.3</v>
      </c>
      <c r="G91" s="57">
        <f>52+18</f>
        <v>70</v>
      </c>
      <c r="H91" s="57">
        <v>64.3</v>
      </c>
      <c r="I91" s="57"/>
      <c r="J91" s="57"/>
      <c r="K91" s="57"/>
      <c r="L91" s="90"/>
      <c r="M91" s="254"/>
      <c r="N91" s="32"/>
      <c r="O91" s="32"/>
      <c r="Q91" s="250"/>
      <c r="R91" s="250"/>
      <c r="S91" s="250"/>
      <c r="T91" s="250"/>
    </row>
    <row r="92" spans="1:20" ht="24" x14ac:dyDescent="0.25">
      <c r="A92" s="338" t="s">
        <v>368</v>
      </c>
      <c r="B92" s="334"/>
      <c r="C92" s="263" t="s">
        <v>369</v>
      </c>
      <c r="D92" s="275" t="s">
        <v>367</v>
      </c>
      <c r="E92" s="57">
        <f t="shared" si="7"/>
        <v>131.9</v>
      </c>
      <c r="F92" s="67">
        <f t="shared" si="7"/>
        <v>131.6</v>
      </c>
      <c r="G92" s="57">
        <f>85+40+6.9</f>
        <v>131.9</v>
      </c>
      <c r="H92" s="57">
        <v>131.6</v>
      </c>
      <c r="I92" s="57"/>
      <c r="J92" s="57"/>
      <c r="K92" s="57"/>
      <c r="L92" s="90"/>
      <c r="M92" s="32"/>
      <c r="N92" s="32"/>
      <c r="O92" s="32"/>
      <c r="Q92" s="250"/>
      <c r="R92" s="250"/>
      <c r="S92" s="250"/>
      <c r="T92" s="250"/>
    </row>
    <row r="93" spans="1:20" ht="33" customHeight="1" x14ac:dyDescent="0.25">
      <c r="A93" s="338" t="s">
        <v>370</v>
      </c>
      <c r="B93" s="334"/>
      <c r="C93" s="263" t="s">
        <v>371</v>
      </c>
      <c r="D93" s="275" t="s">
        <v>372</v>
      </c>
      <c r="E93" s="68">
        <f t="shared" si="7"/>
        <v>311.3</v>
      </c>
      <c r="F93" s="67">
        <f t="shared" si="7"/>
        <v>277.8</v>
      </c>
      <c r="G93" s="68">
        <f>447-85.7-50</f>
        <v>311.3</v>
      </c>
      <c r="H93" s="68">
        <v>277.8</v>
      </c>
      <c r="I93" s="68"/>
      <c r="J93" s="68"/>
      <c r="K93" s="68"/>
      <c r="L93" s="90"/>
      <c r="M93" s="32"/>
      <c r="N93" s="32"/>
      <c r="O93" s="32"/>
      <c r="Q93" s="250"/>
      <c r="R93" s="250"/>
      <c r="S93" s="250"/>
      <c r="T93" s="250"/>
    </row>
    <row r="94" spans="1:20" ht="28.5" customHeight="1" x14ac:dyDescent="0.25">
      <c r="A94" s="338" t="s">
        <v>373</v>
      </c>
      <c r="B94" s="334"/>
      <c r="C94" s="263" t="s">
        <v>374</v>
      </c>
      <c r="D94" s="335" t="s">
        <v>375</v>
      </c>
      <c r="E94" s="68">
        <f t="shared" si="7"/>
        <v>44</v>
      </c>
      <c r="F94" s="67">
        <f t="shared" si="7"/>
        <v>44</v>
      </c>
      <c r="G94" s="68">
        <v>44</v>
      </c>
      <c r="H94" s="68">
        <v>44</v>
      </c>
      <c r="I94" s="68"/>
      <c r="J94" s="68"/>
      <c r="K94" s="68"/>
      <c r="L94" s="90"/>
      <c r="M94" s="32"/>
      <c r="N94" s="32"/>
      <c r="O94" s="32"/>
      <c r="Q94" s="250"/>
      <c r="R94" s="250"/>
      <c r="S94" s="250"/>
      <c r="T94" s="250"/>
    </row>
    <row r="95" spans="1:20" ht="28.5" customHeight="1" x14ac:dyDescent="0.25">
      <c r="A95" s="338" t="s">
        <v>376</v>
      </c>
      <c r="B95" s="334"/>
      <c r="C95" s="263" t="s">
        <v>377</v>
      </c>
      <c r="D95" s="335" t="s">
        <v>24</v>
      </c>
      <c r="E95" s="68">
        <f t="shared" si="7"/>
        <v>10</v>
      </c>
      <c r="F95" s="67">
        <f t="shared" si="7"/>
        <v>0</v>
      </c>
      <c r="G95" s="68">
        <v>10</v>
      </c>
      <c r="H95" s="68">
        <v>0</v>
      </c>
      <c r="I95" s="68"/>
      <c r="J95" s="68"/>
      <c r="K95" s="68"/>
      <c r="L95" s="90"/>
      <c r="M95" s="32"/>
      <c r="N95" s="32"/>
      <c r="O95" s="32"/>
      <c r="Q95" s="250"/>
      <c r="R95" s="250"/>
      <c r="S95" s="250"/>
      <c r="T95" s="250"/>
    </row>
    <row r="96" spans="1:20" x14ac:dyDescent="0.25">
      <c r="A96" s="338" t="s">
        <v>378</v>
      </c>
      <c r="B96" s="334"/>
      <c r="C96" s="263" t="s">
        <v>379</v>
      </c>
      <c r="D96" s="273" t="s">
        <v>23</v>
      </c>
      <c r="E96" s="68">
        <f t="shared" si="7"/>
        <v>53.5</v>
      </c>
      <c r="F96" s="67">
        <f t="shared" si="7"/>
        <v>52.1</v>
      </c>
      <c r="G96" s="68">
        <f>45.5+6+2</f>
        <v>53.5</v>
      </c>
      <c r="H96" s="68">
        <v>52.1</v>
      </c>
      <c r="I96" s="68"/>
      <c r="J96" s="68"/>
      <c r="K96" s="68"/>
      <c r="L96" s="90"/>
      <c r="M96" s="32"/>
      <c r="N96" s="32"/>
      <c r="O96" s="32"/>
      <c r="Q96" s="250"/>
      <c r="R96" s="250"/>
      <c r="S96" s="250"/>
      <c r="T96" s="250"/>
    </row>
    <row r="97" spans="1:20" ht="24" x14ac:dyDescent="0.25">
      <c r="A97" s="338" t="s">
        <v>380</v>
      </c>
      <c r="B97" s="334"/>
      <c r="C97" s="263" t="s">
        <v>381</v>
      </c>
      <c r="D97" s="273" t="s">
        <v>23</v>
      </c>
      <c r="E97" s="68">
        <f t="shared" si="7"/>
        <v>30</v>
      </c>
      <c r="F97" s="67">
        <f t="shared" si="7"/>
        <v>26.7</v>
      </c>
      <c r="G97" s="68">
        <v>30</v>
      </c>
      <c r="H97" s="68">
        <v>26.7</v>
      </c>
      <c r="I97" s="68"/>
      <c r="J97" s="68"/>
      <c r="K97" s="68"/>
      <c r="L97" s="90"/>
      <c r="M97" s="32"/>
      <c r="N97" s="32"/>
      <c r="O97" s="32"/>
      <c r="Q97" s="250"/>
      <c r="R97" s="250"/>
      <c r="S97" s="250"/>
      <c r="T97" s="250"/>
    </row>
    <row r="98" spans="1:20" ht="39" customHeight="1" x14ac:dyDescent="0.25">
      <c r="A98" s="338" t="s">
        <v>382</v>
      </c>
      <c r="B98" s="334"/>
      <c r="C98" s="260" t="s">
        <v>303</v>
      </c>
      <c r="D98" s="276"/>
      <c r="E98" s="261">
        <f t="shared" si="7"/>
        <v>191.4</v>
      </c>
      <c r="F98" s="261">
        <f t="shared" si="7"/>
        <v>154.30000000000001</v>
      </c>
      <c r="G98" s="261">
        <f t="shared" ref="G98:L98" si="11">+G100+G101+G99+G102+G103</f>
        <v>150.80000000000001</v>
      </c>
      <c r="H98" s="261">
        <f t="shared" si="11"/>
        <v>131.20000000000002</v>
      </c>
      <c r="I98" s="261">
        <f t="shared" si="11"/>
        <v>0</v>
      </c>
      <c r="J98" s="261">
        <f t="shared" si="11"/>
        <v>0</v>
      </c>
      <c r="K98" s="261">
        <f t="shared" si="11"/>
        <v>40.6</v>
      </c>
      <c r="L98" s="261">
        <f t="shared" si="11"/>
        <v>23.1</v>
      </c>
      <c r="M98" s="32"/>
      <c r="N98" s="32"/>
      <c r="O98" s="32"/>
      <c r="Q98" s="250"/>
      <c r="R98" s="250"/>
      <c r="S98" s="250"/>
      <c r="T98" s="250"/>
    </row>
    <row r="99" spans="1:20" ht="15.6" customHeight="1" x14ac:dyDescent="0.25">
      <c r="A99" s="338" t="s">
        <v>383</v>
      </c>
      <c r="B99" s="334"/>
      <c r="C99" s="263" t="s">
        <v>105</v>
      </c>
      <c r="D99" s="335" t="s">
        <v>73</v>
      </c>
      <c r="E99" s="68">
        <f t="shared" si="7"/>
        <v>40</v>
      </c>
      <c r="F99" s="353">
        <f t="shared" si="7"/>
        <v>31.1</v>
      </c>
      <c r="G99" s="68">
        <v>0.4</v>
      </c>
      <c r="H99" s="68">
        <v>0</v>
      </c>
      <c r="I99" s="68"/>
      <c r="J99" s="68"/>
      <c r="K99" s="68">
        <v>39.6</v>
      </c>
      <c r="L99" s="90">
        <v>31.1</v>
      </c>
      <c r="M99" s="32"/>
      <c r="N99" s="32"/>
      <c r="O99" s="32"/>
      <c r="Q99" s="250"/>
      <c r="R99" s="250"/>
      <c r="S99" s="250"/>
      <c r="T99" s="250"/>
    </row>
    <row r="100" spans="1:20" ht="20.399999999999999" x14ac:dyDescent="0.25">
      <c r="A100" s="338" t="s">
        <v>384</v>
      </c>
      <c r="B100" s="334"/>
      <c r="C100" s="263" t="s">
        <v>385</v>
      </c>
      <c r="D100" s="337" t="s">
        <v>386</v>
      </c>
      <c r="E100" s="68">
        <f t="shared" si="7"/>
        <v>90</v>
      </c>
      <c r="F100" s="353">
        <f t="shared" si="7"/>
        <v>90</v>
      </c>
      <c r="G100" s="68">
        <f>60+30</f>
        <v>90</v>
      </c>
      <c r="H100" s="68">
        <v>90</v>
      </c>
      <c r="I100" s="68"/>
      <c r="J100" s="68"/>
      <c r="K100" s="68"/>
      <c r="L100" s="90"/>
      <c r="M100" s="32"/>
      <c r="N100" s="32"/>
      <c r="O100" s="32"/>
      <c r="Q100" s="250"/>
      <c r="R100" s="250"/>
      <c r="S100" s="250"/>
      <c r="T100" s="250"/>
    </row>
    <row r="101" spans="1:20" x14ac:dyDescent="0.25">
      <c r="A101" s="338" t="s">
        <v>387</v>
      </c>
      <c r="B101" s="334"/>
      <c r="C101" s="263" t="s">
        <v>771</v>
      </c>
      <c r="D101" s="335" t="s">
        <v>375</v>
      </c>
      <c r="E101" s="68">
        <f t="shared" si="7"/>
        <v>30</v>
      </c>
      <c r="F101" s="353">
        <f t="shared" si="7"/>
        <v>29.9</v>
      </c>
      <c r="G101" s="68">
        <v>30</v>
      </c>
      <c r="H101" s="68">
        <v>29.9</v>
      </c>
      <c r="I101" s="68"/>
      <c r="J101" s="68"/>
      <c r="K101" s="68"/>
      <c r="L101" s="141"/>
      <c r="M101" s="32"/>
      <c r="N101" s="32"/>
      <c r="O101" s="32"/>
      <c r="Q101" s="250"/>
      <c r="R101" s="250"/>
      <c r="S101" s="250"/>
      <c r="T101" s="250"/>
    </row>
    <row r="102" spans="1:20" ht="26.4" customHeight="1" x14ac:dyDescent="0.25">
      <c r="A102" s="338" t="s">
        <v>388</v>
      </c>
      <c r="B102" s="334"/>
      <c r="C102" s="265" t="s">
        <v>195</v>
      </c>
      <c r="D102" s="335" t="s">
        <v>23</v>
      </c>
      <c r="E102" s="68">
        <f>+G102+K102</f>
        <v>19.399999999999999</v>
      </c>
      <c r="F102" s="353">
        <f t="shared" si="7"/>
        <v>-8</v>
      </c>
      <c r="G102" s="68">
        <v>18.399999999999999</v>
      </c>
      <c r="H102" s="68">
        <v>0</v>
      </c>
      <c r="I102" s="68"/>
      <c r="J102" s="68"/>
      <c r="K102" s="68">
        <v>1</v>
      </c>
      <c r="L102" s="90">
        <v>-8</v>
      </c>
      <c r="M102" s="32"/>
      <c r="N102" s="32"/>
      <c r="O102" s="32"/>
      <c r="Q102" s="250"/>
      <c r="R102" s="250"/>
      <c r="S102" s="250"/>
      <c r="T102" s="250"/>
    </row>
    <row r="103" spans="1:20" ht="16.2" customHeight="1" x14ac:dyDescent="0.25">
      <c r="A103" s="338" t="s">
        <v>389</v>
      </c>
      <c r="B103" s="334"/>
      <c r="C103" s="265" t="s">
        <v>772</v>
      </c>
      <c r="D103" s="335" t="s">
        <v>73</v>
      </c>
      <c r="E103" s="68">
        <f>+G103+K103</f>
        <v>12</v>
      </c>
      <c r="F103" s="353">
        <f t="shared" ref="F103:F114" si="12">+H103+L103</f>
        <v>11.3</v>
      </c>
      <c r="G103" s="68">
        <v>12</v>
      </c>
      <c r="H103" s="68">
        <v>11.3</v>
      </c>
      <c r="I103" s="68"/>
      <c r="J103" s="68"/>
      <c r="K103" s="68"/>
      <c r="L103" s="90"/>
      <c r="M103" s="32"/>
      <c r="N103" s="32"/>
      <c r="O103" s="32"/>
      <c r="Q103" s="250"/>
      <c r="R103" s="250"/>
      <c r="S103" s="250"/>
      <c r="T103" s="250"/>
    </row>
    <row r="104" spans="1:20" ht="34.200000000000003" customHeight="1" x14ac:dyDescent="0.25">
      <c r="A104" s="333">
        <v>43</v>
      </c>
      <c r="B104" s="334"/>
      <c r="C104" s="253" t="s">
        <v>8</v>
      </c>
      <c r="D104" s="337" t="s">
        <v>390</v>
      </c>
      <c r="E104" s="57">
        <f t="shared" ref="E104:E114" si="13">+G104+K104</f>
        <v>849.9</v>
      </c>
      <c r="F104" s="353">
        <f t="shared" si="12"/>
        <v>827.2</v>
      </c>
      <c r="G104" s="57">
        <f>664.8+180+5.1</f>
        <v>849.9</v>
      </c>
      <c r="H104" s="57">
        <v>827.2</v>
      </c>
      <c r="I104" s="57">
        <f>81.5+5</f>
        <v>86.5</v>
      </c>
      <c r="J104" s="57">
        <v>82.4</v>
      </c>
      <c r="K104" s="57"/>
      <c r="L104" s="90"/>
      <c r="M104" s="32"/>
      <c r="N104" s="32"/>
      <c r="O104" s="32"/>
      <c r="Q104" s="250"/>
      <c r="R104" s="250"/>
      <c r="S104" s="250"/>
      <c r="T104" s="250"/>
    </row>
    <row r="105" spans="1:20" ht="33" customHeight="1" x14ac:dyDescent="0.25">
      <c r="A105" s="333">
        <v>44</v>
      </c>
      <c r="B105" s="334"/>
      <c r="C105" s="253" t="s">
        <v>4</v>
      </c>
      <c r="D105" s="337" t="s">
        <v>391</v>
      </c>
      <c r="E105" s="57">
        <f t="shared" si="13"/>
        <v>239.2</v>
      </c>
      <c r="F105" s="353">
        <f t="shared" si="12"/>
        <v>231.8</v>
      </c>
      <c r="G105" s="57">
        <f>221.5+18+3.1-4.5+1.1</f>
        <v>239.2</v>
      </c>
      <c r="H105" s="57">
        <v>231.8</v>
      </c>
      <c r="I105" s="57">
        <f>43.2+3-4.4+1.3</f>
        <v>43.1</v>
      </c>
      <c r="J105" s="57">
        <v>43.1</v>
      </c>
      <c r="K105" s="57"/>
      <c r="L105" s="90"/>
      <c r="M105" s="254"/>
      <c r="N105" s="32"/>
      <c r="O105" s="32"/>
      <c r="Q105" s="250"/>
      <c r="R105" s="250"/>
      <c r="S105" s="250"/>
      <c r="T105" s="250"/>
    </row>
    <row r="106" spans="1:20" ht="34.200000000000003" customHeight="1" x14ac:dyDescent="0.25">
      <c r="A106" s="333">
        <v>45</v>
      </c>
      <c r="B106" s="334"/>
      <c r="C106" s="253" t="s">
        <v>5</v>
      </c>
      <c r="D106" s="337" t="s">
        <v>390</v>
      </c>
      <c r="E106" s="57">
        <f t="shared" si="13"/>
        <v>128</v>
      </c>
      <c r="F106" s="353">
        <f t="shared" si="12"/>
        <v>126.7</v>
      </c>
      <c r="G106" s="57">
        <f>128.1+3.4-0.2-3.3</f>
        <v>128</v>
      </c>
      <c r="H106" s="57">
        <v>126.7</v>
      </c>
      <c r="I106" s="57">
        <f>28.4+3.2-0.4-3.1</f>
        <v>28.099999999999998</v>
      </c>
      <c r="J106" s="57">
        <v>27.9</v>
      </c>
      <c r="K106" s="57"/>
      <c r="L106" s="90"/>
      <c r="M106" s="254"/>
      <c r="N106" s="32"/>
      <c r="O106" s="32"/>
      <c r="Q106" s="250"/>
      <c r="R106" s="250"/>
      <c r="S106" s="250"/>
      <c r="T106" s="250"/>
    </row>
    <row r="107" spans="1:20" ht="37.950000000000003" customHeight="1" x14ac:dyDescent="0.25">
      <c r="A107" s="333">
        <v>46</v>
      </c>
      <c r="B107" s="334"/>
      <c r="C107" s="253" t="s">
        <v>7</v>
      </c>
      <c r="D107" s="337" t="s">
        <v>390</v>
      </c>
      <c r="E107" s="57">
        <f t="shared" si="13"/>
        <v>76.900000000000006</v>
      </c>
      <c r="F107" s="353">
        <f t="shared" si="12"/>
        <v>72.3</v>
      </c>
      <c r="G107" s="57">
        <f>60.5+18+2.5-4.1</f>
        <v>76.900000000000006</v>
      </c>
      <c r="H107" s="57">
        <v>72.3</v>
      </c>
      <c r="I107" s="57">
        <f>18.9+2.5-4.1</f>
        <v>17.299999999999997</v>
      </c>
      <c r="J107" s="57">
        <v>15.1</v>
      </c>
      <c r="K107" s="57"/>
      <c r="L107" s="90"/>
      <c r="M107" s="32"/>
      <c r="N107" s="32"/>
      <c r="O107" s="32"/>
      <c r="Q107" s="250"/>
      <c r="R107" s="250"/>
      <c r="S107" s="250"/>
      <c r="T107" s="250"/>
    </row>
    <row r="108" spans="1:20" ht="34.200000000000003" customHeight="1" x14ac:dyDescent="0.25">
      <c r="A108" s="333">
        <v>47</v>
      </c>
      <c r="B108" s="334"/>
      <c r="C108" s="253" t="s">
        <v>6</v>
      </c>
      <c r="D108" s="337" t="s">
        <v>390</v>
      </c>
      <c r="E108" s="57">
        <f t="shared" si="13"/>
        <v>172</v>
      </c>
      <c r="F108" s="353">
        <f t="shared" si="12"/>
        <v>134.4</v>
      </c>
      <c r="G108" s="57">
        <f>166.5+4.7-0.2+0.3+0.7</f>
        <v>172</v>
      </c>
      <c r="H108" s="57">
        <v>134.4</v>
      </c>
      <c r="I108" s="57">
        <f>35.3+4.7-0.3+0.3+0.7</f>
        <v>40.700000000000003</v>
      </c>
      <c r="J108" s="57">
        <v>40.700000000000003</v>
      </c>
      <c r="K108" s="57"/>
      <c r="L108" s="90"/>
      <c r="M108" s="254"/>
      <c r="N108" s="32"/>
      <c r="O108" s="32"/>
      <c r="Q108" s="250"/>
      <c r="R108" s="250"/>
      <c r="S108" s="250"/>
      <c r="T108" s="250"/>
    </row>
    <row r="109" spans="1:20" ht="34.200000000000003" customHeight="1" x14ac:dyDescent="0.25">
      <c r="A109" s="333">
        <v>48</v>
      </c>
      <c r="B109" s="334"/>
      <c r="C109" s="253" t="s">
        <v>9</v>
      </c>
      <c r="D109" s="337" t="s">
        <v>390</v>
      </c>
      <c r="E109" s="57">
        <f t="shared" si="13"/>
        <v>122.8</v>
      </c>
      <c r="F109" s="353">
        <f t="shared" si="12"/>
        <v>116.8</v>
      </c>
      <c r="G109" s="57">
        <f>95.1+28+1.8-2.1</f>
        <v>122.8</v>
      </c>
      <c r="H109" s="57">
        <v>116.8</v>
      </c>
      <c r="I109" s="57">
        <f>19.7+1.8-2.1</f>
        <v>19.399999999999999</v>
      </c>
      <c r="J109" s="57">
        <v>19.399999999999999</v>
      </c>
      <c r="K109" s="57"/>
      <c r="L109" s="90"/>
      <c r="M109" s="32"/>
      <c r="N109" s="32"/>
      <c r="O109" s="32"/>
      <c r="Q109" s="250"/>
      <c r="R109" s="250"/>
      <c r="S109" s="250"/>
      <c r="T109" s="250"/>
    </row>
    <row r="110" spans="1:20" ht="31.2" customHeight="1" x14ac:dyDescent="0.25">
      <c r="A110" s="333">
        <v>49</v>
      </c>
      <c r="B110" s="334"/>
      <c r="C110" s="258" t="s">
        <v>10</v>
      </c>
      <c r="D110" s="337" t="s">
        <v>390</v>
      </c>
      <c r="E110" s="57">
        <f t="shared" si="13"/>
        <v>101.8</v>
      </c>
      <c r="F110" s="353">
        <f t="shared" si="12"/>
        <v>86.3</v>
      </c>
      <c r="G110" s="57">
        <f>91.5+10+1.2-1+0.1</f>
        <v>101.8</v>
      </c>
      <c r="H110" s="57">
        <v>86.3</v>
      </c>
      <c r="I110" s="57">
        <f>16.8+1-0.9</f>
        <v>16.900000000000002</v>
      </c>
      <c r="J110" s="57">
        <v>16.899999999999999</v>
      </c>
      <c r="K110" s="57"/>
      <c r="L110" s="90"/>
      <c r="M110" s="32"/>
      <c r="N110" s="32"/>
      <c r="O110" s="32"/>
      <c r="Q110" s="250"/>
      <c r="R110" s="250"/>
      <c r="S110" s="250"/>
      <c r="T110" s="250"/>
    </row>
    <row r="111" spans="1:20" ht="34.200000000000003" customHeight="1" x14ac:dyDescent="0.25">
      <c r="A111" s="333">
        <v>50</v>
      </c>
      <c r="B111" s="334"/>
      <c r="C111" s="253" t="s">
        <v>392</v>
      </c>
      <c r="D111" s="337" t="s">
        <v>390</v>
      </c>
      <c r="E111" s="57">
        <f t="shared" si="13"/>
        <v>123.3</v>
      </c>
      <c r="F111" s="353">
        <f t="shared" si="12"/>
        <v>121.3</v>
      </c>
      <c r="G111" s="57">
        <f>83.9+3+35+2.6-1.4+0.2</f>
        <v>123.3</v>
      </c>
      <c r="H111" s="57">
        <v>121.3</v>
      </c>
      <c r="I111" s="57">
        <f>21.3+2.9+2.5-1.3+0.2</f>
        <v>25.599999999999998</v>
      </c>
      <c r="J111" s="57">
        <v>25.4</v>
      </c>
      <c r="K111" s="57"/>
      <c r="L111" s="90"/>
      <c r="M111" s="32"/>
      <c r="N111" s="32"/>
      <c r="O111" s="32"/>
      <c r="Q111" s="250"/>
      <c r="R111" s="250"/>
      <c r="S111" s="250"/>
      <c r="T111" s="250"/>
    </row>
    <row r="112" spans="1:20" ht="30.6" x14ac:dyDescent="0.25">
      <c r="A112" s="333">
        <v>51</v>
      </c>
      <c r="B112" s="334"/>
      <c r="C112" s="253" t="s">
        <v>11</v>
      </c>
      <c r="D112" s="337" t="s">
        <v>390</v>
      </c>
      <c r="E112" s="57">
        <f t="shared" si="13"/>
        <v>112.29999999999998</v>
      </c>
      <c r="F112" s="353">
        <f t="shared" si="12"/>
        <v>105.1</v>
      </c>
      <c r="G112" s="57">
        <f>92.6+20+0.5-0.4-0.4</f>
        <v>112.29999999999998</v>
      </c>
      <c r="H112" s="57">
        <v>105.1</v>
      </c>
      <c r="I112" s="57">
        <f>19.2+0.5-0.6-0.4</f>
        <v>18.7</v>
      </c>
      <c r="J112" s="57">
        <v>18.2</v>
      </c>
      <c r="K112" s="57"/>
      <c r="L112" s="90"/>
      <c r="M112" s="32"/>
      <c r="N112" s="32"/>
      <c r="O112" s="32"/>
      <c r="Q112" s="250"/>
      <c r="R112" s="250"/>
      <c r="S112" s="250"/>
      <c r="T112" s="250"/>
    </row>
    <row r="113" spans="1:20" ht="34.950000000000003" customHeight="1" x14ac:dyDescent="0.25">
      <c r="A113" s="333">
        <v>52</v>
      </c>
      <c r="B113" s="334"/>
      <c r="C113" s="253" t="s">
        <v>13</v>
      </c>
      <c r="D113" s="337" t="s">
        <v>390</v>
      </c>
      <c r="E113" s="57">
        <f t="shared" si="13"/>
        <v>87.600000000000009</v>
      </c>
      <c r="F113" s="353">
        <f t="shared" si="12"/>
        <v>66.8</v>
      </c>
      <c r="G113" s="57">
        <f>59.9+28-0.3</f>
        <v>87.600000000000009</v>
      </c>
      <c r="H113" s="57">
        <v>66.8</v>
      </c>
      <c r="I113" s="57">
        <f>14.5-0.3</f>
        <v>14.2</v>
      </c>
      <c r="J113" s="57">
        <v>14.2</v>
      </c>
      <c r="K113" s="57"/>
      <c r="L113" s="90"/>
      <c r="M113" s="32"/>
      <c r="N113" s="32"/>
      <c r="O113" s="32"/>
      <c r="Q113" s="250"/>
      <c r="R113" s="250"/>
      <c r="S113" s="250"/>
      <c r="T113" s="250"/>
    </row>
    <row r="114" spans="1:20" ht="32.4" customHeight="1" x14ac:dyDescent="0.25">
      <c r="A114" s="333">
        <v>53</v>
      </c>
      <c r="B114" s="334"/>
      <c r="C114" s="253" t="s">
        <v>14</v>
      </c>
      <c r="D114" s="337" t="s">
        <v>390</v>
      </c>
      <c r="E114" s="57">
        <f t="shared" si="13"/>
        <v>100.9</v>
      </c>
      <c r="F114" s="353">
        <f t="shared" si="12"/>
        <v>86.2</v>
      </c>
      <c r="G114" s="57">
        <f>97.2+3+2.7-2</f>
        <v>100.9</v>
      </c>
      <c r="H114" s="57">
        <v>86.2</v>
      </c>
      <c r="I114" s="57">
        <f>37.5+2.6-1</f>
        <v>39.1</v>
      </c>
      <c r="J114" s="57">
        <v>38.4</v>
      </c>
      <c r="K114" s="57"/>
      <c r="L114" s="90"/>
      <c r="M114" s="32"/>
      <c r="N114" s="32"/>
      <c r="O114" s="32"/>
      <c r="Q114" s="250"/>
      <c r="R114" s="250"/>
      <c r="S114" s="250"/>
      <c r="T114" s="250"/>
    </row>
    <row r="115" spans="1:20" ht="20.100000000000001" customHeight="1" x14ac:dyDescent="0.25">
      <c r="A115" s="333">
        <v>54</v>
      </c>
      <c r="B115" s="336" t="s">
        <v>63</v>
      </c>
      <c r="C115" s="35" t="s">
        <v>148</v>
      </c>
      <c r="D115" s="335"/>
      <c r="E115" s="61">
        <f>+G115+K115</f>
        <v>1542.9</v>
      </c>
      <c r="F115" s="61">
        <f>+H115+L115</f>
        <v>1477.8999999999999</v>
      </c>
      <c r="G115" s="61">
        <f t="shared" ref="G115:L115" si="14">+G117+G132+G133+G134+G135+G136+G137+G138+G139+G140+G131+G116</f>
        <v>1474.8000000000002</v>
      </c>
      <c r="H115" s="61">
        <f t="shared" si="14"/>
        <v>1454.8999999999999</v>
      </c>
      <c r="I115" s="61">
        <f t="shared" si="14"/>
        <v>554.9</v>
      </c>
      <c r="J115" s="61">
        <f t="shared" si="14"/>
        <v>552.79999999999995</v>
      </c>
      <c r="K115" s="61">
        <f t="shared" si="14"/>
        <v>68.099999999999994</v>
      </c>
      <c r="L115" s="61">
        <f t="shared" si="14"/>
        <v>23</v>
      </c>
      <c r="M115" s="32"/>
      <c r="N115" s="32"/>
      <c r="O115" s="32"/>
      <c r="Q115" s="250"/>
      <c r="R115" s="250"/>
      <c r="S115" s="250"/>
      <c r="T115" s="250"/>
    </row>
    <row r="116" spans="1:20" ht="15" customHeight="1" x14ac:dyDescent="0.25">
      <c r="A116" s="333">
        <v>55</v>
      </c>
      <c r="B116" s="334"/>
      <c r="C116" s="251" t="s">
        <v>85</v>
      </c>
      <c r="D116" s="335" t="s">
        <v>64</v>
      </c>
      <c r="E116" s="67">
        <f>+G116+K116</f>
        <v>729.30000000000007</v>
      </c>
      <c r="F116" s="57">
        <f t="shared" ref="F116:F125" si="15">+H116+L116</f>
        <v>716.8</v>
      </c>
      <c r="G116" s="57">
        <f>651.2+18.1+29+10.3+20.7</f>
        <v>729.30000000000007</v>
      </c>
      <c r="H116" s="57">
        <v>716.8</v>
      </c>
      <c r="I116" s="57">
        <f>438.9+28.4+20.7</f>
        <v>487.99999999999994</v>
      </c>
      <c r="J116" s="57">
        <v>486.7</v>
      </c>
      <c r="K116" s="256"/>
      <c r="L116" s="90"/>
      <c r="M116" s="32"/>
      <c r="N116" s="32"/>
      <c r="O116" s="32"/>
      <c r="Q116" s="250"/>
      <c r="R116" s="250"/>
      <c r="S116" s="250"/>
      <c r="T116" s="250"/>
    </row>
    <row r="117" spans="1:20" ht="12.6" customHeight="1" x14ac:dyDescent="0.25">
      <c r="A117" s="333">
        <v>56</v>
      </c>
      <c r="B117" s="336"/>
      <c r="C117" s="258" t="s">
        <v>291</v>
      </c>
      <c r="D117" s="335"/>
      <c r="E117" s="57">
        <f>+G117+K117</f>
        <v>789.80000000000007</v>
      </c>
      <c r="F117" s="57">
        <f t="shared" si="15"/>
        <v>738.19999999999993</v>
      </c>
      <c r="G117" s="57">
        <f t="shared" ref="G117:L117" si="16">+G118+G119+G124+G126+G125</f>
        <v>721.7</v>
      </c>
      <c r="H117" s="57">
        <f t="shared" si="16"/>
        <v>715.19999999999993</v>
      </c>
      <c r="I117" s="57">
        <f>+I118+I119+I124+I126+I125</f>
        <v>44</v>
      </c>
      <c r="J117" s="57">
        <f t="shared" si="16"/>
        <v>43.6</v>
      </c>
      <c r="K117" s="57">
        <f t="shared" si="16"/>
        <v>68.099999999999994</v>
      </c>
      <c r="L117" s="57">
        <f t="shared" si="16"/>
        <v>23</v>
      </c>
      <c r="M117" s="32"/>
      <c r="N117" s="32"/>
      <c r="O117" s="32"/>
      <c r="Q117" s="250"/>
      <c r="R117" s="250"/>
      <c r="S117" s="250"/>
      <c r="T117" s="250"/>
    </row>
    <row r="118" spans="1:20" ht="14.25" customHeight="1" x14ac:dyDescent="0.25">
      <c r="A118" s="338" t="s">
        <v>393</v>
      </c>
      <c r="B118" s="334"/>
      <c r="C118" s="258" t="s">
        <v>3</v>
      </c>
      <c r="D118" s="335" t="s">
        <v>394</v>
      </c>
      <c r="E118" s="57">
        <f t="shared" ref="E118:F170" si="17">+G118+K118</f>
        <v>76.099999999999994</v>
      </c>
      <c r="F118" s="57">
        <f t="shared" si="15"/>
        <v>73.900000000000006</v>
      </c>
      <c r="G118" s="57">
        <f>75.5+0.6</f>
        <v>76.099999999999994</v>
      </c>
      <c r="H118" s="57">
        <v>73.900000000000006</v>
      </c>
      <c r="I118" s="57">
        <f>43.4+0.6</f>
        <v>44</v>
      </c>
      <c r="J118" s="57">
        <v>43.6</v>
      </c>
      <c r="K118" s="57"/>
      <c r="L118" s="90"/>
      <c r="M118" s="254"/>
      <c r="N118" s="32"/>
      <c r="O118" s="32"/>
      <c r="Q118" s="250"/>
      <c r="R118" s="250"/>
      <c r="S118" s="250"/>
      <c r="T118" s="250"/>
    </row>
    <row r="119" spans="1:20" ht="14.25" customHeight="1" x14ac:dyDescent="0.25">
      <c r="A119" s="388" t="s">
        <v>395</v>
      </c>
      <c r="B119" s="386"/>
      <c r="C119" s="268" t="s">
        <v>396</v>
      </c>
      <c r="D119" s="389" t="s">
        <v>64</v>
      </c>
      <c r="E119" s="57">
        <f t="shared" si="17"/>
        <v>480</v>
      </c>
      <c r="F119" s="57">
        <f t="shared" si="15"/>
        <v>480</v>
      </c>
      <c r="G119" s="57">
        <f t="shared" ref="G119:L119" si="18">+G120+G121+G122+G123</f>
        <v>480</v>
      </c>
      <c r="H119" s="57">
        <f t="shared" si="18"/>
        <v>480</v>
      </c>
      <c r="I119" s="57">
        <f t="shared" si="18"/>
        <v>0</v>
      </c>
      <c r="J119" s="57">
        <f t="shared" si="18"/>
        <v>0</v>
      </c>
      <c r="K119" s="57">
        <f t="shared" si="18"/>
        <v>0</v>
      </c>
      <c r="L119" s="57">
        <f t="shared" si="18"/>
        <v>0</v>
      </c>
      <c r="M119" s="32"/>
      <c r="N119" s="32"/>
      <c r="O119" s="32"/>
      <c r="Q119" s="250"/>
      <c r="R119" s="250"/>
      <c r="S119" s="250"/>
      <c r="T119" s="250"/>
    </row>
    <row r="120" spans="1:20" x14ac:dyDescent="0.25">
      <c r="A120" s="388"/>
      <c r="B120" s="386"/>
      <c r="C120" s="277" t="s">
        <v>397</v>
      </c>
      <c r="D120" s="389"/>
      <c r="E120" s="57">
        <f t="shared" si="17"/>
        <v>200</v>
      </c>
      <c r="F120" s="57">
        <f t="shared" si="15"/>
        <v>200</v>
      </c>
      <c r="G120" s="57">
        <v>200</v>
      </c>
      <c r="H120" s="57">
        <v>200</v>
      </c>
      <c r="I120" s="57"/>
      <c r="J120" s="57"/>
      <c r="K120" s="57"/>
      <c r="L120" s="90"/>
      <c r="M120" s="32"/>
      <c r="N120" s="32"/>
      <c r="O120" s="32"/>
      <c r="Q120" s="250"/>
      <c r="R120" s="250"/>
      <c r="S120" s="250"/>
      <c r="T120" s="250"/>
    </row>
    <row r="121" spans="1:20" ht="13.5" customHeight="1" x14ac:dyDescent="0.25">
      <c r="A121" s="388"/>
      <c r="B121" s="386"/>
      <c r="C121" s="277" t="s">
        <v>398</v>
      </c>
      <c r="D121" s="389"/>
      <c r="E121" s="57">
        <f t="shared" si="17"/>
        <v>180</v>
      </c>
      <c r="F121" s="57">
        <f t="shared" si="15"/>
        <v>180</v>
      </c>
      <c r="G121" s="57">
        <v>180</v>
      </c>
      <c r="H121" s="57">
        <v>180</v>
      </c>
      <c r="I121" s="57"/>
      <c r="J121" s="57"/>
      <c r="K121" s="57"/>
      <c r="L121" s="90"/>
      <c r="M121" s="32"/>
      <c r="N121" s="32"/>
      <c r="O121" s="32"/>
      <c r="Q121" s="250"/>
      <c r="R121" s="250"/>
      <c r="S121" s="250"/>
      <c r="T121" s="250"/>
    </row>
    <row r="122" spans="1:20" ht="13.5" customHeight="1" x14ac:dyDescent="0.25">
      <c r="A122" s="388"/>
      <c r="B122" s="386"/>
      <c r="C122" s="277" t="s">
        <v>399</v>
      </c>
      <c r="D122" s="389"/>
      <c r="E122" s="57">
        <f t="shared" si="17"/>
        <v>15</v>
      </c>
      <c r="F122" s="57">
        <f t="shared" si="15"/>
        <v>15</v>
      </c>
      <c r="G122" s="57">
        <v>15</v>
      </c>
      <c r="H122" s="57">
        <v>15</v>
      </c>
      <c r="I122" s="57"/>
      <c r="J122" s="57"/>
      <c r="K122" s="57"/>
      <c r="L122" s="90"/>
      <c r="M122" s="32"/>
      <c r="N122" s="32"/>
      <c r="O122" s="32"/>
      <c r="Q122" s="250"/>
      <c r="R122" s="250"/>
      <c r="S122" s="250"/>
      <c r="T122" s="250"/>
    </row>
    <row r="123" spans="1:20" ht="26.25" customHeight="1" x14ac:dyDescent="0.25">
      <c r="A123" s="388"/>
      <c r="B123" s="386"/>
      <c r="C123" s="277" t="s">
        <v>400</v>
      </c>
      <c r="D123" s="389"/>
      <c r="E123" s="57">
        <f t="shared" si="17"/>
        <v>85</v>
      </c>
      <c r="F123" s="57">
        <f t="shared" si="15"/>
        <v>85</v>
      </c>
      <c r="G123" s="57">
        <v>85</v>
      </c>
      <c r="H123" s="57">
        <v>85</v>
      </c>
      <c r="I123" s="57"/>
      <c r="J123" s="57"/>
      <c r="K123" s="57"/>
      <c r="L123" s="90"/>
      <c r="M123" s="32"/>
      <c r="N123" s="32"/>
      <c r="O123" s="32"/>
      <c r="Q123" s="250"/>
      <c r="R123" s="250"/>
      <c r="S123" s="250"/>
      <c r="T123" s="250"/>
    </row>
    <row r="124" spans="1:20" x14ac:dyDescent="0.25">
      <c r="A124" s="338" t="s">
        <v>401</v>
      </c>
      <c r="B124" s="334"/>
      <c r="C124" s="268" t="s">
        <v>402</v>
      </c>
      <c r="D124" s="335" t="s">
        <v>64</v>
      </c>
      <c r="E124" s="57">
        <f t="shared" si="17"/>
        <v>35</v>
      </c>
      <c r="F124" s="57">
        <f t="shared" si="15"/>
        <v>35</v>
      </c>
      <c r="G124" s="57">
        <v>35</v>
      </c>
      <c r="H124" s="57">
        <v>35</v>
      </c>
      <c r="I124" s="278"/>
      <c r="J124" s="278"/>
      <c r="K124" s="57"/>
      <c r="L124" s="90"/>
      <c r="M124" s="32"/>
      <c r="N124" s="32"/>
      <c r="O124" s="32"/>
      <c r="Q124" s="250"/>
      <c r="R124" s="250"/>
      <c r="S124" s="250"/>
      <c r="T124" s="250"/>
    </row>
    <row r="125" spans="1:20" ht="27.75" customHeight="1" x14ac:dyDescent="0.25">
      <c r="A125" s="325" t="s">
        <v>403</v>
      </c>
      <c r="B125" s="326"/>
      <c r="C125" s="327" t="s">
        <v>404</v>
      </c>
      <c r="D125" s="328" t="s">
        <v>64</v>
      </c>
      <c r="E125" s="329">
        <f t="shared" si="17"/>
        <v>0</v>
      </c>
      <c r="F125" s="329">
        <f t="shared" si="15"/>
        <v>0</v>
      </c>
      <c r="G125" s="329">
        <f>10.3-10.3</f>
        <v>0</v>
      </c>
      <c r="H125" s="329">
        <v>0</v>
      </c>
      <c r="I125" s="329"/>
      <c r="J125" s="329"/>
      <c r="K125" s="329"/>
      <c r="L125" s="330"/>
      <c r="M125" s="32"/>
      <c r="N125" s="32"/>
      <c r="O125" s="32"/>
      <c r="Q125" s="250"/>
      <c r="R125" s="250"/>
      <c r="S125" s="250"/>
      <c r="T125" s="250"/>
    </row>
    <row r="126" spans="1:20" ht="42" customHeight="1" x14ac:dyDescent="0.25">
      <c r="A126" s="338" t="s">
        <v>405</v>
      </c>
      <c r="B126" s="334"/>
      <c r="C126" s="260" t="s">
        <v>303</v>
      </c>
      <c r="D126" s="276"/>
      <c r="E126" s="267">
        <f>+G126+K126</f>
        <v>198.7</v>
      </c>
      <c r="F126" s="267">
        <f>+H126+L126</f>
        <v>149.30000000000001</v>
      </c>
      <c r="G126" s="267">
        <f t="shared" ref="G126:L126" si="19">+G127+G128+G129+G130</f>
        <v>130.6</v>
      </c>
      <c r="H126" s="267">
        <f t="shared" si="19"/>
        <v>126.3</v>
      </c>
      <c r="I126" s="267">
        <f t="shared" si="19"/>
        <v>0</v>
      </c>
      <c r="J126" s="267">
        <f t="shared" si="19"/>
        <v>0</v>
      </c>
      <c r="K126" s="267">
        <f t="shared" si="19"/>
        <v>68.099999999999994</v>
      </c>
      <c r="L126" s="267">
        <f t="shared" si="19"/>
        <v>23</v>
      </c>
      <c r="M126" s="279"/>
      <c r="N126" s="279"/>
      <c r="O126" s="279"/>
      <c r="Q126" s="250"/>
      <c r="R126" s="250"/>
      <c r="S126" s="250"/>
      <c r="T126" s="250"/>
    </row>
    <row r="127" spans="1:20" x14ac:dyDescent="0.25">
      <c r="A127" s="338" t="s">
        <v>406</v>
      </c>
      <c r="B127" s="334"/>
      <c r="C127" s="253" t="s">
        <v>131</v>
      </c>
      <c r="D127" s="335" t="s">
        <v>59</v>
      </c>
      <c r="E127" s="57">
        <f t="shared" si="17"/>
        <v>60.5</v>
      </c>
      <c r="F127" s="57">
        <f t="shared" si="17"/>
        <v>15.100000000000001</v>
      </c>
      <c r="G127" s="57">
        <f>2</f>
        <v>2</v>
      </c>
      <c r="H127" s="176">
        <f>1.6+0.1</f>
        <v>1.7000000000000002</v>
      </c>
      <c r="I127" s="57"/>
      <c r="J127" s="57"/>
      <c r="K127" s="57">
        <v>58.5</v>
      </c>
      <c r="L127" s="90">
        <v>13.4</v>
      </c>
      <c r="M127" s="32"/>
      <c r="N127" s="32"/>
      <c r="O127" s="32"/>
      <c r="Q127" s="250"/>
      <c r="R127" s="250"/>
      <c r="S127" s="250"/>
      <c r="T127" s="250"/>
    </row>
    <row r="128" spans="1:20" x14ac:dyDescent="0.25">
      <c r="A128" s="338" t="s">
        <v>407</v>
      </c>
      <c r="B128" s="334"/>
      <c r="C128" s="253" t="s">
        <v>408</v>
      </c>
      <c r="D128" s="335" t="s">
        <v>58</v>
      </c>
      <c r="E128" s="57">
        <f t="shared" si="17"/>
        <v>9.6</v>
      </c>
      <c r="F128" s="57">
        <f t="shared" si="17"/>
        <v>9.6</v>
      </c>
      <c r="G128" s="57"/>
      <c r="H128" s="57"/>
      <c r="I128" s="57"/>
      <c r="J128" s="57"/>
      <c r="K128" s="57">
        <f>10-0.4</f>
        <v>9.6</v>
      </c>
      <c r="L128" s="90">
        <v>9.6</v>
      </c>
      <c r="M128" s="32"/>
      <c r="N128" s="32"/>
      <c r="O128" s="32"/>
      <c r="Q128" s="250"/>
      <c r="R128" s="250"/>
      <c r="S128" s="250"/>
      <c r="T128" s="250"/>
    </row>
    <row r="129" spans="1:20" ht="24" x14ac:dyDescent="0.25">
      <c r="A129" s="338" t="s">
        <v>409</v>
      </c>
      <c r="B129" s="334"/>
      <c r="C129" s="253" t="s">
        <v>410</v>
      </c>
      <c r="D129" s="335" t="s">
        <v>64</v>
      </c>
      <c r="E129" s="57">
        <f t="shared" si="17"/>
        <v>113.6</v>
      </c>
      <c r="F129" s="57">
        <f t="shared" si="17"/>
        <v>113.5</v>
      </c>
      <c r="G129" s="57">
        <f>120-18.4+12</f>
        <v>113.6</v>
      </c>
      <c r="H129" s="57">
        <v>113.5</v>
      </c>
      <c r="I129" s="57"/>
      <c r="J129" s="57"/>
      <c r="K129" s="57"/>
      <c r="L129" s="90"/>
      <c r="M129" s="32"/>
      <c r="N129" s="32"/>
      <c r="O129" s="32"/>
      <c r="Q129" s="250"/>
      <c r="R129" s="250"/>
      <c r="S129" s="250"/>
      <c r="T129" s="250"/>
    </row>
    <row r="130" spans="1:20" ht="36" x14ac:dyDescent="0.25">
      <c r="A130" s="338" t="s">
        <v>411</v>
      </c>
      <c r="B130" s="334"/>
      <c r="C130" s="253" t="s">
        <v>412</v>
      </c>
      <c r="D130" s="335" t="s">
        <v>64</v>
      </c>
      <c r="E130" s="57">
        <f t="shared" si="17"/>
        <v>15</v>
      </c>
      <c r="F130" s="57">
        <f t="shared" si="17"/>
        <v>11.1</v>
      </c>
      <c r="G130" s="57">
        <v>15</v>
      </c>
      <c r="H130" s="57">
        <v>11.1</v>
      </c>
      <c r="I130" s="57"/>
      <c r="J130" s="57"/>
      <c r="K130" s="57"/>
      <c r="L130" s="90"/>
      <c r="M130" s="32"/>
      <c r="N130" s="32"/>
      <c r="O130" s="32"/>
      <c r="Q130" s="250"/>
      <c r="R130" s="250"/>
      <c r="S130" s="250"/>
      <c r="T130" s="250"/>
    </row>
    <row r="131" spans="1:20" ht="12.75" customHeight="1" x14ac:dyDescent="0.25">
      <c r="A131" s="331">
        <v>57</v>
      </c>
      <c r="B131" s="326"/>
      <c r="C131" s="332" t="s">
        <v>767</v>
      </c>
      <c r="D131" s="328" t="s">
        <v>64</v>
      </c>
      <c r="E131" s="329">
        <f>+G131+K131</f>
        <v>0</v>
      </c>
      <c r="F131" s="329">
        <f t="shared" si="17"/>
        <v>0</v>
      </c>
      <c r="G131" s="329">
        <f>1+1-2</f>
        <v>0</v>
      </c>
      <c r="H131" s="329">
        <v>0</v>
      </c>
      <c r="I131" s="329">
        <f>1+1-2</f>
        <v>0</v>
      </c>
      <c r="J131" s="329">
        <v>0</v>
      </c>
      <c r="K131" s="329"/>
      <c r="L131" s="330"/>
      <c r="M131" s="32"/>
      <c r="N131" s="32"/>
      <c r="O131" s="32"/>
      <c r="Q131" s="250"/>
      <c r="R131" s="250"/>
      <c r="S131" s="250"/>
      <c r="T131" s="250"/>
    </row>
    <row r="132" spans="1:20" ht="12.75" customHeight="1" x14ac:dyDescent="0.25">
      <c r="A132" s="333">
        <v>58</v>
      </c>
      <c r="B132" s="334"/>
      <c r="C132" s="253" t="s">
        <v>5</v>
      </c>
      <c r="D132" s="335" t="s">
        <v>64</v>
      </c>
      <c r="E132" s="57">
        <f t="shared" si="17"/>
        <v>2.9000000000000004</v>
      </c>
      <c r="F132" s="57">
        <f t="shared" si="17"/>
        <v>2.9</v>
      </c>
      <c r="G132" s="57">
        <f>2.5+0.2+0.2</f>
        <v>2.9000000000000004</v>
      </c>
      <c r="H132" s="57">
        <v>2.9</v>
      </c>
      <c r="I132" s="57">
        <f>2.4+0.2+0.2</f>
        <v>2.8000000000000003</v>
      </c>
      <c r="J132" s="57">
        <v>2.8</v>
      </c>
      <c r="K132" s="57"/>
      <c r="L132" s="90"/>
      <c r="M132" s="32"/>
      <c r="N132" s="32"/>
      <c r="O132" s="32"/>
      <c r="Q132" s="250"/>
      <c r="R132" s="250"/>
      <c r="S132" s="250"/>
      <c r="T132" s="250"/>
    </row>
    <row r="133" spans="1:20" ht="12.75" customHeight="1" x14ac:dyDescent="0.25">
      <c r="A133" s="333">
        <v>59</v>
      </c>
      <c r="B133" s="334"/>
      <c r="C133" s="258" t="s">
        <v>7</v>
      </c>
      <c r="D133" s="335" t="s">
        <v>64</v>
      </c>
      <c r="E133" s="57">
        <f t="shared" si="17"/>
        <v>2.7</v>
      </c>
      <c r="F133" s="57">
        <f t="shared" si="17"/>
        <v>2.6</v>
      </c>
      <c r="G133" s="57">
        <f>2.2+0.5</f>
        <v>2.7</v>
      </c>
      <c r="H133" s="57">
        <v>2.6</v>
      </c>
      <c r="I133" s="57">
        <f>2.1+0.5</f>
        <v>2.6</v>
      </c>
      <c r="J133" s="57">
        <v>2.6</v>
      </c>
      <c r="K133" s="57"/>
      <c r="L133" s="90"/>
      <c r="M133" s="254"/>
      <c r="N133" s="32"/>
      <c r="O133" s="32"/>
      <c r="Q133" s="250"/>
      <c r="R133" s="250"/>
      <c r="S133" s="250"/>
      <c r="T133" s="250"/>
    </row>
    <row r="134" spans="1:20" ht="12.75" customHeight="1" x14ac:dyDescent="0.25">
      <c r="A134" s="333">
        <v>60</v>
      </c>
      <c r="B134" s="334"/>
      <c r="C134" s="253" t="s">
        <v>6</v>
      </c>
      <c r="D134" s="335" t="s">
        <v>64</v>
      </c>
      <c r="E134" s="57">
        <f t="shared" si="17"/>
        <v>2.7</v>
      </c>
      <c r="F134" s="57">
        <f t="shared" si="17"/>
        <v>2.6</v>
      </c>
      <c r="G134" s="57">
        <f>2.5+0.2</f>
        <v>2.7</v>
      </c>
      <c r="H134" s="57">
        <v>2.6</v>
      </c>
      <c r="I134" s="57">
        <f>2.4+0.2</f>
        <v>2.6</v>
      </c>
      <c r="J134" s="57">
        <v>2.6</v>
      </c>
      <c r="K134" s="57"/>
      <c r="L134" s="90"/>
      <c r="M134" s="254"/>
      <c r="N134" s="32"/>
      <c r="O134" s="32"/>
      <c r="Q134" s="250"/>
      <c r="R134" s="250"/>
      <c r="S134" s="250"/>
      <c r="T134" s="250"/>
    </row>
    <row r="135" spans="1:20" ht="12.75" customHeight="1" x14ac:dyDescent="0.25">
      <c r="A135" s="333">
        <v>61</v>
      </c>
      <c r="B135" s="334"/>
      <c r="C135" s="253" t="s">
        <v>9</v>
      </c>
      <c r="D135" s="335" t="s">
        <v>64</v>
      </c>
      <c r="E135" s="57">
        <f t="shared" si="17"/>
        <v>2.8</v>
      </c>
      <c r="F135" s="57">
        <f t="shared" si="17"/>
        <v>2.7</v>
      </c>
      <c r="G135" s="57">
        <f>2.5+0.3</f>
        <v>2.8</v>
      </c>
      <c r="H135" s="57">
        <v>2.7</v>
      </c>
      <c r="I135" s="57">
        <f>2.4+0.3</f>
        <v>2.6999999999999997</v>
      </c>
      <c r="J135" s="57">
        <v>2.7</v>
      </c>
      <c r="K135" s="57"/>
      <c r="L135" s="90"/>
      <c r="M135" s="254"/>
      <c r="N135" s="32"/>
      <c r="O135" s="32"/>
      <c r="Q135" s="250"/>
      <c r="R135" s="250"/>
      <c r="S135" s="250"/>
      <c r="T135" s="250"/>
    </row>
    <row r="136" spans="1:20" ht="12.75" customHeight="1" x14ac:dyDescent="0.25">
      <c r="A136" s="333">
        <v>62</v>
      </c>
      <c r="B136" s="334"/>
      <c r="C136" s="258" t="s">
        <v>10</v>
      </c>
      <c r="D136" s="335" t="s">
        <v>64</v>
      </c>
      <c r="E136" s="57">
        <f t="shared" si="17"/>
        <v>2.5</v>
      </c>
      <c r="F136" s="57">
        <f t="shared" si="17"/>
        <v>2.4</v>
      </c>
      <c r="G136" s="57">
        <v>2.5</v>
      </c>
      <c r="H136" s="57">
        <v>2.4</v>
      </c>
      <c r="I136" s="57">
        <v>2.4</v>
      </c>
      <c r="J136" s="57">
        <v>2.2999999999999998</v>
      </c>
      <c r="K136" s="57"/>
      <c r="L136" s="90"/>
      <c r="M136" s="254"/>
      <c r="N136" s="32"/>
      <c r="O136" s="32"/>
      <c r="Q136" s="250"/>
      <c r="R136" s="250"/>
      <c r="S136" s="250"/>
      <c r="T136" s="250"/>
    </row>
    <row r="137" spans="1:20" ht="12.75" customHeight="1" x14ac:dyDescent="0.25">
      <c r="A137" s="333">
        <v>63</v>
      </c>
      <c r="B137" s="334"/>
      <c r="C137" s="253" t="s">
        <v>12</v>
      </c>
      <c r="D137" s="335" t="s">
        <v>64</v>
      </c>
      <c r="E137" s="57">
        <f t="shared" si="17"/>
        <v>2.5</v>
      </c>
      <c r="F137" s="57">
        <f t="shared" si="17"/>
        <v>2.4</v>
      </c>
      <c r="G137" s="57">
        <f>2.4+0.1</f>
        <v>2.5</v>
      </c>
      <c r="H137" s="57">
        <v>2.4</v>
      </c>
      <c r="I137" s="57">
        <f>2.3+0.1</f>
        <v>2.4</v>
      </c>
      <c r="J137" s="57">
        <v>2.2999999999999998</v>
      </c>
      <c r="K137" s="57"/>
      <c r="L137" s="90"/>
      <c r="M137" s="254"/>
      <c r="N137" s="32"/>
      <c r="O137" s="32"/>
      <c r="Q137" s="250"/>
      <c r="R137" s="250"/>
      <c r="S137" s="250"/>
      <c r="T137" s="250"/>
    </row>
    <row r="138" spans="1:20" ht="12.75" customHeight="1" x14ac:dyDescent="0.25">
      <c r="A138" s="333">
        <v>64</v>
      </c>
      <c r="B138" s="334"/>
      <c r="C138" s="253" t="s">
        <v>782</v>
      </c>
      <c r="D138" s="335" t="s">
        <v>64</v>
      </c>
      <c r="E138" s="57">
        <f t="shared" si="17"/>
        <v>2.5999999999999996</v>
      </c>
      <c r="F138" s="57">
        <f t="shared" si="17"/>
        <v>2.5</v>
      </c>
      <c r="G138" s="57">
        <f>2.3+0.3</f>
        <v>2.5999999999999996</v>
      </c>
      <c r="H138" s="57">
        <v>2.5</v>
      </c>
      <c r="I138" s="57">
        <f>2.2+0.3</f>
        <v>2.5</v>
      </c>
      <c r="J138" s="57">
        <v>2.4</v>
      </c>
      <c r="K138" s="57"/>
      <c r="L138" s="90"/>
      <c r="M138" s="280"/>
      <c r="N138" s="32"/>
      <c r="O138" s="32"/>
      <c r="Q138" s="250"/>
      <c r="R138" s="250"/>
      <c r="S138" s="250"/>
      <c r="T138" s="250"/>
    </row>
    <row r="139" spans="1:20" ht="12.75" customHeight="1" x14ac:dyDescent="0.25">
      <c r="A139" s="333">
        <v>65</v>
      </c>
      <c r="B139" s="334"/>
      <c r="C139" s="253" t="s">
        <v>768</v>
      </c>
      <c r="D139" s="335" t="s">
        <v>64</v>
      </c>
      <c r="E139" s="57">
        <f t="shared" si="17"/>
        <v>2.4</v>
      </c>
      <c r="F139" s="57">
        <f t="shared" si="17"/>
        <v>2.2999999999999998</v>
      </c>
      <c r="G139" s="57">
        <f>2.5-0.1</f>
        <v>2.4</v>
      </c>
      <c r="H139" s="57">
        <v>2.2999999999999998</v>
      </c>
      <c r="I139" s="57">
        <f>2.4-0.1</f>
        <v>2.2999999999999998</v>
      </c>
      <c r="J139" s="57">
        <v>2.2999999999999998</v>
      </c>
      <c r="K139" s="57"/>
      <c r="L139" s="90"/>
      <c r="M139" s="254"/>
      <c r="N139" s="32"/>
      <c r="O139" s="32"/>
      <c r="Q139" s="250"/>
      <c r="R139" s="250"/>
      <c r="S139" s="250"/>
      <c r="T139" s="250"/>
    </row>
    <row r="140" spans="1:20" ht="12.75" customHeight="1" x14ac:dyDescent="0.25">
      <c r="A140" s="333">
        <v>66</v>
      </c>
      <c r="B140" s="334"/>
      <c r="C140" s="253" t="s">
        <v>14</v>
      </c>
      <c r="D140" s="335" t="s">
        <v>64</v>
      </c>
      <c r="E140" s="57">
        <f t="shared" si="17"/>
        <v>2.7</v>
      </c>
      <c r="F140" s="57">
        <f t="shared" si="17"/>
        <v>2.5</v>
      </c>
      <c r="G140" s="57">
        <f>2.4+0.2+0.1</f>
        <v>2.7</v>
      </c>
      <c r="H140" s="57">
        <v>2.5</v>
      </c>
      <c r="I140" s="57">
        <f>2.3+0.2+0.1</f>
        <v>2.6</v>
      </c>
      <c r="J140" s="57">
        <v>2.5</v>
      </c>
      <c r="K140" s="57"/>
      <c r="L140" s="90"/>
      <c r="M140" s="280"/>
      <c r="N140" s="32"/>
      <c r="O140" s="32"/>
      <c r="Q140" s="250"/>
      <c r="R140" s="250"/>
      <c r="S140" s="250"/>
      <c r="T140" s="250"/>
    </row>
    <row r="141" spans="1:20" ht="20.25" customHeight="1" x14ac:dyDescent="0.25">
      <c r="A141" s="333">
        <v>67</v>
      </c>
      <c r="B141" s="336" t="s">
        <v>65</v>
      </c>
      <c r="C141" s="35" t="s">
        <v>66</v>
      </c>
      <c r="D141" s="247"/>
      <c r="E141" s="61">
        <f>+G141+K141</f>
        <v>3705.3999999999992</v>
      </c>
      <c r="F141" s="61">
        <f>+H141+L141</f>
        <v>3502.6</v>
      </c>
      <c r="G141" s="61">
        <f t="shared" ref="G141:L141" si="20">+G142+G143+G144+G145+G146+G147+G148+G149+G152+G163</f>
        <v>3246.6999999999994</v>
      </c>
      <c r="H141" s="61">
        <f t="shared" si="20"/>
        <v>3206.4</v>
      </c>
      <c r="I141" s="61">
        <f t="shared" si="20"/>
        <v>2417.9</v>
      </c>
      <c r="J141" s="61">
        <f t="shared" si="20"/>
        <v>2417.6</v>
      </c>
      <c r="K141" s="61">
        <f t="shared" si="20"/>
        <v>458.69999999999993</v>
      </c>
      <c r="L141" s="61">
        <f t="shared" si="20"/>
        <v>296.2</v>
      </c>
      <c r="M141" s="32"/>
      <c r="N141" s="32"/>
      <c r="O141" s="32"/>
      <c r="Q141" s="250"/>
      <c r="R141" s="250"/>
      <c r="S141" s="250"/>
      <c r="T141" s="250"/>
    </row>
    <row r="142" spans="1:20" ht="12.75" customHeight="1" x14ac:dyDescent="0.25">
      <c r="A142" s="333">
        <v>68</v>
      </c>
      <c r="B142" s="334"/>
      <c r="C142" s="251" t="s">
        <v>40</v>
      </c>
      <c r="D142" s="335" t="s">
        <v>67</v>
      </c>
      <c r="E142" s="57">
        <f>+G142+K142</f>
        <v>699.8</v>
      </c>
      <c r="F142" s="57">
        <f t="shared" ref="F142:F155" si="21">+H142+L142</f>
        <v>699.8</v>
      </c>
      <c r="G142" s="57">
        <f>630.8+8.8+3.3+32.2+24.7</f>
        <v>699.8</v>
      </c>
      <c r="H142" s="57">
        <v>699.8</v>
      </c>
      <c r="I142" s="57">
        <f>486.5+31.5+20</f>
        <v>538</v>
      </c>
      <c r="J142" s="57">
        <v>538</v>
      </c>
      <c r="K142" s="57"/>
      <c r="L142" s="90"/>
      <c r="M142" s="32"/>
      <c r="N142" s="32"/>
      <c r="O142" s="32"/>
      <c r="Q142" s="250"/>
      <c r="R142" s="250"/>
      <c r="S142" s="250"/>
      <c r="T142" s="250"/>
    </row>
    <row r="143" spans="1:20" ht="12.75" customHeight="1" x14ac:dyDescent="0.25">
      <c r="A143" s="333">
        <v>69</v>
      </c>
      <c r="B143" s="334"/>
      <c r="C143" s="272" t="s">
        <v>45</v>
      </c>
      <c r="D143" s="335" t="s">
        <v>67</v>
      </c>
      <c r="E143" s="57">
        <f t="shared" si="17"/>
        <v>222</v>
      </c>
      <c r="F143" s="57">
        <f t="shared" si="21"/>
        <v>221.79999999999998</v>
      </c>
      <c r="G143" s="57">
        <f>200.9+2.6+10.9-9.7+0.7</f>
        <v>205.4</v>
      </c>
      <c r="H143" s="57">
        <v>205.2</v>
      </c>
      <c r="I143" s="57">
        <f>162.9+10.6+0.7</f>
        <v>174.2</v>
      </c>
      <c r="J143" s="57">
        <v>174.2</v>
      </c>
      <c r="K143" s="57">
        <f>9.7+6.9</f>
        <v>16.600000000000001</v>
      </c>
      <c r="L143" s="90">
        <v>16.600000000000001</v>
      </c>
      <c r="M143" s="32"/>
      <c r="N143" s="32"/>
      <c r="O143" s="32"/>
      <c r="Q143" s="250"/>
      <c r="R143" s="250"/>
      <c r="S143" s="250"/>
      <c r="T143" s="250"/>
    </row>
    <row r="144" spans="1:20" ht="12.75" customHeight="1" x14ac:dyDescent="0.25">
      <c r="A144" s="333">
        <v>70</v>
      </c>
      <c r="B144" s="334"/>
      <c r="C144" s="272" t="s">
        <v>46</v>
      </c>
      <c r="D144" s="335" t="s">
        <v>67</v>
      </c>
      <c r="E144" s="57">
        <f t="shared" si="17"/>
        <v>161.70000000000002</v>
      </c>
      <c r="F144" s="57">
        <f t="shared" si="21"/>
        <v>161.69999999999999</v>
      </c>
      <c r="G144" s="57">
        <f>147.1+2+7.3+5.3</f>
        <v>161.70000000000002</v>
      </c>
      <c r="H144" s="57">
        <v>161.69999999999999</v>
      </c>
      <c r="I144" s="57">
        <f>111.3+7.2+5.2</f>
        <v>123.7</v>
      </c>
      <c r="J144" s="57">
        <v>123.7</v>
      </c>
      <c r="K144" s="57"/>
      <c r="L144" s="90"/>
      <c r="M144" s="32"/>
      <c r="N144" s="32"/>
      <c r="O144" s="32"/>
      <c r="Q144" s="250"/>
      <c r="R144" s="250"/>
      <c r="S144" s="250"/>
      <c r="T144" s="250"/>
    </row>
    <row r="145" spans="1:20" ht="12.75" customHeight="1" x14ac:dyDescent="0.25">
      <c r="A145" s="333">
        <v>71</v>
      </c>
      <c r="B145" s="334"/>
      <c r="C145" s="272" t="s">
        <v>41</v>
      </c>
      <c r="D145" s="335" t="s">
        <v>67</v>
      </c>
      <c r="E145" s="57">
        <f t="shared" si="17"/>
        <v>142.79999999999998</v>
      </c>
      <c r="F145" s="57">
        <f t="shared" si="21"/>
        <v>142.69999999999999</v>
      </c>
      <c r="G145" s="57">
        <f>127+1.2+2.5+6.5+1+4.6</f>
        <v>142.79999999999998</v>
      </c>
      <c r="H145" s="57">
        <v>142.69999999999999</v>
      </c>
      <c r="I145" s="57">
        <f>98+2.5+6.4+2.5+4.5</f>
        <v>113.9</v>
      </c>
      <c r="J145" s="57">
        <v>113.9</v>
      </c>
      <c r="K145" s="57"/>
      <c r="L145" s="90"/>
      <c r="M145" s="32"/>
      <c r="N145" s="32"/>
      <c r="O145" s="32"/>
      <c r="Q145" s="250"/>
      <c r="R145" s="250"/>
      <c r="S145" s="250"/>
      <c r="T145" s="250"/>
    </row>
    <row r="146" spans="1:20" ht="12.75" customHeight="1" x14ac:dyDescent="0.25">
      <c r="A146" s="333">
        <v>72</v>
      </c>
      <c r="B146" s="334"/>
      <c r="C146" s="272" t="s">
        <v>47</v>
      </c>
      <c r="D146" s="335" t="s">
        <v>67</v>
      </c>
      <c r="E146" s="57">
        <f t="shared" si="17"/>
        <v>99.499999999999986</v>
      </c>
      <c r="F146" s="57">
        <f t="shared" si="21"/>
        <v>99.5</v>
      </c>
      <c r="G146" s="57">
        <f>90.8+5.1+3.6</f>
        <v>99.499999999999986</v>
      </c>
      <c r="H146" s="57">
        <v>99.5</v>
      </c>
      <c r="I146" s="57">
        <f>77.4+5+2.2</f>
        <v>84.600000000000009</v>
      </c>
      <c r="J146" s="57">
        <v>84.6</v>
      </c>
      <c r="K146" s="57"/>
      <c r="L146" s="90"/>
      <c r="M146" s="32"/>
      <c r="N146" s="32"/>
      <c r="O146" s="32"/>
      <c r="Q146" s="250"/>
      <c r="R146" s="250"/>
      <c r="S146" s="250"/>
      <c r="T146" s="250"/>
    </row>
    <row r="147" spans="1:20" ht="12.75" customHeight="1" x14ac:dyDescent="0.25">
      <c r="A147" s="333">
        <v>73</v>
      </c>
      <c r="B147" s="334"/>
      <c r="C147" s="272" t="s">
        <v>48</v>
      </c>
      <c r="D147" s="335" t="s">
        <v>67</v>
      </c>
      <c r="E147" s="57">
        <f t="shared" si="17"/>
        <v>92.8</v>
      </c>
      <c r="F147" s="57">
        <f t="shared" si="21"/>
        <v>92.6</v>
      </c>
      <c r="G147" s="57">
        <f>84.5+0.5+4.6+3.2</f>
        <v>92.8</v>
      </c>
      <c r="H147" s="57">
        <v>92.6</v>
      </c>
      <c r="I147" s="57">
        <f>68.8+4.4</f>
        <v>73.2</v>
      </c>
      <c r="J147" s="57">
        <v>73.099999999999994</v>
      </c>
      <c r="K147" s="57"/>
      <c r="L147" s="90"/>
      <c r="M147" s="254"/>
      <c r="N147" s="32"/>
      <c r="O147" s="32"/>
      <c r="Q147" s="250"/>
      <c r="R147" s="250"/>
      <c r="S147" s="250"/>
      <c r="T147" s="250"/>
    </row>
    <row r="148" spans="1:20" x14ac:dyDescent="0.25">
      <c r="A148" s="333">
        <v>74</v>
      </c>
      <c r="B148" s="334"/>
      <c r="C148" s="253" t="s">
        <v>49</v>
      </c>
      <c r="D148" s="335" t="s">
        <v>68</v>
      </c>
      <c r="E148" s="57">
        <f t="shared" si="17"/>
        <v>973.69999999999993</v>
      </c>
      <c r="F148" s="57">
        <f t="shared" si="21"/>
        <v>973.7</v>
      </c>
      <c r="G148" s="57">
        <f>881.3+6+50.4+36</f>
        <v>973.69999999999993</v>
      </c>
      <c r="H148" s="57">
        <v>973.7</v>
      </c>
      <c r="I148" s="57">
        <f>763.4+49.4+10</f>
        <v>822.8</v>
      </c>
      <c r="J148" s="57">
        <v>822.8</v>
      </c>
      <c r="K148" s="57"/>
      <c r="L148" s="90"/>
      <c r="M148" s="254"/>
      <c r="N148" s="32"/>
      <c r="O148" s="32"/>
      <c r="Q148" s="250"/>
      <c r="R148" s="250"/>
      <c r="S148" s="250"/>
      <c r="T148" s="250"/>
    </row>
    <row r="149" spans="1:20" x14ac:dyDescent="0.25">
      <c r="A149" s="385">
        <v>75</v>
      </c>
      <c r="B149" s="386"/>
      <c r="C149" s="272" t="s">
        <v>39</v>
      </c>
      <c r="D149" s="389" t="s">
        <v>69</v>
      </c>
      <c r="E149" s="57">
        <f t="shared" si="17"/>
        <v>527.5</v>
      </c>
      <c r="F149" s="57">
        <f t="shared" si="21"/>
        <v>507.09999999999997</v>
      </c>
      <c r="G149" s="57">
        <f>441.9+4.5+23.6-5.3+G151+5.7+16.8</f>
        <v>487.2</v>
      </c>
      <c r="H149" s="176">
        <f>466.9-0.1</f>
        <v>466.79999999999995</v>
      </c>
      <c r="I149" s="57">
        <f>356.8+23.1+12.3+I151+5.7+16.5</f>
        <v>414.40000000000003</v>
      </c>
      <c r="J149" s="57">
        <v>414.3</v>
      </c>
      <c r="K149" s="57">
        <f>5.3+K151</f>
        <v>40.299999999999997</v>
      </c>
      <c r="L149" s="90">
        <v>40.299999999999997</v>
      </c>
      <c r="M149" s="280"/>
      <c r="N149" s="32"/>
      <c r="O149" s="32"/>
      <c r="Q149" s="250"/>
      <c r="R149" s="250"/>
      <c r="S149" s="250"/>
      <c r="T149" s="250"/>
    </row>
    <row r="150" spans="1:20" x14ac:dyDescent="0.25">
      <c r="A150" s="385"/>
      <c r="B150" s="386"/>
      <c r="C150" s="257" t="s">
        <v>773</v>
      </c>
      <c r="D150" s="389"/>
      <c r="E150" s="57">
        <f t="shared" si="17"/>
        <v>20</v>
      </c>
      <c r="F150" s="57">
        <f t="shared" si="21"/>
        <v>0</v>
      </c>
      <c r="G150" s="57">
        <v>20</v>
      </c>
      <c r="H150" s="57">
        <v>0</v>
      </c>
      <c r="I150" s="57"/>
      <c r="J150" s="57"/>
      <c r="K150" s="57"/>
      <c r="L150" s="90"/>
      <c r="M150" s="254"/>
      <c r="N150" s="32"/>
      <c r="O150" s="32"/>
      <c r="Q150" s="250"/>
      <c r="R150" s="250"/>
      <c r="S150" s="250"/>
      <c r="T150" s="250"/>
    </row>
    <row r="151" spans="1:20" x14ac:dyDescent="0.25">
      <c r="A151" s="385"/>
      <c r="B151" s="386"/>
      <c r="C151" s="257" t="s">
        <v>413</v>
      </c>
      <c r="D151" s="335" t="s">
        <v>90</v>
      </c>
      <c r="E151" s="57">
        <f t="shared" si="17"/>
        <v>35</v>
      </c>
      <c r="F151" s="57">
        <f t="shared" si="21"/>
        <v>35</v>
      </c>
      <c r="G151" s="57"/>
      <c r="H151" s="57"/>
      <c r="I151" s="57"/>
      <c r="J151" s="57"/>
      <c r="K151" s="57">
        <v>35</v>
      </c>
      <c r="L151" s="90">
        <v>35</v>
      </c>
      <c r="M151" s="254"/>
      <c r="N151" s="32"/>
      <c r="O151" s="32"/>
      <c r="Q151" s="250"/>
      <c r="R151" s="250"/>
      <c r="S151" s="250"/>
      <c r="T151" s="250"/>
    </row>
    <row r="152" spans="1:20" ht="12.6" customHeight="1" x14ac:dyDescent="0.25">
      <c r="A152" s="333">
        <v>76</v>
      </c>
      <c r="B152" s="334"/>
      <c r="C152" s="258" t="s">
        <v>291</v>
      </c>
      <c r="D152" s="335"/>
      <c r="E152" s="57">
        <f>+G152+K152</f>
        <v>779.39999999999986</v>
      </c>
      <c r="F152" s="57">
        <f t="shared" si="21"/>
        <v>597.6</v>
      </c>
      <c r="G152" s="57">
        <f>+G153+G154+G155+G156</f>
        <v>377.59999999999997</v>
      </c>
      <c r="H152" s="57">
        <f>+H153+H154+H155+H156</f>
        <v>358.3</v>
      </c>
      <c r="I152" s="57">
        <f>+I153+I154+I155+I157+I158+I156</f>
        <v>67</v>
      </c>
      <c r="J152" s="57">
        <f>+J153+J154+J155+J157+J158+J156</f>
        <v>67</v>
      </c>
      <c r="K152" s="57">
        <f>+K153+K154+K155+K157+K158+K156</f>
        <v>401.79999999999995</v>
      </c>
      <c r="L152" s="57">
        <f>+L153+L154+L155+L157+L158+L156</f>
        <v>239.29999999999998</v>
      </c>
      <c r="M152" s="254"/>
      <c r="N152" s="32"/>
      <c r="O152" s="32"/>
      <c r="Q152" s="250"/>
      <c r="R152" s="250"/>
      <c r="S152" s="250"/>
      <c r="T152" s="250"/>
    </row>
    <row r="153" spans="1:20" ht="20.399999999999999" x14ac:dyDescent="0.25">
      <c r="A153" s="338" t="s">
        <v>414</v>
      </c>
      <c r="B153" s="334"/>
      <c r="C153" s="258" t="s">
        <v>3</v>
      </c>
      <c r="D153" s="337" t="s">
        <v>415</v>
      </c>
      <c r="E153" s="57">
        <f t="shared" si="17"/>
        <v>253.7</v>
      </c>
      <c r="F153" s="57">
        <f t="shared" si="21"/>
        <v>235.8</v>
      </c>
      <c r="G153" s="57">
        <f>244.2+2.8+6.7</f>
        <v>253.7</v>
      </c>
      <c r="H153" s="57">
        <v>235.8</v>
      </c>
      <c r="I153" s="57">
        <f>60.3+6.7</f>
        <v>67</v>
      </c>
      <c r="J153" s="57">
        <f>66.9+0.1</f>
        <v>67</v>
      </c>
      <c r="K153" s="57"/>
      <c r="L153" s="90"/>
      <c r="M153" s="254"/>
      <c r="N153" s="32"/>
      <c r="O153" s="32"/>
      <c r="Q153" s="250"/>
      <c r="R153" s="250"/>
      <c r="S153" s="250"/>
      <c r="T153" s="250"/>
    </row>
    <row r="154" spans="1:20" ht="48" x14ac:dyDescent="0.25">
      <c r="A154" s="338" t="s">
        <v>416</v>
      </c>
      <c r="B154" s="334"/>
      <c r="C154" s="263" t="s">
        <v>417</v>
      </c>
      <c r="D154" s="337" t="s">
        <v>418</v>
      </c>
      <c r="E154" s="57">
        <f t="shared" si="17"/>
        <v>22</v>
      </c>
      <c r="F154" s="57">
        <f t="shared" si="21"/>
        <v>21.3</v>
      </c>
      <c r="G154" s="57">
        <f>20+2</f>
        <v>22</v>
      </c>
      <c r="H154" s="57">
        <v>21.3</v>
      </c>
      <c r="I154" s="57"/>
      <c r="J154" s="57"/>
      <c r="K154" s="57"/>
      <c r="L154" s="90"/>
      <c r="M154" s="254"/>
      <c r="N154" s="32"/>
      <c r="O154" s="32"/>
      <c r="Q154" s="250"/>
      <c r="R154" s="250"/>
      <c r="S154" s="250"/>
      <c r="T154" s="250"/>
    </row>
    <row r="155" spans="1:20" x14ac:dyDescent="0.25">
      <c r="A155" s="338" t="s">
        <v>419</v>
      </c>
      <c r="B155" s="334"/>
      <c r="C155" s="263" t="s">
        <v>420</v>
      </c>
      <c r="D155" s="337" t="s">
        <v>418</v>
      </c>
      <c r="E155" s="57">
        <f t="shared" si="17"/>
        <v>10</v>
      </c>
      <c r="F155" s="57">
        <f t="shared" si="21"/>
        <v>10</v>
      </c>
      <c r="G155" s="57">
        <v>10</v>
      </c>
      <c r="H155" s="57">
        <v>10</v>
      </c>
      <c r="I155" s="57"/>
      <c r="J155" s="57"/>
      <c r="K155" s="57"/>
      <c r="L155" s="90"/>
      <c r="M155" s="254"/>
      <c r="N155" s="32"/>
      <c r="O155" s="32"/>
      <c r="Q155" s="250"/>
      <c r="R155" s="250"/>
      <c r="S155" s="250"/>
      <c r="T155" s="250"/>
    </row>
    <row r="156" spans="1:20" ht="39" customHeight="1" x14ac:dyDescent="0.25">
      <c r="A156" s="338" t="s">
        <v>421</v>
      </c>
      <c r="B156" s="334"/>
      <c r="C156" s="260" t="s">
        <v>303</v>
      </c>
      <c r="D156" s="247"/>
      <c r="E156" s="267">
        <f>+G156+K156</f>
        <v>493.69999999999993</v>
      </c>
      <c r="F156" s="267">
        <f>+H156+L156</f>
        <v>330.5</v>
      </c>
      <c r="G156" s="267">
        <f t="shared" ref="G156:L156" si="22">+G157+G158+G159+G160+G161+G162</f>
        <v>91.899999999999991</v>
      </c>
      <c r="H156" s="267">
        <f t="shared" si="22"/>
        <v>91.2</v>
      </c>
      <c r="I156" s="267">
        <f t="shared" si="22"/>
        <v>0</v>
      </c>
      <c r="J156" s="267">
        <f t="shared" si="22"/>
        <v>0</v>
      </c>
      <c r="K156" s="267">
        <f t="shared" si="22"/>
        <v>401.79999999999995</v>
      </c>
      <c r="L156" s="267">
        <f t="shared" si="22"/>
        <v>239.29999999999998</v>
      </c>
      <c r="M156" s="254"/>
      <c r="N156" s="32"/>
      <c r="O156" s="32"/>
      <c r="Q156" s="250"/>
      <c r="R156" s="250"/>
      <c r="S156" s="250"/>
      <c r="T156" s="250"/>
    </row>
    <row r="157" spans="1:20" ht="24" x14ac:dyDescent="0.25">
      <c r="A157" s="338" t="s">
        <v>422</v>
      </c>
      <c r="B157" s="334"/>
      <c r="C157" s="265" t="s">
        <v>423</v>
      </c>
      <c r="D157" s="337" t="s">
        <v>424</v>
      </c>
      <c r="E157" s="57">
        <f t="shared" si="17"/>
        <v>57.499999999999993</v>
      </c>
      <c r="F157" s="57">
        <f t="shared" si="17"/>
        <v>57.5</v>
      </c>
      <c r="G157" s="57">
        <f>72.1-12.6-2</f>
        <v>57.499999999999993</v>
      </c>
      <c r="H157" s="57">
        <v>57.5</v>
      </c>
      <c r="I157" s="57"/>
      <c r="J157" s="57"/>
      <c r="K157" s="57"/>
      <c r="L157" s="90"/>
      <c r="M157" s="32"/>
      <c r="N157" s="32"/>
      <c r="O157" s="32"/>
      <c r="Q157" s="250"/>
      <c r="R157" s="250"/>
      <c r="S157" s="250"/>
      <c r="T157" s="250"/>
    </row>
    <row r="158" spans="1:20" ht="24" x14ac:dyDescent="0.25">
      <c r="A158" s="338" t="s">
        <v>425</v>
      </c>
      <c r="B158" s="334"/>
      <c r="C158" s="265" t="s">
        <v>426</v>
      </c>
      <c r="D158" s="337" t="s">
        <v>424</v>
      </c>
      <c r="E158" s="57">
        <f t="shared" si="17"/>
        <v>29.3</v>
      </c>
      <c r="F158" s="57">
        <f t="shared" si="17"/>
        <v>28.9</v>
      </c>
      <c r="G158" s="57">
        <v>29.3</v>
      </c>
      <c r="H158" s="57">
        <v>28.9</v>
      </c>
      <c r="I158" s="57"/>
      <c r="J158" s="57"/>
      <c r="K158" s="57"/>
      <c r="L158" s="90"/>
      <c r="M158" s="280"/>
      <c r="N158" s="32"/>
      <c r="O158" s="32"/>
      <c r="Q158" s="250"/>
      <c r="R158" s="250"/>
      <c r="S158" s="250"/>
      <c r="T158" s="250"/>
    </row>
    <row r="159" spans="1:20" ht="36" x14ac:dyDescent="0.25">
      <c r="A159" s="338" t="s">
        <v>427</v>
      </c>
      <c r="B159" s="334"/>
      <c r="C159" s="265" t="s">
        <v>134</v>
      </c>
      <c r="D159" s="335" t="s">
        <v>69</v>
      </c>
      <c r="E159" s="57">
        <f t="shared" si="17"/>
        <v>52</v>
      </c>
      <c r="F159" s="57">
        <f t="shared" si="17"/>
        <v>14.6</v>
      </c>
      <c r="G159" s="57">
        <v>0.1</v>
      </c>
      <c r="H159" s="57">
        <v>0</v>
      </c>
      <c r="I159" s="57"/>
      <c r="J159" s="57"/>
      <c r="K159" s="57">
        <v>51.9</v>
      </c>
      <c r="L159" s="90">
        <v>14.6</v>
      </c>
      <c r="M159" s="254"/>
      <c r="N159" s="32"/>
      <c r="O159" s="32"/>
      <c r="Q159" s="250"/>
      <c r="R159" s="250"/>
      <c r="S159" s="250"/>
      <c r="T159" s="250"/>
    </row>
    <row r="160" spans="1:20" ht="24" x14ac:dyDescent="0.25">
      <c r="A160" s="338" t="s">
        <v>428</v>
      </c>
      <c r="B160" s="334"/>
      <c r="C160" s="265" t="s">
        <v>146</v>
      </c>
      <c r="D160" s="335" t="s">
        <v>67</v>
      </c>
      <c r="E160" s="57">
        <f t="shared" si="17"/>
        <v>314.89999999999998</v>
      </c>
      <c r="F160" s="57">
        <f t="shared" si="17"/>
        <v>189.7</v>
      </c>
      <c r="G160" s="57"/>
      <c r="H160" s="57"/>
      <c r="I160" s="57"/>
      <c r="J160" s="57"/>
      <c r="K160" s="57">
        <f>32.9+282</f>
        <v>314.89999999999998</v>
      </c>
      <c r="L160" s="90">
        <v>189.7</v>
      </c>
      <c r="M160" s="254"/>
      <c r="N160" s="32"/>
      <c r="O160" s="32"/>
      <c r="Q160" s="250"/>
      <c r="R160" s="250"/>
      <c r="S160" s="250"/>
      <c r="T160" s="250"/>
    </row>
    <row r="161" spans="1:20" x14ac:dyDescent="0.25">
      <c r="A161" s="338" t="s">
        <v>429</v>
      </c>
      <c r="B161" s="334"/>
      <c r="C161" s="266" t="s">
        <v>430</v>
      </c>
      <c r="D161" s="337" t="s">
        <v>67</v>
      </c>
      <c r="E161" s="57">
        <f t="shared" si="17"/>
        <v>5</v>
      </c>
      <c r="F161" s="57">
        <f t="shared" si="17"/>
        <v>4.8</v>
      </c>
      <c r="G161" s="57">
        <v>5</v>
      </c>
      <c r="H161" s="57">
        <v>4.8</v>
      </c>
      <c r="I161" s="57"/>
      <c r="J161" s="57"/>
      <c r="K161" s="57"/>
      <c r="L161" s="90"/>
      <c r="M161" s="254"/>
      <c r="N161" s="32"/>
      <c r="O161" s="32"/>
      <c r="Q161" s="250"/>
      <c r="R161" s="250"/>
      <c r="S161" s="250"/>
      <c r="T161" s="250"/>
    </row>
    <row r="162" spans="1:20" x14ac:dyDescent="0.25">
      <c r="A162" s="338" t="s">
        <v>431</v>
      </c>
      <c r="B162" s="334"/>
      <c r="C162" s="263" t="s">
        <v>432</v>
      </c>
      <c r="D162" s="337" t="s">
        <v>67</v>
      </c>
      <c r="E162" s="57">
        <f t="shared" si="17"/>
        <v>35</v>
      </c>
      <c r="F162" s="57">
        <f t="shared" si="17"/>
        <v>35</v>
      </c>
      <c r="G162" s="57"/>
      <c r="H162" s="57"/>
      <c r="I162" s="57"/>
      <c r="J162" s="57"/>
      <c r="K162" s="57">
        <v>35</v>
      </c>
      <c r="L162" s="90">
        <v>35</v>
      </c>
      <c r="M162" s="254"/>
      <c r="N162" s="32"/>
      <c r="O162" s="32"/>
      <c r="Q162" s="250"/>
      <c r="R162" s="250"/>
      <c r="S162" s="250"/>
      <c r="T162" s="250"/>
    </row>
    <row r="163" spans="1:20" x14ac:dyDescent="0.25">
      <c r="A163" s="333">
        <v>77</v>
      </c>
      <c r="B163" s="334"/>
      <c r="C163" s="253" t="s">
        <v>6</v>
      </c>
      <c r="D163" s="335" t="s">
        <v>69</v>
      </c>
      <c r="E163" s="57">
        <f t="shared" si="17"/>
        <v>6.2</v>
      </c>
      <c r="F163" s="57">
        <f t="shared" si="17"/>
        <v>6.1</v>
      </c>
      <c r="G163" s="57">
        <f>5.8+0.5-0.1</f>
        <v>6.2</v>
      </c>
      <c r="H163" s="57">
        <v>6.1</v>
      </c>
      <c r="I163" s="57">
        <f>5.6+0.5</f>
        <v>6.1</v>
      </c>
      <c r="J163" s="57">
        <v>6</v>
      </c>
      <c r="K163" s="57"/>
      <c r="L163" s="90"/>
      <c r="M163" s="254"/>
      <c r="N163" s="32"/>
      <c r="O163" s="32"/>
      <c r="Q163" s="250"/>
      <c r="R163" s="250"/>
      <c r="S163" s="250"/>
      <c r="T163" s="250"/>
    </row>
    <row r="164" spans="1:20" ht="27" customHeight="1" x14ac:dyDescent="0.25">
      <c r="A164" s="333">
        <v>78</v>
      </c>
      <c r="B164" s="336" t="s">
        <v>80</v>
      </c>
      <c r="C164" s="281" t="s">
        <v>81</v>
      </c>
      <c r="D164" s="335"/>
      <c r="E164" s="61">
        <f t="shared" si="17"/>
        <v>592.1</v>
      </c>
      <c r="F164" s="61">
        <f>+H164+L164</f>
        <v>477.20000000000005</v>
      </c>
      <c r="G164" s="61">
        <f>+G167+G165</f>
        <v>254.1</v>
      </c>
      <c r="H164" s="61">
        <f>+H167+H165</f>
        <v>193.60000000000002</v>
      </c>
      <c r="I164" s="61">
        <f>+I167</f>
        <v>0</v>
      </c>
      <c r="J164" s="61">
        <f>+J167</f>
        <v>0</v>
      </c>
      <c r="K164" s="61">
        <f>+K167</f>
        <v>338</v>
      </c>
      <c r="L164" s="61">
        <f>+L167</f>
        <v>283.60000000000002</v>
      </c>
      <c r="M164" s="254"/>
      <c r="N164" s="32"/>
      <c r="O164" s="32"/>
      <c r="Q164" s="250"/>
      <c r="R164" s="250"/>
      <c r="S164" s="250"/>
      <c r="T164" s="250"/>
    </row>
    <row r="165" spans="1:20" x14ac:dyDescent="0.25">
      <c r="A165" s="385">
        <v>79</v>
      </c>
      <c r="B165" s="390"/>
      <c r="C165" s="272" t="s">
        <v>433</v>
      </c>
      <c r="D165" s="389" t="s">
        <v>82</v>
      </c>
      <c r="E165" s="57">
        <f t="shared" si="17"/>
        <v>86</v>
      </c>
      <c r="F165" s="57">
        <f t="shared" si="17"/>
        <v>72.900000000000006</v>
      </c>
      <c r="G165" s="57">
        <f>+G166</f>
        <v>86</v>
      </c>
      <c r="H165" s="57">
        <v>72.900000000000006</v>
      </c>
      <c r="I165" s="61"/>
      <c r="J165" s="61"/>
      <c r="K165" s="61"/>
      <c r="L165" s="90"/>
      <c r="M165" s="254"/>
      <c r="N165" s="32"/>
      <c r="O165" s="32"/>
      <c r="Q165" s="250"/>
      <c r="R165" s="250"/>
      <c r="S165" s="250"/>
      <c r="T165" s="250"/>
    </row>
    <row r="166" spans="1:20" ht="21.75" customHeight="1" x14ac:dyDescent="0.25">
      <c r="A166" s="385"/>
      <c r="B166" s="390"/>
      <c r="C166" s="271" t="s">
        <v>434</v>
      </c>
      <c r="D166" s="389"/>
      <c r="E166" s="57">
        <f t="shared" si="17"/>
        <v>86</v>
      </c>
      <c r="F166" s="57">
        <f t="shared" si="17"/>
        <v>72.900000000000006</v>
      </c>
      <c r="G166" s="57">
        <v>86</v>
      </c>
      <c r="H166" s="57">
        <v>72.900000000000006</v>
      </c>
      <c r="I166" s="57"/>
      <c r="J166" s="57"/>
      <c r="K166" s="57"/>
      <c r="L166" s="90"/>
      <c r="M166" s="254"/>
      <c r="N166" s="32"/>
      <c r="O166" s="32"/>
      <c r="Q166" s="250"/>
      <c r="R166" s="250"/>
      <c r="S166" s="250"/>
      <c r="T166" s="250"/>
    </row>
    <row r="167" spans="1:20" x14ac:dyDescent="0.25">
      <c r="A167" s="333">
        <v>80</v>
      </c>
      <c r="B167" s="334"/>
      <c r="C167" s="258" t="s">
        <v>291</v>
      </c>
      <c r="D167" s="335"/>
      <c r="E167" s="57">
        <f t="shared" si="17"/>
        <v>506.1</v>
      </c>
      <c r="F167" s="57">
        <f t="shared" si="17"/>
        <v>404.3</v>
      </c>
      <c r="G167" s="57">
        <f t="shared" ref="G167:L167" si="23">+G168+G169+G171+G170</f>
        <v>168.1</v>
      </c>
      <c r="H167" s="57">
        <f t="shared" si="23"/>
        <v>120.7</v>
      </c>
      <c r="I167" s="57">
        <f t="shared" si="23"/>
        <v>0</v>
      </c>
      <c r="J167" s="57">
        <f t="shared" si="23"/>
        <v>0</v>
      </c>
      <c r="K167" s="57">
        <f t="shared" si="23"/>
        <v>338</v>
      </c>
      <c r="L167" s="57">
        <f t="shared" si="23"/>
        <v>283.60000000000002</v>
      </c>
      <c r="M167" s="254"/>
      <c r="N167" s="32"/>
      <c r="O167" s="32"/>
      <c r="Q167" s="250"/>
      <c r="R167" s="250"/>
      <c r="S167" s="250"/>
      <c r="T167" s="250"/>
    </row>
    <row r="168" spans="1:20" ht="27.6" customHeight="1" x14ac:dyDescent="0.25">
      <c r="A168" s="333" t="s">
        <v>435</v>
      </c>
      <c r="B168" s="334"/>
      <c r="C168" s="263" t="s">
        <v>436</v>
      </c>
      <c r="D168" s="335" t="s">
        <v>82</v>
      </c>
      <c r="E168" s="57">
        <f t="shared" si="17"/>
        <v>46</v>
      </c>
      <c r="F168" s="57">
        <f t="shared" si="17"/>
        <v>46</v>
      </c>
      <c r="G168" s="57">
        <v>46</v>
      </c>
      <c r="H168" s="57">
        <v>46</v>
      </c>
      <c r="I168" s="57"/>
      <c r="J168" s="57"/>
      <c r="K168" s="57"/>
      <c r="L168" s="90"/>
      <c r="M168" s="254"/>
      <c r="N168" s="32"/>
      <c r="O168" s="32"/>
      <c r="Q168" s="250"/>
      <c r="R168" s="250"/>
      <c r="S168" s="250"/>
      <c r="T168" s="250"/>
    </row>
    <row r="169" spans="1:20" x14ac:dyDescent="0.25">
      <c r="A169" s="333" t="s">
        <v>437</v>
      </c>
      <c r="B169" s="334"/>
      <c r="C169" s="263" t="s">
        <v>774</v>
      </c>
      <c r="D169" s="335" t="s">
        <v>438</v>
      </c>
      <c r="E169" s="57">
        <f t="shared" si="17"/>
        <v>20</v>
      </c>
      <c r="F169" s="57">
        <f t="shared" si="17"/>
        <v>20</v>
      </c>
      <c r="G169" s="57">
        <f>20</f>
        <v>20</v>
      </c>
      <c r="H169" s="57">
        <v>20</v>
      </c>
      <c r="I169" s="57"/>
      <c r="J169" s="57"/>
      <c r="K169" s="57"/>
      <c r="L169" s="90"/>
      <c r="M169" s="282"/>
      <c r="N169" s="32"/>
      <c r="O169" s="32"/>
      <c r="P169" s="77"/>
      <c r="Q169" s="250"/>
      <c r="R169" s="250"/>
      <c r="S169" s="250"/>
      <c r="T169" s="250"/>
    </row>
    <row r="170" spans="1:20" x14ac:dyDescent="0.25">
      <c r="A170" s="333" t="s">
        <v>439</v>
      </c>
      <c r="B170" s="334"/>
      <c r="C170" s="266" t="s">
        <v>440</v>
      </c>
      <c r="D170" s="335" t="s">
        <v>82</v>
      </c>
      <c r="E170" s="57">
        <f t="shared" si="17"/>
        <v>10</v>
      </c>
      <c r="F170" s="57">
        <f t="shared" si="17"/>
        <v>10</v>
      </c>
      <c r="G170" s="57">
        <f>10-10</f>
        <v>0</v>
      </c>
      <c r="H170" s="57">
        <v>0</v>
      </c>
      <c r="I170" s="57"/>
      <c r="J170" s="57"/>
      <c r="K170" s="57">
        <v>10</v>
      </c>
      <c r="L170" s="90">
        <v>10</v>
      </c>
      <c r="M170" s="254"/>
      <c r="N170" s="32"/>
      <c r="O170" s="32"/>
      <c r="Q170" s="250"/>
      <c r="R170" s="250"/>
      <c r="S170" s="250"/>
      <c r="T170" s="250"/>
    </row>
    <row r="171" spans="1:20" ht="33.6" customHeight="1" x14ac:dyDescent="0.25">
      <c r="A171" s="333" t="s">
        <v>441</v>
      </c>
      <c r="B171" s="334"/>
      <c r="C171" s="260" t="s">
        <v>303</v>
      </c>
      <c r="D171" s="276"/>
      <c r="E171" s="267">
        <f>+G171+K171</f>
        <v>430.1</v>
      </c>
      <c r="F171" s="267">
        <f>+H171+L171</f>
        <v>328.3</v>
      </c>
      <c r="G171" s="267">
        <f t="shared" ref="G171:L171" si="24">+G172+G173+G174+G175+G176+G177+G178+G179+G180+G181+G182+G183+G184+G185+G186+G187+G188+G189</f>
        <v>102.1</v>
      </c>
      <c r="H171" s="267">
        <f t="shared" si="24"/>
        <v>54.7</v>
      </c>
      <c r="I171" s="267">
        <f t="shared" si="24"/>
        <v>0</v>
      </c>
      <c r="J171" s="267">
        <f t="shared" si="24"/>
        <v>0</v>
      </c>
      <c r="K171" s="267">
        <f t="shared" si="24"/>
        <v>328</v>
      </c>
      <c r="L171" s="267">
        <f t="shared" si="24"/>
        <v>273.60000000000002</v>
      </c>
      <c r="M171" s="254"/>
      <c r="N171" s="32"/>
      <c r="O171" s="32"/>
      <c r="Q171" s="250"/>
      <c r="R171" s="250"/>
      <c r="S171" s="250"/>
      <c r="T171" s="250"/>
    </row>
    <row r="172" spans="1:20" ht="24" x14ac:dyDescent="0.25">
      <c r="A172" s="338" t="s">
        <v>442</v>
      </c>
      <c r="B172" s="334"/>
      <c r="C172" s="266" t="s">
        <v>443</v>
      </c>
      <c r="D172" s="337" t="s">
        <v>444</v>
      </c>
      <c r="E172" s="57">
        <f t="shared" ref="E172:F237" si="25">+G172+K172</f>
        <v>20</v>
      </c>
      <c r="F172" s="57">
        <f t="shared" si="25"/>
        <v>9.9</v>
      </c>
      <c r="G172" s="57">
        <v>20</v>
      </c>
      <c r="H172" s="57">
        <v>9.9</v>
      </c>
      <c r="I172" s="57"/>
      <c r="J172" s="57"/>
      <c r="K172" s="57"/>
      <c r="L172" s="90"/>
      <c r="M172" s="254"/>
      <c r="N172" s="32"/>
      <c r="O172" s="32"/>
      <c r="Q172" s="250"/>
      <c r="R172" s="250"/>
      <c r="S172" s="250"/>
      <c r="T172" s="250"/>
    </row>
    <row r="173" spans="1:20" ht="24" x14ac:dyDescent="0.25">
      <c r="A173" s="338" t="s">
        <v>445</v>
      </c>
      <c r="B173" s="334"/>
      <c r="C173" s="266" t="s">
        <v>446</v>
      </c>
      <c r="D173" s="335" t="s">
        <v>90</v>
      </c>
      <c r="E173" s="57">
        <f t="shared" si="25"/>
        <v>76.700000000000017</v>
      </c>
      <c r="F173" s="57">
        <f t="shared" si="25"/>
        <v>76.7</v>
      </c>
      <c r="G173" s="57">
        <f>0.1+1.7+0.6</f>
        <v>2.4</v>
      </c>
      <c r="H173" s="57">
        <v>2.4</v>
      </c>
      <c r="I173" s="57"/>
      <c r="J173" s="57"/>
      <c r="K173" s="57">
        <f>74.9-0.6</f>
        <v>74.300000000000011</v>
      </c>
      <c r="L173" s="206">
        <f>74.2+0.1</f>
        <v>74.3</v>
      </c>
      <c r="M173" s="32"/>
      <c r="N173" s="32"/>
      <c r="O173" s="32"/>
      <c r="P173" s="77"/>
      <c r="Q173" s="250"/>
      <c r="R173" s="250"/>
      <c r="S173" s="250"/>
      <c r="T173" s="250"/>
    </row>
    <row r="174" spans="1:20" ht="24" x14ac:dyDescent="0.25">
      <c r="A174" s="338" t="s">
        <v>447</v>
      </c>
      <c r="B174" s="334"/>
      <c r="C174" s="263" t="s">
        <v>448</v>
      </c>
      <c r="D174" s="335" t="s">
        <v>449</v>
      </c>
      <c r="E174" s="57">
        <f t="shared" si="25"/>
        <v>17.2</v>
      </c>
      <c r="F174" s="57">
        <f t="shared" si="25"/>
        <v>0</v>
      </c>
      <c r="G174" s="57">
        <f>10+7.2</f>
        <v>17.2</v>
      </c>
      <c r="H174" s="57">
        <v>0</v>
      </c>
      <c r="I174" s="57"/>
      <c r="J174" s="57"/>
      <c r="K174" s="57"/>
      <c r="L174" s="90"/>
      <c r="M174" s="32"/>
      <c r="N174" s="32"/>
      <c r="O174" s="32"/>
      <c r="Q174" s="250"/>
      <c r="R174" s="250"/>
      <c r="S174" s="250"/>
      <c r="T174" s="250"/>
    </row>
    <row r="175" spans="1:20" x14ac:dyDescent="0.25">
      <c r="A175" s="338" t="s">
        <v>450</v>
      </c>
      <c r="B175" s="334"/>
      <c r="C175" s="266" t="s">
        <v>775</v>
      </c>
      <c r="D175" s="335" t="s">
        <v>449</v>
      </c>
      <c r="E175" s="57">
        <f t="shared" si="25"/>
        <v>1.3999999999999995</v>
      </c>
      <c r="F175" s="57">
        <f t="shared" si="25"/>
        <v>1.4</v>
      </c>
      <c r="G175" s="57">
        <f>8.6-7.2</f>
        <v>1.3999999999999995</v>
      </c>
      <c r="H175" s="57">
        <v>1.4</v>
      </c>
      <c r="I175" s="57"/>
      <c r="J175" s="57"/>
      <c r="K175" s="57"/>
      <c r="L175" s="90"/>
      <c r="M175" s="32"/>
      <c r="N175" s="32"/>
      <c r="O175" s="32"/>
      <c r="Q175" s="250"/>
      <c r="R175" s="250"/>
      <c r="S175" s="250"/>
      <c r="T175" s="250"/>
    </row>
    <row r="176" spans="1:20" ht="24" x14ac:dyDescent="0.25">
      <c r="A176" s="338" t="s">
        <v>451</v>
      </c>
      <c r="B176" s="334"/>
      <c r="C176" s="266" t="s">
        <v>452</v>
      </c>
      <c r="D176" s="337" t="s">
        <v>90</v>
      </c>
      <c r="E176" s="57">
        <f t="shared" si="25"/>
        <v>3</v>
      </c>
      <c r="F176" s="57">
        <f t="shared" si="25"/>
        <v>0</v>
      </c>
      <c r="G176" s="57">
        <v>3</v>
      </c>
      <c r="H176" s="57">
        <v>0</v>
      </c>
      <c r="I176" s="57"/>
      <c r="J176" s="57"/>
      <c r="K176" s="57"/>
      <c r="L176" s="90"/>
      <c r="M176" s="32"/>
      <c r="N176" s="32"/>
      <c r="O176" s="32"/>
      <c r="Q176" s="250"/>
      <c r="R176" s="250"/>
      <c r="S176" s="250"/>
      <c r="T176" s="250"/>
    </row>
    <row r="177" spans="1:20" x14ac:dyDescent="0.25">
      <c r="A177" s="338" t="s">
        <v>453</v>
      </c>
      <c r="B177" s="334"/>
      <c r="C177" s="266" t="s">
        <v>776</v>
      </c>
      <c r="D177" s="335" t="s">
        <v>449</v>
      </c>
      <c r="E177" s="57">
        <f t="shared" si="25"/>
        <v>5</v>
      </c>
      <c r="F177" s="57">
        <f t="shared" si="25"/>
        <v>5</v>
      </c>
      <c r="G177" s="57">
        <v>5</v>
      </c>
      <c r="H177" s="57">
        <v>5</v>
      </c>
      <c r="I177" s="57"/>
      <c r="J177" s="57"/>
      <c r="K177" s="57"/>
      <c r="L177" s="90"/>
      <c r="M177" s="32"/>
      <c r="N177" s="32"/>
      <c r="O177" s="32"/>
      <c r="Q177" s="250"/>
      <c r="R177" s="250"/>
      <c r="S177" s="250"/>
      <c r="T177" s="250"/>
    </row>
    <row r="178" spans="1:20" ht="24" x14ac:dyDescent="0.25">
      <c r="A178" s="338" t="s">
        <v>454</v>
      </c>
      <c r="B178" s="334"/>
      <c r="C178" s="266" t="s">
        <v>455</v>
      </c>
      <c r="D178" s="335" t="s">
        <v>449</v>
      </c>
      <c r="E178" s="57">
        <f t="shared" si="25"/>
        <v>1.5</v>
      </c>
      <c r="F178" s="57">
        <f t="shared" si="25"/>
        <v>0.9</v>
      </c>
      <c r="G178" s="57">
        <v>1.5</v>
      </c>
      <c r="H178" s="57">
        <v>0.9</v>
      </c>
      <c r="I178" s="57"/>
      <c r="J178" s="57"/>
      <c r="K178" s="57"/>
      <c r="L178" s="90"/>
      <c r="M178" s="32"/>
      <c r="N178" s="32"/>
      <c r="O178" s="32"/>
      <c r="Q178" s="250"/>
      <c r="R178" s="250"/>
      <c r="S178" s="250"/>
      <c r="T178" s="250"/>
    </row>
    <row r="179" spans="1:20" ht="24" x14ac:dyDescent="0.25">
      <c r="A179" s="338" t="s">
        <v>456</v>
      </c>
      <c r="B179" s="334"/>
      <c r="C179" s="266" t="s">
        <v>457</v>
      </c>
      <c r="D179" s="335" t="s">
        <v>449</v>
      </c>
      <c r="E179" s="57">
        <f t="shared" si="25"/>
        <v>10</v>
      </c>
      <c r="F179" s="57">
        <f t="shared" si="25"/>
        <v>10</v>
      </c>
      <c r="G179" s="57">
        <v>10</v>
      </c>
      <c r="H179" s="57">
        <v>10</v>
      </c>
      <c r="I179" s="57"/>
      <c r="J179" s="57"/>
      <c r="K179" s="57"/>
      <c r="L179" s="90"/>
      <c r="M179" s="32"/>
      <c r="N179" s="32"/>
      <c r="O179" s="32"/>
      <c r="Q179" s="250"/>
      <c r="R179" s="250"/>
      <c r="S179" s="250"/>
      <c r="T179" s="250"/>
    </row>
    <row r="180" spans="1:20" ht="24" x14ac:dyDescent="0.25">
      <c r="A180" s="338" t="s">
        <v>458</v>
      </c>
      <c r="B180" s="334"/>
      <c r="C180" s="266" t="s">
        <v>459</v>
      </c>
      <c r="D180" s="335" t="s">
        <v>90</v>
      </c>
      <c r="E180" s="57">
        <f t="shared" si="25"/>
        <v>5</v>
      </c>
      <c r="F180" s="57">
        <f t="shared" si="25"/>
        <v>5</v>
      </c>
      <c r="G180" s="57">
        <v>5</v>
      </c>
      <c r="H180" s="57">
        <v>5</v>
      </c>
      <c r="I180" s="57"/>
      <c r="J180" s="57"/>
      <c r="K180" s="57"/>
      <c r="L180" s="90"/>
      <c r="M180" s="32"/>
      <c r="N180" s="32"/>
      <c r="O180" s="32"/>
      <c r="Q180" s="250"/>
      <c r="R180" s="250"/>
      <c r="S180" s="250"/>
      <c r="T180" s="250"/>
    </row>
    <row r="181" spans="1:20" ht="36" x14ac:dyDescent="0.25">
      <c r="A181" s="338" t="s">
        <v>460</v>
      </c>
      <c r="B181" s="334"/>
      <c r="C181" s="266" t="s">
        <v>117</v>
      </c>
      <c r="D181" s="335" t="s">
        <v>98</v>
      </c>
      <c r="E181" s="57">
        <f t="shared" si="25"/>
        <v>31.400000000000013</v>
      </c>
      <c r="F181" s="57">
        <f t="shared" si="25"/>
        <v>15.1</v>
      </c>
      <c r="G181" s="57">
        <v>0.1</v>
      </c>
      <c r="H181" s="57">
        <v>0.1</v>
      </c>
      <c r="I181" s="57"/>
      <c r="J181" s="57"/>
      <c r="K181" s="57">
        <f>314.7-58.4-35-190</f>
        <v>31.300000000000011</v>
      </c>
      <c r="L181" s="90">
        <v>15</v>
      </c>
      <c r="M181" s="32"/>
      <c r="N181" s="32"/>
      <c r="O181" s="32"/>
      <c r="Q181" s="250"/>
      <c r="R181" s="250"/>
      <c r="S181" s="250"/>
      <c r="T181" s="250"/>
    </row>
    <row r="182" spans="1:20" x14ac:dyDescent="0.25">
      <c r="A182" s="338" t="s">
        <v>461</v>
      </c>
      <c r="B182" s="334"/>
      <c r="C182" s="266" t="s">
        <v>108</v>
      </c>
      <c r="D182" s="335" t="s">
        <v>87</v>
      </c>
      <c r="E182" s="57">
        <f t="shared" si="25"/>
        <v>18.600000000000001</v>
      </c>
      <c r="F182" s="57">
        <f t="shared" si="25"/>
        <v>-5.9</v>
      </c>
      <c r="G182" s="57"/>
      <c r="H182" s="57"/>
      <c r="I182" s="57"/>
      <c r="J182" s="57"/>
      <c r="K182" s="57">
        <f>8.6+10</f>
        <v>18.600000000000001</v>
      </c>
      <c r="L182" s="90">
        <v>-5.9</v>
      </c>
      <c r="M182" s="32"/>
      <c r="N182" s="32"/>
      <c r="O182" s="32"/>
      <c r="Q182" s="250"/>
      <c r="R182" s="250"/>
      <c r="S182" s="250"/>
      <c r="T182" s="250"/>
    </row>
    <row r="183" spans="1:20" ht="36" x14ac:dyDescent="0.25">
      <c r="A183" s="338" t="s">
        <v>462</v>
      </c>
      <c r="B183" s="334"/>
      <c r="C183" s="266" t="s">
        <v>128</v>
      </c>
      <c r="D183" s="335" t="s">
        <v>98</v>
      </c>
      <c r="E183" s="57">
        <f t="shared" si="25"/>
        <v>8.3000000000000007</v>
      </c>
      <c r="F183" s="57">
        <f t="shared" si="25"/>
        <v>2.2000000000000002</v>
      </c>
      <c r="G183" s="57">
        <v>0.5</v>
      </c>
      <c r="H183" s="57">
        <v>0</v>
      </c>
      <c r="I183" s="57"/>
      <c r="J183" s="57"/>
      <c r="K183" s="57">
        <v>7.8</v>
      </c>
      <c r="L183" s="90">
        <v>2.2000000000000002</v>
      </c>
      <c r="M183" s="283"/>
      <c r="N183" s="32"/>
      <c r="O183" s="32"/>
      <c r="Q183" s="250"/>
      <c r="R183" s="250"/>
      <c r="S183" s="250"/>
      <c r="T183" s="250"/>
    </row>
    <row r="184" spans="1:20" x14ac:dyDescent="0.25">
      <c r="A184" s="338" t="s">
        <v>463</v>
      </c>
      <c r="B184" s="334"/>
      <c r="C184" s="266" t="s">
        <v>777</v>
      </c>
      <c r="D184" s="284" t="s">
        <v>464</v>
      </c>
      <c r="E184" s="57">
        <f t="shared" si="25"/>
        <v>10</v>
      </c>
      <c r="F184" s="57">
        <f t="shared" si="25"/>
        <v>0</v>
      </c>
      <c r="G184" s="57">
        <v>10</v>
      </c>
      <c r="H184" s="57">
        <v>0</v>
      </c>
      <c r="I184" s="57"/>
      <c r="J184" s="57"/>
      <c r="K184" s="57"/>
      <c r="L184" s="90"/>
      <c r="M184" s="32"/>
      <c r="N184" s="32"/>
      <c r="O184" s="32"/>
      <c r="Q184" s="250"/>
      <c r="R184" s="250"/>
      <c r="S184" s="250"/>
      <c r="T184" s="250"/>
    </row>
    <row r="185" spans="1:20" ht="24" x14ac:dyDescent="0.25">
      <c r="A185" s="338" t="s">
        <v>465</v>
      </c>
      <c r="B185" s="334"/>
      <c r="C185" s="266" t="s">
        <v>466</v>
      </c>
      <c r="D185" s="335" t="s">
        <v>449</v>
      </c>
      <c r="E185" s="57">
        <f t="shared" si="25"/>
        <v>3</v>
      </c>
      <c r="F185" s="57">
        <f t="shared" si="25"/>
        <v>0</v>
      </c>
      <c r="G185" s="57">
        <f>3</f>
        <v>3</v>
      </c>
      <c r="H185" s="57">
        <v>0</v>
      </c>
      <c r="I185" s="57"/>
      <c r="J185" s="57"/>
      <c r="K185" s="57"/>
      <c r="L185" s="90"/>
      <c r="M185" s="254"/>
      <c r="N185" s="32"/>
      <c r="O185" s="32"/>
      <c r="Q185" s="250"/>
      <c r="R185" s="250"/>
      <c r="S185" s="250"/>
      <c r="T185" s="250"/>
    </row>
    <row r="186" spans="1:20" ht="24" x14ac:dyDescent="0.25">
      <c r="A186" s="338" t="s">
        <v>467</v>
      </c>
      <c r="B186" s="334"/>
      <c r="C186" s="266" t="s">
        <v>468</v>
      </c>
      <c r="D186" s="335" t="s">
        <v>449</v>
      </c>
      <c r="E186" s="57">
        <f t="shared" si="25"/>
        <v>3</v>
      </c>
      <c r="F186" s="57">
        <f t="shared" si="25"/>
        <v>0</v>
      </c>
      <c r="G186" s="57">
        <f>3</f>
        <v>3</v>
      </c>
      <c r="H186" s="57">
        <v>0</v>
      </c>
      <c r="I186" s="57"/>
      <c r="J186" s="57"/>
      <c r="K186" s="57"/>
      <c r="L186" s="90"/>
      <c r="M186" s="254"/>
      <c r="N186" s="32"/>
      <c r="O186" s="32"/>
      <c r="Q186" s="250"/>
      <c r="R186" s="250"/>
      <c r="S186" s="250"/>
      <c r="T186" s="250"/>
    </row>
    <row r="187" spans="1:20" ht="24" x14ac:dyDescent="0.25">
      <c r="A187" s="338" t="s">
        <v>469</v>
      </c>
      <c r="B187" s="334"/>
      <c r="C187" s="266" t="s">
        <v>470</v>
      </c>
      <c r="D187" s="335" t="s">
        <v>90</v>
      </c>
      <c r="E187" s="57">
        <f t="shared" si="25"/>
        <v>5</v>
      </c>
      <c r="F187" s="57">
        <f t="shared" si="25"/>
        <v>0</v>
      </c>
      <c r="G187" s="57"/>
      <c r="H187" s="57"/>
      <c r="I187" s="57"/>
      <c r="J187" s="57"/>
      <c r="K187" s="57">
        <f>5</f>
        <v>5</v>
      </c>
      <c r="L187" s="90">
        <v>0</v>
      </c>
      <c r="M187" s="254"/>
      <c r="N187" s="32"/>
      <c r="O187" s="32"/>
      <c r="Q187" s="250"/>
      <c r="R187" s="250"/>
      <c r="S187" s="250"/>
      <c r="T187" s="250"/>
    </row>
    <row r="188" spans="1:20" ht="13.95" customHeight="1" x14ac:dyDescent="0.25">
      <c r="A188" s="338" t="s">
        <v>471</v>
      </c>
      <c r="B188" s="334"/>
      <c r="C188" s="266" t="s">
        <v>472</v>
      </c>
      <c r="D188" s="335" t="s">
        <v>473</v>
      </c>
      <c r="E188" s="57">
        <f t="shared" si="25"/>
        <v>45</v>
      </c>
      <c r="F188" s="57">
        <f t="shared" si="25"/>
        <v>42</v>
      </c>
      <c r="G188" s="57"/>
      <c r="H188" s="57"/>
      <c r="I188" s="57"/>
      <c r="J188" s="57"/>
      <c r="K188" s="57">
        <f>30+15</f>
        <v>45</v>
      </c>
      <c r="L188" s="90">
        <v>42</v>
      </c>
      <c r="M188" s="254"/>
      <c r="N188" s="32"/>
      <c r="O188" s="32"/>
      <c r="Q188" s="250"/>
      <c r="R188" s="250"/>
      <c r="S188" s="250"/>
      <c r="T188" s="250"/>
    </row>
    <row r="189" spans="1:20" x14ac:dyDescent="0.25">
      <c r="A189" s="338" t="s">
        <v>474</v>
      </c>
      <c r="B189" s="334"/>
      <c r="C189" s="266" t="s">
        <v>475</v>
      </c>
      <c r="D189" s="335" t="s">
        <v>87</v>
      </c>
      <c r="E189" s="57">
        <f t="shared" si="25"/>
        <v>166</v>
      </c>
      <c r="F189" s="57">
        <f t="shared" si="25"/>
        <v>166</v>
      </c>
      <c r="G189" s="57">
        <v>20</v>
      </c>
      <c r="H189" s="57">
        <v>20</v>
      </c>
      <c r="I189" s="57"/>
      <c r="J189" s="57"/>
      <c r="K189" s="57">
        <f>90+76-20</f>
        <v>146</v>
      </c>
      <c r="L189" s="206">
        <v>146</v>
      </c>
      <c r="M189" s="254"/>
      <c r="N189" s="32"/>
      <c r="O189" s="32"/>
      <c r="Q189" s="250"/>
      <c r="R189" s="250"/>
      <c r="S189" s="250"/>
      <c r="T189" s="250"/>
    </row>
    <row r="190" spans="1:20" ht="27" customHeight="1" x14ac:dyDescent="0.25">
      <c r="A190" s="333">
        <v>81</v>
      </c>
      <c r="B190" s="336" t="s">
        <v>70</v>
      </c>
      <c r="C190" s="35" t="s">
        <v>71</v>
      </c>
      <c r="D190" s="247"/>
      <c r="E190" s="53">
        <f t="shared" si="25"/>
        <v>2370</v>
      </c>
      <c r="F190" s="53">
        <f>+H190+L190</f>
        <v>1844.6000000000004</v>
      </c>
      <c r="G190" s="53">
        <f>+G191+G226+G227+G228+G229+G230+G231+G232+G233+G234+G235+G236</f>
        <v>626.19999999999993</v>
      </c>
      <c r="H190" s="53">
        <f>+H191+H226+H227+H228+H229+H230+H231+H232+H233+H234+H235+H236</f>
        <v>571.19999999999993</v>
      </c>
      <c r="I190" s="53">
        <f>+I227+I228+I230+I229+I226+I231+I232+I234+I233+I235+I236+I191</f>
        <v>0</v>
      </c>
      <c r="J190" s="53">
        <f>+J227+J228+J230+J229+J226+J231+J232+J234+J233+J235+J236+J191</f>
        <v>0</v>
      </c>
      <c r="K190" s="53">
        <f>+K227+K228+K230+K229+K226+K231+K232+K234+K233+K235+K236+K191</f>
        <v>1743.8000000000002</v>
      </c>
      <c r="L190" s="53">
        <f>+L227+L228+L230+L229+L226+L231+L232+L234+L233+L235+L236+L191</f>
        <v>1273.4000000000003</v>
      </c>
      <c r="M190" s="254"/>
      <c r="N190" s="32"/>
      <c r="O190" s="32"/>
      <c r="Q190" s="250"/>
      <c r="R190" s="250"/>
      <c r="S190" s="250"/>
      <c r="T190" s="250"/>
    </row>
    <row r="191" spans="1:20" ht="12.6" customHeight="1" x14ac:dyDescent="0.25">
      <c r="A191" s="333">
        <v>82</v>
      </c>
      <c r="B191" s="334"/>
      <c r="C191" s="258" t="s">
        <v>476</v>
      </c>
      <c r="D191" s="337"/>
      <c r="E191" s="57">
        <f t="shared" si="25"/>
        <v>2021.0000000000002</v>
      </c>
      <c r="F191" s="73">
        <f t="shared" si="25"/>
        <v>1510.8000000000004</v>
      </c>
      <c r="G191" s="57">
        <f t="shared" ref="G191:L191" si="26">G192</f>
        <v>277.2</v>
      </c>
      <c r="H191" s="57">
        <f t="shared" si="26"/>
        <v>237.40000000000003</v>
      </c>
      <c r="I191" s="57">
        <f t="shared" si="26"/>
        <v>0</v>
      </c>
      <c r="J191" s="57">
        <f t="shared" si="26"/>
        <v>0</v>
      </c>
      <c r="K191" s="57">
        <f t="shared" si="26"/>
        <v>1743.8000000000002</v>
      </c>
      <c r="L191" s="57">
        <f t="shared" si="26"/>
        <v>1273.4000000000003</v>
      </c>
      <c r="M191" s="254"/>
      <c r="N191" s="32"/>
      <c r="O191" s="32"/>
      <c r="Q191" s="250"/>
      <c r="R191" s="250"/>
      <c r="S191" s="250"/>
      <c r="T191" s="250"/>
    </row>
    <row r="192" spans="1:20" ht="37.950000000000003" customHeight="1" x14ac:dyDescent="0.25">
      <c r="A192" s="338" t="s">
        <v>477</v>
      </c>
      <c r="B192" s="334"/>
      <c r="C192" s="260" t="s">
        <v>303</v>
      </c>
      <c r="D192" s="337"/>
      <c r="E192" s="267">
        <f t="shared" si="25"/>
        <v>2021.0000000000002</v>
      </c>
      <c r="F192" s="252">
        <f t="shared" si="25"/>
        <v>1510.8000000000004</v>
      </c>
      <c r="G192" s="267">
        <f t="shared" ref="G192:L192" si="27">SUM(G193:G225)</f>
        <v>277.2</v>
      </c>
      <c r="H192" s="267">
        <f t="shared" si="27"/>
        <v>237.40000000000003</v>
      </c>
      <c r="I192" s="267">
        <f t="shared" si="27"/>
        <v>0</v>
      </c>
      <c r="J192" s="267">
        <f t="shared" si="27"/>
        <v>0</v>
      </c>
      <c r="K192" s="267">
        <f t="shared" si="27"/>
        <v>1743.8000000000002</v>
      </c>
      <c r="L192" s="267">
        <f t="shared" si="27"/>
        <v>1273.4000000000003</v>
      </c>
      <c r="M192" s="254"/>
      <c r="N192" s="32"/>
      <c r="O192" s="32"/>
      <c r="Q192" s="250"/>
      <c r="R192" s="250"/>
      <c r="S192" s="250"/>
      <c r="T192" s="250"/>
    </row>
    <row r="193" spans="1:20" ht="27.6" customHeight="1" x14ac:dyDescent="0.25">
      <c r="A193" s="338" t="s">
        <v>478</v>
      </c>
      <c r="B193" s="334"/>
      <c r="C193" s="265" t="s">
        <v>479</v>
      </c>
      <c r="D193" s="337" t="s">
        <v>480</v>
      </c>
      <c r="E193" s="57">
        <f t="shared" si="25"/>
        <v>85</v>
      </c>
      <c r="F193" s="73">
        <f t="shared" si="25"/>
        <v>44.5</v>
      </c>
      <c r="G193" s="57">
        <v>30</v>
      </c>
      <c r="H193" s="57">
        <v>23.7</v>
      </c>
      <c r="I193" s="57"/>
      <c r="J193" s="57"/>
      <c r="K193" s="57">
        <v>55</v>
      </c>
      <c r="L193" s="206">
        <f>20.7+0.1</f>
        <v>20.8</v>
      </c>
      <c r="M193" s="254"/>
      <c r="N193" s="32"/>
      <c r="O193" s="32"/>
      <c r="Q193" s="250"/>
      <c r="R193" s="250"/>
      <c r="S193" s="250"/>
      <c r="T193" s="250"/>
    </row>
    <row r="194" spans="1:20" x14ac:dyDescent="0.25">
      <c r="A194" s="338" t="s">
        <v>481</v>
      </c>
      <c r="B194" s="334"/>
      <c r="C194" s="269" t="s">
        <v>482</v>
      </c>
      <c r="D194" s="337" t="s">
        <v>480</v>
      </c>
      <c r="E194" s="57">
        <f t="shared" si="25"/>
        <v>5</v>
      </c>
      <c r="F194" s="73">
        <f t="shared" si="25"/>
        <v>4.9000000000000004</v>
      </c>
      <c r="G194" s="57"/>
      <c r="H194" s="57"/>
      <c r="I194" s="57"/>
      <c r="J194" s="57"/>
      <c r="K194" s="57">
        <v>5</v>
      </c>
      <c r="L194" s="90">
        <v>4.9000000000000004</v>
      </c>
      <c r="M194" s="254"/>
      <c r="N194" s="32"/>
      <c r="O194" s="32"/>
      <c r="Q194" s="250"/>
      <c r="R194" s="250"/>
      <c r="S194" s="250"/>
      <c r="T194" s="250"/>
    </row>
    <row r="195" spans="1:20" x14ac:dyDescent="0.25">
      <c r="A195" s="338" t="s">
        <v>483</v>
      </c>
      <c r="B195" s="334"/>
      <c r="C195" s="269" t="s">
        <v>484</v>
      </c>
      <c r="D195" s="337" t="s">
        <v>480</v>
      </c>
      <c r="E195" s="57">
        <f t="shared" si="25"/>
        <v>4.2</v>
      </c>
      <c r="F195" s="73">
        <f t="shared" si="25"/>
        <v>4.2</v>
      </c>
      <c r="G195" s="57"/>
      <c r="H195" s="57"/>
      <c r="I195" s="57"/>
      <c r="J195" s="57"/>
      <c r="K195" s="57">
        <v>4.2</v>
      </c>
      <c r="L195" s="90">
        <v>4.2</v>
      </c>
      <c r="M195" s="254"/>
      <c r="N195" s="32"/>
      <c r="O195" s="32"/>
      <c r="Q195" s="250"/>
      <c r="R195" s="250"/>
      <c r="S195" s="250"/>
      <c r="T195" s="250"/>
    </row>
    <row r="196" spans="1:20" ht="27" customHeight="1" x14ac:dyDescent="0.25">
      <c r="A196" s="338" t="s">
        <v>485</v>
      </c>
      <c r="B196" s="334"/>
      <c r="C196" s="266" t="s">
        <v>486</v>
      </c>
      <c r="D196" s="337" t="s">
        <v>35</v>
      </c>
      <c r="E196" s="57">
        <f t="shared" si="25"/>
        <v>26</v>
      </c>
      <c r="F196" s="73">
        <f t="shared" si="25"/>
        <v>21.7</v>
      </c>
      <c r="G196" s="57">
        <f>15+5+6</f>
        <v>26</v>
      </c>
      <c r="H196" s="57">
        <v>21.7</v>
      </c>
      <c r="I196" s="57"/>
      <c r="J196" s="57"/>
      <c r="K196" s="57"/>
      <c r="L196" s="90"/>
      <c r="M196" s="254"/>
      <c r="N196" s="32"/>
      <c r="O196" s="32"/>
      <c r="Q196" s="250"/>
      <c r="R196" s="250"/>
      <c r="S196" s="250"/>
      <c r="T196" s="250"/>
    </row>
    <row r="197" spans="1:20" ht="27" customHeight="1" x14ac:dyDescent="0.25">
      <c r="A197" s="338" t="s">
        <v>487</v>
      </c>
      <c r="B197" s="334"/>
      <c r="C197" s="258" t="s">
        <v>488</v>
      </c>
      <c r="D197" s="337" t="s">
        <v>480</v>
      </c>
      <c r="E197" s="57">
        <f t="shared" si="25"/>
        <v>25</v>
      </c>
      <c r="F197" s="73">
        <f t="shared" si="25"/>
        <v>22.1</v>
      </c>
      <c r="G197" s="57">
        <f>15+10</f>
        <v>25</v>
      </c>
      <c r="H197" s="57">
        <v>22.1</v>
      </c>
      <c r="I197" s="57"/>
      <c r="J197" s="57"/>
      <c r="K197" s="57"/>
      <c r="L197" s="90"/>
      <c r="M197" s="254"/>
      <c r="N197" s="32"/>
      <c r="O197" s="32"/>
      <c r="Q197" s="250"/>
      <c r="R197" s="250"/>
      <c r="S197" s="250"/>
      <c r="T197" s="250"/>
    </row>
    <row r="198" spans="1:20" s="2" customFormat="1" ht="24" x14ac:dyDescent="0.25">
      <c r="A198" s="325" t="s">
        <v>489</v>
      </c>
      <c r="B198" s="326"/>
      <c r="C198" s="339" t="s">
        <v>490</v>
      </c>
      <c r="D198" s="340" t="s">
        <v>491</v>
      </c>
      <c r="E198" s="329">
        <f t="shared" si="25"/>
        <v>0</v>
      </c>
      <c r="F198" s="354">
        <f t="shared" si="25"/>
        <v>0</v>
      </c>
      <c r="G198" s="329"/>
      <c r="H198" s="329"/>
      <c r="I198" s="329"/>
      <c r="J198" s="329"/>
      <c r="K198" s="329">
        <f>15-3-12</f>
        <v>0</v>
      </c>
      <c r="L198" s="330">
        <v>0</v>
      </c>
      <c r="M198" s="345"/>
      <c r="N198" s="4"/>
      <c r="O198" s="4"/>
      <c r="Q198" s="346"/>
      <c r="R198" s="346"/>
      <c r="S198" s="346"/>
      <c r="T198" s="346"/>
    </row>
    <row r="199" spans="1:20" ht="36" x14ac:dyDescent="0.25">
      <c r="A199" s="338" t="s">
        <v>492</v>
      </c>
      <c r="B199" s="334"/>
      <c r="C199" s="258" t="s">
        <v>493</v>
      </c>
      <c r="D199" s="285" t="s">
        <v>494</v>
      </c>
      <c r="E199" s="57">
        <f t="shared" si="25"/>
        <v>132.5</v>
      </c>
      <c r="F199" s="73">
        <f t="shared" si="25"/>
        <v>132.4</v>
      </c>
      <c r="G199" s="57"/>
      <c r="H199" s="57"/>
      <c r="I199" s="57"/>
      <c r="J199" s="57"/>
      <c r="K199" s="57">
        <f>115.5+17</f>
        <v>132.5</v>
      </c>
      <c r="L199" s="90">
        <v>132.4</v>
      </c>
      <c r="M199" s="254"/>
      <c r="N199" s="32"/>
      <c r="O199" s="32"/>
      <c r="Q199" s="250"/>
      <c r="R199" s="250"/>
      <c r="S199" s="250"/>
      <c r="T199" s="250"/>
    </row>
    <row r="200" spans="1:20" ht="26.4" customHeight="1" x14ac:dyDescent="0.25">
      <c r="A200" s="338" t="s">
        <v>495</v>
      </c>
      <c r="B200" s="334"/>
      <c r="C200" s="253" t="s">
        <v>496</v>
      </c>
      <c r="D200" s="337" t="s">
        <v>497</v>
      </c>
      <c r="E200" s="57">
        <f t="shared" si="25"/>
        <v>80</v>
      </c>
      <c r="F200" s="73">
        <f t="shared" si="25"/>
        <v>22.5</v>
      </c>
      <c r="G200" s="57"/>
      <c r="H200" s="57"/>
      <c r="I200" s="57"/>
      <c r="J200" s="57"/>
      <c r="K200" s="57">
        <v>80</v>
      </c>
      <c r="L200" s="90">
        <v>22.5</v>
      </c>
      <c r="M200" s="254"/>
      <c r="N200" s="32"/>
      <c r="O200" s="32"/>
      <c r="Q200" s="250"/>
      <c r="R200" s="250"/>
      <c r="S200" s="250"/>
      <c r="T200" s="250"/>
    </row>
    <row r="201" spans="1:20" ht="17.399999999999999" customHeight="1" x14ac:dyDescent="0.25">
      <c r="A201" s="338" t="s">
        <v>498</v>
      </c>
      <c r="B201" s="334"/>
      <c r="C201" s="253" t="s">
        <v>499</v>
      </c>
      <c r="D201" s="286" t="s">
        <v>500</v>
      </c>
      <c r="E201" s="57">
        <f t="shared" si="25"/>
        <v>138</v>
      </c>
      <c r="F201" s="73">
        <f t="shared" si="25"/>
        <v>83.9</v>
      </c>
      <c r="G201" s="57"/>
      <c r="H201" s="57"/>
      <c r="I201" s="57"/>
      <c r="J201" s="57"/>
      <c r="K201" s="57">
        <v>138</v>
      </c>
      <c r="L201" s="90">
        <v>83.9</v>
      </c>
      <c r="M201" s="32"/>
      <c r="N201" s="32"/>
      <c r="O201" s="32"/>
      <c r="Q201" s="250"/>
      <c r="R201" s="250"/>
      <c r="S201" s="250"/>
      <c r="T201" s="250"/>
    </row>
    <row r="202" spans="1:20" ht="16.5" customHeight="1" x14ac:dyDescent="0.25">
      <c r="A202" s="338" t="s">
        <v>501</v>
      </c>
      <c r="B202" s="334"/>
      <c r="C202" s="253" t="s">
        <v>502</v>
      </c>
      <c r="D202" s="286" t="s">
        <v>500</v>
      </c>
      <c r="E202" s="57">
        <f t="shared" si="25"/>
        <v>246</v>
      </c>
      <c r="F202" s="73">
        <f t="shared" si="25"/>
        <v>218.1</v>
      </c>
      <c r="G202" s="57"/>
      <c r="H202" s="57"/>
      <c r="I202" s="57"/>
      <c r="J202" s="57"/>
      <c r="K202" s="57">
        <v>246</v>
      </c>
      <c r="L202" s="90">
        <v>218.1</v>
      </c>
      <c r="M202" s="32"/>
      <c r="N202" s="32"/>
      <c r="O202" s="32"/>
      <c r="Q202" s="250"/>
      <c r="R202" s="250"/>
      <c r="S202" s="250"/>
      <c r="T202" s="250"/>
    </row>
    <row r="203" spans="1:20" ht="16.5" customHeight="1" x14ac:dyDescent="0.25">
      <c r="A203" s="338" t="s">
        <v>503</v>
      </c>
      <c r="B203" s="334"/>
      <c r="C203" s="253" t="s">
        <v>504</v>
      </c>
      <c r="D203" s="286" t="s">
        <v>500</v>
      </c>
      <c r="E203" s="57">
        <f t="shared" si="25"/>
        <v>82.5</v>
      </c>
      <c r="F203" s="73">
        <f t="shared" si="25"/>
        <v>82.5</v>
      </c>
      <c r="G203" s="57"/>
      <c r="H203" s="57"/>
      <c r="I203" s="57"/>
      <c r="J203" s="57"/>
      <c r="K203" s="57">
        <v>82.5</v>
      </c>
      <c r="L203" s="90">
        <v>82.5</v>
      </c>
      <c r="M203" s="32"/>
      <c r="N203" s="32"/>
      <c r="O203" s="32"/>
      <c r="Q203" s="250"/>
      <c r="R203" s="250"/>
      <c r="S203" s="250"/>
      <c r="T203" s="250"/>
    </row>
    <row r="204" spans="1:20" x14ac:dyDescent="0.25">
      <c r="A204" s="338" t="s">
        <v>505</v>
      </c>
      <c r="B204" s="334"/>
      <c r="C204" s="287" t="s">
        <v>783</v>
      </c>
      <c r="D204" s="337" t="s">
        <v>424</v>
      </c>
      <c r="E204" s="57">
        <f t="shared" si="25"/>
        <v>30</v>
      </c>
      <c r="F204" s="73">
        <f t="shared" si="25"/>
        <v>25.2</v>
      </c>
      <c r="G204" s="57">
        <v>30</v>
      </c>
      <c r="H204" s="57">
        <v>25.2</v>
      </c>
      <c r="I204" s="57"/>
      <c r="J204" s="57"/>
      <c r="K204" s="57"/>
      <c r="L204" s="90"/>
      <c r="M204" s="32"/>
      <c r="N204" s="32"/>
      <c r="O204" s="32"/>
      <c r="Q204" s="250"/>
      <c r="R204" s="250"/>
      <c r="S204" s="250"/>
      <c r="T204" s="250"/>
    </row>
    <row r="205" spans="1:20" x14ac:dyDescent="0.25">
      <c r="A205" s="338" t="s">
        <v>506</v>
      </c>
      <c r="B205" s="334"/>
      <c r="C205" s="266" t="s">
        <v>507</v>
      </c>
      <c r="D205" s="337" t="s">
        <v>424</v>
      </c>
      <c r="E205" s="57">
        <f>+G205+K205</f>
        <v>40</v>
      </c>
      <c r="F205" s="73">
        <f t="shared" si="25"/>
        <v>35.1</v>
      </c>
      <c r="G205" s="57">
        <v>40</v>
      </c>
      <c r="H205" s="57">
        <v>35.1</v>
      </c>
      <c r="I205" s="57"/>
      <c r="J205" s="57"/>
      <c r="K205" s="57"/>
      <c r="L205" s="90"/>
      <c r="M205" s="32"/>
      <c r="N205" s="32"/>
      <c r="O205" s="32"/>
      <c r="Q205" s="250"/>
      <c r="R205" s="250"/>
      <c r="S205" s="250"/>
      <c r="T205" s="250"/>
    </row>
    <row r="206" spans="1:20" ht="20.399999999999999" x14ac:dyDescent="0.25">
      <c r="A206" s="338" t="s">
        <v>508</v>
      </c>
      <c r="B206" s="334"/>
      <c r="C206" s="266" t="s">
        <v>509</v>
      </c>
      <c r="D206" s="337" t="s">
        <v>510</v>
      </c>
      <c r="E206" s="57">
        <f t="shared" si="25"/>
        <v>87</v>
      </c>
      <c r="F206" s="73">
        <f t="shared" si="25"/>
        <v>86.8</v>
      </c>
      <c r="G206" s="57"/>
      <c r="H206" s="57"/>
      <c r="I206" s="57"/>
      <c r="J206" s="57"/>
      <c r="K206" s="57">
        <v>87</v>
      </c>
      <c r="L206" s="90">
        <v>86.8</v>
      </c>
      <c r="M206" s="32"/>
      <c r="N206" s="32"/>
      <c r="O206" s="32"/>
      <c r="Q206" s="250"/>
      <c r="R206" s="250"/>
      <c r="S206" s="250"/>
      <c r="T206" s="250"/>
    </row>
    <row r="207" spans="1:20" ht="13.5" customHeight="1" x14ac:dyDescent="0.25">
      <c r="A207" s="338" t="s">
        <v>511</v>
      </c>
      <c r="B207" s="334"/>
      <c r="C207" s="266" t="s">
        <v>512</v>
      </c>
      <c r="D207" s="337" t="s">
        <v>513</v>
      </c>
      <c r="E207" s="57">
        <f t="shared" si="25"/>
        <v>15</v>
      </c>
      <c r="F207" s="73">
        <f t="shared" si="25"/>
        <v>12</v>
      </c>
      <c r="G207" s="57"/>
      <c r="H207" s="57"/>
      <c r="I207" s="57"/>
      <c r="J207" s="57"/>
      <c r="K207" s="57">
        <v>15</v>
      </c>
      <c r="L207" s="90">
        <v>12</v>
      </c>
      <c r="M207" s="254"/>
      <c r="N207" s="32"/>
      <c r="O207" s="32"/>
      <c r="Q207" s="250"/>
      <c r="R207" s="250"/>
      <c r="S207" s="250"/>
      <c r="T207" s="250"/>
    </row>
    <row r="208" spans="1:20" ht="24" x14ac:dyDescent="0.25">
      <c r="A208" s="338" t="s">
        <v>514</v>
      </c>
      <c r="B208" s="334"/>
      <c r="C208" s="266" t="s">
        <v>515</v>
      </c>
      <c r="D208" s="337" t="s">
        <v>513</v>
      </c>
      <c r="E208" s="57">
        <f t="shared" si="25"/>
        <v>172</v>
      </c>
      <c r="F208" s="73">
        <f t="shared" si="25"/>
        <v>159.69999999999999</v>
      </c>
      <c r="G208" s="57"/>
      <c r="H208" s="57"/>
      <c r="I208" s="57"/>
      <c r="J208" s="57"/>
      <c r="K208" s="57">
        <v>172</v>
      </c>
      <c r="L208" s="90">
        <v>159.69999999999999</v>
      </c>
      <c r="M208" s="254"/>
      <c r="N208" s="32"/>
      <c r="O208" s="32"/>
      <c r="Q208" s="250"/>
      <c r="R208" s="250"/>
      <c r="S208" s="250"/>
      <c r="T208" s="250"/>
    </row>
    <row r="209" spans="1:20" x14ac:dyDescent="0.25">
      <c r="A209" s="338" t="s">
        <v>516</v>
      </c>
      <c r="B209" s="334"/>
      <c r="C209" s="251" t="s">
        <v>196</v>
      </c>
      <c r="D209" s="337" t="s">
        <v>517</v>
      </c>
      <c r="E209" s="57">
        <f t="shared" si="25"/>
        <v>11</v>
      </c>
      <c r="F209" s="73">
        <f t="shared" si="25"/>
        <v>5.7</v>
      </c>
      <c r="G209" s="57"/>
      <c r="H209" s="57"/>
      <c r="I209" s="57"/>
      <c r="J209" s="57"/>
      <c r="K209" s="57">
        <v>11</v>
      </c>
      <c r="L209" s="90">
        <v>5.7</v>
      </c>
      <c r="M209" s="254"/>
      <c r="N209" s="32"/>
      <c r="O209" s="32"/>
      <c r="Q209" s="250"/>
      <c r="R209" s="250"/>
      <c r="S209" s="250"/>
      <c r="T209" s="250"/>
    </row>
    <row r="210" spans="1:20" x14ac:dyDescent="0.25">
      <c r="A210" s="338" t="s">
        <v>518</v>
      </c>
      <c r="B210" s="334"/>
      <c r="C210" s="266" t="s">
        <v>778</v>
      </c>
      <c r="D210" s="337" t="s">
        <v>517</v>
      </c>
      <c r="E210" s="57">
        <f t="shared" si="25"/>
        <v>5</v>
      </c>
      <c r="F210" s="73">
        <f t="shared" si="25"/>
        <v>4.7</v>
      </c>
      <c r="G210" s="57"/>
      <c r="H210" s="57"/>
      <c r="I210" s="57"/>
      <c r="J210" s="57"/>
      <c r="K210" s="57">
        <v>5</v>
      </c>
      <c r="L210" s="90">
        <v>4.7</v>
      </c>
      <c r="M210" s="254"/>
      <c r="N210" s="32"/>
      <c r="O210" s="32"/>
      <c r="Q210" s="250"/>
      <c r="R210" s="250"/>
      <c r="S210" s="250"/>
      <c r="T210" s="250"/>
    </row>
    <row r="211" spans="1:20" x14ac:dyDescent="0.25">
      <c r="A211" s="338" t="s">
        <v>519</v>
      </c>
      <c r="B211" s="334"/>
      <c r="C211" s="266" t="s">
        <v>779</v>
      </c>
      <c r="D211" s="337" t="s">
        <v>517</v>
      </c>
      <c r="E211" s="57">
        <f t="shared" si="25"/>
        <v>24.2</v>
      </c>
      <c r="F211" s="73">
        <f t="shared" si="25"/>
        <v>20</v>
      </c>
      <c r="G211" s="57"/>
      <c r="H211" s="57"/>
      <c r="I211" s="57"/>
      <c r="J211" s="57"/>
      <c r="K211" s="57">
        <f>20+4.2</f>
        <v>24.2</v>
      </c>
      <c r="L211" s="90">
        <v>20</v>
      </c>
      <c r="M211" s="254"/>
      <c r="N211" s="32"/>
      <c r="O211" s="32"/>
      <c r="Q211" s="250"/>
      <c r="R211" s="250"/>
      <c r="S211" s="250"/>
      <c r="T211" s="250"/>
    </row>
    <row r="212" spans="1:20" ht="29.4" customHeight="1" x14ac:dyDescent="0.25">
      <c r="A212" s="338" t="s">
        <v>520</v>
      </c>
      <c r="B212" s="334"/>
      <c r="C212" s="253" t="s">
        <v>780</v>
      </c>
      <c r="D212" s="337" t="s">
        <v>87</v>
      </c>
      <c r="E212" s="57">
        <f t="shared" si="25"/>
        <v>51</v>
      </c>
      <c r="F212" s="73">
        <f t="shared" si="25"/>
        <v>41.5</v>
      </c>
      <c r="G212" s="57"/>
      <c r="H212" s="57"/>
      <c r="I212" s="57"/>
      <c r="J212" s="57"/>
      <c r="K212" s="57">
        <f>57-6</f>
        <v>51</v>
      </c>
      <c r="L212" s="90">
        <v>41.5</v>
      </c>
      <c r="M212" s="254"/>
      <c r="N212" s="32"/>
      <c r="O212" s="32"/>
      <c r="Q212" s="250"/>
      <c r="R212" s="250"/>
      <c r="S212" s="250"/>
      <c r="T212" s="250"/>
    </row>
    <row r="213" spans="1:20" x14ac:dyDescent="0.25">
      <c r="A213" s="338" t="s">
        <v>521</v>
      </c>
      <c r="B213" s="334"/>
      <c r="C213" s="266" t="s">
        <v>522</v>
      </c>
      <c r="D213" s="337" t="s">
        <v>424</v>
      </c>
      <c r="E213" s="57">
        <f t="shared" si="25"/>
        <v>60</v>
      </c>
      <c r="F213" s="73">
        <f t="shared" si="25"/>
        <v>54</v>
      </c>
      <c r="G213" s="57">
        <f>50+10</f>
        <v>60</v>
      </c>
      <c r="H213" s="57">
        <v>54</v>
      </c>
      <c r="I213" s="57"/>
      <c r="J213" s="57"/>
      <c r="K213" s="57"/>
      <c r="L213" s="90"/>
      <c r="M213" s="254"/>
      <c r="N213" s="32"/>
      <c r="O213" s="32"/>
      <c r="Q213" s="250"/>
      <c r="R213" s="250"/>
      <c r="S213" s="250"/>
      <c r="T213" s="250"/>
    </row>
    <row r="214" spans="1:20" x14ac:dyDescent="0.25">
      <c r="A214" s="338" t="s">
        <v>523</v>
      </c>
      <c r="B214" s="334"/>
      <c r="C214" s="266" t="s">
        <v>524</v>
      </c>
      <c r="D214" s="337" t="s">
        <v>424</v>
      </c>
      <c r="E214" s="57">
        <f t="shared" si="25"/>
        <v>100.5</v>
      </c>
      <c r="F214" s="73">
        <f t="shared" si="25"/>
        <v>95.499999999999986</v>
      </c>
      <c r="G214" s="57">
        <f>20+6</f>
        <v>26</v>
      </c>
      <c r="H214" s="57">
        <v>23.3</v>
      </c>
      <c r="I214" s="57"/>
      <c r="J214" s="57"/>
      <c r="K214" s="57">
        <f>30+38.5+6</f>
        <v>74.5</v>
      </c>
      <c r="L214" s="206">
        <f>72.1+0.1</f>
        <v>72.199999999999989</v>
      </c>
      <c r="M214" s="254"/>
      <c r="N214" s="32"/>
      <c r="O214" s="32"/>
      <c r="P214" s="77"/>
      <c r="Q214" s="250"/>
      <c r="R214" s="250"/>
      <c r="S214" s="250"/>
      <c r="T214" s="250"/>
    </row>
    <row r="215" spans="1:20" x14ac:dyDescent="0.25">
      <c r="A215" s="338" t="s">
        <v>525</v>
      </c>
      <c r="B215" s="334"/>
      <c r="C215" s="266" t="s">
        <v>175</v>
      </c>
      <c r="D215" s="337" t="s">
        <v>87</v>
      </c>
      <c r="E215" s="57">
        <f t="shared" si="25"/>
        <v>6.5</v>
      </c>
      <c r="F215" s="73">
        <f t="shared" si="25"/>
        <v>6.5</v>
      </c>
      <c r="G215" s="57"/>
      <c r="H215" s="57"/>
      <c r="I215" s="57"/>
      <c r="J215" s="57"/>
      <c r="K215" s="57">
        <v>6.5</v>
      </c>
      <c r="L215" s="90">
        <v>6.5</v>
      </c>
      <c r="M215" s="254"/>
      <c r="N215" s="32"/>
      <c r="O215" s="32"/>
      <c r="Q215" s="250"/>
      <c r="R215" s="250"/>
      <c r="S215" s="250"/>
      <c r="T215" s="250"/>
    </row>
    <row r="216" spans="1:20" x14ac:dyDescent="0.25">
      <c r="A216" s="338" t="s">
        <v>526</v>
      </c>
      <c r="B216" s="334"/>
      <c r="C216" s="266" t="s">
        <v>176</v>
      </c>
      <c r="D216" s="337" t="s">
        <v>87</v>
      </c>
      <c r="E216" s="57">
        <f t="shared" si="25"/>
        <v>2.7</v>
      </c>
      <c r="F216" s="73">
        <f t="shared" si="25"/>
        <v>2.2000000000000002</v>
      </c>
      <c r="G216" s="57"/>
      <c r="H216" s="57"/>
      <c r="I216" s="57"/>
      <c r="J216" s="57"/>
      <c r="K216" s="57">
        <v>2.7</v>
      </c>
      <c r="L216" s="90">
        <v>2.2000000000000002</v>
      </c>
      <c r="M216" s="254"/>
      <c r="N216" s="32"/>
      <c r="O216" s="32"/>
      <c r="Q216" s="250"/>
      <c r="R216" s="250"/>
      <c r="S216" s="250"/>
      <c r="T216" s="250"/>
    </row>
    <row r="217" spans="1:20" ht="24" x14ac:dyDescent="0.25">
      <c r="A217" s="338" t="s">
        <v>527</v>
      </c>
      <c r="B217" s="334"/>
      <c r="C217" s="266" t="s">
        <v>177</v>
      </c>
      <c r="D217" s="337" t="s">
        <v>87</v>
      </c>
      <c r="E217" s="57">
        <f t="shared" si="25"/>
        <v>20</v>
      </c>
      <c r="F217" s="73">
        <f t="shared" si="25"/>
        <v>18.3</v>
      </c>
      <c r="G217" s="57"/>
      <c r="H217" s="57"/>
      <c r="I217" s="57"/>
      <c r="J217" s="57"/>
      <c r="K217" s="57">
        <v>20</v>
      </c>
      <c r="L217" s="90">
        <v>18.3</v>
      </c>
      <c r="M217" s="254"/>
      <c r="N217" s="32"/>
      <c r="O217" s="32"/>
      <c r="Q217" s="250"/>
      <c r="R217" s="250"/>
      <c r="S217" s="250"/>
      <c r="T217" s="250"/>
    </row>
    <row r="218" spans="1:20" ht="14.25" customHeight="1" x14ac:dyDescent="0.25">
      <c r="A218" s="338" t="s">
        <v>528</v>
      </c>
      <c r="B218" s="334"/>
      <c r="C218" s="266" t="s">
        <v>529</v>
      </c>
      <c r="D218" s="337" t="s">
        <v>424</v>
      </c>
      <c r="E218" s="57">
        <f t="shared" si="25"/>
        <v>30</v>
      </c>
      <c r="F218" s="73">
        <f t="shared" si="25"/>
        <v>25.3</v>
      </c>
      <c r="G218" s="57">
        <v>30</v>
      </c>
      <c r="H218" s="57">
        <v>25.3</v>
      </c>
      <c r="I218" s="57"/>
      <c r="J218" s="57"/>
      <c r="K218" s="57"/>
      <c r="L218" s="90"/>
      <c r="M218" s="254"/>
      <c r="N218" s="32"/>
      <c r="O218" s="32"/>
      <c r="Q218" s="250"/>
      <c r="R218" s="250"/>
      <c r="S218" s="250"/>
      <c r="T218" s="250"/>
    </row>
    <row r="219" spans="1:20" ht="18" customHeight="1" x14ac:dyDescent="0.25">
      <c r="A219" s="338" t="s">
        <v>530</v>
      </c>
      <c r="B219" s="334"/>
      <c r="C219" s="253" t="s">
        <v>110</v>
      </c>
      <c r="D219" s="337" t="s">
        <v>113</v>
      </c>
      <c r="E219" s="57">
        <f t="shared" si="25"/>
        <v>122.30000000000001</v>
      </c>
      <c r="F219" s="73">
        <f t="shared" si="25"/>
        <v>120.2</v>
      </c>
      <c r="G219" s="57">
        <f>7.4+1</f>
        <v>8.4</v>
      </c>
      <c r="H219" s="57">
        <v>6.3</v>
      </c>
      <c r="I219" s="57"/>
      <c r="J219" s="57"/>
      <c r="K219" s="57">
        <f>140.4-26.5</f>
        <v>113.9</v>
      </c>
      <c r="L219" s="90">
        <v>113.9</v>
      </c>
      <c r="M219" s="254"/>
      <c r="N219" s="32"/>
      <c r="O219" s="32"/>
      <c r="Q219" s="250"/>
      <c r="R219" s="250"/>
      <c r="S219" s="250"/>
      <c r="T219" s="250"/>
    </row>
    <row r="220" spans="1:20" ht="36" x14ac:dyDescent="0.25">
      <c r="A220" s="338" t="s">
        <v>531</v>
      </c>
      <c r="B220" s="334"/>
      <c r="C220" s="266" t="s">
        <v>532</v>
      </c>
      <c r="D220" s="337" t="s">
        <v>73</v>
      </c>
      <c r="E220" s="57">
        <f t="shared" si="25"/>
        <v>3</v>
      </c>
      <c r="F220" s="73">
        <f t="shared" si="25"/>
        <v>0</v>
      </c>
      <c r="G220" s="57">
        <v>1</v>
      </c>
      <c r="H220" s="57">
        <v>0</v>
      </c>
      <c r="I220" s="57"/>
      <c r="J220" s="57"/>
      <c r="K220" s="57">
        <v>2</v>
      </c>
      <c r="L220" s="90">
        <v>0</v>
      </c>
      <c r="M220" s="254"/>
      <c r="N220" s="32"/>
      <c r="O220" s="32"/>
      <c r="Q220" s="250"/>
      <c r="R220" s="250"/>
      <c r="S220" s="250"/>
      <c r="T220" s="250"/>
    </row>
    <row r="221" spans="1:20" ht="24" x14ac:dyDescent="0.25">
      <c r="A221" s="338" t="s">
        <v>533</v>
      </c>
      <c r="B221" s="334"/>
      <c r="C221" s="253" t="s">
        <v>534</v>
      </c>
      <c r="D221" s="337" t="s">
        <v>424</v>
      </c>
      <c r="E221" s="57">
        <f t="shared" si="25"/>
        <v>200</v>
      </c>
      <c r="F221" s="73">
        <f t="shared" si="25"/>
        <v>52.900000000000006</v>
      </c>
      <c r="G221" s="57">
        <v>0.8</v>
      </c>
      <c r="H221" s="57">
        <v>0.7</v>
      </c>
      <c r="I221" s="57"/>
      <c r="J221" s="57"/>
      <c r="K221" s="57">
        <f>200-0.8</f>
        <v>199.2</v>
      </c>
      <c r="L221" s="206">
        <v>52.2</v>
      </c>
      <c r="M221" s="254"/>
      <c r="N221" s="32"/>
      <c r="O221" s="32"/>
      <c r="Q221" s="250"/>
      <c r="R221" s="250"/>
      <c r="S221" s="250"/>
      <c r="T221" s="250"/>
    </row>
    <row r="222" spans="1:20" ht="24" x14ac:dyDescent="0.25">
      <c r="A222" s="338" t="s">
        <v>535</v>
      </c>
      <c r="B222" s="334"/>
      <c r="C222" s="253" t="s">
        <v>536</v>
      </c>
      <c r="D222" s="337" t="s">
        <v>510</v>
      </c>
      <c r="E222" s="57">
        <f t="shared" si="25"/>
        <v>4</v>
      </c>
      <c r="F222" s="73">
        <f t="shared" si="25"/>
        <v>0</v>
      </c>
      <c r="G222" s="57"/>
      <c r="H222" s="57"/>
      <c r="I222" s="57"/>
      <c r="J222" s="57"/>
      <c r="K222" s="57">
        <v>4</v>
      </c>
      <c r="L222" s="90">
        <v>0</v>
      </c>
      <c r="M222" s="254"/>
      <c r="N222" s="32"/>
      <c r="O222" s="32"/>
      <c r="Q222" s="250"/>
      <c r="R222" s="250"/>
      <c r="S222" s="250"/>
      <c r="T222" s="250"/>
    </row>
    <row r="223" spans="1:20" ht="24" x14ac:dyDescent="0.25">
      <c r="A223" s="338" t="s">
        <v>537</v>
      </c>
      <c r="B223" s="334"/>
      <c r="C223" s="253" t="s">
        <v>538</v>
      </c>
      <c r="D223" s="337" t="s">
        <v>510</v>
      </c>
      <c r="E223" s="57">
        <f t="shared" si="25"/>
        <v>7.6</v>
      </c>
      <c r="F223" s="73">
        <f t="shared" si="25"/>
        <v>0</v>
      </c>
      <c r="G223" s="57"/>
      <c r="H223" s="57"/>
      <c r="I223" s="57"/>
      <c r="J223" s="57"/>
      <c r="K223" s="57">
        <v>7.6</v>
      </c>
      <c r="L223" s="90">
        <v>0</v>
      </c>
      <c r="M223" s="32"/>
      <c r="N223" s="32"/>
      <c r="O223" s="32"/>
      <c r="Q223" s="250"/>
      <c r="R223" s="250"/>
      <c r="S223" s="250"/>
      <c r="T223" s="250"/>
    </row>
    <row r="224" spans="1:20" ht="24" x14ac:dyDescent="0.25">
      <c r="A224" s="338" t="s">
        <v>539</v>
      </c>
      <c r="B224" s="334"/>
      <c r="C224" s="253" t="s">
        <v>540</v>
      </c>
      <c r="D224" s="337" t="s">
        <v>510</v>
      </c>
      <c r="E224" s="57">
        <f t="shared" si="25"/>
        <v>15</v>
      </c>
      <c r="F224" s="73">
        <f t="shared" si="25"/>
        <v>0</v>
      </c>
      <c r="G224" s="57"/>
      <c r="H224" s="57"/>
      <c r="I224" s="57"/>
      <c r="J224" s="57"/>
      <c r="K224" s="57">
        <v>15</v>
      </c>
      <c r="L224" s="90">
        <v>0</v>
      </c>
      <c r="M224" s="32"/>
      <c r="N224" s="32"/>
      <c r="O224" s="32"/>
      <c r="Q224" s="250"/>
      <c r="R224" s="250"/>
      <c r="S224" s="250"/>
      <c r="T224" s="250"/>
    </row>
    <row r="225" spans="1:20" ht="24.6" customHeight="1" x14ac:dyDescent="0.25">
      <c r="A225" s="338" t="s">
        <v>541</v>
      </c>
      <c r="B225" s="334"/>
      <c r="C225" s="253" t="s">
        <v>197</v>
      </c>
      <c r="D225" s="337" t="s">
        <v>72</v>
      </c>
      <c r="E225" s="57">
        <f t="shared" si="25"/>
        <v>190</v>
      </c>
      <c r="F225" s="73">
        <f t="shared" si="25"/>
        <v>108.4</v>
      </c>
      <c r="G225" s="57"/>
      <c r="H225" s="57"/>
      <c r="I225" s="57"/>
      <c r="J225" s="57"/>
      <c r="K225" s="57">
        <v>190</v>
      </c>
      <c r="L225" s="90">
        <v>108.4</v>
      </c>
      <c r="M225" s="32"/>
      <c r="N225" s="32"/>
      <c r="O225" s="32"/>
      <c r="Q225" s="250"/>
      <c r="R225" s="250"/>
      <c r="S225" s="250"/>
      <c r="T225" s="250"/>
    </row>
    <row r="226" spans="1:20" ht="24" x14ac:dyDescent="0.25">
      <c r="A226" s="333">
        <v>83</v>
      </c>
      <c r="B226" s="336"/>
      <c r="C226" s="253" t="s">
        <v>8</v>
      </c>
      <c r="D226" s="337" t="s">
        <v>72</v>
      </c>
      <c r="E226" s="57">
        <f t="shared" si="25"/>
        <v>199.4</v>
      </c>
      <c r="F226" s="73">
        <f t="shared" si="25"/>
        <v>185.2</v>
      </c>
      <c r="G226" s="57">
        <f>195.8+3.6</f>
        <v>199.4</v>
      </c>
      <c r="H226" s="57">
        <v>185.2</v>
      </c>
      <c r="I226" s="57"/>
      <c r="J226" s="57"/>
      <c r="K226" s="57"/>
      <c r="L226" s="90"/>
      <c r="M226" s="254"/>
      <c r="N226" s="32"/>
      <c r="O226" s="32"/>
      <c r="Q226" s="250"/>
      <c r="R226" s="250"/>
      <c r="S226" s="250"/>
      <c r="T226" s="250"/>
    </row>
    <row r="227" spans="1:20" ht="12.75" customHeight="1" x14ac:dyDescent="0.25">
      <c r="A227" s="333">
        <v>84</v>
      </c>
      <c r="B227" s="336"/>
      <c r="C227" s="253" t="s">
        <v>4</v>
      </c>
      <c r="D227" s="337" t="s">
        <v>517</v>
      </c>
      <c r="E227" s="57">
        <f t="shared" si="25"/>
        <v>23</v>
      </c>
      <c r="F227" s="73">
        <f t="shared" si="25"/>
        <v>23</v>
      </c>
      <c r="G227" s="57">
        <v>23</v>
      </c>
      <c r="H227" s="57">
        <v>23</v>
      </c>
      <c r="I227" s="57"/>
      <c r="J227" s="57"/>
      <c r="K227" s="57"/>
      <c r="L227" s="90"/>
      <c r="M227" s="254"/>
      <c r="N227" s="32"/>
      <c r="O227" s="32"/>
      <c r="Q227" s="250"/>
      <c r="R227" s="250"/>
      <c r="S227" s="250"/>
      <c r="T227" s="250"/>
    </row>
    <row r="228" spans="1:20" ht="12.75" customHeight="1" x14ac:dyDescent="0.25">
      <c r="A228" s="333">
        <v>85</v>
      </c>
      <c r="B228" s="336"/>
      <c r="C228" s="253" t="s">
        <v>5</v>
      </c>
      <c r="D228" s="337" t="s">
        <v>517</v>
      </c>
      <c r="E228" s="57">
        <f t="shared" si="25"/>
        <v>10</v>
      </c>
      <c r="F228" s="73">
        <f t="shared" si="25"/>
        <v>9.9</v>
      </c>
      <c r="G228" s="57">
        <v>10</v>
      </c>
      <c r="H228" s="57">
        <v>9.9</v>
      </c>
      <c r="I228" s="57"/>
      <c r="J228" s="57"/>
      <c r="K228" s="57"/>
      <c r="L228" s="90"/>
      <c r="M228" s="254"/>
      <c r="N228" s="32"/>
      <c r="O228" s="32"/>
      <c r="Q228" s="250"/>
      <c r="R228" s="250"/>
      <c r="S228" s="250"/>
      <c r="T228" s="250"/>
    </row>
    <row r="229" spans="1:20" ht="12.75" customHeight="1" x14ac:dyDescent="0.25">
      <c r="A229" s="333">
        <v>86</v>
      </c>
      <c r="B229" s="336"/>
      <c r="C229" s="258" t="s">
        <v>7</v>
      </c>
      <c r="D229" s="337" t="s">
        <v>517</v>
      </c>
      <c r="E229" s="57">
        <f t="shared" si="25"/>
        <v>19.100000000000001</v>
      </c>
      <c r="F229" s="73">
        <f t="shared" si="25"/>
        <v>19.100000000000001</v>
      </c>
      <c r="G229" s="57">
        <f>17.1+2</f>
        <v>19.100000000000001</v>
      </c>
      <c r="H229" s="57">
        <v>19.100000000000001</v>
      </c>
      <c r="I229" s="57"/>
      <c r="J229" s="57"/>
      <c r="K229" s="57"/>
      <c r="L229" s="90"/>
      <c r="M229" s="254"/>
      <c r="N229" s="32"/>
      <c r="O229" s="32"/>
      <c r="Q229" s="250"/>
      <c r="R229" s="250"/>
      <c r="S229" s="250"/>
      <c r="T229" s="250"/>
    </row>
    <row r="230" spans="1:20" ht="12.75" customHeight="1" x14ac:dyDescent="0.25">
      <c r="A230" s="333">
        <v>87</v>
      </c>
      <c r="B230" s="336"/>
      <c r="C230" s="253" t="s">
        <v>6</v>
      </c>
      <c r="D230" s="337" t="s">
        <v>517</v>
      </c>
      <c r="E230" s="57">
        <f t="shared" si="25"/>
        <v>15</v>
      </c>
      <c r="F230" s="73">
        <f t="shared" si="25"/>
        <v>15</v>
      </c>
      <c r="G230" s="57">
        <v>15</v>
      </c>
      <c r="H230" s="57">
        <v>15</v>
      </c>
      <c r="I230" s="57"/>
      <c r="J230" s="57"/>
      <c r="K230" s="57"/>
      <c r="L230" s="90"/>
      <c r="M230" s="32"/>
      <c r="N230" s="32"/>
      <c r="O230" s="32"/>
      <c r="Q230" s="250"/>
      <c r="R230" s="250"/>
      <c r="S230" s="250"/>
      <c r="T230" s="250"/>
    </row>
    <row r="231" spans="1:20" ht="12.75" customHeight="1" x14ac:dyDescent="0.25">
      <c r="A231" s="333">
        <v>88</v>
      </c>
      <c r="B231" s="336"/>
      <c r="C231" s="253" t="s">
        <v>9</v>
      </c>
      <c r="D231" s="337" t="s">
        <v>517</v>
      </c>
      <c r="E231" s="57">
        <f t="shared" si="25"/>
        <v>18.899999999999999</v>
      </c>
      <c r="F231" s="73">
        <f t="shared" si="25"/>
        <v>18.899999999999999</v>
      </c>
      <c r="G231" s="57">
        <f>17.4+1.5</f>
        <v>18.899999999999999</v>
      </c>
      <c r="H231" s="57">
        <v>18.899999999999999</v>
      </c>
      <c r="I231" s="57"/>
      <c r="J231" s="57"/>
      <c r="K231" s="57"/>
      <c r="L231" s="90"/>
      <c r="M231" s="32"/>
      <c r="N231" s="32"/>
      <c r="O231" s="32"/>
      <c r="Q231" s="250"/>
      <c r="R231" s="250"/>
      <c r="S231" s="250"/>
      <c r="T231" s="250"/>
    </row>
    <row r="232" spans="1:20" ht="12.75" customHeight="1" x14ac:dyDescent="0.25">
      <c r="A232" s="333">
        <v>89</v>
      </c>
      <c r="B232" s="336"/>
      <c r="C232" s="258" t="s">
        <v>10</v>
      </c>
      <c r="D232" s="337" t="s">
        <v>517</v>
      </c>
      <c r="E232" s="57">
        <f t="shared" si="25"/>
        <v>14</v>
      </c>
      <c r="F232" s="73">
        <f t="shared" si="25"/>
        <v>14</v>
      </c>
      <c r="G232" s="57">
        <f>12+2</f>
        <v>14</v>
      </c>
      <c r="H232" s="57">
        <v>14</v>
      </c>
      <c r="I232" s="57"/>
      <c r="J232" s="57"/>
      <c r="K232" s="57"/>
      <c r="L232" s="90"/>
      <c r="M232" s="32"/>
      <c r="N232" s="32"/>
      <c r="O232" s="32"/>
      <c r="Q232" s="250"/>
      <c r="R232" s="250"/>
      <c r="S232" s="250"/>
      <c r="T232" s="250"/>
    </row>
    <row r="233" spans="1:20" ht="12.75" customHeight="1" x14ac:dyDescent="0.25">
      <c r="A233" s="333">
        <v>90</v>
      </c>
      <c r="B233" s="336"/>
      <c r="C233" s="253" t="s">
        <v>12</v>
      </c>
      <c r="D233" s="337" t="s">
        <v>517</v>
      </c>
      <c r="E233" s="57">
        <f t="shared" si="25"/>
        <v>12</v>
      </c>
      <c r="F233" s="73">
        <f t="shared" si="25"/>
        <v>12</v>
      </c>
      <c r="G233" s="57">
        <v>12</v>
      </c>
      <c r="H233" s="57">
        <v>12</v>
      </c>
      <c r="I233" s="57"/>
      <c r="J233" s="57"/>
      <c r="K233" s="57"/>
      <c r="L233" s="90"/>
      <c r="M233" s="32"/>
      <c r="N233" s="32"/>
      <c r="O233" s="32"/>
      <c r="Q233" s="250"/>
      <c r="R233" s="250"/>
      <c r="S233" s="250"/>
      <c r="T233" s="250"/>
    </row>
    <row r="234" spans="1:20" ht="12.75" customHeight="1" x14ac:dyDescent="0.25">
      <c r="A234" s="333">
        <v>91</v>
      </c>
      <c r="B234" s="336"/>
      <c r="C234" s="253" t="s">
        <v>11</v>
      </c>
      <c r="D234" s="337" t="s">
        <v>517</v>
      </c>
      <c r="E234" s="57">
        <f t="shared" si="25"/>
        <v>11</v>
      </c>
      <c r="F234" s="73">
        <f t="shared" si="25"/>
        <v>10.1</v>
      </c>
      <c r="G234" s="57">
        <v>11</v>
      </c>
      <c r="H234" s="57">
        <v>10.1</v>
      </c>
      <c r="I234" s="57"/>
      <c r="J234" s="57"/>
      <c r="K234" s="57"/>
      <c r="L234" s="90"/>
      <c r="M234" s="32"/>
      <c r="N234" s="32"/>
      <c r="O234" s="32"/>
      <c r="Q234" s="250"/>
      <c r="R234" s="250"/>
      <c r="S234" s="250"/>
      <c r="T234" s="250"/>
    </row>
    <row r="235" spans="1:20" ht="12.75" customHeight="1" x14ac:dyDescent="0.25">
      <c r="A235" s="333">
        <v>92</v>
      </c>
      <c r="B235" s="336"/>
      <c r="C235" s="253" t="s">
        <v>13</v>
      </c>
      <c r="D235" s="337" t="s">
        <v>517</v>
      </c>
      <c r="E235" s="57">
        <f t="shared" si="25"/>
        <v>10.8</v>
      </c>
      <c r="F235" s="73">
        <f t="shared" si="25"/>
        <v>10.8</v>
      </c>
      <c r="G235" s="57">
        <f>12-1.2</f>
        <v>10.8</v>
      </c>
      <c r="H235" s="57">
        <v>10.8</v>
      </c>
      <c r="I235" s="57"/>
      <c r="J235" s="57"/>
      <c r="K235" s="57"/>
      <c r="L235" s="90"/>
      <c r="M235" s="32"/>
      <c r="N235" s="32"/>
      <c r="O235" s="32"/>
      <c r="Q235" s="250"/>
      <c r="R235" s="250"/>
      <c r="S235" s="250"/>
      <c r="T235" s="250"/>
    </row>
    <row r="236" spans="1:20" ht="12.75" customHeight="1" x14ac:dyDescent="0.25">
      <c r="A236" s="333">
        <v>93</v>
      </c>
      <c r="B236" s="334"/>
      <c r="C236" s="253" t="s">
        <v>14</v>
      </c>
      <c r="D236" s="337" t="s">
        <v>517</v>
      </c>
      <c r="E236" s="57">
        <f t="shared" si="25"/>
        <v>15.8</v>
      </c>
      <c r="F236" s="73">
        <f t="shared" si="25"/>
        <v>15.8</v>
      </c>
      <c r="G236" s="57">
        <v>15.8</v>
      </c>
      <c r="H236" s="57">
        <v>15.8</v>
      </c>
      <c r="I236" s="57"/>
      <c r="J236" s="57"/>
      <c r="K236" s="57"/>
      <c r="L236" s="90"/>
      <c r="M236" s="32"/>
      <c r="N236" s="32"/>
      <c r="O236" s="32"/>
      <c r="Q236" s="250"/>
      <c r="R236" s="250"/>
      <c r="S236" s="250"/>
      <c r="T236" s="250"/>
    </row>
    <row r="237" spans="1:20" ht="21.6" customHeight="1" x14ac:dyDescent="0.25">
      <c r="A237" s="333">
        <v>94</v>
      </c>
      <c r="B237" s="336" t="s">
        <v>74</v>
      </c>
      <c r="C237" s="35" t="s">
        <v>75</v>
      </c>
      <c r="D237" s="247"/>
      <c r="E237" s="61">
        <f t="shared" si="25"/>
        <v>4160.2999999999993</v>
      </c>
      <c r="F237" s="61">
        <f t="shared" si="25"/>
        <v>3988.2999999999997</v>
      </c>
      <c r="G237" s="61">
        <f t="shared" ref="G237:L237" si="28">+G252+G253+G255+G254+G251+G256+G257+G259+G258+G260+G261+G238</f>
        <v>4028.5999999999995</v>
      </c>
      <c r="H237" s="61">
        <f t="shared" si="28"/>
        <v>3907.4999999999995</v>
      </c>
      <c r="I237" s="61">
        <f t="shared" si="28"/>
        <v>673.40000000000009</v>
      </c>
      <c r="J237" s="61">
        <f t="shared" si="28"/>
        <v>663.69999999999982</v>
      </c>
      <c r="K237" s="61">
        <f t="shared" si="28"/>
        <v>131.70000000000002</v>
      </c>
      <c r="L237" s="61">
        <f t="shared" si="28"/>
        <v>80.8</v>
      </c>
      <c r="M237" s="32"/>
      <c r="N237" s="32"/>
      <c r="O237" s="32"/>
      <c r="Q237" s="250"/>
      <c r="R237" s="250"/>
      <c r="S237" s="250"/>
      <c r="T237" s="250"/>
    </row>
    <row r="238" spans="1:20" ht="15" customHeight="1" x14ac:dyDescent="0.25">
      <c r="A238" s="333">
        <v>95</v>
      </c>
      <c r="B238" s="334"/>
      <c r="C238" s="258" t="s">
        <v>291</v>
      </c>
      <c r="D238" s="337"/>
      <c r="E238" s="57">
        <f t="shared" ref="E238:F253" si="29">+G238+K238</f>
        <v>2241.5</v>
      </c>
      <c r="F238" s="57">
        <f t="shared" si="29"/>
        <v>2086.1999999999998</v>
      </c>
      <c r="G238" s="57">
        <f t="shared" ref="G238:L238" si="30">+G239+G240+G248+G249+G250</f>
        <v>2135.1999999999998</v>
      </c>
      <c r="H238" s="57">
        <f t="shared" si="30"/>
        <v>2030.6999999999998</v>
      </c>
      <c r="I238" s="57">
        <f t="shared" si="30"/>
        <v>0</v>
      </c>
      <c r="J238" s="57">
        <f t="shared" si="30"/>
        <v>0</v>
      </c>
      <c r="K238" s="57">
        <f t="shared" si="30"/>
        <v>106.30000000000001</v>
      </c>
      <c r="L238" s="57">
        <f t="shared" si="30"/>
        <v>55.5</v>
      </c>
      <c r="M238" s="32"/>
      <c r="N238" s="32"/>
      <c r="O238" s="32"/>
      <c r="Q238" s="250"/>
      <c r="R238" s="250"/>
      <c r="S238" s="250"/>
      <c r="T238" s="250"/>
    </row>
    <row r="239" spans="1:20" ht="14.4" customHeight="1" x14ac:dyDescent="0.25">
      <c r="A239" s="338" t="s">
        <v>542</v>
      </c>
      <c r="B239" s="334"/>
      <c r="C239" s="287" t="s">
        <v>3</v>
      </c>
      <c r="D239" s="335" t="s">
        <v>99</v>
      </c>
      <c r="E239" s="57">
        <f t="shared" si="29"/>
        <v>20.399999999999999</v>
      </c>
      <c r="F239" s="57">
        <f t="shared" si="29"/>
        <v>16.8</v>
      </c>
      <c r="G239" s="57">
        <v>20.399999999999999</v>
      </c>
      <c r="H239" s="57">
        <v>16.8</v>
      </c>
      <c r="I239" s="57"/>
      <c r="J239" s="57"/>
      <c r="K239" s="57"/>
      <c r="L239" s="90"/>
      <c r="M239" s="32"/>
      <c r="N239" s="32"/>
      <c r="O239" s="32"/>
      <c r="Q239" s="250"/>
      <c r="R239" s="250"/>
      <c r="S239" s="250"/>
      <c r="T239" s="250"/>
    </row>
    <row r="240" spans="1:20" ht="36.6" customHeight="1" x14ac:dyDescent="0.25">
      <c r="A240" s="338" t="s">
        <v>543</v>
      </c>
      <c r="B240" s="334"/>
      <c r="C240" s="260" t="s">
        <v>303</v>
      </c>
      <c r="D240" s="276"/>
      <c r="E240" s="267">
        <f t="shared" si="29"/>
        <v>212.3</v>
      </c>
      <c r="F240" s="267">
        <f t="shared" si="29"/>
        <v>139.5</v>
      </c>
      <c r="G240" s="267">
        <f t="shared" ref="G240:L240" si="31">+G241+G242+G243+G244+G245+G246+G247</f>
        <v>155</v>
      </c>
      <c r="H240" s="267">
        <f t="shared" si="31"/>
        <v>121.5</v>
      </c>
      <c r="I240" s="267">
        <f t="shared" si="31"/>
        <v>0</v>
      </c>
      <c r="J240" s="267">
        <f t="shared" si="31"/>
        <v>0</v>
      </c>
      <c r="K240" s="267">
        <f t="shared" si="31"/>
        <v>57.300000000000004</v>
      </c>
      <c r="L240" s="267">
        <f t="shared" si="31"/>
        <v>18</v>
      </c>
      <c r="M240" s="32"/>
      <c r="N240" s="32"/>
      <c r="O240" s="32"/>
      <c r="Q240" s="250"/>
      <c r="R240" s="250"/>
      <c r="S240" s="250"/>
      <c r="T240" s="250"/>
    </row>
    <row r="241" spans="1:20" x14ac:dyDescent="0.25">
      <c r="A241" s="338" t="s">
        <v>544</v>
      </c>
      <c r="B241" s="334"/>
      <c r="C241" s="265" t="s">
        <v>545</v>
      </c>
      <c r="D241" s="335" t="s">
        <v>424</v>
      </c>
      <c r="E241" s="57">
        <f t="shared" si="29"/>
        <v>100</v>
      </c>
      <c r="F241" s="57">
        <f t="shared" si="29"/>
        <v>99.8</v>
      </c>
      <c r="G241" s="57">
        <v>100</v>
      </c>
      <c r="H241" s="57">
        <v>99.8</v>
      </c>
      <c r="I241" s="267"/>
      <c r="J241" s="267"/>
      <c r="K241" s="267"/>
      <c r="L241" s="90"/>
      <c r="M241" s="32"/>
      <c r="N241" s="32"/>
      <c r="O241" s="32"/>
      <c r="Q241" s="250"/>
      <c r="R241" s="250"/>
      <c r="S241" s="250"/>
      <c r="T241" s="250"/>
    </row>
    <row r="242" spans="1:20" ht="24" x14ac:dyDescent="0.25">
      <c r="A242" s="338" t="s">
        <v>546</v>
      </c>
      <c r="B242" s="334"/>
      <c r="C242" s="266" t="s">
        <v>111</v>
      </c>
      <c r="D242" s="288" t="s">
        <v>76</v>
      </c>
      <c r="E242" s="68">
        <f t="shared" si="29"/>
        <v>47.000000000000007</v>
      </c>
      <c r="F242" s="57">
        <f t="shared" si="29"/>
        <v>7.7</v>
      </c>
      <c r="G242" s="68">
        <f>0.6+0.1</f>
        <v>0.7</v>
      </c>
      <c r="H242" s="68">
        <v>0.7</v>
      </c>
      <c r="I242" s="57"/>
      <c r="J242" s="57"/>
      <c r="K242" s="57">
        <f>81.4-35-0.1</f>
        <v>46.300000000000004</v>
      </c>
      <c r="L242" s="90">
        <v>7</v>
      </c>
      <c r="M242" s="32"/>
      <c r="N242" s="32"/>
      <c r="O242" s="32"/>
      <c r="Q242" s="250"/>
      <c r="R242" s="250"/>
      <c r="S242" s="250"/>
      <c r="T242" s="250"/>
    </row>
    <row r="243" spans="1:20" ht="24" customHeight="1" x14ac:dyDescent="0.25">
      <c r="A243" s="338" t="s">
        <v>547</v>
      </c>
      <c r="B243" s="334"/>
      <c r="C243" s="266" t="s">
        <v>147</v>
      </c>
      <c r="D243" s="335" t="s">
        <v>99</v>
      </c>
      <c r="E243" s="68">
        <f t="shared" si="29"/>
        <v>15</v>
      </c>
      <c r="F243" s="57">
        <f t="shared" si="29"/>
        <v>7.9</v>
      </c>
      <c r="G243" s="68">
        <v>15</v>
      </c>
      <c r="H243" s="68">
        <v>7.9</v>
      </c>
      <c r="I243" s="57"/>
      <c r="J243" s="57"/>
      <c r="K243" s="57"/>
      <c r="L243" s="90"/>
      <c r="M243" s="32"/>
      <c r="N243" s="32"/>
      <c r="O243" s="32"/>
      <c r="Q243" s="250"/>
      <c r="R243" s="250"/>
      <c r="S243" s="250"/>
      <c r="T243" s="250"/>
    </row>
    <row r="244" spans="1:20" x14ac:dyDescent="0.25">
      <c r="A244" s="338" t="s">
        <v>548</v>
      </c>
      <c r="B244" s="334"/>
      <c r="C244" s="266" t="s">
        <v>112</v>
      </c>
      <c r="D244" s="335" t="s">
        <v>99</v>
      </c>
      <c r="E244" s="68">
        <f t="shared" si="29"/>
        <v>13.299999999999999</v>
      </c>
      <c r="F244" s="57">
        <f t="shared" si="29"/>
        <v>13.1</v>
      </c>
      <c r="G244" s="68">
        <f>23.7-10.4</f>
        <v>13.299999999999999</v>
      </c>
      <c r="H244" s="68">
        <v>13.1</v>
      </c>
      <c r="I244" s="57"/>
      <c r="J244" s="57"/>
      <c r="K244" s="57"/>
      <c r="L244" s="90"/>
      <c r="M244" s="254"/>
      <c r="N244" s="32"/>
      <c r="O244" s="32"/>
      <c r="Q244" s="250"/>
      <c r="R244" s="250"/>
      <c r="S244" s="250"/>
      <c r="T244" s="250"/>
    </row>
    <row r="245" spans="1:20" x14ac:dyDescent="0.25">
      <c r="A245" s="338" t="s">
        <v>549</v>
      </c>
      <c r="B245" s="334"/>
      <c r="C245" s="266" t="s">
        <v>550</v>
      </c>
      <c r="D245" s="335" t="s">
        <v>65</v>
      </c>
      <c r="E245" s="68">
        <f t="shared" si="29"/>
        <v>16</v>
      </c>
      <c r="F245" s="57">
        <f t="shared" si="29"/>
        <v>0</v>
      </c>
      <c r="G245" s="68">
        <v>16</v>
      </c>
      <c r="H245" s="68">
        <v>0</v>
      </c>
      <c r="I245" s="57"/>
      <c r="J245" s="57"/>
      <c r="K245" s="57"/>
      <c r="L245" s="90"/>
      <c r="M245" s="254"/>
      <c r="N245" s="32"/>
      <c r="O245" s="32"/>
      <c r="Q245" s="250"/>
      <c r="R245" s="250"/>
      <c r="S245" s="250"/>
      <c r="T245" s="250"/>
    </row>
    <row r="246" spans="1:20" ht="24" x14ac:dyDescent="0.25">
      <c r="A246" s="338" t="s">
        <v>551</v>
      </c>
      <c r="B246" s="334"/>
      <c r="C246" s="266" t="s">
        <v>552</v>
      </c>
      <c r="D246" s="335" t="s">
        <v>65</v>
      </c>
      <c r="E246" s="68">
        <f t="shared" si="29"/>
        <v>10</v>
      </c>
      <c r="F246" s="57">
        <f t="shared" si="29"/>
        <v>0</v>
      </c>
      <c r="G246" s="68">
        <v>10</v>
      </c>
      <c r="H246" s="68">
        <v>0</v>
      </c>
      <c r="I246" s="57"/>
      <c r="J246" s="57"/>
      <c r="K246" s="57"/>
      <c r="L246" s="90"/>
      <c r="M246" s="254"/>
      <c r="N246" s="32"/>
      <c r="O246" s="32"/>
      <c r="Q246" s="250"/>
      <c r="R246" s="250"/>
      <c r="S246" s="250"/>
      <c r="T246" s="250"/>
    </row>
    <row r="247" spans="1:20" ht="24" x14ac:dyDescent="0.25">
      <c r="A247" s="338" t="s">
        <v>553</v>
      </c>
      <c r="B247" s="334"/>
      <c r="C247" s="266" t="s">
        <v>784</v>
      </c>
      <c r="D247" s="335" t="s">
        <v>65</v>
      </c>
      <c r="E247" s="68">
        <f t="shared" si="29"/>
        <v>11</v>
      </c>
      <c r="F247" s="57">
        <f t="shared" si="29"/>
        <v>11</v>
      </c>
      <c r="G247" s="68"/>
      <c r="H247" s="68"/>
      <c r="I247" s="57"/>
      <c r="J247" s="57"/>
      <c r="K247" s="57">
        <v>11</v>
      </c>
      <c r="L247" s="90">
        <v>11</v>
      </c>
      <c r="M247" s="254"/>
      <c r="N247" s="32"/>
      <c r="O247" s="32"/>
      <c r="Q247" s="250"/>
      <c r="R247" s="250"/>
      <c r="S247" s="250"/>
      <c r="T247" s="250"/>
    </row>
    <row r="248" spans="1:20" ht="24" customHeight="1" x14ac:dyDescent="0.25">
      <c r="A248" s="338" t="s">
        <v>554</v>
      </c>
      <c r="B248" s="334"/>
      <c r="C248" s="268" t="s">
        <v>342</v>
      </c>
      <c r="D248" s="288" t="s">
        <v>555</v>
      </c>
      <c r="E248" s="57">
        <f t="shared" si="29"/>
        <v>307</v>
      </c>
      <c r="F248" s="57">
        <f t="shared" si="29"/>
        <v>228.1</v>
      </c>
      <c r="G248" s="57">
        <v>267</v>
      </c>
      <c r="H248" s="57">
        <v>199.6</v>
      </c>
      <c r="I248" s="57"/>
      <c r="J248" s="57"/>
      <c r="K248" s="57">
        <v>40</v>
      </c>
      <c r="L248" s="90">
        <v>28.5</v>
      </c>
      <c r="M248" s="254"/>
      <c r="N248" s="32"/>
      <c r="O248" s="32"/>
      <c r="Q248" s="250"/>
      <c r="R248" s="250"/>
      <c r="S248" s="250"/>
      <c r="T248" s="250"/>
    </row>
    <row r="249" spans="1:20" x14ac:dyDescent="0.25">
      <c r="A249" s="338" t="s">
        <v>556</v>
      </c>
      <c r="B249" s="334"/>
      <c r="C249" s="268" t="s">
        <v>557</v>
      </c>
      <c r="D249" s="288" t="s">
        <v>76</v>
      </c>
      <c r="E249" s="57">
        <f t="shared" si="29"/>
        <v>1610.8</v>
      </c>
      <c r="F249" s="57">
        <f t="shared" si="29"/>
        <v>1610.8</v>
      </c>
      <c r="G249" s="57">
        <f>1000+110.8+350-9+150</f>
        <v>1601.8</v>
      </c>
      <c r="H249" s="57">
        <v>1601.8</v>
      </c>
      <c r="I249" s="57"/>
      <c r="J249" s="57"/>
      <c r="K249" s="57">
        <v>9</v>
      </c>
      <c r="L249" s="206">
        <f>8.9+0.1</f>
        <v>9</v>
      </c>
      <c r="M249" s="254"/>
      <c r="N249" s="32"/>
      <c r="O249" s="32"/>
      <c r="Q249" s="250"/>
      <c r="R249" s="250"/>
      <c r="S249" s="250"/>
      <c r="T249" s="250"/>
    </row>
    <row r="250" spans="1:20" ht="15" customHeight="1" x14ac:dyDescent="0.25">
      <c r="A250" s="338" t="s">
        <v>558</v>
      </c>
      <c r="B250" s="100"/>
      <c r="C250" s="268" t="s">
        <v>559</v>
      </c>
      <c r="D250" s="288" t="s">
        <v>76</v>
      </c>
      <c r="E250" s="57">
        <f t="shared" si="29"/>
        <v>91</v>
      </c>
      <c r="F250" s="57">
        <f t="shared" si="29"/>
        <v>91</v>
      </c>
      <c r="G250" s="57">
        <f>40+35+16</f>
        <v>91</v>
      </c>
      <c r="H250" s="57">
        <v>91</v>
      </c>
      <c r="I250" s="57"/>
      <c r="J250" s="57"/>
      <c r="K250" s="57"/>
      <c r="L250" s="90"/>
      <c r="M250" s="254"/>
      <c r="N250" s="32"/>
      <c r="O250" s="32"/>
      <c r="Q250" s="250"/>
      <c r="R250" s="250"/>
      <c r="S250" s="250"/>
      <c r="T250" s="250"/>
    </row>
    <row r="251" spans="1:20" ht="30.6" x14ac:dyDescent="0.25">
      <c r="A251" s="333">
        <v>96</v>
      </c>
      <c r="B251" s="334"/>
      <c r="C251" s="263" t="s">
        <v>8</v>
      </c>
      <c r="D251" s="275" t="s">
        <v>560</v>
      </c>
      <c r="E251" s="57">
        <f t="shared" si="29"/>
        <v>1045.3</v>
      </c>
      <c r="F251" s="57">
        <f t="shared" si="29"/>
        <v>1036.0999999999999</v>
      </c>
      <c r="G251" s="57">
        <f>1035.5+5.1+4.7</f>
        <v>1045.3</v>
      </c>
      <c r="H251" s="57">
        <v>1036.0999999999999</v>
      </c>
      <c r="I251" s="57">
        <f>134.8+5</f>
        <v>139.80000000000001</v>
      </c>
      <c r="J251" s="57">
        <v>132.69999999999999</v>
      </c>
      <c r="K251" s="57"/>
      <c r="L251" s="90"/>
      <c r="M251" s="254"/>
      <c r="N251" s="32"/>
      <c r="O251" s="32"/>
      <c r="Q251" s="250"/>
      <c r="R251" s="250"/>
      <c r="S251" s="250"/>
      <c r="T251" s="250"/>
    </row>
    <row r="252" spans="1:20" ht="20.399999999999999" x14ac:dyDescent="0.25">
      <c r="A252" s="333">
        <v>97</v>
      </c>
      <c r="B252" s="334"/>
      <c r="C252" s="253" t="s">
        <v>4</v>
      </c>
      <c r="D252" s="275" t="s">
        <v>561</v>
      </c>
      <c r="E252" s="57">
        <f t="shared" si="29"/>
        <v>114.80000000000001</v>
      </c>
      <c r="F252" s="57">
        <f t="shared" si="29"/>
        <v>114.60000000000001</v>
      </c>
      <c r="G252" s="57">
        <f>100.8+2.5-0.1+5.5+4.7</f>
        <v>113.4</v>
      </c>
      <c r="H252" s="57">
        <v>113.2</v>
      </c>
      <c r="I252" s="57">
        <f>61.2+2.5-0.2+2.3</f>
        <v>65.8</v>
      </c>
      <c r="J252" s="57">
        <v>65.8</v>
      </c>
      <c r="K252" s="57">
        <v>1.4</v>
      </c>
      <c r="L252" s="90">
        <v>1.4</v>
      </c>
      <c r="M252" s="254"/>
      <c r="N252" s="32"/>
      <c r="O252" s="32"/>
      <c r="Q252" s="250"/>
      <c r="R252" s="250"/>
      <c r="S252" s="250"/>
      <c r="T252" s="250"/>
    </row>
    <row r="253" spans="1:20" ht="18" customHeight="1" x14ac:dyDescent="0.25">
      <c r="A253" s="333">
        <v>98</v>
      </c>
      <c r="B253" s="334"/>
      <c r="C253" s="253" t="s">
        <v>5</v>
      </c>
      <c r="D253" s="275" t="s">
        <v>76</v>
      </c>
      <c r="E253" s="57">
        <f t="shared" si="29"/>
        <v>113.00000000000001</v>
      </c>
      <c r="F253" s="57">
        <f t="shared" si="29"/>
        <v>112.9</v>
      </c>
      <c r="G253" s="57">
        <f>101.3-2.3+4.7-2+1.9+1.4</f>
        <v>105.00000000000001</v>
      </c>
      <c r="H253" s="57">
        <v>104.9</v>
      </c>
      <c r="I253" s="57">
        <f>70+4.7-0.2+2.4</f>
        <v>76.900000000000006</v>
      </c>
      <c r="J253" s="57">
        <v>76.8</v>
      </c>
      <c r="K253" s="57">
        <f>2.3+2+3.7</f>
        <v>8</v>
      </c>
      <c r="L253" s="90">
        <v>8</v>
      </c>
      <c r="M253" s="280"/>
      <c r="N253" s="32"/>
      <c r="O253" s="32"/>
      <c r="Q253" s="250"/>
      <c r="R253" s="250"/>
      <c r="S253" s="250"/>
      <c r="T253" s="250"/>
    </row>
    <row r="254" spans="1:20" ht="21.6" customHeight="1" x14ac:dyDescent="0.25">
      <c r="A254" s="333">
        <v>99</v>
      </c>
      <c r="B254" s="334"/>
      <c r="C254" s="253" t="s">
        <v>7</v>
      </c>
      <c r="D254" s="275" t="s">
        <v>561</v>
      </c>
      <c r="E254" s="57">
        <f>+G254+K254</f>
        <v>87</v>
      </c>
      <c r="F254" s="57">
        <f t="shared" ref="F254:F261" si="32">+H254+L254</f>
        <v>86.3</v>
      </c>
      <c r="G254" s="57">
        <f>76.6+0.1+2+2.9+5.4</f>
        <v>87</v>
      </c>
      <c r="H254" s="57">
        <v>86.3</v>
      </c>
      <c r="I254" s="57">
        <f>47.6-5.6</f>
        <v>42</v>
      </c>
      <c r="J254" s="57">
        <v>41.6</v>
      </c>
      <c r="K254" s="57"/>
      <c r="L254" s="90"/>
      <c r="M254" s="254"/>
      <c r="N254" s="32"/>
      <c r="O254" s="32"/>
      <c r="Q254" s="250"/>
      <c r="R254" s="250"/>
      <c r="S254" s="250"/>
      <c r="T254" s="250"/>
    </row>
    <row r="255" spans="1:20" ht="19.95" customHeight="1" x14ac:dyDescent="0.25">
      <c r="A255" s="333">
        <v>100</v>
      </c>
      <c r="B255" s="334"/>
      <c r="C255" s="263" t="s">
        <v>6</v>
      </c>
      <c r="D255" s="275" t="s">
        <v>561</v>
      </c>
      <c r="E255" s="57">
        <f t="shared" ref="E255:F273" si="33">+G255+K255</f>
        <v>85</v>
      </c>
      <c r="F255" s="57">
        <f t="shared" si="32"/>
        <v>84.7</v>
      </c>
      <c r="G255" s="57">
        <f>81.3+1.5+0.1-2.1+4.2</f>
        <v>85</v>
      </c>
      <c r="H255" s="57">
        <v>84.7</v>
      </c>
      <c r="I255" s="57">
        <f>49+0.2-2.1</f>
        <v>47.1</v>
      </c>
      <c r="J255" s="57">
        <v>47</v>
      </c>
      <c r="K255" s="57"/>
      <c r="L255" s="90"/>
      <c r="M255" s="254"/>
      <c r="N255" s="32"/>
      <c r="O255" s="32"/>
      <c r="Q255" s="250"/>
      <c r="R255" s="250"/>
      <c r="S255" s="250"/>
      <c r="T255" s="250"/>
    </row>
    <row r="256" spans="1:20" ht="19.95" customHeight="1" x14ac:dyDescent="0.25">
      <c r="A256" s="333">
        <v>101</v>
      </c>
      <c r="B256" s="334"/>
      <c r="C256" s="253" t="s">
        <v>9</v>
      </c>
      <c r="D256" s="275" t="s">
        <v>562</v>
      </c>
      <c r="E256" s="57">
        <f t="shared" si="33"/>
        <v>66.8</v>
      </c>
      <c r="F256" s="57">
        <f t="shared" si="32"/>
        <v>66.599999999999994</v>
      </c>
      <c r="G256" s="57">
        <f>63.2+2.1-3.8+5.3</f>
        <v>66.8</v>
      </c>
      <c r="H256" s="57">
        <v>66.599999999999994</v>
      </c>
      <c r="I256" s="57">
        <f>43.4+2-6</f>
        <v>39.4</v>
      </c>
      <c r="J256" s="57">
        <v>39.4</v>
      </c>
      <c r="K256" s="57"/>
      <c r="L256" s="90"/>
      <c r="M256" s="254"/>
      <c r="N256" s="32"/>
      <c r="O256" s="32"/>
      <c r="Q256" s="250"/>
      <c r="R256" s="250"/>
      <c r="S256" s="250"/>
      <c r="T256" s="250"/>
    </row>
    <row r="257" spans="1:20" ht="21.6" customHeight="1" x14ac:dyDescent="0.25">
      <c r="A257" s="333">
        <v>102</v>
      </c>
      <c r="B257" s="334"/>
      <c r="C257" s="258" t="s">
        <v>10</v>
      </c>
      <c r="D257" s="275" t="s">
        <v>561</v>
      </c>
      <c r="E257" s="57">
        <f t="shared" si="33"/>
        <v>64.5</v>
      </c>
      <c r="F257" s="57">
        <f t="shared" si="32"/>
        <v>63.3</v>
      </c>
      <c r="G257" s="57">
        <f>68.1+3.4-7.5+0.5</f>
        <v>64.5</v>
      </c>
      <c r="H257" s="57">
        <v>63.3</v>
      </c>
      <c r="I257" s="57">
        <f>52.8+3.3-9.5</f>
        <v>46.599999999999994</v>
      </c>
      <c r="J257" s="57">
        <v>46.2</v>
      </c>
      <c r="K257" s="57"/>
      <c r="L257" s="90"/>
      <c r="M257" s="254"/>
      <c r="N257" s="32"/>
      <c r="O257" s="32"/>
      <c r="Q257" s="250"/>
      <c r="R257" s="250"/>
      <c r="S257" s="250"/>
      <c r="T257" s="250"/>
    </row>
    <row r="258" spans="1:20" ht="21" customHeight="1" x14ac:dyDescent="0.25">
      <c r="A258" s="333">
        <v>103</v>
      </c>
      <c r="B258" s="334"/>
      <c r="C258" s="253" t="s">
        <v>12</v>
      </c>
      <c r="D258" s="275" t="s">
        <v>561</v>
      </c>
      <c r="E258" s="57">
        <f>+G258+K258</f>
        <v>46.599999999999994</v>
      </c>
      <c r="F258" s="57">
        <f t="shared" si="32"/>
        <v>46.400000000000006</v>
      </c>
      <c r="G258" s="57">
        <f>41.3+0.9+1.4+1.2</f>
        <v>44.8</v>
      </c>
      <c r="H258" s="176">
        <v>44.7</v>
      </c>
      <c r="I258" s="176">
        <f>25.5+0.9+1.3+0.3</f>
        <v>28</v>
      </c>
      <c r="J258" s="176">
        <v>28</v>
      </c>
      <c r="K258" s="57">
        <v>1.8</v>
      </c>
      <c r="L258" s="90">
        <v>1.7</v>
      </c>
      <c r="M258" s="254"/>
      <c r="N258" s="280"/>
      <c r="O258" s="32"/>
      <c r="Q258" s="250"/>
      <c r="R258" s="250"/>
      <c r="S258" s="250"/>
      <c r="T258" s="250"/>
    </row>
    <row r="259" spans="1:20" ht="24.6" customHeight="1" x14ac:dyDescent="0.25">
      <c r="A259" s="333">
        <v>104</v>
      </c>
      <c r="B259" s="334"/>
      <c r="C259" s="263" t="s">
        <v>11</v>
      </c>
      <c r="D259" s="275" t="s">
        <v>561</v>
      </c>
      <c r="E259" s="57">
        <f t="shared" si="33"/>
        <v>57.500000000000007</v>
      </c>
      <c r="F259" s="57">
        <f t="shared" si="32"/>
        <v>55.8</v>
      </c>
      <c r="G259" s="57">
        <f>51.2+3.2+3.1</f>
        <v>57.500000000000007</v>
      </c>
      <c r="H259" s="176">
        <v>55.8</v>
      </c>
      <c r="I259" s="176">
        <f>40.9+3+0.4</f>
        <v>44.3</v>
      </c>
      <c r="J259" s="176">
        <v>43.9</v>
      </c>
      <c r="K259" s="57"/>
      <c r="L259" s="90"/>
      <c r="M259" s="254"/>
      <c r="N259" s="32"/>
      <c r="O259" s="32"/>
      <c r="Q259" s="250"/>
      <c r="R259" s="250"/>
      <c r="S259" s="250"/>
      <c r="T259" s="250"/>
    </row>
    <row r="260" spans="1:20" ht="22.95" customHeight="1" x14ac:dyDescent="0.25">
      <c r="A260" s="333">
        <v>105</v>
      </c>
      <c r="B260" s="334"/>
      <c r="C260" s="253" t="s">
        <v>13</v>
      </c>
      <c r="D260" s="275" t="s">
        <v>561</v>
      </c>
      <c r="E260" s="57">
        <f t="shared" si="33"/>
        <v>80.5</v>
      </c>
      <c r="F260" s="57">
        <f t="shared" si="32"/>
        <v>80.2</v>
      </c>
      <c r="G260" s="57">
        <f>63.7+3.9+2.1+0.7+1.1</f>
        <v>71.5</v>
      </c>
      <c r="H260" s="57">
        <v>71.2</v>
      </c>
      <c r="I260" s="57">
        <f>39.9+3.9+1.9+0.7</f>
        <v>46.4</v>
      </c>
      <c r="J260" s="57">
        <v>46.4</v>
      </c>
      <c r="K260" s="57">
        <f>3.8+5.2</f>
        <v>9</v>
      </c>
      <c r="L260" s="90">
        <v>9</v>
      </c>
      <c r="M260" s="254"/>
      <c r="N260" s="32"/>
      <c r="O260" s="32"/>
      <c r="Q260" s="250"/>
      <c r="R260" s="250"/>
      <c r="S260" s="250"/>
      <c r="T260" s="250"/>
    </row>
    <row r="261" spans="1:20" ht="20.399999999999999" customHeight="1" x14ac:dyDescent="0.25">
      <c r="A261" s="333">
        <v>106</v>
      </c>
      <c r="B261" s="334"/>
      <c r="C261" s="253" t="s">
        <v>14</v>
      </c>
      <c r="D261" s="275" t="s">
        <v>561</v>
      </c>
      <c r="E261" s="57">
        <f t="shared" si="33"/>
        <v>157.79999999999995</v>
      </c>
      <c r="F261" s="57">
        <f t="shared" si="32"/>
        <v>155.19999999999999</v>
      </c>
      <c r="G261" s="57">
        <f>148.7+6.7-2.8</f>
        <v>152.59999999999997</v>
      </c>
      <c r="H261" s="57">
        <v>150</v>
      </c>
      <c r="I261" s="57">
        <f>93.4+6.5-2.8</f>
        <v>97.100000000000009</v>
      </c>
      <c r="J261" s="57">
        <v>95.9</v>
      </c>
      <c r="K261" s="57">
        <v>5.2</v>
      </c>
      <c r="L261" s="90">
        <v>5.2</v>
      </c>
      <c r="M261" s="280"/>
      <c r="N261" s="32"/>
      <c r="O261" s="32"/>
      <c r="Q261" s="250"/>
      <c r="R261" s="250"/>
      <c r="S261" s="250"/>
      <c r="T261" s="250"/>
    </row>
    <row r="262" spans="1:20" x14ac:dyDescent="0.25">
      <c r="A262" s="333">
        <v>107</v>
      </c>
      <c r="B262" s="336" t="s">
        <v>563</v>
      </c>
      <c r="C262" s="35" t="s">
        <v>564</v>
      </c>
      <c r="D262" s="275"/>
      <c r="E262" s="61">
        <f t="shared" si="33"/>
        <v>43.8</v>
      </c>
      <c r="F262" s="61">
        <f t="shared" si="33"/>
        <v>43.7</v>
      </c>
      <c r="G262" s="61">
        <f t="shared" ref="G262:L263" si="34">+G263</f>
        <v>43.8</v>
      </c>
      <c r="H262" s="61">
        <f t="shared" si="34"/>
        <v>43.7</v>
      </c>
      <c r="I262" s="61">
        <f t="shared" si="34"/>
        <v>0</v>
      </c>
      <c r="J262" s="61">
        <f t="shared" si="34"/>
        <v>0</v>
      </c>
      <c r="K262" s="61">
        <f t="shared" si="34"/>
        <v>0</v>
      </c>
      <c r="L262" s="61">
        <f t="shared" si="34"/>
        <v>0</v>
      </c>
      <c r="M262" s="254"/>
      <c r="N262" s="32"/>
      <c r="O262" s="32"/>
      <c r="Q262" s="250"/>
      <c r="R262" s="250"/>
      <c r="S262" s="250"/>
      <c r="T262" s="250"/>
    </row>
    <row r="263" spans="1:20" ht="16.5" customHeight="1" x14ac:dyDescent="0.25">
      <c r="A263" s="333">
        <v>108</v>
      </c>
      <c r="B263" s="336"/>
      <c r="C263" s="258" t="s">
        <v>143</v>
      </c>
      <c r="D263" s="275"/>
      <c r="E263" s="57">
        <f t="shared" si="33"/>
        <v>43.8</v>
      </c>
      <c r="F263" s="57">
        <f t="shared" si="33"/>
        <v>43.7</v>
      </c>
      <c r="G263" s="57">
        <f t="shared" si="34"/>
        <v>43.8</v>
      </c>
      <c r="H263" s="57">
        <f t="shared" si="34"/>
        <v>43.7</v>
      </c>
      <c r="I263" s="57">
        <f t="shared" si="34"/>
        <v>0</v>
      </c>
      <c r="J263" s="57">
        <f t="shared" si="34"/>
        <v>0</v>
      </c>
      <c r="K263" s="57">
        <f t="shared" si="34"/>
        <v>0</v>
      </c>
      <c r="L263" s="57">
        <f t="shared" si="34"/>
        <v>0</v>
      </c>
      <c r="M263" s="254"/>
      <c r="N263" s="32"/>
      <c r="O263" s="32"/>
      <c r="Q263" s="250"/>
      <c r="R263" s="250"/>
      <c r="S263" s="250"/>
      <c r="T263" s="250"/>
    </row>
    <row r="264" spans="1:20" ht="34.200000000000003" customHeight="1" x14ac:dyDescent="0.25">
      <c r="A264" s="338" t="s">
        <v>565</v>
      </c>
      <c r="B264" s="334"/>
      <c r="C264" s="260" t="s">
        <v>303</v>
      </c>
      <c r="D264" s="289"/>
      <c r="E264" s="267">
        <f t="shared" si="33"/>
        <v>43.8</v>
      </c>
      <c r="F264" s="267">
        <f t="shared" si="33"/>
        <v>43.7</v>
      </c>
      <c r="G264" s="267">
        <f t="shared" ref="G264:L264" si="35">+G265+G266</f>
        <v>43.8</v>
      </c>
      <c r="H264" s="267">
        <f t="shared" si="35"/>
        <v>43.7</v>
      </c>
      <c r="I264" s="267">
        <f t="shared" si="35"/>
        <v>0</v>
      </c>
      <c r="J264" s="267">
        <f t="shared" si="35"/>
        <v>0</v>
      </c>
      <c r="K264" s="267">
        <f t="shared" si="35"/>
        <v>0</v>
      </c>
      <c r="L264" s="267">
        <f t="shared" si="35"/>
        <v>0</v>
      </c>
      <c r="M264" s="254"/>
      <c r="N264" s="32"/>
      <c r="O264" s="32"/>
      <c r="Q264" s="250"/>
      <c r="R264" s="250"/>
      <c r="S264" s="250"/>
      <c r="T264" s="250"/>
    </row>
    <row r="265" spans="1:20" ht="24" x14ac:dyDescent="0.25">
      <c r="A265" s="333" t="s">
        <v>566</v>
      </c>
      <c r="B265" s="334"/>
      <c r="C265" s="253" t="s">
        <v>567</v>
      </c>
      <c r="D265" s="275" t="s">
        <v>513</v>
      </c>
      <c r="E265" s="57">
        <f t="shared" si="33"/>
        <v>40</v>
      </c>
      <c r="F265" s="57">
        <f t="shared" si="33"/>
        <v>40</v>
      </c>
      <c r="G265" s="57">
        <v>40</v>
      </c>
      <c r="H265" s="57">
        <v>40</v>
      </c>
      <c r="I265" s="57"/>
      <c r="J265" s="57"/>
      <c r="K265" s="57"/>
      <c r="L265" s="90"/>
      <c r="M265" s="32"/>
      <c r="N265" s="32"/>
      <c r="O265" s="32"/>
      <c r="Q265" s="250"/>
      <c r="R265" s="250"/>
      <c r="S265" s="250"/>
      <c r="T265" s="250"/>
    </row>
    <row r="266" spans="1:20" ht="26.4" customHeight="1" x14ac:dyDescent="0.25">
      <c r="A266" s="333" t="s">
        <v>568</v>
      </c>
      <c r="B266" s="334"/>
      <c r="C266" s="253" t="s">
        <v>569</v>
      </c>
      <c r="D266" s="275" t="s">
        <v>570</v>
      </c>
      <c r="E266" s="57">
        <f>+G266+K266</f>
        <v>3.8</v>
      </c>
      <c r="F266" s="57">
        <f>+H266+L266</f>
        <v>3.7</v>
      </c>
      <c r="G266" s="57">
        <v>3.8</v>
      </c>
      <c r="H266" s="57">
        <v>3.7</v>
      </c>
      <c r="I266" s="57"/>
      <c r="J266" s="57"/>
      <c r="K266" s="57"/>
      <c r="L266" s="90"/>
      <c r="M266" s="32"/>
      <c r="N266" s="32"/>
      <c r="O266" s="32"/>
      <c r="Q266" s="250"/>
      <c r="R266" s="250"/>
      <c r="S266" s="250"/>
      <c r="T266" s="250"/>
    </row>
    <row r="267" spans="1:20" x14ac:dyDescent="0.25">
      <c r="A267" s="333">
        <v>109</v>
      </c>
      <c r="B267" s="336" t="s">
        <v>77</v>
      </c>
      <c r="C267" s="35" t="s">
        <v>571</v>
      </c>
      <c r="D267" s="247"/>
      <c r="E267" s="61">
        <f t="shared" si="33"/>
        <v>30</v>
      </c>
      <c r="F267" s="61">
        <f t="shared" si="33"/>
        <v>29</v>
      </c>
      <c r="G267" s="61">
        <f t="shared" ref="G267:L267" si="36">+G268</f>
        <v>30</v>
      </c>
      <c r="H267" s="61">
        <f t="shared" si="36"/>
        <v>29</v>
      </c>
      <c r="I267" s="61">
        <f t="shared" si="36"/>
        <v>0</v>
      </c>
      <c r="J267" s="61">
        <f t="shared" si="36"/>
        <v>0</v>
      </c>
      <c r="K267" s="61">
        <f t="shared" si="36"/>
        <v>0</v>
      </c>
      <c r="L267" s="61">
        <f t="shared" si="36"/>
        <v>0</v>
      </c>
      <c r="M267" s="32"/>
      <c r="N267" s="32"/>
      <c r="O267" s="32"/>
      <c r="Q267" s="250"/>
      <c r="R267" s="250"/>
      <c r="S267" s="250"/>
      <c r="T267" s="250"/>
    </row>
    <row r="268" spans="1:20" ht="13.95" customHeight="1" x14ac:dyDescent="0.25">
      <c r="A268" s="333">
        <v>110</v>
      </c>
      <c r="B268" s="336"/>
      <c r="C268" s="258" t="s">
        <v>291</v>
      </c>
      <c r="D268" s="247"/>
      <c r="E268" s="57">
        <f t="shared" si="33"/>
        <v>30</v>
      </c>
      <c r="F268" s="57">
        <f t="shared" si="33"/>
        <v>29</v>
      </c>
      <c r="G268" s="57">
        <f>+G269+G270</f>
        <v>30</v>
      </c>
      <c r="H268" s="57">
        <f>+H269+H270</f>
        <v>29</v>
      </c>
      <c r="I268" s="57">
        <f>SUM(I269:I269)</f>
        <v>0</v>
      </c>
      <c r="J268" s="57">
        <f>SUM(J269:J269)</f>
        <v>0</v>
      </c>
      <c r="K268" s="57">
        <f>SUM(K269:K269)</f>
        <v>0</v>
      </c>
      <c r="L268" s="57">
        <f>SUM(L269:L269)</f>
        <v>0</v>
      </c>
      <c r="M268" s="32"/>
      <c r="N268" s="32"/>
      <c r="O268" s="32"/>
      <c r="Q268" s="250"/>
      <c r="R268" s="250"/>
      <c r="S268" s="250"/>
      <c r="T268" s="250"/>
    </row>
    <row r="269" spans="1:20" ht="24" x14ac:dyDescent="0.25">
      <c r="A269" s="333" t="s">
        <v>572</v>
      </c>
      <c r="B269" s="334"/>
      <c r="C269" s="263" t="s">
        <v>573</v>
      </c>
      <c r="D269" s="337" t="s">
        <v>574</v>
      </c>
      <c r="E269" s="57">
        <f t="shared" si="33"/>
        <v>29</v>
      </c>
      <c r="F269" s="57">
        <f t="shared" si="33"/>
        <v>29</v>
      </c>
      <c r="G269" s="57">
        <v>29</v>
      </c>
      <c r="H269" s="57">
        <v>29</v>
      </c>
      <c r="I269" s="57"/>
      <c r="J269" s="57"/>
      <c r="K269" s="57"/>
      <c r="L269" s="90"/>
      <c r="M269" s="32"/>
      <c r="N269" s="32"/>
      <c r="O269" s="32"/>
      <c r="Q269" s="250"/>
      <c r="R269" s="250"/>
      <c r="S269" s="250"/>
      <c r="T269" s="250"/>
    </row>
    <row r="270" spans="1:20" ht="19.2" customHeight="1" x14ac:dyDescent="0.25">
      <c r="A270" s="333" t="s">
        <v>575</v>
      </c>
      <c r="B270" s="334"/>
      <c r="C270" s="263" t="s">
        <v>576</v>
      </c>
      <c r="D270" s="337" t="s">
        <v>577</v>
      </c>
      <c r="E270" s="57">
        <f t="shared" si="33"/>
        <v>1</v>
      </c>
      <c r="F270" s="57">
        <f t="shared" si="33"/>
        <v>0</v>
      </c>
      <c r="G270" s="57">
        <v>1</v>
      </c>
      <c r="H270" s="57">
        <v>0</v>
      </c>
      <c r="I270" s="57"/>
      <c r="J270" s="57"/>
      <c r="K270" s="57"/>
      <c r="L270" s="90"/>
      <c r="M270" s="32"/>
      <c r="N270" s="32"/>
      <c r="O270" s="32"/>
      <c r="Q270" s="250"/>
      <c r="R270" s="250"/>
      <c r="S270" s="250"/>
      <c r="T270" s="250"/>
    </row>
    <row r="271" spans="1:20" x14ac:dyDescent="0.25">
      <c r="A271" s="333">
        <v>111</v>
      </c>
      <c r="B271" s="336" t="s">
        <v>25</v>
      </c>
      <c r="C271" s="35" t="s">
        <v>26</v>
      </c>
      <c r="D271" s="247"/>
      <c r="E271" s="61">
        <f t="shared" si="33"/>
        <v>7101.2</v>
      </c>
      <c r="F271" s="61">
        <f t="shared" si="33"/>
        <v>6822.8</v>
      </c>
      <c r="G271" s="61">
        <f t="shared" ref="G271:L271" si="37">+G272+G273+G274+G287+G289+G291+G293+G295+G296+G298+G300+G302+G304+G306</f>
        <v>6981.2</v>
      </c>
      <c r="H271" s="61">
        <f t="shared" si="37"/>
        <v>6704.5</v>
      </c>
      <c r="I271" s="61">
        <f t="shared" si="37"/>
        <v>3481.2</v>
      </c>
      <c r="J271" s="61">
        <f t="shared" si="37"/>
        <v>3404.8</v>
      </c>
      <c r="K271" s="61">
        <f t="shared" si="37"/>
        <v>119.99999999999999</v>
      </c>
      <c r="L271" s="61">
        <f t="shared" si="37"/>
        <v>118.3</v>
      </c>
      <c r="M271" s="32"/>
      <c r="N271" s="32"/>
      <c r="O271" s="32"/>
      <c r="Q271" s="250"/>
      <c r="R271" s="250"/>
      <c r="S271" s="250"/>
      <c r="T271" s="250"/>
    </row>
    <row r="272" spans="1:20" ht="16.2" customHeight="1" x14ac:dyDescent="0.25">
      <c r="A272" s="333">
        <v>112</v>
      </c>
      <c r="B272" s="336"/>
      <c r="C272" s="253" t="s">
        <v>27</v>
      </c>
      <c r="D272" s="337" t="s">
        <v>28</v>
      </c>
      <c r="E272" s="57">
        <f t="shared" si="33"/>
        <v>16.3</v>
      </c>
      <c r="F272" s="57">
        <f t="shared" si="33"/>
        <v>16.3</v>
      </c>
      <c r="G272" s="57">
        <v>16.3</v>
      </c>
      <c r="H272" s="57">
        <v>16.3</v>
      </c>
      <c r="I272" s="57">
        <v>10.5</v>
      </c>
      <c r="J272" s="57">
        <v>10.5</v>
      </c>
      <c r="K272" s="57"/>
      <c r="L272" s="90"/>
      <c r="M272" s="32"/>
      <c r="N272" s="32"/>
      <c r="O272" s="32"/>
      <c r="Q272" s="250"/>
      <c r="R272" s="250"/>
      <c r="S272" s="250"/>
      <c r="T272" s="250"/>
    </row>
    <row r="273" spans="1:20" ht="15" customHeight="1" x14ac:dyDescent="0.25">
      <c r="A273" s="333">
        <v>113</v>
      </c>
      <c r="B273" s="336"/>
      <c r="C273" s="258" t="s">
        <v>578</v>
      </c>
      <c r="D273" s="337" t="s">
        <v>579</v>
      </c>
      <c r="E273" s="57">
        <f t="shared" si="33"/>
        <v>126.5</v>
      </c>
      <c r="F273" s="57">
        <f t="shared" si="33"/>
        <v>126.5</v>
      </c>
      <c r="G273" s="57">
        <f>112.7+0.2+7.1+4.9</f>
        <v>124.9</v>
      </c>
      <c r="H273" s="57">
        <v>124.9</v>
      </c>
      <c r="I273" s="57">
        <f>104.6+6.8+2+4.9</f>
        <v>118.3</v>
      </c>
      <c r="J273" s="57">
        <v>118.3</v>
      </c>
      <c r="K273" s="57">
        <v>1.6</v>
      </c>
      <c r="L273" s="90">
        <v>1.6</v>
      </c>
      <c r="M273" s="32"/>
      <c r="N273" s="32"/>
      <c r="O273" s="32"/>
      <c r="Q273" s="250"/>
      <c r="R273" s="250"/>
      <c r="S273" s="250"/>
      <c r="T273" s="250"/>
    </row>
    <row r="274" spans="1:20" ht="15" customHeight="1" x14ac:dyDescent="0.25">
      <c r="A274" s="333">
        <v>114</v>
      </c>
      <c r="B274" s="336"/>
      <c r="C274" s="258" t="s">
        <v>291</v>
      </c>
      <c r="D274" s="337"/>
      <c r="E274" s="57">
        <f>+G274+K274</f>
        <v>5940.3</v>
      </c>
      <c r="F274" s="57">
        <f>+H274+L274</f>
        <v>5690.3</v>
      </c>
      <c r="G274" s="57">
        <f t="shared" ref="G274:L274" si="38">+G275+G276+G277+G278+G279+G280+G281+G282+G283+G285+G284</f>
        <v>5863.7</v>
      </c>
      <c r="H274" s="57">
        <f t="shared" si="38"/>
        <v>5615.2</v>
      </c>
      <c r="I274" s="57">
        <f t="shared" si="38"/>
        <v>2646.1</v>
      </c>
      <c r="J274" s="57">
        <f t="shared" si="38"/>
        <v>2584.5</v>
      </c>
      <c r="K274" s="57">
        <f t="shared" si="38"/>
        <v>76.599999999999994</v>
      </c>
      <c r="L274" s="57">
        <f t="shared" si="38"/>
        <v>75.099999999999994</v>
      </c>
      <c r="M274" s="32"/>
      <c r="N274" s="32"/>
      <c r="O274" s="32"/>
      <c r="Q274" s="250"/>
      <c r="R274" s="250"/>
      <c r="S274" s="250"/>
      <c r="T274" s="250"/>
    </row>
    <row r="275" spans="1:20" ht="71.400000000000006" x14ac:dyDescent="0.25">
      <c r="A275" s="333" t="s">
        <v>580</v>
      </c>
      <c r="B275" s="336"/>
      <c r="C275" s="258" t="s">
        <v>576</v>
      </c>
      <c r="D275" s="337" t="s">
        <v>581</v>
      </c>
      <c r="E275" s="57">
        <f>+G275+K275</f>
        <v>3870.6</v>
      </c>
      <c r="F275" s="57">
        <f t="shared" ref="F275:F284" si="39">+H275+L275</f>
        <v>3781.2</v>
      </c>
      <c r="G275" s="57">
        <f>3575.4-90+5.4+6.5+143+31+122.7</f>
        <v>3794</v>
      </c>
      <c r="H275" s="57">
        <v>3706.1</v>
      </c>
      <c r="I275" s="57">
        <f>2360.8+25.5+139.6+120.2</f>
        <v>2646.1</v>
      </c>
      <c r="J275" s="176">
        <f>2584.4+0.1</f>
        <v>2584.5</v>
      </c>
      <c r="K275" s="176">
        <v>76.599999999999994</v>
      </c>
      <c r="L275" s="206">
        <f>75+0.1</f>
        <v>75.099999999999994</v>
      </c>
      <c r="M275" s="32"/>
      <c r="N275" s="32"/>
      <c r="O275" s="32"/>
      <c r="Q275" s="250"/>
      <c r="R275" s="250"/>
      <c r="S275" s="250"/>
      <c r="T275" s="250"/>
    </row>
    <row r="276" spans="1:20" ht="24" x14ac:dyDescent="0.25">
      <c r="A276" s="333" t="s">
        <v>582</v>
      </c>
      <c r="B276" s="334"/>
      <c r="C276" s="263" t="s">
        <v>583</v>
      </c>
      <c r="D276" s="337" t="s">
        <v>584</v>
      </c>
      <c r="E276" s="57">
        <f t="shared" ref="E276:F307" si="40">+G276+K276</f>
        <v>80.7</v>
      </c>
      <c r="F276" s="57">
        <f t="shared" si="39"/>
        <v>-62.3</v>
      </c>
      <c r="G276" s="57">
        <f>180-10-89.3</f>
        <v>80.7</v>
      </c>
      <c r="H276" s="57">
        <v>-62.3</v>
      </c>
      <c r="I276" s="57"/>
      <c r="J276" s="57"/>
      <c r="K276" s="57"/>
      <c r="L276" s="90"/>
      <c r="M276" s="32"/>
      <c r="N276" s="32"/>
      <c r="O276" s="32"/>
      <c r="Q276" s="250"/>
      <c r="R276" s="250"/>
      <c r="S276" s="250"/>
      <c r="T276" s="250"/>
    </row>
    <row r="277" spans="1:20" ht="15.6" customHeight="1" x14ac:dyDescent="0.25">
      <c r="A277" s="333" t="s">
        <v>585</v>
      </c>
      <c r="B277" s="334"/>
      <c r="C277" s="263" t="s">
        <v>781</v>
      </c>
      <c r="D277" s="337" t="s">
        <v>35</v>
      </c>
      <c r="E277" s="57">
        <f t="shared" si="40"/>
        <v>22.4</v>
      </c>
      <c r="F277" s="57">
        <f t="shared" si="39"/>
        <v>20.399999999999999</v>
      </c>
      <c r="G277" s="57">
        <v>22.4</v>
      </c>
      <c r="H277" s="176">
        <f>20.5-0.1</f>
        <v>20.399999999999999</v>
      </c>
      <c r="I277" s="57"/>
      <c r="J277" s="57"/>
      <c r="K277" s="57"/>
      <c r="L277" s="90"/>
      <c r="M277" s="254"/>
      <c r="N277" s="254"/>
      <c r="O277" s="32"/>
      <c r="Q277" s="250"/>
      <c r="R277" s="250"/>
      <c r="S277" s="250"/>
      <c r="T277" s="250"/>
    </row>
    <row r="278" spans="1:20" x14ac:dyDescent="0.25">
      <c r="A278" s="333" t="s">
        <v>586</v>
      </c>
      <c r="B278" s="334"/>
      <c r="C278" s="263" t="s">
        <v>587</v>
      </c>
      <c r="D278" s="337" t="s">
        <v>588</v>
      </c>
      <c r="E278" s="57">
        <f>+G278+K278</f>
        <v>614.70000000000005</v>
      </c>
      <c r="F278" s="57">
        <f t="shared" si="39"/>
        <v>614.70000000000005</v>
      </c>
      <c r="G278" s="57">
        <f>260+140+50+105.7+59</f>
        <v>614.70000000000005</v>
      </c>
      <c r="H278" s="57">
        <v>614.70000000000005</v>
      </c>
      <c r="I278" s="57"/>
      <c r="J278" s="57"/>
      <c r="K278" s="57"/>
      <c r="L278" s="90"/>
      <c r="M278" s="254"/>
      <c r="N278" s="254"/>
      <c r="O278" s="32"/>
      <c r="Q278" s="250"/>
      <c r="R278" s="250"/>
      <c r="S278" s="250"/>
      <c r="T278" s="250"/>
    </row>
    <row r="279" spans="1:20" ht="15" customHeight="1" x14ac:dyDescent="0.25">
      <c r="A279" s="333" t="s">
        <v>589</v>
      </c>
      <c r="B279" s="334"/>
      <c r="C279" s="263" t="s">
        <v>590</v>
      </c>
      <c r="D279" s="337" t="s">
        <v>35</v>
      </c>
      <c r="E279" s="57">
        <f t="shared" si="40"/>
        <v>14.9</v>
      </c>
      <c r="F279" s="57">
        <f t="shared" si="39"/>
        <v>14.9</v>
      </c>
      <c r="G279" s="57">
        <v>14.9</v>
      </c>
      <c r="H279" s="57">
        <v>14.9</v>
      </c>
      <c r="I279" s="57"/>
      <c r="J279" s="57"/>
      <c r="K279" s="57"/>
      <c r="L279" s="90"/>
      <c r="M279" s="254"/>
      <c r="N279" s="254"/>
      <c r="O279" s="32"/>
      <c r="Q279" s="250"/>
      <c r="R279" s="250"/>
      <c r="S279" s="250"/>
      <c r="T279" s="250"/>
    </row>
    <row r="280" spans="1:20" ht="24" x14ac:dyDescent="0.25">
      <c r="A280" s="333" t="s">
        <v>591</v>
      </c>
      <c r="B280" s="334"/>
      <c r="C280" s="263" t="s">
        <v>592</v>
      </c>
      <c r="D280" s="337" t="s">
        <v>593</v>
      </c>
      <c r="E280" s="57">
        <f>+G280+K280</f>
        <v>12</v>
      </c>
      <c r="F280" s="57">
        <f t="shared" si="39"/>
        <v>12</v>
      </c>
      <c r="G280" s="57">
        <v>12</v>
      </c>
      <c r="H280" s="57">
        <v>12</v>
      </c>
      <c r="I280" s="57"/>
      <c r="J280" s="57"/>
      <c r="K280" s="57"/>
      <c r="L280" s="90"/>
      <c r="M280" s="254"/>
      <c r="N280" s="254"/>
      <c r="O280" s="32"/>
      <c r="Q280" s="250"/>
      <c r="R280" s="250"/>
      <c r="S280" s="250"/>
      <c r="T280" s="250"/>
    </row>
    <row r="281" spans="1:20" ht="12.6" customHeight="1" x14ac:dyDescent="0.25">
      <c r="A281" s="333" t="s">
        <v>594</v>
      </c>
      <c r="B281" s="334"/>
      <c r="C281" s="263" t="s">
        <v>595</v>
      </c>
      <c r="D281" s="337" t="s">
        <v>596</v>
      </c>
      <c r="E281" s="57">
        <f t="shared" si="40"/>
        <v>70</v>
      </c>
      <c r="F281" s="57">
        <f t="shared" si="39"/>
        <v>54.6</v>
      </c>
      <c r="G281" s="57">
        <v>70</v>
      </c>
      <c r="H281" s="57">
        <v>54.6</v>
      </c>
      <c r="I281" s="57"/>
      <c r="J281" s="57"/>
      <c r="K281" s="57"/>
      <c r="L281" s="90"/>
      <c r="M281" s="254"/>
      <c r="N281" s="254"/>
      <c r="O281" s="32"/>
      <c r="Q281" s="250"/>
      <c r="R281" s="250"/>
      <c r="S281" s="250"/>
      <c r="T281" s="250"/>
    </row>
    <row r="282" spans="1:20" ht="12.6" customHeight="1" x14ac:dyDescent="0.25">
      <c r="A282" s="333" t="s">
        <v>597</v>
      </c>
      <c r="B282" s="334"/>
      <c r="C282" s="263" t="s">
        <v>598</v>
      </c>
      <c r="D282" s="337" t="s">
        <v>599</v>
      </c>
      <c r="E282" s="57">
        <f t="shared" si="40"/>
        <v>48.1</v>
      </c>
      <c r="F282" s="57">
        <f t="shared" si="39"/>
        <v>48.1</v>
      </c>
      <c r="G282" s="57">
        <v>48.1</v>
      </c>
      <c r="H282" s="57">
        <v>48.1</v>
      </c>
      <c r="I282" s="57"/>
      <c r="J282" s="57"/>
      <c r="K282" s="57"/>
      <c r="L282" s="90"/>
      <c r="M282" s="254"/>
      <c r="N282" s="254"/>
      <c r="O282" s="32"/>
      <c r="Q282" s="250"/>
      <c r="R282" s="250"/>
      <c r="S282" s="250"/>
      <c r="T282" s="250"/>
    </row>
    <row r="283" spans="1:20" x14ac:dyDescent="0.25">
      <c r="A283" s="333" t="s">
        <v>600</v>
      </c>
      <c r="B283" s="334"/>
      <c r="C283" s="263" t="s">
        <v>601</v>
      </c>
      <c r="D283" s="337" t="s">
        <v>602</v>
      </c>
      <c r="E283" s="57">
        <f t="shared" si="40"/>
        <v>1000</v>
      </c>
      <c r="F283" s="57">
        <f t="shared" si="39"/>
        <v>1000</v>
      </c>
      <c r="G283" s="57">
        <f>733.3+266.7</f>
        <v>1000</v>
      </c>
      <c r="H283" s="57">
        <v>1000</v>
      </c>
      <c r="I283" s="57"/>
      <c r="J283" s="57"/>
      <c r="K283" s="57"/>
      <c r="L283" s="90"/>
      <c r="M283" s="254"/>
      <c r="N283" s="254"/>
      <c r="O283" s="32"/>
      <c r="Q283" s="250"/>
      <c r="R283" s="250"/>
      <c r="S283" s="250"/>
      <c r="T283" s="250"/>
    </row>
    <row r="284" spans="1:20" x14ac:dyDescent="0.25">
      <c r="A284" s="333" t="s">
        <v>603</v>
      </c>
      <c r="B284" s="334"/>
      <c r="C284" s="263" t="s">
        <v>604</v>
      </c>
      <c r="D284" s="337" t="s">
        <v>602</v>
      </c>
      <c r="E284" s="57">
        <f t="shared" si="40"/>
        <v>205.4</v>
      </c>
      <c r="F284" s="57">
        <f t="shared" si="39"/>
        <v>205.4</v>
      </c>
      <c r="G284" s="57">
        <f>204.5+0.9</f>
        <v>205.4</v>
      </c>
      <c r="H284" s="57">
        <v>205.4</v>
      </c>
      <c r="I284" s="57"/>
      <c r="J284" s="57"/>
      <c r="K284" s="57"/>
      <c r="L284" s="90"/>
      <c r="M284" s="254"/>
      <c r="N284" s="254"/>
      <c r="O284" s="32"/>
      <c r="Q284" s="250"/>
      <c r="R284" s="250"/>
      <c r="S284" s="250"/>
      <c r="T284" s="250"/>
    </row>
    <row r="285" spans="1:20" ht="36" x14ac:dyDescent="0.25">
      <c r="A285" s="333" t="s">
        <v>605</v>
      </c>
      <c r="B285" s="334"/>
      <c r="C285" s="260" t="s">
        <v>303</v>
      </c>
      <c r="D285" s="289"/>
      <c r="E285" s="267">
        <f t="shared" si="40"/>
        <v>1.5</v>
      </c>
      <c r="F285" s="267">
        <f t="shared" si="40"/>
        <v>1.3</v>
      </c>
      <c r="G285" s="267">
        <f>+G286</f>
        <v>1.5</v>
      </c>
      <c r="H285" s="267">
        <f>+H286</f>
        <v>1.3</v>
      </c>
      <c r="I285" s="57"/>
      <c r="J285" s="57"/>
      <c r="K285" s="57"/>
      <c r="L285" s="90"/>
      <c r="M285" s="254"/>
      <c r="N285" s="254"/>
      <c r="O285" s="32"/>
      <c r="Q285" s="250"/>
      <c r="R285" s="250"/>
      <c r="S285" s="250"/>
      <c r="T285" s="250"/>
    </row>
    <row r="286" spans="1:20" ht="24" x14ac:dyDescent="0.25">
      <c r="A286" s="333" t="s">
        <v>606</v>
      </c>
      <c r="B286" s="334"/>
      <c r="C286" s="263" t="s">
        <v>142</v>
      </c>
      <c r="D286" s="337" t="s">
        <v>35</v>
      </c>
      <c r="E286" s="57">
        <f t="shared" si="40"/>
        <v>1.5</v>
      </c>
      <c r="F286" s="57">
        <f t="shared" si="40"/>
        <v>1.3</v>
      </c>
      <c r="G286" s="57">
        <f>14.7-13.2</f>
        <v>1.5</v>
      </c>
      <c r="H286" s="57">
        <v>1.3</v>
      </c>
      <c r="I286" s="57"/>
      <c r="J286" s="57"/>
      <c r="K286" s="57"/>
      <c r="L286" s="90"/>
      <c r="M286" s="254"/>
      <c r="N286" s="254"/>
      <c r="O286" s="32"/>
      <c r="Q286" s="250"/>
      <c r="R286" s="250"/>
      <c r="S286" s="250"/>
      <c r="T286" s="250"/>
    </row>
    <row r="287" spans="1:20" ht="20.399999999999999" customHeight="1" x14ac:dyDescent="0.25">
      <c r="A287" s="385">
        <v>115</v>
      </c>
      <c r="B287" s="386"/>
      <c r="C287" s="253" t="s">
        <v>8</v>
      </c>
      <c r="D287" s="337" t="s">
        <v>607</v>
      </c>
      <c r="E287" s="57">
        <f t="shared" si="40"/>
        <v>150.99999999999997</v>
      </c>
      <c r="F287" s="57">
        <f t="shared" si="40"/>
        <v>134.9</v>
      </c>
      <c r="G287" s="57">
        <f>125.2+G288+2.1+10.6+10.2</f>
        <v>150.99999999999997</v>
      </c>
      <c r="H287" s="57">
        <v>134.9</v>
      </c>
      <c r="I287" s="57">
        <f>99+I288+10.4+7</f>
        <v>119.2</v>
      </c>
      <c r="J287" s="57">
        <v>106.9</v>
      </c>
      <c r="K287" s="57"/>
      <c r="L287" s="90"/>
      <c r="M287" s="254"/>
      <c r="N287" s="254"/>
      <c r="O287" s="32"/>
      <c r="Q287" s="250"/>
      <c r="R287" s="250"/>
      <c r="S287" s="250"/>
      <c r="T287" s="250"/>
    </row>
    <row r="288" spans="1:20" x14ac:dyDescent="0.25">
      <c r="A288" s="385"/>
      <c r="B288" s="386"/>
      <c r="C288" s="253" t="s">
        <v>608</v>
      </c>
      <c r="D288" s="337" t="s">
        <v>609</v>
      </c>
      <c r="E288" s="57">
        <f t="shared" si="40"/>
        <v>2.9</v>
      </c>
      <c r="F288" s="57">
        <f t="shared" si="40"/>
        <v>2.8</v>
      </c>
      <c r="G288" s="57">
        <v>2.9</v>
      </c>
      <c r="H288" s="57">
        <v>2.8</v>
      </c>
      <c r="I288" s="57">
        <v>2.8</v>
      </c>
      <c r="J288" s="57">
        <v>2.8</v>
      </c>
      <c r="K288" s="57"/>
      <c r="L288" s="90"/>
      <c r="M288" s="254"/>
      <c r="N288" s="254"/>
      <c r="O288" s="32"/>
      <c r="Q288" s="250"/>
      <c r="R288" s="250"/>
      <c r="S288" s="250"/>
      <c r="T288" s="250"/>
    </row>
    <row r="289" spans="1:20" ht="20.399999999999999" x14ac:dyDescent="0.25">
      <c r="A289" s="385">
        <v>116</v>
      </c>
      <c r="B289" s="386"/>
      <c r="C289" s="253" t="s">
        <v>4</v>
      </c>
      <c r="D289" s="337" t="s">
        <v>607</v>
      </c>
      <c r="E289" s="57">
        <f t="shared" si="40"/>
        <v>58.999999999999993</v>
      </c>
      <c r="F289" s="57">
        <f t="shared" si="40"/>
        <v>58.6</v>
      </c>
      <c r="G289" s="57">
        <f>51.5+G290+0.3+3.3</f>
        <v>57.999999999999993</v>
      </c>
      <c r="H289" s="57">
        <v>57.6</v>
      </c>
      <c r="I289" s="57">
        <f>44.8+I290+3.3-6.4</f>
        <v>44.499999999999993</v>
      </c>
      <c r="J289" s="57">
        <v>44.5</v>
      </c>
      <c r="K289" s="57">
        <v>1</v>
      </c>
      <c r="L289" s="90">
        <v>1</v>
      </c>
      <c r="M289" s="254"/>
      <c r="N289" s="254"/>
      <c r="O289" s="32"/>
      <c r="Q289" s="250"/>
      <c r="R289" s="250"/>
      <c r="S289" s="250"/>
      <c r="T289" s="250"/>
    </row>
    <row r="290" spans="1:20" x14ac:dyDescent="0.25">
      <c r="A290" s="385"/>
      <c r="B290" s="386"/>
      <c r="C290" s="253" t="s">
        <v>608</v>
      </c>
      <c r="D290" s="337" t="s">
        <v>609</v>
      </c>
      <c r="E290" s="57">
        <f t="shared" si="40"/>
        <v>2.9</v>
      </c>
      <c r="F290" s="57">
        <f t="shared" si="40"/>
        <v>2.8</v>
      </c>
      <c r="G290" s="57">
        <v>2.9</v>
      </c>
      <c r="H290" s="57">
        <v>2.8</v>
      </c>
      <c r="I290" s="57">
        <v>2.8</v>
      </c>
      <c r="J290" s="57">
        <v>2.8</v>
      </c>
      <c r="K290" s="57"/>
      <c r="L290" s="90"/>
      <c r="M290" s="254"/>
      <c r="N290" s="254"/>
      <c r="O290" s="32"/>
      <c r="Q290" s="250"/>
      <c r="R290" s="250"/>
      <c r="S290" s="250"/>
      <c r="T290" s="250"/>
    </row>
    <row r="291" spans="1:20" ht="20.399999999999999" x14ac:dyDescent="0.25">
      <c r="A291" s="385">
        <v>117</v>
      </c>
      <c r="B291" s="386"/>
      <c r="C291" s="253" t="s">
        <v>5</v>
      </c>
      <c r="D291" s="337" t="s">
        <v>607</v>
      </c>
      <c r="E291" s="57">
        <f t="shared" si="40"/>
        <v>80.500000000000014</v>
      </c>
      <c r="F291" s="57">
        <f t="shared" si="40"/>
        <v>80.2</v>
      </c>
      <c r="G291" s="57">
        <f>69.5+G292+3.3+1.7+1.4+1.7</f>
        <v>80.500000000000014</v>
      </c>
      <c r="H291" s="57">
        <v>80.2</v>
      </c>
      <c r="I291" s="57">
        <f>47.6+I292+1.7+1.4+1.7</f>
        <v>55.2</v>
      </c>
      <c r="J291" s="57">
        <v>55.2</v>
      </c>
      <c r="K291" s="57"/>
      <c r="L291" s="90"/>
      <c r="M291" s="254"/>
      <c r="N291" s="254"/>
      <c r="O291" s="32"/>
      <c r="Q291" s="250"/>
      <c r="R291" s="250"/>
      <c r="S291" s="250"/>
      <c r="T291" s="250"/>
    </row>
    <row r="292" spans="1:20" x14ac:dyDescent="0.25">
      <c r="A292" s="385"/>
      <c r="B292" s="386"/>
      <c r="C292" s="253" t="s">
        <v>608</v>
      </c>
      <c r="D292" s="337" t="s">
        <v>609</v>
      </c>
      <c r="E292" s="57">
        <f t="shared" si="40"/>
        <v>2.9</v>
      </c>
      <c r="F292" s="57">
        <f t="shared" si="40"/>
        <v>2.9</v>
      </c>
      <c r="G292" s="57">
        <v>2.9</v>
      </c>
      <c r="H292" s="57">
        <v>2.9</v>
      </c>
      <c r="I292" s="57">
        <v>2.8</v>
      </c>
      <c r="J292" s="57">
        <v>2.8</v>
      </c>
      <c r="K292" s="57"/>
      <c r="L292" s="90"/>
      <c r="M292" s="254"/>
      <c r="N292" s="254"/>
      <c r="O292" s="32"/>
      <c r="Q292" s="250"/>
      <c r="R292" s="250"/>
      <c r="S292" s="250"/>
      <c r="T292" s="250"/>
    </row>
    <row r="293" spans="1:20" ht="20.399999999999999" x14ac:dyDescent="0.25">
      <c r="A293" s="385">
        <v>118</v>
      </c>
      <c r="B293" s="386"/>
      <c r="C293" s="253" t="s">
        <v>7</v>
      </c>
      <c r="D293" s="337" t="s">
        <v>607</v>
      </c>
      <c r="E293" s="57">
        <f t="shared" si="40"/>
        <v>71.600000000000009</v>
      </c>
      <c r="F293" s="57">
        <f t="shared" si="40"/>
        <v>69.600000000000009</v>
      </c>
      <c r="G293" s="57">
        <f>64.8+G294+2.2+5-8.3</f>
        <v>66.600000000000009</v>
      </c>
      <c r="H293" s="57">
        <v>64.7</v>
      </c>
      <c r="I293" s="57">
        <f>45.8+I294+5-3.3</f>
        <v>50.3</v>
      </c>
      <c r="J293" s="57">
        <v>48.8</v>
      </c>
      <c r="K293" s="57">
        <v>5</v>
      </c>
      <c r="L293" s="90">
        <v>4.9000000000000004</v>
      </c>
      <c r="M293" s="254"/>
      <c r="N293" s="254"/>
      <c r="O293" s="32"/>
      <c r="P293" s="290"/>
      <c r="Q293" s="250"/>
      <c r="R293" s="250"/>
      <c r="S293" s="250"/>
      <c r="T293" s="250"/>
    </row>
    <row r="294" spans="1:20" ht="16.2" customHeight="1" x14ac:dyDescent="0.25">
      <c r="A294" s="385"/>
      <c r="B294" s="386"/>
      <c r="C294" s="253" t="s">
        <v>608</v>
      </c>
      <c r="D294" s="337" t="s">
        <v>609</v>
      </c>
      <c r="E294" s="57">
        <f t="shared" si="40"/>
        <v>2.9</v>
      </c>
      <c r="F294" s="57">
        <f t="shared" si="40"/>
        <v>1.8</v>
      </c>
      <c r="G294" s="57">
        <v>2.9</v>
      </c>
      <c r="H294" s="57">
        <v>1.8</v>
      </c>
      <c r="I294" s="57">
        <v>2.8</v>
      </c>
      <c r="J294" s="57">
        <v>1.7</v>
      </c>
      <c r="K294" s="57"/>
      <c r="L294" s="90"/>
      <c r="M294" s="254"/>
      <c r="N294" s="254"/>
      <c r="O294" s="32"/>
      <c r="Q294" s="250"/>
      <c r="R294" s="250"/>
      <c r="S294" s="250"/>
      <c r="T294" s="250"/>
    </row>
    <row r="295" spans="1:20" ht="12.75" customHeight="1" x14ac:dyDescent="0.25">
      <c r="A295" s="333">
        <v>119</v>
      </c>
      <c r="B295" s="334"/>
      <c r="C295" s="253" t="s">
        <v>6</v>
      </c>
      <c r="D295" s="291" t="s">
        <v>610</v>
      </c>
      <c r="E295" s="57">
        <f t="shared" si="40"/>
        <v>63.1</v>
      </c>
      <c r="F295" s="57">
        <f t="shared" si="40"/>
        <v>62.8</v>
      </c>
      <c r="G295" s="57">
        <f>55.6+0.4+3.5+2.1+1.5</f>
        <v>63.1</v>
      </c>
      <c r="H295" s="57">
        <v>62.8</v>
      </c>
      <c r="I295" s="57">
        <f>44+3.4+2.1+0.7</f>
        <v>50.2</v>
      </c>
      <c r="J295" s="57">
        <v>50.1</v>
      </c>
      <c r="K295" s="57"/>
      <c r="L295" s="90"/>
      <c r="M295" s="254"/>
      <c r="N295" s="254"/>
      <c r="O295" s="32"/>
      <c r="Q295" s="250"/>
      <c r="R295" s="250"/>
      <c r="S295" s="250"/>
      <c r="T295" s="250"/>
    </row>
    <row r="296" spans="1:20" ht="20.399999999999999" x14ac:dyDescent="0.25">
      <c r="A296" s="385">
        <v>120</v>
      </c>
      <c r="B296" s="386"/>
      <c r="C296" s="253" t="s">
        <v>9</v>
      </c>
      <c r="D296" s="337" t="s">
        <v>607</v>
      </c>
      <c r="E296" s="57">
        <f t="shared" si="40"/>
        <v>78.2</v>
      </c>
      <c r="F296" s="57">
        <f t="shared" si="40"/>
        <v>77.900000000000006</v>
      </c>
      <c r="G296" s="57">
        <f>65.1+G297+2.6+3.2+4.4</f>
        <v>78.2</v>
      </c>
      <c r="H296" s="57">
        <v>77.900000000000006</v>
      </c>
      <c r="I296" s="57">
        <f>46.9+I297+3.2+6.5</f>
        <v>59.4</v>
      </c>
      <c r="J296" s="57">
        <v>59.3</v>
      </c>
      <c r="K296" s="57"/>
      <c r="L296" s="90"/>
      <c r="M296" s="254"/>
      <c r="N296" s="254"/>
      <c r="O296" s="32"/>
      <c r="Q296" s="250"/>
      <c r="R296" s="250"/>
      <c r="S296" s="250"/>
      <c r="T296" s="250"/>
    </row>
    <row r="297" spans="1:20" x14ac:dyDescent="0.25">
      <c r="A297" s="385"/>
      <c r="B297" s="386"/>
      <c r="C297" s="253" t="s">
        <v>608</v>
      </c>
      <c r="D297" s="337" t="s">
        <v>609</v>
      </c>
      <c r="E297" s="57">
        <f t="shared" si="40"/>
        <v>2.9</v>
      </c>
      <c r="F297" s="57">
        <f t="shared" si="40"/>
        <v>2.9</v>
      </c>
      <c r="G297" s="57">
        <v>2.9</v>
      </c>
      <c r="H297" s="57">
        <v>2.9</v>
      </c>
      <c r="I297" s="57">
        <v>2.8</v>
      </c>
      <c r="J297" s="57">
        <v>2.8</v>
      </c>
      <c r="K297" s="57"/>
      <c r="L297" s="90"/>
      <c r="M297" s="254"/>
      <c r="N297" s="254"/>
      <c r="O297" s="32"/>
      <c r="Q297" s="250"/>
      <c r="R297" s="250"/>
      <c r="S297" s="250"/>
      <c r="T297" s="250"/>
    </row>
    <row r="298" spans="1:20" ht="20.399999999999999" x14ac:dyDescent="0.25">
      <c r="A298" s="385">
        <v>121</v>
      </c>
      <c r="B298" s="386"/>
      <c r="C298" s="258" t="s">
        <v>10</v>
      </c>
      <c r="D298" s="337" t="s">
        <v>607</v>
      </c>
      <c r="E298" s="57">
        <f t="shared" si="40"/>
        <v>142.59999999999997</v>
      </c>
      <c r="F298" s="57">
        <f t="shared" si="40"/>
        <v>140.29999999999998</v>
      </c>
      <c r="G298" s="57">
        <f>108.4+G299+6.1+7.5+5-7+0.6</f>
        <v>123.29999999999998</v>
      </c>
      <c r="H298" s="57">
        <v>121.1</v>
      </c>
      <c r="I298" s="57">
        <f>72.5+I299+5+0.2</f>
        <v>80.3</v>
      </c>
      <c r="J298" s="57">
        <v>80.2</v>
      </c>
      <c r="K298" s="57">
        <f>13.7+5.6</f>
        <v>19.299999999999997</v>
      </c>
      <c r="L298" s="206">
        <f>19.2</f>
        <v>19.2</v>
      </c>
      <c r="M298" s="254"/>
      <c r="N298" s="254"/>
      <c r="O298" s="32"/>
      <c r="Q298" s="250"/>
      <c r="R298" s="250"/>
      <c r="S298" s="250"/>
      <c r="T298" s="250"/>
    </row>
    <row r="299" spans="1:20" x14ac:dyDescent="0.25">
      <c r="A299" s="385"/>
      <c r="B299" s="386"/>
      <c r="C299" s="258" t="s">
        <v>608</v>
      </c>
      <c r="D299" s="337" t="s">
        <v>609</v>
      </c>
      <c r="E299" s="57">
        <f t="shared" si="40"/>
        <v>2.6999999999999997</v>
      </c>
      <c r="F299" s="57">
        <f t="shared" si="40"/>
        <v>2.6</v>
      </c>
      <c r="G299" s="57">
        <f>2.9-0.2</f>
        <v>2.6999999999999997</v>
      </c>
      <c r="H299" s="57">
        <v>2.6</v>
      </c>
      <c r="I299" s="57">
        <f>2.8-0.2</f>
        <v>2.5999999999999996</v>
      </c>
      <c r="J299" s="141">
        <v>2.5</v>
      </c>
      <c r="K299" s="57"/>
      <c r="L299" s="90"/>
      <c r="M299" s="254"/>
      <c r="N299" s="254"/>
      <c r="O299" s="32"/>
      <c r="Q299" s="250"/>
      <c r="R299" s="250"/>
      <c r="S299" s="250"/>
      <c r="T299" s="250"/>
    </row>
    <row r="300" spans="1:20" ht="20.399999999999999" x14ac:dyDescent="0.25">
      <c r="A300" s="385">
        <v>122</v>
      </c>
      <c r="B300" s="386"/>
      <c r="C300" s="253" t="s">
        <v>12</v>
      </c>
      <c r="D300" s="337" t="s">
        <v>607</v>
      </c>
      <c r="E300" s="57">
        <f t="shared" si="40"/>
        <v>67</v>
      </c>
      <c r="F300" s="57">
        <f t="shared" si="40"/>
        <v>66.8</v>
      </c>
      <c r="G300" s="57">
        <f>59.4+G301+0.5+2.9+1.3</f>
        <v>67</v>
      </c>
      <c r="H300" s="57">
        <v>66.8</v>
      </c>
      <c r="I300" s="57">
        <f>48.1+I301+2.9+0.3</f>
        <v>54.099999999999994</v>
      </c>
      <c r="J300" s="57">
        <v>54</v>
      </c>
      <c r="K300" s="57"/>
      <c r="L300" s="90"/>
      <c r="M300" s="254"/>
      <c r="N300" s="254"/>
      <c r="O300" s="32"/>
      <c r="Q300" s="250"/>
      <c r="R300" s="250"/>
      <c r="S300" s="250"/>
      <c r="T300" s="250"/>
    </row>
    <row r="301" spans="1:20" x14ac:dyDescent="0.25">
      <c r="A301" s="385"/>
      <c r="B301" s="386"/>
      <c r="C301" s="253" t="s">
        <v>608</v>
      </c>
      <c r="D301" s="337" t="s">
        <v>609</v>
      </c>
      <c r="E301" s="57">
        <f t="shared" si="40"/>
        <v>2.9</v>
      </c>
      <c r="F301" s="57">
        <f t="shared" si="40"/>
        <v>2.9</v>
      </c>
      <c r="G301" s="57">
        <v>2.9</v>
      </c>
      <c r="H301" s="57">
        <v>2.9</v>
      </c>
      <c r="I301" s="57">
        <v>2.8</v>
      </c>
      <c r="J301" s="57">
        <v>2.8</v>
      </c>
      <c r="K301" s="57"/>
      <c r="L301" s="90"/>
      <c r="M301" s="254"/>
      <c r="N301" s="254"/>
      <c r="O301" s="32"/>
      <c r="Q301" s="250"/>
      <c r="R301" s="250"/>
      <c r="S301" s="250"/>
      <c r="T301" s="250"/>
    </row>
    <row r="302" spans="1:20" ht="20.399999999999999" x14ac:dyDescent="0.25">
      <c r="A302" s="385">
        <v>123</v>
      </c>
      <c r="B302" s="386"/>
      <c r="C302" s="253" t="s">
        <v>11</v>
      </c>
      <c r="D302" s="337" t="s">
        <v>607</v>
      </c>
      <c r="E302" s="57">
        <f t="shared" si="40"/>
        <v>103.4</v>
      </c>
      <c r="F302" s="57">
        <f t="shared" si="40"/>
        <v>101</v>
      </c>
      <c r="G302" s="57">
        <f>90.4+G303-4.5+3+3.8-4.3+0.1</f>
        <v>91.4</v>
      </c>
      <c r="H302" s="57">
        <v>89</v>
      </c>
      <c r="I302" s="57">
        <f>55.7+I303+3.8+0.2</f>
        <v>62.5</v>
      </c>
      <c r="J302" s="57">
        <v>62.4</v>
      </c>
      <c r="K302" s="57">
        <f>4.5+2+5.5</f>
        <v>12</v>
      </c>
      <c r="L302" s="90">
        <v>12</v>
      </c>
      <c r="M302" s="254"/>
      <c r="N302" s="254"/>
      <c r="O302" s="32"/>
      <c r="Q302" s="250"/>
      <c r="R302" s="250"/>
      <c r="S302" s="250"/>
      <c r="T302" s="250"/>
    </row>
    <row r="303" spans="1:20" x14ac:dyDescent="0.25">
      <c r="A303" s="385"/>
      <c r="B303" s="386"/>
      <c r="C303" s="253" t="s">
        <v>608</v>
      </c>
      <c r="D303" s="337" t="s">
        <v>609</v>
      </c>
      <c r="E303" s="57">
        <f t="shared" si="40"/>
        <v>2.9</v>
      </c>
      <c r="F303" s="57">
        <f t="shared" si="40"/>
        <v>2.8</v>
      </c>
      <c r="G303" s="57">
        <v>2.9</v>
      </c>
      <c r="H303" s="57">
        <v>2.8</v>
      </c>
      <c r="I303" s="57">
        <v>2.8</v>
      </c>
      <c r="J303" s="57">
        <v>2.8</v>
      </c>
      <c r="K303" s="57"/>
      <c r="L303" s="90"/>
      <c r="M303" s="254"/>
      <c r="N303" s="254"/>
      <c r="O303" s="32"/>
      <c r="Q303" s="250"/>
      <c r="R303" s="250"/>
      <c r="S303" s="250"/>
      <c r="T303" s="250"/>
    </row>
    <row r="304" spans="1:20" ht="20.399999999999999" x14ac:dyDescent="0.25">
      <c r="A304" s="385">
        <v>124</v>
      </c>
      <c r="B304" s="386"/>
      <c r="C304" s="253" t="s">
        <v>13</v>
      </c>
      <c r="D304" s="337" t="s">
        <v>607</v>
      </c>
      <c r="E304" s="57">
        <f t="shared" si="40"/>
        <v>72.000000000000014</v>
      </c>
      <c r="F304" s="57">
        <f t="shared" si="40"/>
        <v>71.8</v>
      </c>
      <c r="G304" s="57">
        <f>70+G305+0.7+3.4-5</f>
        <v>72.000000000000014</v>
      </c>
      <c r="H304" s="57">
        <v>71.8</v>
      </c>
      <c r="I304" s="57">
        <f>53.1+I305+3.3-4.3</f>
        <v>54.9</v>
      </c>
      <c r="J304" s="57">
        <v>54.9</v>
      </c>
      <c r="K304" s="57"/>
      <c r="L304" s="90"/>
      <c r="M304" s="254"/>
      <c r="N304" s="254"/>
      <c r="O304" s="32"/>
      <c r="Q304" s="250"/>
      <c r="R304" s="250"/>
      <c r="S304" s="250"/>
      <c r="T304" s="250"/>
    </row>
    <row r="305" spans="1:25" x14ac:dyDescent="0.25">
      <c r="A305" s="385"/>
      <c r="B305" s="386"/>
      <c r="C305" s="253" t="s">
        <v>608</v>
      </c>
      <c r="D305" s="337" t="s">
        <v>609</v>
      </c>
      <c r="E305" s="57">
        <f t="shared" si="40"/>
        <v>2.9</v>
      </c>
      <c r="F305" s="57">
        <f t="shared" si="40"/>
        <v>2.9</v>
      </c>
      <c r="G305" s="57">
        <v>2.9</v>
      </c>
      <c r="H305" s="57">
        <v>2.9</v>
      </c>
      <c r="I305" s="57">
        <v>2.8</v>
      </c>
      <c r="J305" s="57">
        <v>2.8</v>
      </c>
      <c r="K305" s="57"/>
      <c r="L305" s="90"/>
      <c r="M305" s="254"/>
      <c r="N305" s="254"/>
      <c r="O305" s="32"/>
      <c r="Q305" s="250"/>
      <c r="R305" s="250"/>
      <c r="S305" s="250"/>
      <c r="T305" s="250"/>
    </row>
    <row r="306" spans="1:25" ht="20.399999999999999" x14ac:dyDescent="0.25">
      <c r="A306" s="385">
        <v>125</v>
      </c>
      <c r="B306" s="386"/>
      <c r="C306" s="253" t="s">
        <v>14</v>
      </c>
      <c r="D306" s="337" t="s">
        <v>607</v>
      </c>
      <c r="E306" s="57">
        <f t="shared" si="40"/>
        <v>129.70000000000002</v>
      </c>
      <c r="F306" s="57">
        <f t="shared" si="40"/>
        <v>125.80000000000001</v>
      </c>
      <c r="G306" s="57">
        <f>108.2+G307+9.9+3.9-4.5+0.1+4.7</f>
        <v>125.20000000000002</v>
      </c>
      <c r="H306" s="176">
        <f>121.4-0.1</f>
        <v>121.30000000000001</v>
      </c>
      <c r="I306" s="57">
        <f>70.6+I307+3.9-1.6</f>
        <v>75.7</v>
      </c>
      <c r="J306" s="57">
        <v>75.2</v>
      </c>
      <c r="K306" s="57">
        <v>4.5</v>
      </c>
      <c r="L306" s="90">
        <v>4.5</v>
      </c>
      <c r="M306" s="254"/>
      <c r="N306" s="254"/>
      <c r="O306" s="32"/>
      <c r="Q306" s="250"/>
      <c r="R306" s="250"/>
      <c r="S306" s="250"/>
      <c r="T306" s="250"/>
    </row>
    <row r="307" spans="1:25" x14ac:dyDescent="0.25">
      <c r="A307" s="385"/>
      <c r="B307" s="386"/>
      <c r="C307" s="253" t="s">
        <v>608</v>
      </c>
      <c r="D307" s="337" t="s">
        <v>609</v>
      </c>
      <c r="E307" s="57">
        <f t="shared" si="40"/>
        <v>2.9</v>
      </c>
      <c r="F307" s="57">
        <f t="shared" si="40"/>
        <v>2.9</v>
      </c>
      <c r="G307" s="57">
        <v>2.9</v>
      </c>
      <c r="H307" s="57">
        <v>2.9</v>
      </c>
      <c r="I307" s="57">
        <v>2.8</v>
      </c>
      <c r="J307" s="57">
        <v>2.8</v>
      </c>
      <c r="K307" s="57"/>
      <c r="L307" s="90"/>
      <c r="M307" s="254"/>
      <c r="N307" s="254"/>
      <c r="O307" s="32"/>
      <c r="Q307" s="250"/>
      <c r="R307" s="250"/>
      <c r="S307" s="250"/>
      <c r="T307" s="250"/>
    </row>
    <row r="308" spans="1:25" x14ac:dyDescent="0.25">
      <c r="A308" s="333">
        <v>126</v>
      </c>
      <c r="B308" s="334"/>
      <c r="C308" s="292" t="s">
        <v>20</v>
      </c>
      <c r="D308" s="335"/>
      <c r="E308" s="267">
        <f>+G308+K308</f>
        <v>37484.5</v>
      </c>
      <c r="F308" s="267">
        <f>+H308+L308</f>
        <v>35519.100000000006</v>
      </c>
      <c r="G308" s="267">
        <f t="shared" ref="G308:L308" si="41">+G13+G57+G78+G115+G141+G164+G190+G237+G262+G267+G271</f>
        <v>34389.199999999997</v>
      </c>
      <c r="H308" s="267">
        <f t="shared" si="41"/>
        <v>33290.200000000004</v>
      </c>
      <c r="I308" s="267">
        <f t="shared" si="41"/>
        <v>18033.299999999996</v>
      </c>
      <c r="J308" s="267">
        <f t="shared" si="41"/>
        <v>17908.599999999999</v>
      </c>
      <c r="K308" s="267">
        <f t="shared" si="41"/>
        <v>3095.3</v>
      </c>
      <c r="L308" s="267">
        <f t="shared" si="41"/>
        <v>2228.9000000000005</v>
      </c>
      <c r="M308" s="254"/>
      <c r="N308" s="254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spans="1:25" x14ac:dyDescent="0.25">
      <c r="C309" s="47"/>
      <c r="I309" s="66"/>
      <c r="J309" s="66"/>
      <c r="K309" s="70"/>
    </row>
    <row r="310" spans="1:25" x14ac:dyDescent="0.25">
      <c r="A310" s="293" t="s">
        <v>611</v>
      </c>
      <c r="B310" s="26"/>
      <c r="C310" s="294"/>
      <c r="D310" s="293"/>
      <c r="E310" s="26"/>
      <c r="F310" s="87"/>
      <c r="G310" s="26"/>
      <c r="H310" s="26"/>
      <c r="I310" s="26"/>
      <c r="J310" s="26"/>
      <c r="K310" s="26"/>
    </row>
    <row r="311" spans="1:25" x14ac:dyDescent="0.25">
      <c r="C311" s="295"/>
      <c r="E311" s="66"/>
      <c r="F311" s="71"/>
      <c r="G311" s="66"/>
      <c r="H311" s="66"/>
      <c r="I311" s="66"/>
      <c r="J311" s="66"/>
      <c r="K311" s="66"/>
    </row>
    <row r="312" spans="1:25" x14ac:dyDescent="0.25">
      <c r="C312" s="47"/>
      <c r="E312" s="66"/>
      <c r="F312" s="71"/>
      <c r="G312" s="66"/>
      <c r="H312" s="66"/>
      <c r="I312" s="66"/>
      <c r="J312" s="66"/>
      <c r="K312" s="66"/>
    </row>
    <row r="313" spans="1:25" x14ac:dyDescent="0.25">
      <c r="C313" s="296"/>
      <c r="E313" s="297"/>
      <c r="F313" s="298"/>
    </row>
    <row r="314" spans="1:25" x14ac:dyDescent="0.25">
      <c r="C314" s="299"/>
      <c r="E314" s="66"/>
      <c r="F314" s="66"/>
      <c r="G314" s="66"/>
      <c r="H314" s="66"/>
      <c r="I314" s="66"/>
      <c r="J314" s="66"/>
      <c r="K314" s="66"/>
      <c r="L314" s="66"/>
    </row>
    <row r="315" spans="1:25" x14ac:dyDescent="0.25">
      <c r="G315" s="66"/>
      <c r="H315" s="66"/>
      <c r="K315" s="66"/>
      <c r="M315" s="32"/>
    </row>
    <row r="316" spans="1:25" x14ac:dyDescent="0.25">
      <c r="E316" s="66"/>
      <c r="F316" s="71"/>
    </row>
    <row r="318" spans="1:25" x14ac:dyDescent="0.25">
      <c r="C318" s="299"/>
    </row>
    <row r="319" spans="1:25" x14ac:dyDescent="0.25">
      <c r="E319" s="69"/>
      <c r="F319" s="69"/>
      <c r="G319" s="69"/>
      <c r="H319" s="69"/>
      <c r="I319" s="69"/>
      <c r="J319" s="69"/>
      <c r="K319" s="69"/>
    </row>
    <row r="324" spans="5:11" x14ac:dyDescent="0.25">
      <c r="E324" s="66"/>
      <c r="F324" s="71"/>
      <c r="G324" s="66"/>
      <c r="H324" s="66"/>
      <c r="I324" s="66"/>
      <c r="J324" s="66"/>
      <c r="K324" s="66"/>
    </row>
    <row r="326" spans="5:11" x14ac:dyDescent="0.25">
      <c r="E326" s="66"/>
      <c r="F326" s="71"/>
      <c r="G326" s="66"/>
      <c r="H326" s="66"/>
      <c r="I326" s="66"/>
      <c r="J326" s="66"/>
      <c r="K326" s="66"/>
    </row>
    <row r="335" spans="5:11" x14ac:dyDescent="0.25">
      <c r="E335" s="66"/>
      <c r="F335" s="71"/>
      <c r="G335" s="66"/>
      <c r="H335" s="66"/>
      <c r="I335" s="66"/>
      <c r="J335" s="66"/>
      <c r="K335" s="66"/>
    </row>
  </sheetData>
  <mergeCells count="49">
    <mergeCell ref="A306:A307"/>
    <mergeCell ref="B306:B307"/>
    <mergeCell ref="C1:L1"/>
    <mergeCell ref="C2:L2"/>
    <mergeCell ref="E3:L3"/>
    <mergeCell ref="A300:A301"/>
    <mergeCell ref="B300:B301"/>
    <mergeCell ref="A302:A303"/>
    <mergeCell ref="B302:B303"/>
    <mergeCell ref="A304:A305"/>
    <mergeCell ref="B304:B305"/>
    <mergeCell ref="A293:A294"/>
    <mergeCell ref="B293:B294"/>
    <mergeCell ref="A296:A297"/>
    <mergeCell ref="B296:B297"/>
    <mergeCell ref="A298:A299"/>
    <mergeCell ref="B298:B299"/>
    <mergeCell ref="A287:A288"/>
    <mergeCell ref="B287:B288"/>
    <mergeCell ref="A289:A290"/>
    <mergeCell ref="B289:B290"/>
    <mergeCell ref="A291:A292"/>
    <mergeCell ref="B291:B292"/>
    <mergeCell ref="A149:A151"/>
    <mergeCell ref="B149:B151"/>
    <mergeCell ref="D149:D150"/>
    <mergeCell ref="A165:A166"/>
    <mergeCell ref="B165:B166"/>
    <mergeCell ref="D165:D166"/>
    <mergeCell ref="A79:A81"/>
    <mergeCell ref="B79:B81"/>
    <mergeCell ref="D79:D81"/>
    <mergeCell ref="A119:A123"/>
    <mergeCell ref="B119:B123"/>
    <mergeCell ref="D119:D123"/>
    <mergeCell ref="A5:K5"/>
    <mergeCell ref="I7:L7"/>
    <mergeCell ref="A8:A11"/>
    <mergeCell ref="B8:B11"/>
    <mergeCell ref="C8:C11"/>
    <mergeCell ref="D8:D11"/>
    <mergeCell ref="E8:F9"/>
    <mergeCell ref="G8:L8"/>
    <mergeCell ref="G9:J9"/>
    <mergeCell ref="K9:L10"/>
    <mergeCell ref="E10:E11"/>
    <mergeCell ref="F10:F11"/>
    <mergeCell ref="G10:H10"/>
    <mergeCell ref="I10:J10"/>
  </mergeCells>
  <pageMargins left="0.70866141732283472" right="0.70866141732283472" top="0.74803149606299213" bottom="0.39370078740157483" header="0.31496062992125984" footer="0.31496062992125984"/>
  <pageSetup paperSize="9" orientation="landscape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E3" sqref="E3:L3"/>
    </sheetView>
  </sheetViews>
  <sheetFormatPr defaultColWidth="9.109375" defaultRowHeight="13.2" x14ac:dyDescent="0.25"/>
  <cols>
    <col min="1" max="1" width="4.44140625" style="26" customWidth="1"/>
    <col min="2" max="2" width="5" style="26" customWidth="1"/>
    <col min="3" max="3" width="45.5546875" style="26" customWidth="1"/>
    <col min="4" max="4" width="10.109375" style="313" customWidth="1"/>
    <col min="5" max="6" width="8.44140625" style="26" customWidth="1"/>
    <col min="7" max="7" width="7.109375" style="26" customWidth="1"/>
    <col min="8" max="8" width="8" style="26" customWidth="1"/>
    <col min="9" max="9" width="9.109375" style="26" customWidth="1"/>
    <col min="10" max="10" width="9.44140625" style="26" customWidth="1"/>
    <col min="11" max="11" width="8.44140625" style="26" customWidth="1"/>
    <col min="12" max="12" width="9.5546875" style="312" customWidth="1"/>
    <col min="13" max="16384" width="9.109375" style="26"/>
  </cols>
  <sheetData>
    <row r="1" spans="1:22" ht="15.75" customHeight="1" x14ac:dyDescent="0.3">
      <c r="A1" s="240"/>
      <c r="B1" s="41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22" ht="15.6" x14ac:dyDescent="0.3">
      <c r="A2" s="240"/>
      <c r="B2" s="41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22" ht="14.25" customHeight="1" x14ac:dyDescent="0.25">
      <c r="A3" s="240"/>
      <c r="B3" s="27"/>
      <c r="C3" s="118"/>
      <c r="D3" s="241"/>
      <c r="E3" s="392" t="s">
        <v>766</v>
      </c>
      <c r="F3" s="392"/>
      <c r="G3" s="392"/>
      <c r="H3" s="392"/>
      <c r="I3" s="392"/>
      <c r="J3" s="392"/>
      <c r="K3" s="392"/>
      <c r="L3" s="392"/>
    </row>
    <row r="4" spans="1:22" ht="15.6" x14ac:dyDescent="0.3">
      <c r="B4" s="27"/>
      <c r="E4" s="237"/>
      <c r="F4" s="237"/>
      <c r="G4" s="237"/>
      <c r="H4" s="237"/>
      <c r="I4" s="237"/>
      <c r="J4" s="237"/>
      <c r="K4" s="237"/>
      <c r="L4" s="26"/>
    </row>
    <row r="5" spans="1:22" ht="26.4" customHeight="1" x14ac:dyDescent="0.25">
      <c r="A5" s="356" t="s">
        <v>757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26"/>
      <c r="P5" s="314"/>
    </row>
    <row r="6" spans="1:22" x14ac:dyDescent="0.25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6"/>
    </row>
    <row r="7" spans="1:22" x14ac:dyDescent="0.25">
      <c r="B7" s="27"/>
      <c r="E7" s="87"/>
      <c r="F7" s="87"/>
      <c r="G7" s="87"/>
      <c r="H7" s="87"/>
      <c r="I7" s="424" t="s">
        <v>91</v>
      </c>
      <c r="J7" s="424"/>
      <c r="K7" s="424"/>
      <c r="L7" s="424"/>
    </row>
    <row r="8" spans="1:22" ht="13.2" customHeight="1" x14ac:dyDescent="0.25">
      <c r="A8" s="377" t="s">
        <v>0</v>
      </c>
      <c r="B8" s="408" t="s">
        <v>51</v>
      </c>
      <c r="C8" s="377" t="s">
        <v>16</v>
      </c>
      <c r="D8" s="411" t="s">
        <v>52</v>
      </c>
      <c r="E8" s="367" t="s">
        <v>17</v>
      </c>
      <c r="F8" s="368"/>
      <c r="G8" s="425" t="s">
        <v>18</v>
      </c>
      <c r="H8" s="426"/>
      <c r="I8" s="426"/>
      <c r="J8" s="426"/>
      <c r="K8" s="426"/>
      <c r="L8" s="427"/>
    </row>
    <row r="9" spans="1:22" ht="13.2" customHeight="1" x14ac:dyDescent="0.25">
      <c r="A9" s="407"/>
      <c r="B9" s="409"/>
      <c r="C9" s="407"/>
      <c r="D9" s="412"/>
      <c r="E9" s="369"/>
      <c r="F9" s="370"/>
      <c r="G9" s="425" t="s">
        <v>162</v>
      </c>
      <c r="H9" s="426"/>
      <c r="I9" s="426"/>
      <c r="J9" s="427"/>
      <c r="K9" s="367" t="s">
        <v>30</v>
      </c>
      <c r="L9" s="368"/>
    </row>
    <row r="10" spans="1:22" ht="16.95" customHeight="1" x14ac:dyDescent="0.25">
      <c r="A10" s="407"/>
      <c r="B10" s="409"/>
      <c r="C10" s="407"/>
      <c r="D10" s="412"/>
      <c r="E10" s="377" t="s">
        <v>277</v>
      </c>
      <c r="F10" s="377" t="s">
        <v>278</v>
      </c>
      <c r="G10" s="381" t="s">
        <v>17</v>
      </c>
      <c r="H10" s="382"/>
      <c r="I10" s="383" t="s">
        <v>758</v>
      </c>
      <c r="J10" s="384"/>
      <c r="K10" s="377" t="s">
        <v>277</v>
      </c>
      <c r="L10" s="377" t="s">
        <v>278</v>
      </c>
    </row>
    <row r="11" spans="1:22" ht="22.2" customHeight="1" x14ac:dyDescent="0.25">
      <c r="A11" s="378"/>
      <c r="B11" s="410"/>
      <c r="C11" s="378"/>
      <c r="D11" s="413"/>
      <c r="E11" s="378"/>
      <c r="F11" s="378"/>
      <c r="G11" s="232" t="s">
        <v>277</v>
      </c>
      <c r="H11" s="232" t="s">
        <v>278</v>
      </c>
      <c r="I11" s="232" t="s">
        <v>277</v>
      </c>
      <c r="J11" s="232" t="s">
        <v>278</v>
      </c>
      <c r="K11" s="378"/>
      <c r="L11" s="378"/>
    </row>
    <row r="12" spans="1:22" x14ac:dyDescent="0.25">
      <c r="A12" s="194">
        <v>1</v>
      </c>
      <c r="B12" s="30" t="s">
        <v>19</v>
      </c>
      <c r="C12" s="229">
        <v>3</v>
      </c>
      <c r="D12" s="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229">
        <v>11</v>
      </c>
      <c r="L12" s="194">
        <v>12</v>
      </c>
    </row>
    <row r="13" spans="1:22" x14ac:dyDescent="0.25">
      <c r="A13" s="315">
        <v>1</v>
      </c>
      <c r="B13" s="30" t="s">
        <v>53</v>
      </c>
      <c r="C13" s="31" t="s">
        <v>54</v>
      </c>
      <c r="D13" s="29"/>
      <c r="E13" s="316">
        <f>+G13+K13</f>
        <v>380</v>
      </c>
      <c r="F13" s="316">
        <f>+H13+L13</f>
        <v>380</v>
      </c>
      <c r="G13" s="316">
        <f t="shared" ref="G13:L14" si="0">+G14</f>
        <v>0</v>
      </c>
      <c r="H13" s="316">
        <f t="shared" si="0"/>
        <v>0</v>
      </c>
      <c r="I13" s="316">
        <f t="shared" si="0"/>
        <v>0</v>
      </c>
      <c r="J13" s="316">
        <f t="shared" si="0"/>
        <v>0</v>
      </c>
      <c r="K13" s="316">
        <f>+K14</f>
        <v>380</v>
      </c>
      <c r="L13" s="316">
        <f>+L14</f>
        <v>380</v>
      </c>
      <c r="N13" s="32"/>
    </row>
    <row r="14" spans="1:22" x14ac:dyDescent="0.25">
      <c r="A14" s="315">
        <v>2</v>
      </c>
      <c r="B14" s="239"/>
      <c r="C14" s="34" t="s">
        <v>143</v>
      </c>
      <c r="D14" s="239"/>
      <c r="E14" s="317">
        <f t="shared" ref="E14:F21" si="1">+G14+K14</f>
        <v>380</v>
      </c>
      <c r="F14" s="317">
        <f t="shared" si="1"/>
        <v>380</v>
      </c>
      <c r="G14" s="318">
        <f t="shared" si="0"/>
        <v>0</v>
      </c>
      <c r="H14" s="318"/>
      <c r="I14" s="318">
        <f t="shared" si="0"/>
        <v>0</v>
      </c>
      <c r="J14" s="318"/>
      <c r="K14" s="318">
        <f t="shared" si="0"/>
        <v>380</v>
      </c>
      <c r="L14" s="318">
        <f t="shared" si="0"/>
        <v>380</v>
      </c>
      <c r="U14" s="32"/>
      <c r="V14" s="293"/>
    </row>
    <row r="15" spans="1:22" ht="39.6" x14ac:dyDescent="0.25">
      <c r="A15" s="315" t="s">
        <v>208</v>
      </c>
      <c r="B15" s="239"/>
      <c r="C15" s="319" t="s">
        <v>759</v>
      </c>
      <c r="D15" s="239" t="s">
        <v>55</v>
      </c>
      <c r="E15" s="317">
        <f t="shared" si="1"/>
        <v>380</v>
      </c>
      <c r="F15" s="317"/>
      <c r="G15" s="317"/>
      <c r="H15" s="317"/>
      <c r="I15" s="129"/>
      <c r="J15" s="129"/>
      <c r="K15" s="129">
        <v>380</v>
      </c>
      <c r="L15" s="90">
        <v>380</v>
      </c>
      <c r="U15" s="32"/>
      <c r="V15" s="293"/>
    </row>
    <row r="16" spans="1:22" ht="26.4" x14ac:dyDescent="0.25">
      <c r="A16" s="315">
        <v>3</v>
      </c>
      <c r="B16" s="30" t="s">
        <v>70</v>
      </c>
      <c r="C16" s="59" t="s">
        <v>71</v>
      </c>
      <c r="D16" s="239"/>
      <c r="E16" s="320">
        <f t="shared" si="1"/>
        <v>820</v>
      </c>
      <c r="F16" s="320">
        <f t="shared" si="1"/>
        <v>777.5</v>
      </c>
      <c r="G16" s="320">
        <f t="shared" ref="G16:L16" si="2">+G17</f>
        <v>0.3</v>
      </c>
      <c r="H16" s="320">
        <f t="shared" si="2"/>
        <v>0.70000000000000007</v>
      </c>
      <c r="I16" s="320">
        <f t="shared" si="2"/>
        <v>0</v>
      </c>
      <c r="J16" s="320">
        <f t="shared" si="2"/>
        <v>0</v>
      </c>
      <c r="K16" s="320">
        <f t="shared" si="2"/>
        <v>819.7</v>
      </c>
      <c r="L16" s="320">
        <f t="shared" si="2"/>
        <v>776.8</v>
      </c>
      <c r="U16" s="32"/>
      <c r="V16" s="293"/>
    </row>
    <row r="17" spans="1:22" x14ac:dyDescent="0.25">
      <c r="A17" s="315">
        <v>4</v>
      </c>
      <c r="B17" s="239"/>
      <c r="C17" s="319" t="s">
        <v>143</v>
      </c>
      <c r="D17" s="239"/>
      <c r="E17" s="317">
        <f t="shared" si="1"/>
        <v>820</v>
      </c>
      <c r="F17" s="317">
        <f t="shared" si="1"/>
        <v>777.5</v>
      </c>
      <c r="G17" s="318">
        <f>+G18+G19+G20</f>
        <v>0.3</v>
      </c>
      <c r="H17" s="318">
        <f>+H18+H19+H20</f>
        <v>0.70000000000000007</v>
      </c>
      <c r="I17" s="318">
        <f>+I18+I19+I20</f>
        <v>0</v>
      </c>
      <c r="J17" s="318"/>
      <c r="K17" s="317">
        <f>+K18+K19+K20</f>
        <v>819.7</v>
      </c>
      <c r="L17" s="317">
        <f>+L18+L19+L20</f>
        <v>776.8</v>
      </c>
      <c r="U17" s="32"/>
      <c r="V17" s="293"/>
    </row>
    <row r="18" spans="1:22" ht="52.8" x14ac:dyDescent="0.25">
      <c r="A18" s="315" t="s">
        <v>139</v>
      </c>
      <c r="B18" s="239"/>
      <c r="C18" s="58" t="s">
        <v>197</v>
      </c>
      <c r="D18" s="55" t="s">
        <v>72</v>
      </c>
      <c r="E18" s="57">
        <f t="shared" si="1"/>
        <v>631.20000000000005</v>
      </c>
      <c r="F18" s="57">
        <f t="shared" si="1"/>
        <v>631.20000000000005</v>
      </c>
      <c r="G18" s="57"/>
      <c r="H18" s="57"/>
      <c r="I18" s="57"/>
      <c r="J18" s="57"/>
      <c r="K18" s="57">
        <f>431.2+200</f>
        <v>631.20000000000005</v>
      </c>
      <c r="L18" s="90">
        <v>631.20000000000005</v>
      </c>
      <c r="O18" s="32"/>
      <c r="U18" s="32"/>
      <c r="V18" s="293"/>
    </row>
    <row r="19" spans="1:22" ht="26.4" x14ac:dyDescent="0.25">
      <c r="A19" s="315" t="s">
        <v>760</v>
      </c>
      <c r="B19" s="239"/>
      <c r="C19" s="58" t="s">
        <v>109</v>
      </c>
      <c r="D19" s="55" t="s">
        <v>113</v>
      </c>
      <c r="E19" s="57">
        <f t="shared" si="1"/>
        <v>28.500000000000004</v>
      </c>
      <c r="F19" s="57">
        <f t="shared" si="1"/>
        <v>28.5</v>
      </c>
      <c r="G19" s="57">
        <v>0.3</v>
      </c>
      <c r="H19" s="176">
        <f>0.8-0.1</f>
        <v>0.70000000000000007</v>
      </c>
      <c r="I19" s="57"/>
      <c r="J19" s="57"/>
      <c r="K19" s="57">
        <f>362-300-33.8</f>
        <v>28.200000000000003</v>
      </c>
      <c r="L19" s="206">
        <f>27.7+0.1</f>
        <v>27.8</v>
      </c>
      <c r="O19" s="32"/>
      <c r="U19" s="32"/>
      <c r="V19" s="293"/>
    </row>
    <row r="20" spans="1:22" ht="26.4" x14ac:dyDescent="0.25">
      <c r="A20" s="315" t="s">
        <v>761</v>
      </c>
      <c r="B20" s="239"/>
      <c r="C20" s="58" t="s">
        <v>110</v>
      </c>
      <c r="D20" s="55" t="s">
        <v>113</v>
      </c>
      <c r="E20" s="317">
        <f>+G20+K20</f>
        <v>160.30000000000001</v>
      </c>
      <c r="F20" s="317">
        <f>+H20+L20</f>
        <v>117.8</v>
      </c>
      <c r="G20" s="317"/>
      <c r="H20" s="317"/>
      <c r="I20" s="129"/>
      <c r="J20" s="129"/>
      <c r="K20" s="129">
        <f>26.5+100+33.8</f>
        <v>160.30000000000001</v>
      </c>
      <c r="L20" s="90">
        <v>117.8</v>
      </c>
      <c r="O20" s="32"/>
      <c r="U20" s="32"/>
      <c r="V20" s="293"/>
    </row>
    <row r="21" spans="1:22" x14ac:dyDescent="0.25">
      <c r="A21" s="315">
        <v>5</v>
      </c>
      <c r="B21" s="239"/>
      <c r="C21" s="321" t="s">
        <v>20</v>
      </c>
      <c r="D21" s="239"/>
      <c r="E21" s="322">
        <f t="shared" si="1"/>
        <v>1200</v>
      </c>
      <c r="F21" s="322">
        <f t="shared" si="1"/>
        <v>1157.5</v>
      </c>
      <c r="G21" s="322">
        <f t="shared" ref="G21:L21" si="3">+G13+G16</f>
        <v>0.3</v>
      </c>
      <c r="H21" s="322">
        <f t="shared" si="3"/>
        <v>0.70000000000000007</v>
      </c>
      <c r="I21" s="322">
        <f t="shared" si="3"/>
        <v>0</v>
      </c>
      <c r="J21" s="322">
        <f t="shared" si="3"/>
        <v>0</v>
      </c>
      <c r="K21" s="322">
        <f t="shared" si="3"/>
        <v>1199.7</v>
      </c>
      <c r="L21" s="322">
        <f t="shared" si="3"/>
        <v>1156.8</v>
      </c>
      <c r="M21" s="32"/>
      <c r="N21" s="32"/>
      <c r="O21" s="32"/>
    </row>
    <row r="22" spans="1:22" x14ac:dyDescent="0.25">
      <c r="C22" s="26" t="s">
        <v>83</v>
      </c>
      <c r="E22" s="32"/>
      <c r="F22" s="32"/>
      <c r="G22" s="32"/>
      <c r="H22" s="32"/>
      <c r="I22" s="32"/>
      <c r="J22" s="32"/>
      <c r="K22" s="32"/>
      <c r="L22" s="26"/>
    </row>
    <row r="23" spans="1:22" x14ac:dyDescent="0.25">
      <c r="D23" s="26"/>
      <c r="E23" s="32"/>
      <c r="F23" s="32"/>
      <c r="G23" s="32"/>
      <c r="H23" s="32"/>
      <c r="I23" s="32"/>
      <c r="J23" s="32"/>
      <c r="K23" s="32"/>
      <c r="L23" s="26"/>
      <c r="M23" s="32"/>
    </row>
    <row r="24" spans="1:22" x14ac:dyDescent="0.25">
      <c r="D24" s="26"/>
      <c r="E24" s="32"/>
      <c r="F24" s="32"/>
      <c r="G24" s="99"/>
      <c r="H24" s="99"/>
      <c r="I24" s="99"/>
      <c r="J24" s="99"/>
      <c r="K24" s="99"/>
      <c r="L24" s="26"/>
    </row>
    <row r="25" spans="1:22" x14ac:dyDescent="0.25">
      <c r="E25" s="99"/>
      <c r="F25" s="99"/>
      <c r="G25" s="99"/>
      <c r="H25" s="99"/>
      <c r="I25" s="99"/>
      <c r="J25" s="99"/>
      <c r="K25" s="99"/>
      <c r="L25" s="32"/>
      <c r="M25" s="32"/>
    </row>
    <row r="26" spans="1:22" x14ac:dyDescent="0.25">
      <c r="E26" s="99"/>
      <c r="F26" s="99"/>
      <c r="G26" s="32"/>
      <c r="H26" s="32"/>
      <c r="I26" s="32"/>
      <c r="J26" s="32"/>
      <c r="K26" s="32"/>
      <c r="L26" s="32"/>
      <c r="M26" s="32"/>
    </row>
    <row r="27" spans="1:22" x14ac:dyDescent="0.25">
      <c r="E27" s="32"/>
      <c r="F27" s="32"/>
      <c r="G27" s="99"/>
      <c r="H27" s="99"/>
    </row>
    <row r="28" spans="1:22" x14ac:dyDescent="0.25">
      <c r="E28" s="32"/>
      <c r="F28" s="32"/>
      <c r="G28" s="32"/>
      <c r="H28" s="32"/>
      <c r="I28" s="32"/>
      <c r="J28" s="32"/>
    </row>
    <row r="29" spans="1:22" x14ac:dyDescent="0.25">
      <c r="C29" s="87"/>
      <c r="D29" s="87"/>
      <c r="E29" s="32"/>
      <c r="F29" s="32"/>
      <c r="G29" s="32"/>
      <c r="H29" s="32"/>
      <c r="I29" s="32"/>
      <c r="J29" s="32"/>
      <c r="K29" s="32"/>
    </row>
    <row r="30" spans="1:22" x14ac:dyDescent="0.25">
      <c r="C30" s="87"/>
      <c r="D30" s="87"/>
      <c r="E30" s="32"/>
      <c r="F30" s="32"/>
      <c r="G30" s="32"/>
      <c r="H30" s="32"/>
      <c r="I30" s="32"/>
      <c r="J30" s="32"/>
    </row>
    <row r="31" spans="1:22" x14ac:dyDescent="0.25">
      <c r="E31" s="32"/>
      <c r="F31" s="32"/>
      <c r="G31" s="32"/>
      <c r="H31" s="32"/>
      <c r="I31" s="32"/>
      <c r="J31" s="32"/>
      <c r="K31" s="32"/>
    </row>
    <row r="32" spans="1:22" x14ac:dyDescent="0.25">
      <c r="E32" s="32"/>
      <c r="F32" s="32"/>
      <c r="G32" s="32"/>
      <c r="H32" s="32"/>
      <c r="I32" s="32"/>
      <c r="J32" s="32"/>
      <c r="K32" s="32"/>
    </row>
    <row r="33" spans="5:12" x14ac:dyDescent="0.25">
      <c r="E33" s="32"/>
      <c r="F33" s="32"/>
    </row>
    <row r="34" spans="5:12" x14ac:dyDescent="0.25">
      <c r="E34" s="32"/>
      <c r="F34" s="32"/>
      <c r="G34" s="32"/>
      <c r="H34" s="32"/>
      <c r="I34" s="32"/>
      <c r="J34" s="32"/>
      <c r="K34" s="32"/>
    </row>
    <row r="36" spans="5:12" x14ac:dyDescent="0.25">
      <c r="E36" s="32"/>
      <c r="F36" s="32"/>
      <c r="G36" s="32"/>
      <c r="H36" s="32"/>
      <c r="I36" s="32"/>
      <c r="J36" s="32"/>
      <c r="K36" s="32"/>
      <c r="L36" s="323"/>
    </row>
  </sheetData>
  <mergeCells count="19">
    <mergeCell ref="C1:L1"/>
    <mergeCell ref="C2:L2"/>
    <mergeCell ref="E3:L3"/>
    <mergeCell ref="G8:L8"/>
    <mergeCell ref="G9:J9"/>
    <mergeCell ref="K9:L9"/>
    <mergeCell ref="L10:L11"/>
    <mergeCell ref="A5:K5"/>
    <mergeCell ref="I7:L7"/>
    <mergeCell ref="A8:A11"/>
    <mergeCell ref="B8:B11"/>
    <mergeCell ref="C8:C11"/>
    <mergeCell ref="D8:D11"/>
    <mergeCell ref="E8:F9"/>
    <mergeCell ref="E10:E11"/>
    <mergeCell ref="F10:F11"/>
    <mergeCell ref="G10:H10"/>
    <mergeCell ref="I10:J10"/>
    <mergeCell ref="K10:K11"/>
  </mergeCells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Normal="100" workbookViewId="0">
      <selection activeCell="C2" sqref="C2:L2"/>
    </sheetView>
  </sheetViews>
  <sheetFormatPr defaultColWidth="9.109375" defaultRowHeight="13.2" x14ac:dyDescent="0.25"/>
  <cols>
    <col min="1" max="1" width="4" style="3" customWidth="1"/>
    <col min="2" max="2" width="6.109375" style="6" customWidth="1"/>
    <col min="3" max="3" width="53.109375" style="3" customWidth="1"/>
    <col min="4" max="4" width="10.6640625" style="6" customWidth="1"/>
    <col min="5" max="5" width="7.5546875" style="5" customWidth="1"/>
    <col min="6" max="6" width="8.88671875" style="5" customWidth="1"/>
    <col min="7" max="7" width="7.44140625" style="5" customWidth="1"/>
    <col min="8" max="8" width="9.109375" style="5" customWidth="1"/>
    <col min="9" max="9" width="9.33203125" style="5" customWidth="1"/>
    <col min="10" max="10" width="7.88671875" style="5" customWidth="1"/>
    <col min="11" max="11" width="7.44140625" style="5" customWidth="1"/>
    <col min="12" max="16" width="9.109375" style="2" customWidth="1"/>
    <col min="17" max="16384" width="9.109375" style="2"/>
  </cols>
  <sheetData>
    <row r="1" spans="1:20" s="26" customFormat="1" ht="15.75" customHeight="1" x14ac:dyDescent="0.3">
      <c r="A1" s="240"/>
      <c r="B1" s="41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20" s="26" customFormat="1" ht="15.6" x14ac:dyDescent="0.3">
      <c r="A2" s="240"/>
      <c r="B2" s="41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20" s="26" customFormat="1" ht="14.25" customHeight="1" x14ac:dyDescent="0.25">
      <c r="A3" s="240"/>
      <c r="B3" s="27"/>
      <c r="C3" s="118"/>
      <c r="D3" s="241"/>
      <c r="E3" s="392" t="s">
        <v>764</v>
      </c>
      <c r="F3" s="392"/>
      <c r="G3" s="392"/>
      <c r="H3" s="392"/>
      <c r="I3" s="392"/>
      <c r="J3" s="392"/>
      <c r="K3" s="392"/>
      <c r="L3" s="392"/>
    </row>
    <row r="5" spans="1:20" ht="18.75" customHeight="1" x14ac:dyDescent="0.25">
      <c r="A5" s="393" t="s">
        <v>185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6" spans="1:20" x14ac:dyDescent="0.25">
      <c r="A6" s="36"/>
      <c r="B6" s="36"/>
      <c r="C6" s="36"/>
      <c r="D6" s="36"/>
      <c r="E6" s="36"/>
      <c r="F6" s="147"/>
      <c r="G6" s="36"/>
      <c r="H6" s="147"/>
      <c r="I6" s="36"/>
      <c r="J6" s="147"/>
      <c r="K6" s="36"/>
    </row>
    <row r="7" spans="1:20" x14ac:dyDescent="0.25">
      <c r="J7" s="394" t="s">
        <v>91</v>
      </c>
      <c r="K7" s="394"/>
      <c r="L7" s="394"/>
    </row>
    <row r="8" spans="1:20" ht="15" customHeight="1" x14ac:dyDescent="0.25">
      <c r="A8" s="395" t="s">
        <v>0</v>
      </c>
      <c r="B8" s="395" t="s">
        <v>29</v>
      </c>
      <c r="C8" s="395" t="s">
        <v>16</v>
      </c>
      <c r="D8" s="395" t="s">
        <v>52</v>
      </c>
      <c r="E8" s="398" t="s">
        <v>161</v>
      </c>
      <c r="F8" s="399"/>
      <c r="G8" s="399"/>
      <c r="H8" s="399"/>
      <c r="I8" s="399"/>
      <c r="J8" s="399"/>
      <c r="K8" s="399"/>
      <c r="L8" s="400"/>
    </row>
    <row r="9" spans="1:20" ht="12.75" customHeight="1" x14ac:dyDescent="0.25">
      <c r="A9" s="396"/>
      <c r="B9" s="396"/>
      <c r="C9" s="396"/>
      <c r="D9" s="396"/>
      <c r="E9" s="401" t="s">
        <v>17</v>
      </c>
      <c r="F9" s="402"/>
      <c r="G9" s="398" t="s">
        <v>18</v>
      </c>
      <c r="H9" s="399"/>
      <c r="I9" s="399"/>
      <c r="J9" s="399"/>
      <c r="K9" s="399"/>
      <c r="L9" s="400"/>
    </row>
    <row r="10" spans="1:20" ht="12.75" customHeight="1" x14ac:dyDescent="0.25">
      <c r="A10" s="396"/>
      <c r="B10" s="396"/>
      <c r="C10" s="396"/>
      <c r="D10" s="396"/>
      <c r="E10" s="403"/>
      <c r="F10" s="404"/>
      <c r="G10" s="398" t="s">
        <v>162</v>
      </c>
      <c r="H10" s="399"/>
      <c r="I10" s="399"/>
      <c r="J10" s="400"/>
      <c r="K10" s="401" t="s">
        <v>30</v>
      </c>
      <c r="L10" s="402"/>
    </row>
    <row r="11" spans="1:20" ht="25.95" customHeight="1" x14ac:dyDescent="0.25">
      <c r="A11" s="396"/>
      <c r="B11" s="396"/>
      <c r="C11" s="396"/>
      <c r="D11" s="396"/>
      <c r="E11" s="395" t="s">
        <v>277</v>
      </c>
      <c r="F11" s="395" t="s">
        <v>278</v>
      </c>
      <c r="G11" s="398" t="s">
        <v>31</v>
      </c>
      <c r="H11" s="400"/>
      <c r="I11" s="398" t="s">
        <v>32</v>
      </c>
      <c r="J11" s="400"/>
      <c r="K11" s="403"/>
      <c r="L11" s="404"/>
    </row>
    <row r="12" spans="1:20" ht="15.6" customHeight="1" x14ac:dyDescent="0.25">
      <c r="A12" s="397"/>
      <c r="B12" s="397"/>
      <c r="C12" s="397"/>
      <c r="D12" s="397"/>
      <c r="E12" s="397"/>
      <c r="F12" s="397"/>
      <c r="G12" s="148" t="s">
        <v>277</v>
      </c>
      <c r="H12" s="148" t="s">
        <v>278</v>
      </c>
      <c r="I12" s="148" t="s">
        <v>277</v>
      </c>
      <c r="J12" s="148" t="s">
        <v>278</v>
      </c>
      <c r="K12" s="148" t="s">
        <v>277</v>
      </c>
      <c r="L12" s="8" t="s">
        <v>278</v>
      </c>
    </row>
    <row r="13" spans="1:20" x14ac:dyDescent="0.25">
      <c r="A13" s="8">
        <v>1</v>
      </c>
      <c r="B13" s="7">
        <v>2</v>
      </c>
      <c r="C13" s="8">
        <v>3</v>
      </c>
      <c r="D13" s="7">
        <v>4</v>
      </c>
      <c r="E13" s="8">
        <v>5</v>
      </c>
      <c r="F13" s="8">
        <v>6</v>
      </c>
      <c r="G13" s="7">
        <v>7</v>
      </c>
      <c r="H13" s="148">
        <v>8</v>
      </c>
      <c r="I13" s="8">
        <v>9</v>
      </c>
      <c r="J13" s="8">
        <v>10</v>
      </c>
      <c r="K13" s="7">
        <v>11</v>
      </c>
      <c r="L13" s="8">
        <v>12</v>
      </c>
    </row>
    <row r="14" spans="1:20" ht="20.100000000000001" customHeight="1" x14ac:dyDescent="0.25">
      <c r="A14" s="10">
        <v>1</v>
      </c>
      <c r="B14" s="9" t="s">
        <v>53</v>
      </c>
      <c r="C14" s="11" t="s">
        <v>54</v>
      </c>
      <c r="D14" s="8"/>
      <c r="E14" s="24">
        <f>+G14+K14</f>
        <v>81.400000000000006</v>
      </c>
      <c r="F14" s="24">
        <f>+H14+L14</f>
        <v>45.3</v>
      </c>
      <c r="G14" s="24">
        <f t="shared" ref="G14:L14" si="0">SUM(G15:G32)</f>
        <v>81.400000000000006</v>
      </c>
      <c r="H14" s="24">
        <f t="shared" si="0"/>
        <v>45.3</v>
      </c>
      <c r="I14" s="24">
        <f t="shared" si="0"/>
        <v>29.4</v>
      </c>
      <c r="J14" s="24">
        <f t="shared" si="0"/>
        <v>27.200000000000003</v>
      </c>
      <c r="K14" s="24">
        <f t="shared" si="0"/>
        <v>0</v>
      </c>
      <c r="L14" s="24">
        <f t="shared" si="0"/>
        <v>0</v>
      </c>
      <c r="M14" s="4"/>
      <c r="Q14" s="4"/>
      <c r="R14" s="4"/>
      <c r="S14" s="4"/>
      <c r="T14" s="4"/>
    </row>
    <row r="15" spans="1:20" s="178" customFormat="1" ht="12.6" customHeight="1" x14ac:dyDescent="0.25">
      <c r="A15" s="156">
        <v>2</v>
      </c>
      <c r="B15" s="211"/>
      <c r="C15" s="191" t="s">
        <v>123</v>
      </c>
      <c r="D15" s="171" t="s">
        <v>55</v>
      </c>
      <c r="E15" s="217">
        <f t="shared" ref="E15:F61" si="1">+G15+K15</f>
        <v>0.5</v>
      </c>
      <c r="F15" s="217">
        <f t="shared" si="1"/>
        <v>0.3</v>
      </c>
      <c r="G15" s="217">
        <f>1-0.5</f>
        <v>0.5</v>
      </c>
      <c r="H15" s="217">
        <v>0.3</v>
      </c>
      <c r="I15" s="217"/>
      <c r="J15" s="217"/>
      <c r="K15" s="217"/>
      <c r="L15" s="161"/>
      <c r="M15" s="162"/>
      <c r="Q15" s="162"/>
      <c r="R15" s="162"/>
      <c r="S15" s="162"/>
      <c r="T15" s="162"/>
    </row>
    <row r="16" spans="1:20" s="178" customFormat="1" ht="12.6" customHeight="1" x14ac:dyDescent="0.25">
      <c r="A16" s="156">
        <v>3</v>
      </c>
      <c r="B16" s="211"/>
      <c r="C16" s="191" t="s">
        <v>126</v>
      </c>
      <c r="D16" s="171" t="s">
        <v>57</v>
      </c>
      <c r="E16" s="217">
        <f t="shared" si="1"/>
        <v>4</v>
      </c>
      <c r="F16" s="217">
        <f t="shared" si="1"/>
        <v>3.3</v>
      </c>
      <c r="G16" s="217">
        <v>4</v>
      </c>
      <c r="H16" s="217">
        <v>3.3</v>
      </c>
      <c r="I16" s="217"/>
      <c r="J16" s="217"/>
      <c r="K16" s="217"/>
      <c r="L16" s="161"/>
      <c r="M16" s="162"/>
      <c r="Q16" s="162"/>
      <c r="R16" s="162"/>
      <c r="S16" s="162"/>
      <c r="T16" s="162"/>
    </row>
    <row r="17" spans="1:20" s="178" customFormat="1" ht="12.6" customHeight="1" x14ac:dyDescent="0.25">
      <c r="A17" s="156">
        <v>4</v>
      </c>
      <c r="B17" s="211"/>
      <c r="C17" s="191" t="s">
        <v>42</v>
      </c>
      <c r="D17" s="171" t="s">
        <v>57</v>
      </c>
      <c r="E17" s="217">
        <f t="shared" si="1"/>
        <v>0.5</v>
      </c>
      <c r="F17" s="217">
        <f t="shared" si="1"/>
        <v>0.3</v>
      </c>
      <c r="G17" s="217">
        <f>1.2-0.7</f>
        <v>0.5</v>
      </c>
      <c r="H17" s="217">
        <v>0.3</v>
      </c>
      <c r="I17" s="217"/>
      <c r="J17" s="217"/>
      <c r="K17" s="217"/>
      <c r="L17" s="161"/>
      <c r="M17" s="162"/>
      <c r="Q17" s="162"/>
      <c r="R17" s="162"/>
      <c r="S17" s="162"/>
      <c r="T17" s="162"/>
    </row>
    <row r="18" spans="1:20" s="178" customFormat="1" ht="12.6" customHeight="1" x14ac:dyDescent="0.25">
      <c r="A18" s="156">
        <v>5</v>
      </c>
      <c r="B18" s="211"/>
      <c r="C18" s="193" t="s">
        <v>93</v>
      </c>
      <c r="D18" s="171" t="s">
        <v>57</v>
      </c>
      <c r="E18" s="217">
        <f t="shared" si="1"/>
        <v>0.7</v>
      </c>
      <c r="F18" s="217">
        <f t="shared" si="1"/>
        <v>0.2</v>
      </c>
      <c r="G18" s="217">
        <f>1.2-0.5</f>
        <v>0.7</v>
      </c>
      <c r="H18" s="217">
        <v>0.2</v>
      </c>
      <c r="I18" s="217">
        <f>0.5-0.2</f>
        <v>0.3</v>
      </c>
      <c r="J18" s="217">
        <v>0.1</v>
      </c>
      <c r="K18" s="217"/>
      <c r="L18" s="161"/>
      <c r="M18" s="162"/>
      <c r="Q18" s="162"/>
      <c r="R18" s="162"/>
      <c r="S18" s="162"/>
      <c r="T18" s="162"/>
    </row>
    <row r="19" spans="1:20" s="178" customFormat="1" ht="12.6" customHeight="1" x14ac:dyDescent="0.25">
      <c r="A19" s="156">
        <v>6</v>
      </c>
      <c r="B19" s="211"/>
      <c r="C19" s="193" t="s">
        <v>94</v>
      </c>
      <c r="D19" s="171" t="s">
        <v>57</v>
      </c>
      <c r="E19" s="217">
        <f t="shared" si="1"/>
        <v>0.99999999999999978</v>
      </c>
      <c r="F19" s="217">
        <f t="shared" si="1"/>
        <v>1</v>
      </c>
      <c r="G19" s="217">
        <f>2.3-1.3</f>
        <v>0.99999999999999978</v>
      </c>
      <c r="H19" s="217">
        <v>1</v>
      </c>
      <c r="I19" s="217"/>
      <c r="J19" s="217"/>
      <c r="K19" s="217"/>
      <c r="L19" s="161"/>
      <c r="M19" s="162"/>
      <c r="Q19" s="162"/>
      <c r="R19" s="162"/>
      <c r="S19" s="162"/>
      <c r="T19" s="162"/>
    </row>
    <row r="20" spans="1:20" s="178" customFormat="1" ht="12.6" customHeight="1" x14ac:dyDescent="0.25">
      <c r="A20" s="156">
        <v>7</v>
      </c>
      <c r="B20" s="211"/>
      <c r="C20" s="193" t="s">
        <v>36</v>
      </c>
      <c r="D20" s="171" t="s">
        <v>57</v>
      </c>
      <c r="E20" s="217">
        <f t="shared" si="1"/>
        <v>2.4000000000000004</v>
      </c>
      <c r="F20" s="217">
        <f t="shared" si="1"/>
        <v>1</v>
      </c>
      <c r="G20" s="217">
        <f>5.3-0.6-2.3</f>
        <v>2.4000000000000004</v>
      </c>
      <c r="H20" s="217">
        <v>1</v>
      </c>
      <c r="I20" s="217"/>
      <c r="J20" s="217"/>
      <c r="K20" s="217"/>
      <c r="L20" s="161"/>
      <c r="M20" s="162"/>
      <c r="Q20" s="162"/>
      <c r="R20" s="162"/>
      <c r="S20" s="162"/>
      <c r="T20" s="162"/>
    </row>
    <row r="21" spans="1:20" s="178" customFormat="1" ht="12.6" customHeight="1" x14ac:dyDescent="0.25">
      <c r="A21" s="156">
        <v>8</v>
      </c>
      <c r="B21" s="211"/>
      <c r="C21" s="191" t="s">
        <v>97</v>
      </c>
      <c r="D21" s="171" t="s">
        <v>57</v>
      </c>
      <c r="E21" s="217">
        <f>+G21+K21</f>
        <v>1</v>
      </c>
      <c r="F21" s="217">
        <f t="shared" si="1"/>
        <v>0.1</v>
      </c>
      <c r="G21" s="217">
        <f>2.1-1.1</f>
        <v>1</v>
      </c>
      <c r="H21" s="217">
        <v>0.1</v>
      </c>
      <c r="I21" s="217"/>
      <c r="J21" s="217"/>
      <c r="K21" s="217"/>
      <c r="L21" s="161"/>
      <c r="M21" s="162"/>
      <c r="Q21" s="162"/>
      <c r="R21" s="162"/>
      <c r="S21" s="162"/>
      <c r="T21" s="162"/>
    </row>
    <row r="22" spans="1:20" s="178" customFormat="1" ht="12.6" customHeight="1" x14ac:dyDescent="0.25">
      <c r="A22" s="156">
        <v>9</v>
      </c>
      <c r="B22" s="211"/>
      <c r="C22" s="193" t="s">
        <v>124</v>
      </c>
      <c r="D22" s="168" t="s">
        <v>163</v>
      </c>
      <c r="E22" s="217">
        <f t="shared" si="1"/>
        <v>16.399999999999999</v>
      </c>
      <c r="F22" s="217">
        <f t="shared" si="1"/>
        <v>1.1000000000000001</v>
      </c>
      <c r="G22" s="217">
        <f>27.4-11</f>
        <v>16.399999999999999</v>
      </c>
      <c r="H22" s="217">
        <v>1.1000000000000001</v>
      </c>
      <c r="I22" s="217"/>
      <c r="J22" s="217"/>
      <c r="K22" s="217"/>
      <c r="L22" s="161"/>
      <c r="M22" s="162"/>
      <c r="Q22" s="162"/>
      <c r="R22" s="162"/>
      <c r="S22" s="162"/>
      <c r="T22" s="162"/>
    </row>
    <row r="23" spans="1:20" s="178" customFormat="1" ht="12.6" customHeight="1" x14ac:dyDescent="0.25">
      <c r="A23" s="156">
        <v>10</v>
      </c>
      <c r="B23" s="211"/>
      <c r="C23" s="191" t="s">
        <v>125</v>
      </c>
      <c r="D23" s="168" t="s">
        <v>163</v>
      </c>
      <c r="E23" s="217">
        <f t="shared" si="1"/>
        <v>1.1000000000000001</v>
      </c>
      <c r="F23" s="217">
        <f t="shared" si="1"/>
        <v>1</v>
      </c>
      <c r="G23" s="217">
        <f>2.1-1</f>
        <v>1.1000000000000001</v>
      </c>
      <c r="H23" s="217">
        <v>1</v>
      </c>
      <c r="I23" s="217"/>
      <c r="J23" s="217"/>
      <c r="K23" s="217"/>
      <c r="L23" s="161"/>
      <c r="M23" s="162"/>
      <c r="Q23" s="162"/>
      <c r="R23" s="162"/>
      <c r="S23" s="162"/>
      <c r="T23" s="162"/>
    </row>
    <row r="24" spans="1:20" s="178" customFormat="1" ht="12.6" customHeight="1" x14ac:dyDescent="0.25">
      <c r="A24" s="156">
        <v>11</v>
      </c>
      <c r="B24" s="211"/>
      <c r="C24" s="193" t="s">
        <v>37</v>
      </c>
      <c r="D24" s="171" t="s">
        <v>58</v>
      </c>
      <c r="E24" s="217">
        <f t="shared" si="1"/>
        <v>0.3</v>
      </c>
      <c r="F24" s="217">
        <f t="shared" si="1"/>
        <v>0.2</v>
      </c>
      <c r="G24" s="217">
        <f>0.5-0.2</f>
        <v>0.3</v>
      </c>
      <c r="H24" s="217">
        <v>0.2</v>
      </c>
      <c r="I24" s="217"/>
      <c r="J24" s="217"/>
      <c r="K24" s="217"/>
      <c r="L24" s="161"/>
      <c r="M24" s="162"/>
      <c r="Q24" s="162"/>
      <c r="R24" s="162"/>
      <c r="S24" s="162"/>
      <c r="T24" s="162"/>
    </row>
    <row r="25" spans="1:20" s="178" customFormat="1" ht="12.6" customHeight="1" x14ac:dyDescent="0.25">
      <c r="A25" s="156">
        <v>12</v>
      </c>
      <c r="B25" s="211"/>
      <c r="C25" s="175" t="s">
        <v>156</v>
      </c>
      <c r="D25" s="171" t="s">
        <v>58</v>
      </c>
      <c r="E25" s="217">
        <f t="shared" si="1"/>
        <v>0.2</v>
      </c>
      <c r="F25" s="217">
        <f t="shared" si="1"/>
        <v>0.1</v>
      </c>
      <c r="G25" s="217">
        <v>0.2</v>
      </c>
      <c r="H25" s="217">
        <v>0.1</v>
      </c>
      <c r="I25" s="217"/>
      <c r="J25" s="217"/>
      <c r="K25" s="217"/>
      <c r="L25" s="161"/>
      <c r="M25" s="162"/>
      <c r="Q25" s="162"/>
      <c r="R25" s="162"/>
      <c r="S25" s="162"/>
      <c r="T25" s="162"/>
    </row>
    <row r="26" spans="1:20" s="178" customFormat="1" ht="12.6" customHeight="1" x14ac:dyDescent="0.25">
      <c r="A26" s="156">
        <v>13</v>
      </c>
      <c r="B26" s="211"/>
      <c r="C26" s="175" t="s">
        <v>38</v>
      </c>
      <c r="D26" s="171" t="s">
        <v>58</v>
      </c>
      <c r="E26" s="217">
        <f t="shared" si="1"/>
        <v>0.3</v>
      </c>
      <c r="F26" s="217">
        <f t="shared" si="1"/>
        <v>0.2</v>
      </c>
      <c r="G26" s="217">
        <f>0.5-0.2</f>
        <v>0.3</v>
      </c>
      <c r="H26" s="217">
        <f>0.1+0.1</f>
        <v>0.2</v>
      </c>
      <c r="I26" s="217"/>
      <c r="J26" s="217"/>
      <c r="K26" s="217"/>
      <c r="L26" s="161"/>
      <c r="M26" s="162"/>
      <c r="Q26" s="162"/>
      <c r="R26" s="162"/>
      <c r="S26" s="162"/>
      <c r="T26" s="162"/>
    </row>
    <row r="27" spans="1:20" s="178" customFormat="1" ht="12.6" customHeight="1" x14ac:dyDescent="0.25">
      <c r="A27" s="156">
        <v>14</v>
      </c>
      <c r="B27" s="211"/>
      <c r="C27" s="175" t="s">
        <v>96</v>
      </c>
      <c r="D27" s="171" t="s">
        <v>58</v>
      </c>
      <c r="E27" s="217">
        <f t="shared" si="1"/>
        <v>0.3</v>
      </c>
      <c r="F27" s="217">
        <f t="shared" si="1"/>
        <v>0.3</v>
      </c>
      <c r="G27" s="217">
        <f>0.5-0.2</f>
        <v>0.3</v>
      </c>
      <c r="H27" s="217">
        <v>0.3</v>
      </c>
      <c r="I27" s="217"/>
      <c r="J27" s="217"/>
      <c r="K27" s="217"/>
      <c r="L27" s="161"/>
      <c r="M27" s="162"/>
      <c r="Q27" s="162"/>
      <c r="R27" s="162"/>
      <c r="S27" s="162"/>
      <c r="T27" s="162"/>
    </row>
    <row r="28" spans="1:20" s="178" customFormat="1" ht="12.6" customHeight="1" x14ac:dyDescent="0.25">
      <c r="A28" s="156">
        <v>15</v>
      </c>
      <c r="B28" s="211"/>
      <c r="C28" s="193" t="s">
        <v>84</v>
      </c>
      <c r="D28" s="171" t="s">
        <v>57</v>
      </c>
      <c r="E28" s="217">
        <f>+G28+K28</f>
        <v>32.4</v>
      </c>
      <c r="F28" s="217">
        <f t="shared" si="1"/>
        <v>21.3</v>
      </c>
      <c r="G28" s="217">
        <v>32.4</v>
      </c>
      <c r="H28" s="217">
        <v>21.3</v>
      </c>
      <c r="I28" s="217">
        <v>22.2</v>
      </c>
      <c r="J28" s="217">
        <v>20.2</v>
      </c>
      <c r="K28" s="217"/>
      <c r="L28" s="161"/>
      <c r="M28" s="162"/>
      <c r="Q28" s="162"/>
      <c r="R28" s="162"/>
      <c r="S28" s="162"/>
      <c r="T28" s="162"/>
    </row>
    <row r="29" spans="1:20" s="178" customFormat="1" ht="12.6" customHeight="1" x14ac:dyDescent="0.25">
      <c r="A29" s="156">
        <v>16</v>
      </c>
      <c r="B29" s="211"/>
      <c r="C29" s="191" t="s">
        <v>276</v>
      </c>
      <c r="D29" s="171" t="s">
        <v>58</v>
      </c>
      <c r="E29" s="217">
        <f>+G29+K29</f>
        <v>0.40000000000000013</v>
      </c>
      <c r="F29" s="217">
        <f t="shared" si="1"/>
        <v>0.2</v>
      </c>
      <c r="G29" s="217">
        <f>1.1-0.7</f>
        <v>0.40000000000000013</v>
      </c>
      <c r="H29" s="217">
        <v>0.2</v>
      </c>
      <c r="I29" s="217"/>
      <c r="J29" s="217"/>
      <c r="K29" s="217"/>
      <c r="L29" s="161"/>
      <c r="M29" s="162"/>
      <c r="Q29" s="162"/>
      <c r="R29" s="162"/>
      <c r="S29" s="162"/>
      <c r="T29" s="162"/>
    </row>
    <row r="30" spans="1:20" s="178" customFormat="1" ht="12.6" customHeight="1" x14ac:dyDescent="0.25">
      <c r="A30" s="156">
        <v>17</v>
      </c>
      <c r="B30" s="211"/>
      <c r="C30" s="191" t="s">
        <v>43</v>
      </c>
      <c r="D30" s="168" t="s">
        <v>59</v>
      </c>
      <c r="E30" s="217">
        <f>+G30+K30</f>
        <v>0.5</v>
      </c>
      <c r="F30" s="217">
        <f t="shared" si="1"/>
        <v>0.3</v>
      </c>
      <c r="G30" s="217">
        <v>0.5</v>
      </c>
      <c r="H30" s="217">
        <v>0.3</v>
      </c>
      <c r="I30" s="217"/>
      <c r="J30" s="217"/>
      <c r="K30" s="217"/>
      <c r="L30" s="161"/>
      <c r="M30" s="162"/>
      <c r="Q30" s="162"/>
      <c r="R30" s="162"/>
      <c r="S30" s="162"/>
      <c r="T30" s="162"/>
    </row>
    <row r="31" spans="1:20" s="178" customFormat="1" ht="12.6" customHeight="1" x14ac:dyDescent="0.25">
      <c r="A31" s="156">
        <v>18</v>
      </c>
      <c r="B31" s="211"/>
      <c r="C31" s="206" t="s">
        <v>44</v>
      </c>
      <c r="D31" s="168" t="s">
        <v>59</v>
      </c>
      <c r="E31" s="217">
        <f t="shared" si="1"/>
        <v>0.5</v>
      </c>
      <c r="F31" s="217">
        <f t="shared" si="1"/>
        <v>0</v>
      </c>
      <c r="G31" s="217">
        <v>0.5</v>
      </c>
      <c r="H31" s="217">
        <v>0</v>
      </c>
      <c r="I31" s="217"/>
      <c r="J31" s="217"/>
      <c r="K31" s="217"/>
      <c r="L31" s="161"/>
      <c r="M31" s="162"/>
      <c r="Q31" s="162"/>
      <c r="R31" s="162"/>
      <c r="S31" s="162"/>
      <c r="T31" s="162"/>
    </row>
    <row r="32" spans="1:20" s="178" customFormat="1" ht="12.6" customHeight="1" x14ac:dyDescent="0.25">
      <c r="A32" s="156">
        <v>19</v>
      </c>
      <c r="B32" s="211"/>
      <c r="C32" s="206" t="s">
        <v>157</v>
      </c>
      <c r="D32" s="171" t="s">
        <v>164</v>
      </c>
      <c r="E32" s="217">
        <f t="shared" si="1"/>
        <v>18.899999999999999</v>
      </c>
      <c r="F32" s="217">
        <f t="shared" si="1"/>
        <v>14.4</v>
      </c>
      <c r="G32" s="217">
        <v>18.899999999999999</v>
      </c>
      <c r="H32" s="217">
        <v>14.4</v>
      </c>
      <c r="I32" s="217">
        <v>6.9</v>
      </c>
      <c r="J32" s="217">
        <v>6.9</v>
      </c>
      <c r="K32" s="217"/>
      <c r="L32" s="161"/>
      <c r="M32" s="162"/>
      <c r="Q32" s="162"/>
      <c r="R32" s="162"/>
      <c r="S32" s="162"/>
      <c r="T32" s="162"/>
    </row>
    <row r="33" spans="1:20" ht="20.100000000000001" customHeight="1" x14ac:dyDescent="0.25">
      <c r="A33" s="10">
        <v>20</v>
      </c>
      <c r="B33" s="9" t="s">
        <v>60</v>
      </c>
      <c r="C33" s="14" t="s">
        <v>61</v>
      </c>
      <c r="D33" s="1"/>
      <c r="E33" s="24">
        <f>+G33+K33</f>
        <v>10.5</v>
      </c>
      <c r="F33" s="24">
        <f>+H33+L33</f>
        <v>6.7</v>
      </c>
      <c r="G33" s="24">
        <f t="shared" ref="G33:L33" si="2">SUM(G34:G34)</f>
        <v>10.5</v>
      </c>
      <c r="H33" s="24">
        <f t="shared" si="2"/>
        <v>6.7</v>
      </c>
      <c r="I33" s="24">
        <f t="shared" si="2"/>
        <v>6.2</v>
      </c>
      <c r="J33" s="24">
        <f t="shared" si="2"/>
        <v>5.7</v>
      </c>
      <c r="K33" s="24">
        <f t="shared" si="2"/>
        <v>0</v>
      </c>
      <c r="L33" s="24">
        <f t="shared" si="2"/>
        <v>0</v>
      </c>
      <c r="M33" s="4"/>
      <c r="Q33" s="4"/>
      <c r="R33" s="4"/>
      <c r="S33" s="4"/>
      <c r="T33" s="4"/>
    </row>
    <row r="34" spans="1:20" ht="12.6" customHeight="1" x14ac:dyDescent="0.25">
      <c r="A34" s="10">
        <v>21</v>
      </c>
      <c r="B34" s="15"/>
      <c r="C34" s="22" t="s">
        <v>159</v>
      </c>
      <c r="D34" s="15" t="s">
        <v>165</v>
      </c>
      <c r="E34" s="21">
        <f t="shared" si="1"/>
        <v>10.5</v>
      </c>
      <c r="F34" s="21">
        <f t="shared" si="1"/>
        <v>6.7</v>
      </c>
      <c r="G34" s="21">
        <v>10.5</v>
      </c>
      <c r="H34" s="21">
        <v>6.7</v>
      </c>
      <c r="I34" s="21">
        <v>6.2</v>
      </c>
      <c r="J34" s="21">
        <v>5.7</v>
      </c>
      <c r="K34" s="21"/>
      <c r="L34" s="225"/>
      <c r="M34" s="4"/>
      <c r="Q34" s="4"/>
      <c r="R34" s="4"/>
      <c r="S34" s="4"/>
      <c r="T34" s="4"/>
    </row>
    <row r="35" spans="1:20" ht="20.100000000000001" customHeight="1" x14ac:dyDescent="0.25">
      <c r="A35" s="10">
        <v>22</v>
      </c>
      <c r="B35" s="9" t="s">
        <v>21</v>
      </c>
      <c r="C35" s="14" t="s">
        <v>22</v>
      </c>
      <c r="D35" s="15"/>
      <c r="E35" s="24">
        <f>+G35+K35</f>
        <v>31.9</v>
      </c>
      <c r="F35" s="24">
        <f>+H35+L35</f>
        <v>31.4</v>
      </c>
      <c r="G35" s="24">
        <f>SUM(G36:G37)</f>
        <v>31.9</v>
      </c>
      <c r="H35" s="24">
        <f>SUM(H36:H37)</f>
        <v>31.4</v>
      </c>
      <c r="I35" s="24">
        <f>SUM(I36:I36)</f>
        <v>0</v>
      </c>
      <c r="J35" s="24">
        <f>SUM(J36:J36)</f>
        <v>0</v>
      </c>
      <c r="K35" s="24">
        <f>SUM(K36:K36)</f>
        <v>0</v>
      </c>
      <c r="L35" s="24">
        <f>SUM(L36:L36)</f>
        <v>0</v>
      </c>
      <c r="M35" s="4"/>
      <c r="Q35" s="4"/>
      <c r="R35" s="4"/>
      <c r="S35" s="4"/>
      <c r="T35" s="4"/>
    </row>
    <row r="36" spans="1:20" ht="27" customHeight="1" x14ac:dyDescent="0.25">
      <c r="A36" s="10">
        <v>23</v>
      </c>
      <c r="B36" s="15"/>
      <c r="C36" s="23" t="s">
        <v>1</v>
      </c>
      <c r="D36" s="19" t="s">
        <v>166</v>
      </c>
      <c r="E36" s="21">
        <f t="shared" si="1"/>
        <v>31.4</v>
      </c>
      <c r="F36" s="21">
        <f t="shared" si="1"/>
        <v>30.9</v>
      </c>
      <c r="G36" s="21">
        <v>31.4</v>
      </c>
      <c r="H36" s="217">
        <f>31-0.1</f>
        <v>30.9</v>
      </c>
      <c r="I36" s="21"/>
      <c r="J36" s="21"/>
      <c r="K36" s="21"/>
      <c r="L36" s="225"/>
      <c r="M36" s="4"/>
      <c r="N36" s="4"/>
      <c r="Q36" s="4"/>
      <c r="R36" s="4"/>
      <c r="S36" s="4"/>
      <c r="T36" s="4"/>
    </row>
    <row r="37" spans="1:20" ht="12.75" customHeight="1" x14ac:dyDescent="0.25">
      <c r="A37" s="10">
        <v>24</v>
      </c>
      <c r="B37" s="15"/>
      <c r="C37" s="23" t="s">
        <v>4</v>
      </c>
      <c r="D37" s="19" t="s">
        <v>167</v>
      </c>
      <c r="E37" s="21">
        <f t="shared" si="1"/>
        <v>0.5</v>
      </c>
      <c r="F37" s="21">
        <f t="shared" si="1"/>
        <v>0.5</v>
      </c>
      <c r="G37" s="21">
        <v>0.5</v>
      </c>
      <c r="H37" s="21">
        <v>0.5</v>
      </c>
      <c r="I37" s="21"/>
      <c r="J37" s="21"/>
      <c r="K37" s="21"/>
      <c r="L37" s="225"/>
      <c r="M37" s="4"/>
      <c r="Q37" s="4"/>
      <c r="R37" s="4"/>
      <c r="S37" s="4"/>
      <c r="T37" s="4"/>
    </row>
    <row r="38" spans="1:20" ht="12.75" customHeight="1" x14ac:dyDescent="0.25">
      <c r="A38" s="10">
        <v>25</v>
      </c>
      <c r="B38" s="9" t="s">
        <v>63</v>
      </c>
      <c r="C38" s="14" t="s">
        <v>148</v>
      </c>
      <c r="D38" s="19"/>
      <c r="E38" s="24">
        <f t="shared" ref="E38:F40" si="3">+G38+K38</f>
        <v>48</v>
      </c>
      <c r="F38" s="24">
        <f t="shared" si="3"/>
        <v>12.6</v>
      </c>
      <c r="G38" s="24">
        <f t="shared" ref="G38:L38" si="4">+G39</f>
        <v>48</v>
      </c>
      <c r="H38" s="24">
        <f t="shared" si="4"/>
        <v>12.6</v>
      </c>
      <c r="I38" s="24">
        <f t="shared" si="4"/>
        <v>0</v>
      </c>
      <c r="J38" s="24">
        <f t="shared" si="4"/>
        <v>0</v>
      </c>
      <c r="K38" s="24">
        <f t="shared" si="4"/>
        <v>0</v>
      </c>
      <c r="L38" s="24">
        <f t="shared" si="4"/>
        <v>0</v>
      </c>
      <c r="M38" s="4"/>
      <c r="Q38" s="4"/>
      <c r="R38" s="4"/>
      <c r="S38" s="4"/>
      <c r="T38" s="4"/>
    </row>
    <row r="39" spans="1:20" ht="12.6" customHeight="1" x14ac:dyDescent="0.25">
      <c r="A39" s="10">
        <v>26</v>
      </c>
      <c r="B39" s="15"/>
      <c r="C39" s="18" t="s">
        <v>85</v>
      </c>
      <c r="D39" s="12" t="s">
        <v>64</v>
      </c>
      <c r="E39" s="21">
        <f t="shared" si="3"/>
        <v>48</v>
      </c>
      <c r="F39" s="21">
        <f t="shared" si="3"/>
        <v>12.6</v>
      </c>
      <c r="G39" s="21">
        <v>48</v>
      </c>
      <c r="H39" s="21">
        <v>12.6</v>
      </c>
      <c r="I39" s="21"/>
      <c r="J39" s="21"/>
      <c r="K39" s="21"/>
      <c r="L39" s="225"/>
      <c r="M39" s="4"/>
      <c r="Q39" s="4"/>
      <c r="R39" s="4"/>
      <c r="S39" s="4"/>
      <c r="T39" s="4"/>
    </row>
    <row r="40" spans="1:20" ht="20.100000000000001" customHeight="1" x14ac:dyDescent="0.25">
      <c r="A40" s="10">
        <v>27</v>
      </c>
      <c r="B40" s="9" t="s">
        <v>65</v>
      </c>
      <c r="C40" s="14" t="s">
        <v>66</v>
      </c>
      <c r="D40" s="1"/>
      <c r="E40" s="24">
        <f t="shared" si="3"/>
        <v>53.099999999999994</v>
      </c>
      <c r="F40" s="24">
        <f t="shared" si="3"/>
        <v>34.6</v>
      </c>
      <c r="G40" s="24">
        <f t="shared" ref="G40:L40" si="5">SUM(G41:G48)</f>
        <v>53.099999999999994</v>
      </c>
      <c r="H40" s="24">
        <f t="shared" si="5"/>
        <v>34.6</v>
      </c>
      <c r="I40" s="24">
        <f t="shared" si="5"/>
        <v>0</v>
      </c>
      <c r="J40" s="24">
        <f t="shared" si="5"/>
        <v>0</v>
      </c>
      <c r="K40" s="24">
        <f t="shared" si="5"/>
        <v>0</v>
      </c>
      <c r="L40" s="24">
        <f t="shared" si="5"/>
        <v>0</v>
      </c>
      <c r="M40" s="4"/>
      <c r="Q40" s="4"/>
      <c r="R40" s="4"/>
      <c r="S40" s="4"/>
      <c r="T40" s="4"/>
    </row>
    <row r="41" spans="1:20" s="178" customFormat="1" ht="12.6" customHeight="1" x14ac:dyDescent="0.25">
      <c r="A41" s="156">
        <v>28</v>
      </c>
      <c r="B41" s="211"/>
      <c r="C41" s="206" t="s">
        <v>40</v>
      </c>
      <c r="D41" s="171" t="s">
        <v>67</v>
      </c>
      <c r="E41" s="217">
        <f t="shared" si="1"/>
        <v>6.1</v>
      </c>
      <c r="F41" s="21">
        <f t="shared" ref="F41:F47" si="6">+H41+L41</f>
        <v>6.1</v>
      </c>
      <c r="G41" s="217">
        <f>10.6-4.5</f>
        <v>6.1</v>
      </c>
      <c r="H41" s="217">
        <v>6.1</v>
      </c>
      <c r="I41" s="217"/>
      <c r="J41" s="217"/>
      <c r="K41" s="217"/>
      <c r="L41" s="161"/>
      <c r="M41" s="162"/>
      <c r="Q41" s="162"/>
      <c r="R41" s="162"/>
      <c r="S41" s="162"/>
      <c r="T41" s="162"/>
    </row>
    <row r="42" spans="1:20" s="178" customFormat="1" ht="12.6" customHeight="1" x14ac:dyDescent="0.25">
      <c r="A42" s="156">
        <v>29</v>
      </c>
      <c r="B42" s="211"/>
      <c r="C42" s="206" t="s">
        <v>45</v>
      </c>
      <c r="D42" s="171" t="s">
        <v>67</v>
      </c>
      <c r="E42" s="217">
        <f t="shared" si="1"/>
        <v>0.60000000000000009</v>
      </c>
      <c r="F42" s="21">
        <f t="shared" si="6"/>
        <v>0.4</v>
      </c>
      <c r="G42" s="217">
        <f>1.6-1</f>
        <v>0.60000000000000009</v>
      </c>
      <c r="H42" s="217">
        <f>0.5-0.1</f>
        <v>0.4</v>
      </c>
      <c r="I42" s="217"/>
      <c r="J42" s="217"/>
      <c r="K42" s="217"/>
      <c r="L42" s="161"/>
      <c r="M42" s="162"/>
      <c r="Q42" s="162"/>
      <c r="R42" s="162"/>
      <c r="S42" s="162"/>
      <c r="T42" s="162"/>
    </row>
    <row r="43" spans="1:20" ht="12.6" customHeight="1" x14ac:dyDescent="0.25">
      <c r="A43" s="341">
        <v>30</v>
      </c>
      <c r="B43" s="342"/>
      <c r="C43" s="330" t="s">
        <v>46</v>
      </c>
      <c r="D43" s="326" t="s">
        <v>67</v>
      </c>
      <c r="E43" s="343">
        <f t="shared" si="1"/>
        <v>0</v>
      </c>
      <c r="F43" s="343">
        <f t="shared" si="6"/>
        <v>0</v>
      </c>
      <c r="G43" s="343">
        <f>1-1</f>
        <v>0</v>
      </c>
      <c r="H43" s="343">
        <v>0</v>
      </c>
      <c r="I43" s="343"/>
      <c r="J43" s="343"/>
      <c r="K43" s="343"/>
      <c r="L43" s="344"/>
      <c r="M43" s="4"/>
      <c r="Q43" s="4"/>
      <c r="R43" s="4"/>
      <c r="S43" s="4"/>
      <c r="T43" s="4"/>
    </row>
    <row r="44" spans="1:20" ht="12.6" customHeight="1" x14ac:dyDescent="0.25">
      <c r="A44" s="341">
        <v>31</v>
      </c>
      <c r="B44" s="342"/>
      <c r="C44" s="330" t="s">
        <v>41</v>
      </c>
      <c r="D44" s="326" t="s">
        <v>67</v>
      </c>
      <c r="E44" s="343">
        <f t="shared" si="1"/>
        <v>0</v>
      </c>
      <c r="F44" s="343">
        <f t="shared" si="6"/>
        <v>0</v>
      </c>
      <c r="G44" s="343">
        <f>0.6-0.6</f>
        <v>0</v>
      </c>
      <c r="H44" s="343">
        <v>0</v>
      </c>
      <c r="I44" s="343"/>
      <c r="J44" s="343"/>
      <c r="K44" s="343"/>
      <c r="L44" s="344"/>
      <c r="M44" s="4"/>
      <c r="Q44" s="4"/>
      <c r="R44" s="4"/>
      <c r="S44" s="4"/>
      <c r="T44" s="4"/>
    </row>
    <row r="45" spans="1:20" s="178" customFormat="1" ht="12.6" customHeight="1" x14ac:dyDescent="0.25">
      <c r="A45" s="156">
        <v>32</v>
      </c>
      <c r="B45" s="211"/>
      <c r="C45" s="206" t="s">
        <v>47</v>
      </c>
      <c r="D45" s="171" t="s">
        <v>67</v>
      </c>
      <c r="E45" s="217">
        <f t="shared" si="1"/>
        <v>0.5</v>
      </c>
      <c r="F45" s="21">
        <f t="shared" si="6"/>
        <v>0.2</v>
      </c>
      <c r="G45" s="217">
        <v>0.5</v>
      </c>
      <c r="H45" s="217">
        <v>0.2</v>
      </c>
      <c r="I45" s="217"/>
      <c r="J45" s="217"/>
      <c r="K45" s="217"/>
      <c r="L45" s="161"/>
      <c r="M45" s="162"/>
      <c r="Q45" s="162"/>
      <c r="R45" s="162"/>
      <c r="S45" s="162"/>
      <c r="T45" s="162"/>
    </row>
    <row r="46" spans="1:20" s="178" customFormat="1" ht="12.6" customHeight="1" x14ac:dyDescent="0.25">
      <c r="A46" s="156">
        <v>33</v>
      </c>
      <c r="B46" s="211"/>
      <c r="C46" s="206" t="s">
        <v>48</v>
      </c>
      <c r="D46" s="171" t="s">
        <v>67</v>
      </c>
      <c r="E46" s="217">
        <f t="shared" si="1"/>
        <v>0.2</v>
      </c>
      <c r="F46" s="21">
        <f t="shared" si="6"/>
        <v>0.2</v>
      </c>
      <c r="G46" s="217">
        <v>0.2</v>
      </c>
      <c r="H46" s="217">
        <v>0.2</v>
      </c>
      <c r="I46" s="217"/>
      <c r="J46" s="217"/>
      <c r="K46" s="217"/>
      <c r="L46" s="161"/>
      <c r="M46" s="162"/>
      <c r="Q46" s="162"/>
      <c r="R46" s="162"/>
      <c r="S46" s="162"/>
      <c r="T46" s="162"/>
    </row>
    <row r="47" spans="1:20" s="178" customFormat="1" ht="12.6" customHeight="1" x14ac:dyDescent="0.25">
      <c r="A47" s="156">
        <v>34</v>
      </c>
      <c r="B47" s="211"/>
      <c r="C47" s="222" t="s">
        <v>49</v>
      </c>
      <c r="D47" s="211" t="s">
        <v>68</v>
      </c>
      <c r="E47" s="217">
        <f>+G47+K47</f>
        <v>0.89999999999999991</v>
      </c>
      <c r="F47" s="21">
        <f t="shared" si="6"/>
        <v>0.9</v>
      </c>
      <c r="G47" s="217">
        <f>1.2-0.3</f>
        <v>0.89999999999999991</v>
      </c>
      <c r="H47" s="217">
        <v>0.9</v>
      </c>
      <c r="I47" s="217"/>
      <c r="J47" s="217"/>
      <c r="K47" s="217"/>
      <c r="L47" s="161"/>
      <c r="M47" s="162"/>
      <c r="Q47" s="162"/>
      <c r="R47" s="162"/>
      <c r="S47" s="162"/>
      <c r="T47" s="162"/>
    </row>
    <row r="48" spans="1:20" s="178" customFormat="1" ht="12.6" customHeight="1" x14ac:dyDescent="0.25">
      <c r="A48" s="156">
        <v>35</v>
      </c>
      <c r="B48" s="211"/>
      <c r="C48" s="206" t="s">
        <v>39</v>
      </c>
      <c r="D48" s="168" t="s">
        <v>69</v>
      </c>
      <c r="E48" s="217">
        <f>+G48+K48</f>
        <v>44.8</v>
      </c>
      <c r="F48" s="21">
        <f>+H48+L48</f>
        <v>26.8</v>
      </c>
      <c r="G48" s="217">
        <v>44.8</v>
      </c>
      <c r="H48" s="217">
        <v>26.8</v>
      </c>
      <c r="I48" s="217"/>
      <c r="J48" s="217"/>
      <c r="K48" s="217"/>
      <c r="L48" s="161"/>
      <c r="M48" s="162"/>
      <c r="Q48" s="162"/>
      <c r="R48" s="162"/>
      <c r="S48" s="162"/>
      <c r="T48" s="162"/>
    </row>
    <row r="49" spans="1:20" s="178" customFormat="1" ht="20.100000000000001" customHeight="1" x14ac:dyDescent="0.25">
      <c r="A49" s="156">
        <v>36</v>
      </c>
      <c r="B49" s="157" t="s">
        <v>74</v>
      </c>
      <c r="C49" s="204" t="s">
        <v>75</v>
      </c>
      <c r="D49" s="211"/>
      <c r="E49" s="218">
        <f>+G49+K49</f>
        <v>8.7999999999999989</v>
      </c>
      <c r="F49" s="218">
        <f>+H49+L49</f>
        <v>3.8</v>
      </c>
      <c r="G49" s="218">
        <f t="shared" ref="G49:L49" si="7">SUM(G50:G54)</f>
        <v>8.7999999999999989</v>
      </c>
      <c r="H49" s="218">
        <f t="shared" si="7"/>
        <v>3.8</v>
      </c>
      <c r="I49" s="218">
        <f t="shared" si="7"/>
        <v>0</v>
      </c>
      <c r="J49" s="218">
        <f t="shared" si="7"/>
        <v>0</v>
      </c>
      <c r="K49" s="218">
        <f t="shared" si="7"/>
        <v>0</v>
      </c>
      <c r="L49" s="218">
        <f t="shared" si="7"/>
        <v>0</v>
      </c>
      <c r="M49" s="162"/>
      <c r="Q49" s="162"/>
      <c r="R49" s="162"/>
      <c r="S49" s="162"/>
      <c r="T49" s="162"/>
    </row>
    <row r="50" spans="1:20" s="178" customFormat="1" ht="12.6" customHeight="1" x14ac:dyDescent="0.25">
      <c r="A50" s="156">
        <v>37</v>
      </c>
      <c r="B50" s="211"/>
      <c r="C50" s="223" t="s">
        <v>5</v>
      </c>
      <c r="D50" s="184" t="s">
        <v>168</v>
      </c>
      <c r="E50" s="217">
        <f t="shared" si="1"/>
        <v>2.9</v>
      </c>
      <c r="F50" s="217">
        <f t="shared" ref="F50:F54" si="8">+H50+L50</f>
        <v>2</v>
      </c>
      <c r="G50" s="217">
        <v>2.9</v>
      </c>
      <c r="H50" s="217">
        <v>2</v>
      </c>
      <c r="I50" s="217"/>
      <c r="J50" s="217"/>
      <c r="K50" s="217"/>
      <c r="L50" s="161"/>
      <c r="M50" s="162"/>
      <c r="Q50" s="162"/>
      <c r="R50" s="162"/>
      <c r="S50" s="162"/>
      <c r="T50" s="162"/>
    </row>
    <row r="51" spans="1:20" s="178" customFormat="1" x14ac:dyDescent="0.25">
      <c r="A51" s="156">
        <v>38</v>
      </c>
      <c r="B51" s="157"/>
      <c r="C51" s="223" t="s">
        <v>7</v>
      </c>
      <c r="D51" s="224" t="s">
        <v>194</v>
      </c>
      <c r="E51" s="217">
        <f>+G51+K51</f>
        <v>3.7</v>
      </c>
      <c r="F51" s="217">
        <f t="shared" si="8"/>
        <v>0</v>
      </c>
      <c r="G51" s="217">
        <v>3.7</v>
      </c>
      <c r="H51" s="217">
        <v>0</v>
      </c>
      <c r="I51" s="217"/>
      <c r="J51" s="217"/>
      <c r="K51" s="217"/>
      <c r="L51" s="161"/>
      <c r="M51" s="162"/>
      <c r="Q51" s="162"/>
      <c r="R51" s="162"/>
      <c r="S51" s="162"/>
      <c r="T51" s="162"/>
    </row>
    <row r="52" spans="1:20" s="178" customFormat="1" ht="12.6" customHeight="1" x14ac:dyDescent="0.25">
      <c r="A52" s="156">
        <v>39</v>
      </c>
      <c r="B52" s="211"/>
      <c r="C52" s="222" t="s">
        <v>6</v>
      </c>
      <c r="D52" s="184" t="s">
        <v>76</v>
      </c>
      <c r="E52" s="217">
        <f t="shared" si="1"/>
        <v>1.6</v>
      </c>
      <c r="F52" s="217">
        <f t="shared" si="8"/>
        <v>1.4</v>
      </c>
      <c r="G52" s="217">
        <f>1.1+0.5</f>
        <v>1.6</v>
      </c>
      <c r="H52" s="217">
        <f>1.5-0.1</f>
        <v>1.4</v>
      </c>
      <c r="I52" s="217"/>
      <c r="J52" s="217"/>
      <c r="K52" s="217"/>
      <c r="L52" s="161"/>
      <c r="M52" s="162"/>
      <c r="Q52" s="162"/>
      <c r="R52" s="162"/>
      <c r="S52" s="162"/>
      <c r="T52" s="162"/>
    </row>
    <row r="53" spans="1:20" s="178" customFormat="1" ht="12.6" customHeight="1" x14ac:dyDescent="0.25">
      <c r="A53" s="156">
        <v>40</v>
      </c>
      <c r="B53" s="211"/>
      <c r="C53" s="223" t="s">
        <v>12</v>
      </c>
      <c r="D53" s="184" t="s">
        <v>76</v>
      </c>
      <c r="E53" s="217">
        <f>+G53+K53</f>
        <v>0.1</v>
      </c>
      <c r="F53" s="217">
        <f t="shared" si="8"/>
        <v>0</v>
      </c>
      <c r="G53" s="217">
        <v>0.1</v>
      </c>
      <c r="H53" s="217">
        <v>0</v>
      </c>
      <c r="I53" s="217"/>
      <c r="J53" s="217"/>
      <c r="K53" s="217"/>
      <c r="L53" s="161"/>
      <c r="M53" s="162"/>
      <c r="Q53" s="162"/>
      <c r="R53" s="162"/>
      <c r="S53" s="162"/>
      <c r="T53" s="162"/>
    </row>
    <row r="54" spans="1:20" s="178" customFormat="1" ht="12.6" customHeight="1" x14ac:dyDescent="0.25">
      <c r="A54" s="156">
        <v>41</v>
      </c>
      <c r="B54" s="157"/>
      <c r="C54" s="223" t="s">
        <v>11</v>
      </c>
      <c r="D54" s="211" t="s">
        <v>169</v>
      </c>
      <c r="E54" s="217">
        <f t="shared" si="1"/>
        <v>0.5</v>
      </c>
      <c r="F54" s="217">
        <f t="shared" si="8"/>
        <v>0.4</v>
      </c>
      <c r="G54" s="217">
        <v>0.5</v>
      </c>
      <c r="H54" s="217">
        <v>0.4</v>
      </c>
      <c r="I54" s="217"/>
      <c r="J54" s="217"/>
      <c r="K54" s="217"/>
      <c r="L54" s="161"/>
      <c r="M54" s="162"/>
      <c r="Q54" s="162"/>
      <c r="R54" s="162"/>
      <c r="S54" s="162"/>
      <c r="T54" s="162"/>
    </row>
    <row r="55" spans="1:20" s="178" customFormat="1" ht="20.100000000000001" customHeight="1" x14ac:dyDescent="0.25">
      <c r="A55" s="156">
        <v>42</v>
      </c>
      <c r="B55" s="157" t="s">
        <v>25</v>
      </c>
      <c r="C55" s="204" t="s">
        <v>26</v>
      </c>
      <c r="D55" s="184"/>
      <c r="E55" s="218">
        <f>+G55+K55</f>
        <v>4.2</v>
      </c>
      <c r="F55" s="218">
        <f>+H55+L55</f>
        <v>2.4</v>
      </c>
      <c r="G55" s="218">
        <f>SUM(G56:G61)</f>
        <v>4.2</v>
      </c>
      <c r="H55" s="218">
        <f>SUM(H56:H61)</f>
        <v>2.4</v>
      </c>
      <c r="I55" s="218">
        <f>SUM(I56:I60)</f>
        <v>0</v>
      </c>
      <c r="J55" s="218">
        <f>SUM(J56:J60)</f>
        <v>0</v>
      </c>
      <c r="K55" s="218">
        <f>SUM(K56:K60)</f>
        <v>0</v>
      </c>
      <c r="L55" s="218">
        <f>SUM(L56:L60)</f>
        <v>0</v>
      </c>
      <c r="M55" s="162"/>
      <c r="Q55" s="162"/>
      <c r="R55" s="162"/>
      <c r="S55" s="162"/>
      <c r="T55" s="162"/>
    </row>
    <row r="56" spans="1:20" s="178" customFormat="1" ht="12.6" customHeight="1" x14ac:dyDescent="0.25">
      <c r="A56" s="156">
        <v>43</v>
      </c>
      <c r="B56" s="157"/>
      <c r="C56" s="193" t="s">
        <v>27</v>
      </c>
      <c r="D56" s="168" t="s">
        <v>28</v>
      </c>
      <c r="E56" s="217">
        <f t="shared" si="1"/>
        <v>0.20000000000000007</v>
      </c>
      <c r="F56" s="217">
        <f t="shared" ref="F56:F61" si="9">+H56+L56</f>
        <v>0.2</v>
      </c>
      <c r="G56" s="217">
        <f>0.8-0.6</f>
        <v>0.20000000000000007</v>
      </c>
      <c r="H56" s="217">
        <v>0.2</v>
      </c>
      <c r="I56" s="220"/>
      <c r="J56" s="220"/>
      <c r="K56" s="220"/>
      <c r="L56" s="161"/>
      <c r="M56" s="162"/>
      <c r="Q56" s="162"/>
      <c r="R56" s="162"/>
      <c r="S56" s="162"/>
      <c r="T56" s="162"/>
    </row>
    <row r="57" spans="1:20" s="178" customFormat="1" ht="12.6" customHeight="1" x14ac:dyDescent="0.25">
      <c r="A57" s="156">
        <v>44</v>
      </c>
      <c r="B57" s="157"/>
      <c r="C57" s="170" t="s">
        <v>3</v>
      </c>
      <c r="D57" s="184" t="s">
        <v>170</v>
      </c>
      <c r="E57" s="217">
        <f>+G57+K57</f>
        <v>0.1</v>
      </c>
      <c r="F57" s="217">
        <f t="shared" si="9"/>
        <v>0</v>
      </c>
      <c r="G57" s="217">
        <v>0.1</v>
      </c>
      <c r="H57" s="217">
        <v>0</v>
      </c>
      <c r="I57" s="220"/>
      <c r="J57" s="220"/>
      <c r="K57" s="220"/>
      <c r="L57" s="161"/>
      <c r="M57" s="162"/>
      <c r="Q57" s="162"/>
      <c r="R57" s="162"/>
      <c r="S57" s="162"/>
      <c r="T57" s="162"/>
    </row>
    <row r="58" spans="1:20" s="178" customFormat="1" ht="27.6" customHeight="1" x14ac:dyDescent="0.25">
      <c r="A58" s="156">
        <v>45</v>
      </c>
      <c r="B58" s="211"/>
      <c r="C58" s="223" t="s">
        <v>8</v>
      </c>
      <c r="D58" s="184" t="s">
        <v>171</v>
      </c>
      <c r="E58" s="217">
        <f>+G58+K58</f>
        <v>0.8</v>
      </c>
      <c r="F58" s="217">
        <f t="shared" si="9"/>
        <v>0.1</v>
      </c>
      <c r="G58" s="217">
        <v>0.8</v>
      </c>
      <c r="H58" s="217">
        <v>0.1</v>
      </c>
      <c r="I58" s="217"/>
      <c r="J58" s="217"/>
      <c r="K58" s="217"/>
      <c r="L58" s="161"/>
      <c r="M58" s="162"/>
      <c r="Q58" s="162"/>
      <c r="R58" s="162"/>
      <c r="S58" s="162"/>
      <c r="T58" s="162"/>
    </row>
    <row r="59" spans="1:20" s="178" customFormat="1" ht="12.6" customHeight="1" x14ac:dyDescent="0.25">
      <c r="A59" s="156">
        <v>46</v>
      </c>
      <c r="B59" s="211"/>
      <c r="C59" s="175" t="s">
        <v>5</v>
      </c>
      <c r="D59" s="184" t="s">
        <v>170</v>
      </c>
      <c r="E59" s="217">
        <f t="shared" si="1"/>
        <v>0.9</v>
      </c>
      <c r="F59" s="217">
        <f t="shared" si="9"/>
        <v>0.6</v>
      </c>
      <c r="G59" s="217">
        <v>0.9</v>
      </c>
      <c r="H59" s="217">
        <v>0.6</v>
      </c>
      <c r="I59" s="217"/>
      <c r="J59" s="217"/>
      <c r="K59" s="217"/>
      <c r="L59" s="161"/>
      <c r="M59" s="162"/>
      <c r="Q59" s="162"/>
      <c r="R59" s="162"/>
      <c r="S59" s="162"/>
      <c r="T59" s="162"/>
    </row>
    <row r="60" spans="1:20" s="178" customFormat="1" ht="12.6" customHeight="1" x14ac:dyDescent="0.25">
      <c r="A60" s="156">
        <v>47</v>
      </c>
      <c r="B60" s="211"/>
      <c r="C60" s="222" t="s">
        <v>9</v>
      </c>
      <c r="D60" s="184" t="s">
        <v>170</v>
      </c>
      <c r="E60" s="217">
        <f t="shared" si="1"/>
        <v>1.2</v>
      </c>
      <c r="F60" s="217">
        <f t="shared" si="9"/>
        <v>1.1000000000000001</v>
      </c>
      <c r="G60" s="217">
        <f>1+0.2</f>
        <v>1.2</v>
      </c>
      <c r="H60" s="217">
        <v>1.1000000000000001</v>
      </c>
      <c r="I60" s="217"/>
      <c r="J60" s="217"/>
      <c r="K60" s="217"/>
      <c r="L60" s="161"/>
      <c r="M60" s="162"/>
      <c r="Q60" s="162"/>
      <c r="R60" s="162"/>
      <c r="S60" s="162"/>
      <c r="T60" s="162"/>
    </row>
    <row r="61" spans="1:20" ht="12.6" customHeight="1" x14ac:dyDescent="0.25">
      <c r="A61" s="10">
        <v>48</v>
      </c>
      <c r="B61" s="15"/>
      <c r="C61" s="13" t="s">
        <v>13</v>
      </c>
      <c r="D61" s="19" t="s">
        <v>170</v>
      </c>
      <c r="E61" s="21">
        <f t="shared" si="1"/>
        <v>1</v>
      </c>
      <c r="F61" s="217">
        <f t="shared" si="9"/>
        <v>0.4</v>
      </c>
      <c r="G61" s="21">
        <v>1</v>
      </c>
      <c r="H61" s="21">
        <f>0.5-0.1</f>
        <v>0.4</v>
      </c>
      <c r="I61" s="21"/>
      <c r="J61" s="21"/>
      <c r="K61" s="21"/>
      <c r="L61" s="225"/>
      <c r="M61" s="4"/>
      <c r="Q61" s="4"/>
      <c r="R61" s="4"/>
      <c r="S61" s="4"/>
      <c r="T61" s="4"/>
    </row>
    <row r="62" spans="1:20" ht="12.6" customHeight="1" x14ac:dyDescent="0.25">
      <c r="A62" s="10">
        <v>49</v>
      </c>
      <c r="B62" s="15"/>
      <c r="C62" s="25" t="s">
        <v>20</v>
      </c>
      <c r="D62" s="15"/>
      <c r="E62" s="24">
        <f>+G62+K62</f>
        <v>237.9</v>
      </c>
      <c r="F62" s="24">
        <f>+H62+L62</f>
        <v>136.80000000000001</v>
      </c>
      <c r="G62" s="24">
        <f t="shared" ref="G62:L62" si="10">+G14+G33+G35+G40+G49+G55+G38</f>
        <v>237.9</v>
      </c>
      <c r="H62" s="24">
        <f t="shared" si="10"/>
        <v>136.80000000000001</v>
      </c>
      <c r="I62" s="24">
        <f t="shared" si="10"/>
        <v>35.6</v>
      </c>
      <c r="J62" s="24">
        <f t="shared" si="10"/>
        <v>32.900000000000006</v>
      </c>
      <c r="K62" s="24">
        <f t="shared" si="10"/>
        <v>0</v>
      </c>
      <c r="L62" s="24">
        <f t="shared" si="10"/>
        <v>0</v>
      </c>
      <c r="M62" s="4"/>
      <c r="N62" s="4"/>
      <c r="O62" s="4"/>
      <c r="P62" s="4"/>
      <c r="Q62" s="4"/>
      <c r="R62" s="4"/>
      <c r="S62" s="4"/>
      <c r="T62" s="4"/>
    </row>
    <row r="63" spans="1:20" x14ac:dyDescent="0.25">
      <c r="E63" s="17"/>
      <c r="F63" s="17"/>
      <c r="G63" s="17"/>
      <c r="H63" s="17"/>
      <c r="I63" s="17"/>
      <c r="J63" s="17"/>
      <c r="K63" s="17"/>
    </row>
    <row r="64" spans="1:20" x14ac:dyDescent="0.25">
      <c r="C64" s="3" t="s">
        <v>172</v>
      </c>
      <c r="E64" s="17"/>
      <c r="F64" s="17"/>
      <c r="G64" s="17"/>
      <c r="H64" s="17"/>
      <c r="I64" s="17"/>
      <c r="J64" s="17"/>
      <c r="K64" s="17"/>
    </row>
    <row r="65" spans="5:12" x14ac:dyDescent="0.25">
      <c r="E65" s="17"/>
      <c r="F65" s="17"/>
      <c r="G65" s="17"/>
      <c r="H65" s="17"/>
      <c r="I65" s="17"/>
      <c r="J65" s="17"/>
      <c r="K65" s="17"/>
    </row>
    <row r="66" spans="5:12" x14ac:dyDescent="0.25">
      <c r="E66" s="17"/>
      <c r="F66" s="17"/>
      <c r="G66" s="17"/>
      <c r="H66" s="17"/>
      <c r="I66" s="17"/>
      <c r="J66" s="17"/>
      <c r="K66" s="17"/>
      <c r="L66" s="17"/>
    </row>
    <row r="67" spans="5:12" x14ac:dyDescent="0.25">
      <c r="E67" s="17"/>
      <c r="F67" s="17"/>
    </row>
    <row r="68" spans="5:12" x14ac:dyDescent="0.25">
      <c r="E68" s="17"/>
      <c r="F68" s="17"/>
      <c r="G68" s="37"/>
      <c r="H68" s="37"/>
      <c r="I68" s="37"/>
      <c r="J68" s="37"/>
      <c r="K68" s="37"/>
    </row>
  </sheetData>
  <mergeCells count="18">
    <mergeCell ref="A8:A12"/>
    <mergeCell ref="B8:B12"/>
    <mergeCell ref="C8:C12"/>
    <mergeCell ref="D8:D12"/>
    <mergeCell ref="E8:L8"/>
    <mergeCell ref="F11:F12"/>
    <mergeCell ref="E11:E12"/>
    <mergeCell ref="E9:F10"/>
    <mergeCell ref="G9:L9"/>
    <mergeCell ref="K10:L11"/>
    <mergeCell ref="G10:J10"/>
    <mergeCell ref="G11:H11"/>
    <mergeCell ref="I11:J11"/>
    <mergeCell ref="A5:K5"/>
    <mergeCell ref="C1:L1"/>
    <mergeCell ref="C2:L2"/>
    <mergeCell ref="E3:L3"/>
    <mergeCell ref="J7:L7"/>
  </mergeCells>
  <pageMargins left="0.51181102362204722" right="0" top="0.39370078740157483" bottom="0.19685039370078741" header="0.31496062992125984" footer="0.31496062992125984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activeCell="C2" sqref="C2:L2"/>
    </sheetView>
  </sheetViews>
  <sheetFormatPr defaultColWidth="9.109375" defaultRowHeight="13.2" x14ac:dyDescent="0.25"/>
  <cols>
    <col min="1" max="1" width="4.33203125" style="39" customWidth="1"/>
    <col min="2" max="2" width="6.33203125" style="41" customWidth="1"/>
    <col min="3" max="3" width="51.6640625" style="39" customWidth="1"/>
    <col min="4" max="4" width="10.33203125" style="41" customWidth="1"/>
    <col min="5" max="5" width="7.109375" style="39" customWidth="1"/>
    <col min="6" max="6" width="8" style="39" customWidth="1"/>
    <col min="7" max="7" width="7.88671875" style="39" customWidth="1"/>
    <col min="8" max="8" width="8.5546875" style="39" customWidth="1"/>
    <col min="9" max="10" width="8.33203125" style="39" customWidth="1"/>
    <col min="11" max="11" width="7" style="39" customWidth="1"/>
    <col min="12" max="16384" width="9.109375" style="26"/>
  </cols>
  <sheetData>
    <row r="1" spans="1:14" ht="15.75" customHeight="1" x14ac:dyDescent="0.3">
      <c r="A1" s="240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14" ht="15.6" x14ac:dyDescent="0.3">
      <c r="A2" s="240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4" ht="14.25" customHeight="1" x14ac:dyDescent="0.25">
      <c r="A3" s="240"/>
      <c r="B3" s="27"/>
      <c r="C3" s="118"/>
      <c r="D3" s="241"/>
      <c r="E3" s="392" t="s">
        <v>282</v>
      </c>
      <c r="F3" s="392"/>
      <c r="G3" s="392"/>
      <c r="H3" s="392"/>
      <c r="I3" s="392"/>
      <c r="J3" s="392"/>
      <c r="K3" s="392"/>
      <c r="L3" s="392"/>
    </row>
    <row r="4" spans="1:14" x14ac:dyDescent="0.25">
      <c r="I4" s="48"/>
      <c r="J4" s="151"/>
      <c r="K4" s="48"/>
    </row>
    <row r="5" spans="1:14" ht="31.5" customHeight="1" x14ac:dyDescent="0.25">
      <c r="A5" s="405" t="s">
        <v>186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</row>
    <row r="6" spans="1:14" x14ac:dyDescent="0.25">
      <c r="A6" s="43"/>
      <c r="B6" s="43"/>
      <c r="C6" s="43"/>
      <c r="D6" s="43"/>
      <c r="E6" s="43"/>
      <c r="F6" s="143"/>
      <c r="G6" s="43"/>
      <c r="H6" s="143"/>
      <c r="I6" s="43"/>
      <c r="J6" s="143"/>
      <c r="K6" s="43"/>
    </row>
    <row r="7" spans="1:14" x14ac:dyDescent="0.25">
      <c r="J7" s="357" t="s">
        <v>91</v>
      </c>
      <c r="K7" s="357"/>
      <c r="L7" s="357"/>
    </row>
    <row r="8" spans="1:14" ht="13.2" customHeight="1" x14ac:dyDescent="0.25">
      <c r="A8" s="377" t="s">
        <v>0</v>
      </c>
      <c r="B8" s="377" t="s">
        <v>29</v>
      </c>
      <c r="C8" s="377" t="s">
        <v>16</v>
      </c>
      <c r="D8" s="377" t="s">
        <v>52</v>
      </c>
      <c r="E8" s="367" t="s">
        <v>17</v>
      </c>
      <c r="F8" s="368"/>
      <c r="G8" s="381" t="s">
        <v>18</v>
      </c>
      <c r="H8" s="406"/>
      <c r="I8" s="406"/>
      <c r="J8" s="406"/>
      <c r="K8" s="406"/>
      <c r="L8" s="382"/>
    </row>
    <row r="9" spans="1:14" ht="13.2" customHeight="1" x14ac:dyDescent="0.25">
      <c r="A9" s="407"/>
      <c r="B9" s="407"/>
      <c r="C9" s="407"/>
      <c r="D9" s="407"/>
      <c r="E9" s="369"/>
      <c r="F9" s="370"/>
      <c r="G9" s="381" t="s">
        <v>162</v>
      </c>
      <c r="H9" s="406"/>
      <c r="I9" s="406"/>
      <c r="J9" s="382"/>
      <c r="K9" s="367" t="s">
        <v>30</v>
      </c>
      <c r="L9" s="368"/>
    </row>
    <row r="10" spans="1:14" ht="24" customHeight="1" x14ac:dyDescent="0.25">
      <c r="A10" s="407"/>
      <c r="B10" s="407"/>
      <c r="C10" s="407"/>
      <c r="D10" s="407"/>
      <c r="E10" s="377" t="s">
        <v>277</v>
      </c>
      <c r="F10" s="377" t="s">
        <v>278</v>
      </c>
      <c r="G10" s="381" t="s">
        <v>31</v>
      </c>
      <c r="H10" s="382"/>
      <c r="I10" s="381" t="s">
        <v>32</v>
      </c>
      <c r="J10" s="382"/>
      <c r="K10" s="369"/>
      <c r="L10" s="370"/>
    </row>
    <row r="11" spans="1:14" ht="14.4" customHeight="1" x14ac:dyDescent="0.25">
      <c r="A11" s="378"/>
      <c r="B11" s="378"/>
      <c r="C11" s="378"/>
      <c r="D11" s="378"/>
      <c r="E11" s="378"/>
      <c r="F11" s="378"/>
      <c r="G11" s="149" t="s">
        <v>277</v>
      </c>
      <c r="H11" s="149" t="s">
        <v>278</v>
      </c>
      <c r="I11" s="149" t="s">
        <v>277</v>
      </c>
      <c r="J11" s="149" t="s">
        <v>278</v>
      </c>
      <c r="K11" s="149" t="s">
        <v>277</v>
      </c>
      <c r="L11" s="210" t="s">
        <v>280</v>
      </c>
    </row>
    <row r="12" spans="1:14" s="51" customFormat="1" ht="12" customHeight="1" x14ac:dyDescent="0.25">
      <c r="A12" s="28">
        <v>1</v>
      </c>
      <c r="B12" s="28">
        <v>2</v>
      </c>
      <c r="C12" s="28">
        <v>3</v>
      </c>
      <c r="D12" s="28">
        <v>4</v>
      </c>
      <c r="E12" s="28">
        <v>5</v>
      </c>
      <c r="F12" s="149">
        <v>6</v>
      </c>
      <c r="G12" s="28">
        <v>7</v>
      </c>
      <c r="H12" s="149">
        <v>8</v>
      </c>
      <c r="I12" s="28">
        <v>9</v>
      </c>
      <c r="J12" s="149">
        <v>10</v>
      </c>
      <c r="K12" s="28">
        <v>11</v>
      </c>
      <c r="L12" s="194">
        <v>12</v>
      </c>
    </row>
    <row r="13" spans="1:14" ht="20.100000000000001" customHeight="1" x14ac:dyDescent="0.25">
      <c r="A13" s="52">
        <v>1</v>
      </c>
      <c r="B13" s="30" t="s">
        <v>53</v>
      </c>
      <c r="C13" s="31" t="s">
        <v>54</v>
      </c>
      <c r="D13" s="50"/>
      <c r="E13" s="128">
        <f t="shared" ref="E13:F62" si="0">+G13+K13</f>
        <v>24.499999999999993</v>
      </c>
      <c r="F13" s="128">
        <f t="shared" si="0"/>
        <v>15.2</v>
      </c>
      <c r="G13" s="128">
        <f t="shared" ref="G13:L13" si="1">SUM(G14:G38)</f>
        <v>19.299999999999994</v>
      </c>
      <c r="H13" s="128">
        <f t="shared" si="1"/>
        <v>9.9999999999999982</v>
      </c>
      <c r="I13" s="128">
        <f t="shared" si="1"/>
        <v>0</v>
      </c>
      <c r="J13" s="128">
        <f t="shared" si="1"/>
        <v>0</v>
      </c>
      <c r="K13" s="128">
        <f t="shared" si="1"/>
        <v>5.2</v>
      </c>
      <c r="L13" s="128">
        <f t="shared" si="1"/>
        <v>5.2</v>
      </c>
      <c r="M13" s="32"/>
      <c r="N13" s="32"/>
    </row>
    <row r="14" spans="1:14" s="178" customFormat="1" ht="12.6" customHeight="1" x14ac:dyDescent="0.25">
      <c r="A14" s="156">
        <v>2</v>
      </c>
      <c r="B14" s="157"/>
      <c r="C14" s="191" t="s">
        <v>127</v>
      </c>
      <c r="D14" s="171" t="s">
        <v>55</v>
      </c>
      <c r="E14" s="217">
        <f>+G14+K14</f>
        <v>0.20000000000000007</v>
      </c>
      <c r="F14" s="217">
        <f>+H14+L14</f>
        <v>0.1</v>
      </c>
      <c r="G14" s="217">
        <f>0.8-0.6</f>
        <v>0.20000000000000007</v>
      </c>
      <c r="H14" s="217">
        <v>0.1</v>
      </c>
      <c r="I14" s="220"/>
      <c r="J14" s="220"/>
      <c r="K14" s="220"/>
      <c r="L14" s="161"/>
      <c r="M14" s="162"/>
      <c r="N14" s="162"/>
    </row>
    <row r="15" spans="1:14" s="178" customFormat="1" ht="12.6" customHeight="1" x14ac:dyDescent="0.25">
      <c r="A15" s="156">
        <v>3</v>
      </c>
      <c r="B15" s="157"/>
      <c r="C15" s="191" t="s">
        <v>118</v>
      </c>
      <c r="D15" s="171" t="s">
        <v>55</v>
      </c>
      <c r="E15" s="217">
        <f t="shared" si="0"/>
        <v>0.7</v>
      </c>
      <c r="F15" s="217">
        <f t="shared" ref="F15:F38" si="2">+H15+L15</f>
        <v>0.1</v>
      </c>
      <c r="G15" s="217">
        <v>0.7</v>
      </c>
      <c r="H15" s="217">
        <v>0.1</v>
      </c>
      <c r="I15" s="220"/>
      <c r="J15" s="220"/>
      <c r="K15" s="220"/>
      <c r="L15" s="161"/>
      <c r="M15" s="162"/>
      <c r="N15" s="162"/>
    </row>
    <row r="16" spans="1:14" s="178" customFormat="1" ht="12.6" customHeight="1" x14ac:dyDescent="0.25">
      <c r="A16" s="156">
        <v>4</v>
      </c>
      <c r="B16" s="221"/>
      <c r="C16" s="191" t="s">
        <v>119</v>
      </c>
      <c r="D16" s="171" t="s">
        <v>55</v>
      </c>
      <c r="E16" s="217">
        <f t="shared" si="0"/>
        <v>1</v>
      </c>
      <c r="F16" s="217">
        <f t="shared" si="2"/>
        <v>0.8</v>
      </c>
      <c r="G16" s="217">
        <v>1</v>
      </c>
      <c r="H16" s="217">
        <v>0.8</v>
      </c>
      <c r="I16" s="217"/>
      <c r="J16" s="217"/>
      <c r="K16" s="217"/>
      <c r="L16" s="161"/>
      <c r="M16" s="162"/>
      <c r="N16" s="162"/>
    </row>
    <row r="17" spans="1:14" s="178" customFormat="1" ht="12.6" customHeight="1" x14ac:dyDescent="0.25">
      <c r="A17" s="156">
        <v>5</v>
      </c>
      <c r="B17" s="221"/>
      <c r="C17" s="191" t="s">
        <v>123</v>
      </c>
      <c r="D17" s="171" t="s">
        <v>55</v>
      </c>
      <c r="E17" s="217">
        <f t="shared" si="0"/>
        <v>0.10000000000000009</v>
      </c>
      <c r="F17" s="217">
        <f t="shared" si="2"/>
        <v>0.1</v>
      </c>
      <c r="G17" s="217">
        <f>3-2.9</f>
        <v>0.10000000000000009</v>
      </c>
      <c r="H17" s="217">
        <f>0+0.1</f>
        <v>0.1</v>
      </c>
      <c r="I17" s="217"/>
      <c r="J17" s="217"/>
      <c r="K17" s="217"/>
      <c r="L17" s="161"/>
      <c r="M17" s="162"/>
      <c r="N17" s="162"/>
    </row>
    <row r="18" spans="1:14" s="178" customFormat="1" ht="12.6" customHeight="1" x14ac:dyDescent="0.25">
      <c r="A18" s="156">
        <v>6</v>
      </c>
      <c r="B18" s="221"/>
      <c r="C18" s="191" t="s">
        <v>120</v>
      </c>
      <c r="D18" s="171" t="s">
        <v>55</v>
      </c>
      <c r="E18" s="217">
        <f t="shared" si="0"/>
        <v>0.79999999999999982</v>
      </c>
      <c r="F18" s="217">
        <f t="shared" si="2"/>
        <v>0.7</v>
      </c>
      <c r="G18" s="217">
        <f>2.4-1.6</f>
        <v>0.79999999999999982</v>
      </c>
      <c r="H18" s="217">
        <v>0.7</v>
      </c>
      <c r="I18" s="220"/>
      <c r="J18" s="220"/>
      <c r="K18" s="220"/>
      <c r="L18" s="161"/>
      <c r="M18" s="162"/>
      <c r="N18" s="162"/>
    </row>
    <row r="19" spans="1:14" s="178" customFormat="1" ht="12.6" customHeight="1" x14ac:dyDescent="0.25">
      <c r="A19" s="156">
        <v>7</v>
      </c>
      <c r="B19" s="211"/>
      <c r="C19" s="191" t="s">
        <v>121</v>
      </c>
      <c r="D19" s="171" t="s">
        <v>55</v>
      </c>
      <c r="E19" s="217">
        <f t="shared" si="0"/>
        <v>0.30000000000000004</v>
      </c>
      <c r="F19" s="217">
        <f t="shared" si="2"/>
        <v>0.2</v>
      </c>
      <c r="G19" s="217">
        <f>2-1.7</f>
        <v>0.30000000000000004</v>
      </c>
      <c r="H19" s="217">
        <v>0.2</v>
      </c>
      <c r="I19" s="217"/>
      <c r="J19" s="217"/>
      <c r="K19" s="217"/>
      <c r="L19" s="161"/>
      <c r="M19" s="162"/>
      <c r="N19" s="162"/>
    </row>
    <row r="20" spans="1:14" s="178" customFormat="1" ht="12.6" customHeight="1" x14ac:dyDescent="0.25">
      <c r="A20" s="156">
        <v>8</v>
      </c>
      <c r="B20" s="211"/>
      <c r="C20" s="191" t="s">
        <v>122</v>
      </c>
      <c r="D20" s="171" t="s">
        <v>55</v>
      </c>
      <c r="E20" s="217">
        <f t="shared" si="0"/>
        <v>1.5</v>
      </c>
      <c r="F20" s="217">
        <f t="shared" si="2"/>
        <v>0.2</v>
      </c>
      <c r="G20" s="217">
        <v>1.5</v>
      </c>
      <c r="H20" s="217">
        <v>0.2</v>
      </c>
      <c r="I20" s="217"/>
      <c r="J20" s="217"/>
      <c r="K20" s="217"/>
      <c r="L20" s="161"/>
      <c r="M20" s="162"/>
      <c r="N20" s="162"/>
    </row>
    <row r="21" spans="1:14" s="178" customFormat="1" ht="12.6" customHeight="1" x14ac:dyDescent="0.25">
      <c r="A21" s="156">
        <v>9</v>
      </c>
      <c r="B21" s="211"/>
      <c r="C21" s="191" t="s">
        <v>126</v>
      </c>
      <c r="D21" s="171" t="s">
        <v>57</v>
      </c>
      <c r="E21" s="217">
        <f>+G21+K21</f>
        <v>6</v>
      </c>
      <c r="F21" s="217">
        <f t="shared" si="2"/>
        <v>4.5</v>
      </c>
      <c r="G21" s="217">
        <f>6-3</f>
        <v>3</v>
      </c>
      <c r="H21" s="217">
        <v>1.5</v>
      </c>
      <c r="I21" s="217"/>
      <c r="J21" s="217"/>
      <c r="K21" s="217">
        <v>3</v>
      </c>
      <c r="L21" s="161">
        <v>3</v>
      </c>
      <c r="M21" s="162"/>
      <c r="N21" s="162"/>
    </row>
    <row r="22" spans="1:14" s="178" customFormat="1" ht="12.6" customHeight="1" x14ac:dyDescent="0.25">
      <c r="A22" s="156">
        <v>10</v>
      </c>
      <c r="B22" s="211"/>
      <c r="C22" s="191" t="s">
        <v>42</v>
      </c>
      <c r="D22" s="171" t="s">
        <v>57</v>
      </c>
      <c r="E22" s="217">
        <f>+G22+K22</f>
        <v>0.1</v>
      </c>
      <c r="F22" s="217">
        <f t="shared" si="2"/>
        <v>0.1</v>
      </c>
      <c r="G22" s="217">
        <f>0.2-0.1</f>
        <v>0.1</v>
      </c>
      <c r="H22" s="217">
        <v>0.1</v>
      </c>
      <c r="I22" s="217"/>
      <c r="J22" s="217"/>
      <c r="K22" s="217"/>
      <c r="L22" s="161"/>
      <c r="M22" s="162"/>
      <c r="N22" s="162"/>
    </row>
    <row r="23" spans="1:14" s="178" customFormat="1" ht="12.6" customHeight="1" x14ac:dyDescent="0.25">
      <c r="A23" s="156">
        <v>11</v>
      </c>
      <c r="B23" s="211"/>
      <c r="C23" s="193" t="s">
        <v>93</v>
      </c>
      <c r="D23" s="171" t="s">
        <v>57</v>
      </c>
      <c r="E23" s="217">
        <f>+G23+K23</f>
        <v>0.7</v>
      </c>
      <c r="F23" s="217">
        <f t="shared" si="2"/>
        <v>0.7</v>
      </c>
      <c r="G23" s="217">
        <f>1.2-0.5</f>
        <v>0.7</v>
      </c>
      <c r="H23" s="217">
        <v>0.7</v>
      </c>
      <c r="I23" s="217"/>
      <c r="J23" s="217"/>
      <c r="K23" s="217"/>
      <c r="L23" s="161"/>
      <c r="M23" s="162"/>
      <c r="N23" s="162"/>
    </row>
    <row r="24" spans="1:14" s="178" customFormat="1" ht="12.6" customHeight="1" x14ac:dyDescent="0.25">
      <c r="A24" s="156">
        <v>12</v>
      </c>
      <c r="B24" s="211"/>
      <c r="C24" s="193" t="s">
        <v>94</v>
      </c>
      <c r="D24" s="171" t="s">
        <v>57</v>
      </c>
      <c r="E24" s="217">
        <f>+G24+K24</f>
        <v>0.19999999999999998</v>
      </c>
      <c r="F24" s="217">
        <f t="shared" si="2"/>
        <v>0</v>
      </c>
      <c r="G24" s="217">
        <f>0.3-0.1</f>
        <v>0.19999999999999998</v>
      </c>
      <c r="H24" s="217">
        <v>0</v>
      </c>
      <c r="I24" s="217"/>
      <c r="J24" s="217"/>
      <c r="K24" s="217"/>
      <c r="L24" s="161"/>
      <c r="M24" s="162"/>
      <c r="N24" s="162"/>
    </row>
    <row r="25" spans="1:14" s="178" customFormat="1" ht="12.6" customHeight="1" x14ac:dyDescent="0.25">
      <c r="A25" s="156">
        <v>13</v>
      </c>
      <c r="B25" s="211"/>
      <c r="C25" s="193" t="s">
        <v>36</v>
      </c>
      <c r="D25" s="171" t="s">
        <v>57</v>
      </c>
      <c r="E25" s="217">
        <f t="shared" si="0"/>
        <v>9.9999999999999978E-2</v>
      </c>
      <c r="F25" s="217">
        <f t="shared" si="2"/>
        <v>0</v>
      </c>
      <c r="G25" s="217">
        <f>0.3-0.2</f>
        <v>9.9999999999999978E-2</v>
      </c>
      <c r="H25" s="217">
        <v>0</v>
      </c>
      <c r="I25" s="217"/>
      <c r="J25" s="217"/>
      <c r="K25" s="217"/>
      <c r="L25" s="161"/>
      <c r="M25" s="162"/>
      <c r="N25" s="162"/>
    </row>
    <row r="26" spans="1:14" s="178" customFormat="1" ht="12.6" customHeight="1" x14ac:dyDescent="0.25">
      <c r="A26" s="156">
        <v>14</v>
      </c>
      <c r="B26" s="211"/>
      <c r="C26" s="191" t="s">
        <v>97</v>
      </c>
      <c r="D26" s="171" t="s">
        <v>57</v>
      </c>
      <c r="E26" s="217">
        <f>+G26+K26</f>
        <v>0.6</v>
      </c>
      <c r="F26" s="217">
        <f t="shared" si="2"/>
        <v>0</v>
      </c>
      <c r="G26" s="217">
        <f>1-0.4</f>
        <v>0.6</v>
      </c>
      <c r="H26" s="217">
        <v>0</v>
      </c>
      <c r="I26" s="217"/>
      <c r="J26" s="217"/>
      <c r="K26" s="217"/>
      <c r="L26" s="161"/>
      <c r="M26" s="162"/>
      <c r="N26" s="162"/>
    </row>
    <row r="27" spans="1:14" s="178" customFormat="1" ht="12.6" customHeight="1" x14ac:dyDescent="0.25">
      <c r="A27" s="156">
        <v>15</v>
      </c>
      <c r="B27" s="211"/>
      <c r="C27" s="193" t="s">
        <v>124</v>
      </c>
      <c r="D27" s="168" t="s">
        <v>163</v>
      </c>
      <c r="E27" s="217">
        <f t="shared" si="0"/>
        <v>2</v>
      </c>
      <c r="F27" s="217">
        <f t="shared" si="2"/>
        <v>0.1</v>
      </c>
      <c r="G27" s="217">
        <f>3-1</f>
        <v>2</v>
      </c>
      <c r="H27" s="217">
        <v>0.1</v>
      </c>
      <c r="I27" s="217"/>
      <c r="J27" s="217"/>
      <c r="K27" s="217"/>
      <c r="L27" s="161"/>
      <c r="M27" s="162"/>
      <c r="N27" s="162"/>
    </row>
    <row r="28" spans="1:14" ht="12.6" customHeight="1" x14ac:dyDescent="0.25">
      <c r="A28" s="52">
        <v>16</v>
      </c>
      <c r="B28" s="49"/>
      <c r="C28" s="120" t="s">
        <v>179</v>
      </c>
      <c r="D28" s="55" t="s">
        <v>163</v>
      </c>
      <c r="E28" s="129">
        <f t="shared" si="0"/>
        <v>0.1</v>
      </c>
      <c r="F28" s="217">
        <f t="shared" si="2"/>
        <v>0</v>
      </c>
      <c r="G28" s="129">
        <v>0.1</v>
      </c>
      <c r="H28" s="129">
        <v>0</v>
      </c>
      <c r="I28" s="129"/>
      <c r="J28" s="129"/>
      <c r="K28" s="129"/>
      <c r="L28" s="155"/>
      <c r="M28" s="32"/>
      <c r="N28" s="32"/>
    </row>
    <row r="29" spans="1:14" ht="12.6" customHeight="1" x14ac:dyDescent="0.25">
      <c r="A29" s="52">
        <v>17</v>
      </c>
      <c r="B29" s="49"/>
      <c r="C29" s="121" t="s">
        <v>89</v>
      </c>
      <c r="D29" s="55" t="s">
        <v>163</v>
      </c>
      <c r="E29" s="129">
        <f t="shared" si="0"/>
        <v>2.4</v>
      </c>
      <c r="F29" s="217">
        <f t="shared" si="2"/>
        <v>2.1</v>
      </c>
      <c r="G29" s="129">
        <v>2.4</v>
      </c>
      <c r="H29" s="217">
        <v>2.1</v>
      </c>
      <c r="I29" s="129"/>
      <c r="J29" s="129"/>
      <c r="K29" s="129"/>
      <c r="L29" s="155"/>
      <c r="M29" s="32"/>
      <c r="N29" s="32"/>
    </row>
    <row r="30" spans="1:14" s="178" customFormat="1" ht="12.6" customHeight="1" x14ac:dyDescent="0.25">
      <c r="A30" s="156">
        <v>18</v>
      </c>
      <c r="B30" s="211"/>
      <c r="C30" s="193" t="s">
        <v>37</v>
      </c>
      <c r="D30" s="168" t="s">
        <v>163</v>
      </c>
      <c r="E30" s="217">
        <f t="shared" si="0"/>
        <v>9.9999999999999978E-2</v>
      </c>
      <c r="F30" s="217">
        <f t="shared" si="2"/>
        <v>0.1</v>
      </c>
      <c r="G30" s="217">
        <f>0.3-0.2</f>
        <v>9.9999999999999978E-2</v>
      </c>
      <c r="H30" s="217">
        <f>0+0.1</f>
        <v>0.1</v>
      </c>
      <c r="I30" s="217"/>
      <c r="J30" s="217"/>
      <c r="K30" s="217"/>
      <c r="L30" s="161"/>
      <c r="M30" s="162"/>
      <c r="N30" s="162"/>
    </row>
    <row r="31" spans="1:14" ht="12.6" customHeight="1" x14ac:dyDescent="0.25">
      <c r="A31" s="52">
        <v>19</v>
      </c>
      <c r="B31" s="49"/>
      <c r="C31" s="121" t="s">
        <v>95</v>
      </c>
      <c r="D31" s="55" t="s">
        <v>163</v>
      </c>
      <c r="E31" s="129">
        <f t="shared" si="0"/>
        <v>1.2</v>
      </c>
      <c r="F31" s="217">
        <f t="shared" si="2"/>
        <v>0.4</v>
      </c>
      <c r="G31" s="129">
        <v>1.2</v>
      </c>
      <c r="H31" s="129">
        <v>0.4</v>
      </c>
      <c r="I31" s="129"/>
      <c r="J31" s="129"/>
      <c r="K31" s="129"/>
      <c r="L31" s="155"/>
      <c r="M31" s="32"/>
      <c r="N31" s="32"/>
    </row>
    <row r="32" spans="1:14" ht="12.6" customHeight="1" x14ac:dyDescent="0.25">
      <c r="A32" s="52">
        <v>20</v>
      </c>
      <c r="B32" s="49"/>
      <c r="C32" s="58" t="s">
        <v>156</v>
      </c>
      <c r="D32" s="55" t="s">
        <v>163</v>
      </c>
      <c r="E32" s="129">
        <f t="shared" si="0"/>
        <v>0.1</v>
      </c>
      <c r="F32" s="217">
        <f t="shared" si="2"/>
        <v>0</v>
      </c>
      <c r="G32" s="129">
        <v>0.1</v>
      </c>
      <c r="H32" s="129">
        <v>0</v>
      </c>
      <c r="I32" s="129"/>
      <c r="J32" s="129"/>
      <c r="K32" s="129"/>
      <c r="L32" s="155"/>
      <c r="M32" s="32"/>
      <c r="N32" s="32"/>
    </row>
    <row r="33" spans="1:14" ht="12.6" customHeight="1" x14ac:dyDescent="0.25">
      <c r="A33" s="52">
        <v>21</v>
      </c>
      <c r="B33" s="49"/>
      <c r="C33" s="58" t="s">
        <v>38</v>
      </c>
      <c r="D33" s="55" t="s">
        <v>163</v>
      </c>
      <c r="E33" s="129">
        <f t="shared" si="0"/>
        <v>0.1</v>
      </c>
      <c r="F33" s="217">
        <f t="shared" si="2"/>
        <v>0</v>
      </c>
      <c r="G33" s="129">
        <v>0.1</v>
      </c>
      <c r="H33" s="129">
        <v>0</v>
      </c>
      <c r="I33" s="129"/>
      <c r="J33" s="129"/>
      <c r="K33" s="129"/>
      <c r="L33" s="155"/>
      <c r="M33" s="32"/>
      <c r="N33" s="32"/>
    </row>
    <row r="34" spans="1:14" ht="12.6" customHeight="1" x14ac:dyDescent="0.25">
      <c r="A34" s="52">
        <v>22</v>
      </c>
      <c r="B34" s="49"/>
      <c r="C34" s="58" t="s">
        <v>96</v>
      </c>
      <c r="D34" s="55" t="s">
        <v>163</v>
      </c>
      <c r="E34" s="129">
        <f t="shared" si="0"/>
        <v>0.1</v>
      </c>
      <c r="F34" s="217">
        <f t="shared" si="2"/>
        <v>0</v>
      </c>
      <c r="G34" s="129">
        <v>0.1</v>
      </c>
      <c r="H34" s="129">
        <v>0</v>
      </c>
      <c r="I34" s="129"/>
      <c r="J34" s="129"/>
      <c r="K34" s="129"/>
      <c r="L34" s="155"/>
      <c r="M34" s="32"/>
      <c r="N34" s="32"/>
    </row>
    <row r="35" spans="1:14" ht="12.6" customHeight="1" x14ac:dyDescent="0.25">
      <c r="A35" s="52">
        <v>23</v>
      </c>
      <c r="B35" s="49"/>
      <c r="C35" s="121" t="s">
        <v>84</v>
      </c>
      <c r="D35" s="33" t="s">
        <v>57</v>
      </c>
      <c r="E35" s="129">
        <f t="shared" si="0"/>
        <v>0.1</v>
      </c>
      <c r="F35" s="217">
        <f t="shared" si="2"/>
        <v>0</v>
      </c>
      <c r="G35" s="129">
        <v>0.1</v>
      </c>
      <c r="H35" s="129">
        <v>0</v>
      </c>
      <c r="I35" s="129"/>
      <c r="J35" s="129"/>
      <c r="K35" s="129"/>
      <c r="L35" s="155"/>
      <c r="M35" s="32"/>
      <c r="N35" s="32"/>
    </row>
    <row r="36" spans="1:14" ht="12.6" customHeight="1" x14ac:dyDescent="0.25">
      <c r="A36" s="52">
        <v>24</v>
      </c>
      <c r="B36" s="49"/>
      <c r="C36" s="126" t="s">
        <v>43</v>
      </c>
      <c r="D36" s="33" t="s">
        <v>59</v>
      </c>
      <c r="E36" s="129">
        <f t="shared" si="0"/>
        <v>0.4</v>
      </c>
      <c r="F36" s="217">
        <f t="shared" si="2"/>
        <v>0.1</v>
      </c>
      <c r="G36" s="129">
        <v>0.4</v>
      </c>
      <c r="H36" s="129">
        <v>0.1</v>
      </c>
      <c r="I36" s="129"/>
      <c r="J36" s="129"/>
      <c r="K36" s="129"/>
      <c r="L36" s="155"/>
      <c r="M36" s="32"/>
      <c r="N36" s="32"/>
    </row>
    <row r="37" spans="1:14" ht="12.6" customHeight="1" x14ac:dyDescent="0.25">
      <c r="A37" s="52">
        <v>25</v>
      </c>
      <c r="B37" s="49"/>
      <c r="C37" s="120" t="s">
        <v>44</v>
      </c>
      <c r="D37" s="33" t="s">
        <v>59</v>
      </c>
      <c r="E37" s="129">
        <f t="shared" si="0"/>
        <v>4.8</v>
      </c>
      <c r="F37" s="217">
        <f t="shared" si="2"/>
        <v>4.8000000000000007</v>
      </c>
      <c r="G37" s="129">
        <f>4.8-2.2</f>
        <v>2.5999999999999996</v>
      </c>
      <c r="H37" s="129">
        <v>2.6</v>
      </c>
      <c r="I37" s="129"/>
      <c r="J37" s="129"/>
      <c r="K37" s="129">
        <v>2.2000000000000002</v>
      </c>
      <c r="L37" s="155">
        <v>2.2000000000000002</v>
      </c>
      <c r="M37" s="32"/>
      <c r="N37" s="32"/>
    </row>
    <row r="38" spans="1:14" ht="12.6" customHeight="1" x14ac:dyDescent="0.25">
      <c r="A38" s="52">
        <v>26</v>
      </c>
      <c r="B38" s="49"/>
      <c r="C38" s="90" t="s">
        <v>157</v>
      </c>
      <c r="D38" s="33" t="s">
        <v>164</v>
      </c>
      <c r="E38" s="129">
        <f t="shared" si="0"/>
        <v>0.8</v>
      </c>
      <c r="F38" s="217">
        <f t="shared" si="2"/>
        <v>0.1</v>
      </c>
      <c r="G38" s="129">
        <v>0.8</v>
      </c>
      <c r="H38" s="129">
        <v>0.1</v>
      </c>
      <c r="I38" s="129"/>
      <c r="J38" s="129"/>
      <c r="K38" s="129"/>
      <c r="L38" s="155"/>
      <c r="M38" s="32"/>
      <c r="N38" s="32"/>
    </row>
    <row r="39" spans="1:14" ht="12.6" customHeight="1" x14ac:dyDescent="0.25">
      <c r="A39" s="52">
        <v>27</v>
      </c>
      <c r="B39" s="30" t="s">
        <v>63</v>
      </c>
      <c r="C39" s="59" t="s">
        <v>148</v>
      </c>
      <c r="D39" s="38"/>
      <c r="E39" s="128">
        <f t="shared" ref="E39:F41" si="3">+G39+K39</f>
        <v>55.9</v>
      </c>
      <c r="F39" s="128">
        <f t="shared" si="3"/>
        <v>27.5</v>
      </c>
      <c r="G39" s="128">
        <f t="shared" ref="G39:L39" si="4">+G40</f>
        <v>50.9</v>
      </c>
      <c r="H39" s="128">
        <f t="shared" si="4"/>
        <v>23.1</v>
      </c>
      <c r="I39" s="128">
        <f t="shared" si="4"/>
        <v>12</v>
      </c>
      <c r="J39" s="128">
        <f t="shared" si="4"/>
        <v>11.2</v>
      </c>
      <c r="K39" s="128">
        <f t="shared" si="4"/>
        <v>5</v>
      </c>
      <c r="L39" s="128">
        <f t="shared" si="4"/>
        <v>4.3999999999999995</v>
      </c>
      <c r="M39" s="32"/>
      <c r="N39" s="32"/>
    </row>
    <row r="40" spans="1:14" s="178" customFormat="1" ht="12.6" customHeight="1" x14ac:dyDescent="0.25">
      <c r="A40" s="156">
        <v>28</v>
      </c>
      <c r="B40" s="211"/>
      <c r="C40" s="191" t="s">
        <v>85</v>
      </c>
      <c r="D40" s="171" t="s">
        <v>64</v>
      </c>
      <c r="E40" s="217">
        <f t="shared" si="3"/>
        <v>55.9</v>
      </c>
      <c r="F40" s="217">
        <f t="shared" si="3"/>
        <v>27.5</v>
      </c>
      <c r="G40" s="217">
        <f>55.9-5</f>
        <v>50.9</v>
      </c>
      <c r="H40" s="217">
        <v>23.1</v>
      </c>
      <c r="I40" s="217">
        <v>12</v>
      </c>
      <c r="J40" s="217">
        <v>11.2</v>
      </c>
      <c r="K40" s="217">
        <v>5</v>
      </c>
      <c r="L40" s="161">
        <f>4.3+0.1</f>
        <v>4.3999999999999995</v>
      </c>
      <c r="M40" s="162"/>
      <c r="N40" s="162"/>
    </row>
    <row r="41" spans="1:14" s="178" customFormat="1" ht="15" customHeight="1" x14ac:dyDescent="0.25">
      <c r="A41" s="156">
        <v>29</v>
      </c>
      <c r="B41" s="157" t="s">
        <v>65</v>
      </c>
      <c r="C41" s="204" t="s">
        <v>66</v>
      </c>
      <c r="D41" s="171"/>
      <c r="E41" s="218">
        <f t="shared" si="3"/>
        <v>11.3</v>
      </c>
      <c r="F41" s="218">
        <f t="shared" si="3"/>
        <v>8.3999999999999986</v>
      </c>
      <c r="G41" s="218">
        <f t="shared" ref="G41:L41" si="5">SUM(G42:G49)</f>
        <v>7.1000000000000005</v>
      </c>
      <c r="H41" s="218">
        <f t="shared" si="5"/>
        <v>5.6</v>
      </c>
      <c r="I41" s="218">
        <f t="shared" si="5"/>
        <v>0</v>
      </c>
      <c r="J41" s="218">
        <f t="shared" si="5"/>
        <v>0</v>
      </c>
      <c r="K41" s="218">
        <f t="shared" si="5"/>
        <v>4.2</v>
      </c>
      <c r="L41" s="218">
        <f t="shared" si="5"/>
        <v>2.8</v>
      </c>
      <c r="M41" s="162"/>
      <c r="N41" s="162"/>
    </row>
    <row r="42" spans="1:14" s="178" customFormat="1" ht="12.6" customHeight="1" x14ac:dyDescent="0.25">
      <c r="A42" s="156">
        <v>30</v>
      </c>
      <c r="B42" s="211"/>
      <c r="C42" s="206" t="s">
        <v>40</v>
      </c>
      <c r="D42" s="171" t="s">
        <v>67</v>
      </c>
      <c r="E42" s="217">
        <f t="shared" si="0"/>
        <v>2</v>
      </c>
      <c r="F42" s="217">
        <f t="shared" si="0"/>
        <v>2</v>
      </c>
      <c r="G42" s="217">
        <f>10.3-8.3</f>
        <v>2</v>
      </c>
      <c r="H42" s="217">
        <v>2</v>
      </c>
      <c r="I42" s="217"/>
      <c r="J42" s="217"/>
      <c r="K42" s="217"/>
      <c r="L42" s="161"/>
      <c r="M42" s="162"/>
      <c r="N42" s="162"/>
    </row>
    <row r="43" spans="1:14" s="178" customFormat="1" ht="12.6" customHeight="1" x14ac:dyDescent="0.25">
      <c r="A43" s="156">
        <v>31</v>
      </c>
      <c r="B43" s="211"/>
      <c r="C43" s="219" t="s">
        <v>45</v>
      </c>
      <c r="D43" s="171" t="s">
        <v>67</v>
      </c>
      <c r="E43" s="217">
        <f t="shared" si="0"/>
        <v>0.5</v>
      </c>
      <c r="F43" s="217">
        <f t="shared" si="0"/>
        <v>0.4</v>
      </c>
      <c r="G43" s="217">
        <f>2-1.5</f>
        <v>0.5</v>
      </c>
      <c r="H43" s="217">
        <f>0.3+0.1</f>
        <v>0.4</v>
      </c>
      <c r="I43" s="217"/>
      <c r="J43" s="217"/>
      <c r="K43" s="217"/>
      <c r="L43" s="161"/>
      <c r="M43" s="162"/>
      <c r="N43" s="162"/>
    </row>
    <row r="44" spans="1:14" s="178" customFormat="1" ht="12.6" customHeight="1" x14ac:dyDescent="0.25">
      <c r="A44" s="156">
        <v>32</v>
      </c>
      <c r="B44" s="211"/>
      <c r="C44" s="206" t="s">
        <v>46</v>
      </c>
      <c r="D44" s="171" t="s">
        <v>67</v>
      </c>
      <c r="E44" s="217">
        <f t="shared" si="0"/>
        <v>0.4</v>
      </c>
      <c r="F44" s="217">
        <f t="shared" si="0"/>
        <v>0.3</v>
      </c>
      <c r="G44" s="217">
        <f>0.8-0.4</f>
        <v>0.4</v>
      </c>
      <c r="H44" s="217">
        <v>0.3</v>
      </c>
      <c r="I44" s="217"/>
      <c r="J44" s="217"/>
      <c r="K44" s="217"/>
      <c r="L44" s="161"/>
      <c r="M44" s="162"/>
      <c r="N44" s="162"/>
    </row>
    <row r="45" spans="1:14" ht="12.6" customHeight="1" x14ac:dyDescent="0.25">
      <c r="A45" s="52">
        <v>33</v>
      </c>
      <c r="B45" s="49"/>
      <c r="C45" s="90" t="s">
        <v>41</v>
      </c>
      <c r="D45" s="33" t="s">
        <v>67</v>
      </c>
      <c r="E45" s="129">
        <f t="shared" si="0"/>
        <v>0.5</v>
      </c>
      <c r="F45" s="217">
        <f t="shared" si="0"/>
        <v>0.5</v>
      </c>
      <c r="G45" s="129">
        <v>0.5</v>
      </c>
      <c r="H45" s="129">
        <v>0.5</v>
      </c>
      <c r="I45" s="129"/>
      <c r="J45" s="129"/>
      <c r="K45" s="129"/>
      <c r="L45" s="155"/>
      <c r="M45" s="32"/>
      <c r="N45" s="32"/>
    </row>
    <row r="46" spans="1:14" ht="12.6" customHeight="1" x14ac:dyDescent="0.25">
      <c r="A46" s="52">
        <v>34</v>
      </c>
      <c r="B46" s="49"/>
      <c r="C46" s="90" t="s">
        <v>47</v>
      </c>
      <c r="D46" s="33" t="s">
        <v>67</v>
      </c>
      <c r="E46" s="129">
        <f t="shared" si="0"/>
        <v>0.1</v>
      </c>
      <c r="F46" s="217">
        <f t="shared" si="0"/>
        <v>0</v>
      </c>
      <c r="G46" s="129">
        <v>0.1</v>
      </c>
      <c r="H46" s="129">
        <v>0</v>
      </c>
      <c r="I46" s="129"/>
      <c r="J46" s="129"/>
      <c r="K46" s="129"/>
      <c r="L46" s="155"/>
      <c r="M46" s="32"/>
      <c r="N46" s="32"/>
    </row>
    <row r="47" spans="1:14" ht="12.6" customHeight="1" x14ac:dyDescent="0.25">
      <c r="A47" s="52">
        <v>35</v>
      </c>
      <c r="B47" s="49"/>
      <c r="C47" s="90" t="s">
        <v>48</v>
      </c>
      <c r="D47" s="33" t="s">
        <v>67</v>
      </c>
      <c r="E47" s="129">
        <f>+G47+K47</f>
        <v>0.1</v>
      </c>
      <c r="F47" s="217">
        <f t="shared" si="0"/>
        <v>0.1</v>
      </c>
      <c r="G47" s="129">
        <v>0.1</v>
      </c>
      <c r="H47" s="129">
        <v>0.1</v>
      </c>
      <c r="I47" s="129"/>
      <c r="J47" s="129"/>
      <c r="K47" s="129"/>
      <c r="L47" s="155"/>
      <c r="M47" s="32"/>
      <c r="N47" s="32"/>
    </row>
    <row r="48" spans="1:14" ht="26.4" customHeight="1" x14ac:dyDescent="0.25">
      <c r="A48" s="52">
        <v>36</v>
      </c>
      <c r="B48" s="49"/>
      <c r="C48" s="121" t="s">
        <v>49</v>
      </c>
      <c r="D48" s="33" t="s">
        <v>68</v>
      </c>
      <c r="E48" s="129">
        <f t="shared" si="0"/>
        <v>7.3000000000000007</v>
      </c>
      <c r="F48" s="217">
        <f t="shared" si="0"/>
        <v>5.0999999999999996</v>
      </c>
      <c r="G48" s="129">
        <v>3.1</v>
      </c>
      <c r="H48" s="129">
        <v>2.2999999999999998</v>
      </c>
      <c r="I48" s="129"/>
      <c r="J48" s="129"/>
      <c r="K48" s="129">
        <v>4.2</v>
      </c>
      <c r="L48" s="90">
        <v>2.8</v>
      </c>
      <c r="M48" s="32"/>
      <c r="N48" s="32"/>
    </row>
    <row r="49" spans="1:15" ht="12.6" customHeight="1" x14ac:dyDescent="0.25">
      <c r="A49" s="52">
        <v>37</v>
      </c>
      <c r="B49" s="49"/>
      <c r="C49" s="90" t="s">
        <v>39</v>
      </c>
      <c r="D49" s="33" t="s">
        <v>69</v>
      </c>
      <c r="E49" s="129">
        <f t="shared" si="0"/>
        <v>0.4</v>
      </c>
      <c r="F49" s="217">
        <f t="shared" si="0"/>
        <v>0</v>
      </c>
      <c r="G49" s="129">
        <v>0.4</v>
      </c>
      <c r="H49" s="129">
        <v>0</v>
      </c>
      <c r="I49" s="129"/>
      <c r="J49" s="129"/>
      <c r="K49" s="129"/>
      <c r="L49" s="155"/>
      <c r="M49" s="32"/>
      <c r="N49" s="32"/>
    </row>
    <row r="50" spans="1:15" ht="15" customHeight="1" x14ac:dyDescent="0.25">
      <c r="A50" s="52">
        <v>38</v>
      </c>
      <c r="B50" s="30" t="s">
        <v>25</v>
      </c>
      <c r="C50" s="59" t="s">
        <v>26</v>
      </c>
      <c r="D50" s="33"/>
      <c r="E50" s="128">
        <f t="shared" si="0"/>
        <v>53.5</v>
      </c>
      <c r="F50" s="128">
        <f t="shared" si="0"/>
        <v>29.099999999999994</v>
      </c>
      <c r="G50" s="128">
        <f t="shared" ref="G50:L50" si="6">SUM(G51:G62)</f>
        <v>53.5</v>
      </c>
      <c r="H50" s="128">
        <f t="shared" si="6"/>
        <v>29.099999999999994</v>
      </c>
      <c r="I50" s="128">
        <f t="shared" si="6"/>
        <v>0</v>
      </c>
      <c r="J50" s="128">
        <f t="shared" si="6"/>
        <v>0</v>
      </c>
      <c r="K50" s="128">
        <f t="shared" si="6"/>
        <v>0</v>
      </c>
      <c r="L50" s="128">
        <f t="shared" si="6"/>
        <v>0</v>
      </c>
      <c r="M50" s="32"/>
      <c r="N50" s="32"/>
    </row>
    <row r="51" spans="1:15" ht="12.6" customHeight="1" x14ac:dyDescent="0.25">
      <c r="A51" s="52">
        <v>39</v>
      </c>
      <c r="B51" s="49"/>
      <c r="C51" s="60" t="s">
        <v>3</v>
      </c>
      <c r="D51" s="38" t="s">
        <v>170</v>
      </c>
      <c r="E51" s="129">
        <f t="shared" si="0"/>
        <v>22.9</v>
      </c>
      <c r="F51" s="129">
        <f t="shared" si="0"/>
        <v>11.3</v>
      </c>
      <c r="G51" s="129">
        <v>22.9</v>
      </c>
      <c r="H51" s="129">
        <v>11.3</v>
      </c>
      <c r="I51" s="129"/>
      <c r="J51" s="129"/>
      <c r="K51" s="129"/>
      <c r="L51" s="155"/>
      <c r="M51" s="32"/>
      <c r="N51" s="32"/>
    </row>
    <row r="52" spans="1:15" ht="24.9" customHeight="1" x14ac:dyDescent="0.25">
      <c r="A52" s="52">
        <v>40</v>
      </c>
      <c r="B52" s="49"/>
      <c r="C52" s="127" t="s">
        <v>8</v>
      </c>
      <c r="D52" s="38" t="s">
        <v>171</v>
      </c>
      <c r="E52" s="129">
        <f>+G52+K52</f>
        <v>6.2</v>
      </c>
      <c r="F52" s="129">
        <f t="shared" si="0"/>
        <v>6</v>
      </c>
      <c r="G52" s="129">
        <v>6.2</v>
      </c>
      <c r="H52" s="129">
        <v>6</v>
      </c>
      <c r="I52" s="129"/>
      <c r="J52" s="129"/>
      <c r="K52" s="129"/>
      <c r="L52" s="155"/>
      <c r="M52" s="32"/>
      <c r="N52" s="32"/>
    </row>
    <row r="53" spans="1:15" ht="12.6" customHeight="1" x14ac:dyDescent="0.25">
      <c r="A53" s="52">
        <v>41</v>
      </c>
      <c r="B53" s="49"/>
      <c r="C53" s="58" t="s">
        <v>4</v>
      </c>
      <c r="D53" s="38" t="s">
        <v>170</v>
      </c>
      <c r="E53" s="129">
        <f t="shared" si="0"/>
        <v>2.9</v>
      </c>
      <c r="F53" s="129">
        <f t="shared" si="0"/>
        <v>1.9</v>
      </c>
      <c r="G53" s="129">
        <v>2.9</v>
      </c>
      <c r="H53" s="129">
        <v>1.9</v>
      </c>
      <c r="I53" s="129"/>
      <c r="J53" s="129"/>
      <c r="K53" s="129"/>
      <c r="L53" s="155"/>
      <c r="M53" s="32"/>
      <c r="N53" s="32"/>
    </row>
    <row r="54" spans="1:15" ht="12.6" customHeight="1" x14ac:dyDescent="0.25">
      <c r="A54" s="52">
        <v>42</v>
      </c>
      <c r="B54" s="49"/>
      <c r="C54" s="58" t="s">
        <v>5</v>
      </c>
      <c r="D54" s="38" t="s">
        <v>170</v>
      </c>
      <c r="E54" s="129">
        <f t="shared" si="0"/>
        <v>1.5</v>
      </c>
      <c r="F54" s="129">
        <f t="shared" si="0"/>
        <v>1</v>
      </c>
      <c r="G54" s="129">
        <v>1.5</v>
      </c>
      <c r="H54" s="129">
        <v>1</v>
      </c>
      <c r="I54" s="129"/>
      <c r="J54" s="129"/>
      <c r="K54" s="129"/>
      <c r="L54" s="155"/>
      <c r="M54" s="32"/>
      <c r="N54" s="32"/>
    </row>
    <row r="55" spans="1:15" ht="12.6" customHeight="1" x14ac:dyDescent="0.25">
      <c r="A55" s="52">
        <v>43</v>
      </c>
      <c r="B55" s="49"/>
      <c r="C55" s="58" t="s">
        <v>7</v>
      </c>
      <c r="D55" s="38" t="s">
        <v>170</v>
      </c>
      <c r="E55" s="129">
        <f>+G55+K55</f>
        <v>8.6999999999999993</v>
      </c>
      <c r="F55" s="129">
        <f t="shared" si="0"/>
        <v>1.7</v>
      </c>
      <c r="G55" s="129">
        <v>8.6999999999999993</v>
      </c>
      <c r="H55" s="129">
        <v>1.7</v>
      </c>
      <c r="I55" s="129"/>
      <c r="J55" s="129"/>
      <c r="K55" s="129"/>
      <c r="L55" s="155"/>
      <c r="M55" s="32"/>
      <c r="N55" s="32"/>
    </row>
    <row r="56" spans="1:15" ht="12.6" customHeight="1" x14ac:dyDescent="0.25">
      <c r="A56" s="52">
        <v>44</v>
      </c>
      <c r="B56" s="38"/>
      <c r="C56" s="123" t="s">
        <v>6</v>
      </c>
      <c r="D56" s="38" t="s">
        <v>170</v>
      </c>
      <c r="E56" s="130">
        <f t="shared" si="0"/>
        <v>1.5</v>
      </c>
      <c r="F56" s="129">
        <f t="shared" si="0"/>
        <v>0.7</v>
      </c>
      <c r="G56" s="130">
        <v>1.5</v>
      </c>
      <c r="H56" s="130">
        <v>0.7</v>
      </c>
      <c r="I56" s="130"/>
      <c r="J56" s="130"/>
      <c r="K56" s="130"/>
      <c r="L56" s="155"/>
      <c r="M56" s="32"/>
      <c r="N56" s="32"/>
    </row>
    <row r="57" spans="1:15" s="178" customFormat="1" ht="12.6" customHeight="1" x14ac:dyDescent="0.25">
      <c r="A57" s="156">
        <v>45</v>
      </c>
      <c r="B57" s="211"/>
      <c r="C57" s="175" t="s">
        <v>9</v>
      </c>
      <c r="D57" s="184" t="s">
        <v>170</v>
      </c>
      <c r="E57" s="217">
        <f t="shared" si="0"/>
        <v>3.6</v>
      </c>
      <c r="F57" s="129">
        <f t="shared" si="0"/>
        <v>3.2</v>
      </c>
      <c r="G57" s="217">
        <f>1.5+2.1</f>
        <v>3.6</v>
      </c>
      <c r="H57" s="217">
        <v>3.2</v>
      </c>
      <c r="I57" s="217"/>
      <c r="J57" s="217"/>
      <c r="K57" s="217"/>
      <c r="L57" s="161"/>
      <c r="M57" s="162"/>
      <c r="N57" s="162"/>
    </row>
    <row r="58" spans="1:15" ht="12.6" customHeight="1" x14ac:dyDescent="0.25">
      <c r="A58" s="52">
        <v>46</v>
      </c>
      <c r="B58" s="49"/>
      <c r="C58" s="60" t="s">
        <v>10</v>
      </c>
      <c r="D58" s="38" t="s">
        <v>170</v>
      </c>
      <c r="E58" s="129">
        <f t="shared" si="0"/>
        <v>1.6</v>
      </c>
      <c r="F58" s="129">
        <f t="shared" si="0"/>
        <v>0.1</v>
      </c>
      <c r="G58" s="129">
        <v>1.6</v>
      </c>
      <c r="H58" s="217">
        <f>0+0.1</f>
        <v>0.1</v>
      </c>
      <c r="I58" s="129"/>
      <c r="J58" s="129"/>
      <c r="K58" s="129"/>
      <c r="L58" s="155"/>
      <c r="M58" s="32"/>
      <c r="N58" s="32"/>
    </row>
    <row r="59" spans="1:15" ht="12.6" customHeight="1" x14ac:dyDescent="0.25">
      <c r="A59" s="52">
        <v>47</v>
      </c>
      <c r="B59" s="49"/>
      <c r="C59" s="58" t="s">
        <v>12</v>
      </c>
      <c r="D59" s="38" t="s">
        <v>170</v>
      </c>
      <c r="E59" s="129">
        <f>+G59+K59</f>
        <v>1.8</v>
      </c>
      <c r="F59" s="129">
        <f t="shared" si="0"/>
        <v>0.9</v>
      </c>
      <c r="G59" s="129">
        <v>1.8</v>
      </c>
      <c r="H59" s="129">
        <v>0.9</v>
      </c>
      <c r="I59" s="129"/>
      <c r="J59" s="129"/>
      <c r="K59" s="129"/>
      <c r="L59" s="155"/>
      <c r="M59" s="32"/>
      <c r="N59" s="32"/>
    </row>
    <row r="60" spans="1:15" ht="12.6" customHeight="1" x14ac:dyDescent="0.25">
      <c r="A60" s="52">
        <v>48</v>
      </c>
      <c r="B60" s="49"/>
      <c r="C60" s="58" t="s">
        <v>11</v>
      </c>
      <c r="D60" s="38" t="s">
        <v>170</v>
      </c>
      <c r="E60" s="129">
        <f t="shared" si="0"/>
        <v>0.5</v>
      </c>
      <c r="F60" s="129">
        <f t="shared" si="0"/>
        <v>0.4</v>
      </c>
      <c r="G60" s="129">
        <v>0.5</v>
      </c>
      <c r="H60" s="129">
        <v>0.4</v>
      </c>
      <c r="I60" s="129"/>
      <c r="J60" s="129"/>
      <c r="K60" s="129"/>
      <c r="L60" s="155"/>
      <c r="M60" s="32"/>
      <c r="N60" s="32"/>
    </row>
    <row r="61" spans="1:15" ht="12.6" customHeight="1" x14ac:dyDescent="0.25">
      <c r="A61" s="52">
        <v>49</v>
      </c>
      <c r="B61" s="49"/>
      <c r="C61" s="60" t="s">
        <v>13</v>
      </c>
      <c r="D61" s="38" t="s">
        <v>170</v>
      </c>
      <c r="E61" s="129">
        <f t="shared" si="0"/>
        <v>1.9</v>
      </c>
      <c r="F61" s="129">
        <f t="shared" si="0"/>
        <v>1.5</v>
      </c>
      <c r="G61" s="129">
        <v>1.9</v>
      </c>
      <c r="H61" s="129">
        <v>1.5</v>
      </c>
      <c r="I61" s="129"/>
      <c r="J61" s="129"/>
      <c r="K61" s="129"/>
      <c r="L61" s="155"/>
      <c r="M61" s="32"/>
      <c r="N61" s="32"/>
    </row>
    <row r="62" spans="1:15" ht="12.6" customHeight="1" x14ac:dyDescent="0.25">
      <c r="A62" s="52">
        <v>50</v>
      </c>
      <c r="B62" s="49"/>
      <c r="C62" s="58" t="s">
        <v>14</v>
      </c>
      <c r="D62" s="38" t="s">
        <v>170</v>
      </c>
      <c r="E62" s="129">
        <f t="shared" si="0"/>
        <v>0.4</v>
      </c>
      <c r="F62" s="129">
        <f t="shared" si="0"/>
        <v>0.4</v>
      </c>
      <c r="G62" s="129">
        <v>0.4</v>
      </c>
      <c r="H62" s="129">
        <v>0.4</v>
      </c>
      <c r="I62" s="129"/>
      <c r="J62" s="129"/>
      <c r="K62" s="129"/>
      <c r="L62" s="155"/>
      <c r="M62" s="32"/>
      <c r="N62" s="32"/>
    </row>
    <row r="63" spans="1:15" ht="12.6" customHeight="1" x14ac:dyDescent="0.25">
      <c r="A63" s="52">
        <v>51</v>
      </c>
      <c r="B63" s="49"/>
      <c r="C63" s="78" t="s">
        <v>20</v>
      </c>
      <c r="D63" s="49"/>
      <c r="E63" s="128">
        <f>+G63+K63</f>
        <v>145.19999999999999</v>
      </c>
      <c r="F63" s="128">
        <f>+H63+L63</f>
        <v>80.199999999999989</v>
      </c>
      <c r="G63" s="128">
        <f t="shared" ref="G63:L63" si="7">+G13+G41+G50+G39</f>
        <v>130.79999999999998</v>
      </c>
      <c r="H63" s="128">
        <f t="shared" si="7"/>
        <v>67.799999999999983</v>
      </c>
      <c r="I63" s="128">
        <f t="shared" si="7"/>
        <v>12</v>
      </c>
      <c r="J63" s="128">
        <f t="shared" si="7"/>
        <v>11.2</v>
      </c>
      <c r="K63" s="128">
        <f t="shared" si="7"/>
        <v>14.4</v>
      </c>
      <c r="L63" s="128">
        <f t="shared" si="7"/>
        <v>12.399999999999999</v>
      </c>
      <c r="M63" s="32"/>
      <c r="N63" s="32"/>
      <c r="O63" s="32"/>
    </row>
    <row r="64" spans="1:15" x14ac:dyDescent="0.25">
      <c r="C64" s="39" t="s">
        <v>180</v>
      </c>
      <c r="E64" s="70"/>
      <c r="F64" s="70"/>
      <c r="G64" s="70"/>
      <c r="H64" s="70"/>
      <c r="I64" s="70"/>
      <c r="J64" s="70"/>
      <c r="K64" s="70"/>
    </row>
    <row r="65" spans="5:11" x14ac:dyDescent="0.25">
      <c r="E65" s="70"/>
      <c r="F65" s="70"/>
      <c r="G65" s="70"/>
      <c r="H65" s="70"/>
      <c r="I65" s="70"/>
      <c r="J65" s="70"/>
      <c r="K65" s="70"/>
    </row>
    <row r="66" spans="5:11" x14ac:dyDescent="0.25">
      <c r="E66" s="70"/>
      <c r="F66" s="70"/>
      <c r="G66" s="70"/>
      <c r="H66" s="70"/>
      <c r="I66" s="70"/>
      <c r="J66" s="70"/>
      <c r="K66" s="70"/>
    </row>
    <row r="67" spans="5:11" x14ac:dyDescent="0.25">
      <c r="E67" s="70"/>
      <c r="F67" s="70"/>
      <c r="G67" s="70"/>
      <c r="H67" s="70"/>
      <c r="I67" s="70"/>
      <c r="J67" s="70"/>
      <c r="K67" s="70"/>
    </row>
    <row r="68" spans="5:11" x14ac:dyDescent="0.25">
      <c r="E68" s="117"/>
      <c r="F68" s="117"/>
      <c r="I68" s="70"/>
      <c r="J68" s="70"/>
    </row>
    <row r="69" spans="5:11" x14ac:dyDescent="0.25">
      <c r="E69" s="117"/>
      <c r="F69" s="117"/>
      <c r="G69" s="117"/>
      <c r="H69" s="117"/>
      <c r="I69" s="117"/>
      <c r="J69" s="117"/>
      <c r="K69" s="117"/>
    </row>
  </sheetData>
  <mergeCells count="17">
    <mergeCell ref="G10:H10"/>
    <mergeCell ref="I10:J10"/>
    <mergeCell ref="J7:L7"/>
    <mergeCell ref="A8:A11"/>
    <mergeCell ref="B8:B11"/>
    <mergeCell ref="C8:C11"/>
    <mergeCell ref="D8:D11"/>
    <mergeCell ref="E8:F9"/>
    <mergeCell ref="E10:E11"/>
    <mergeCell ref="F10:F11"/>
    <mergeCell ref="G8:L8"/>
    <mergeCell ref="K9:L10"/>
    <mergeCell ref="A5:K5"/>
    <mergeCell ref="C1:L1"/>
    <mergeCell ref="C2:L2"/>
    <mergeCell ref="E3:L3"/>
    <mergeCell ref="G9:J9"/>
  </mergeCells>
  <phoneticPr fontId="5" type="noConversion"/>
  <pageMargins left="0.51181102362204722" right="0" top="0.39370078740157483" bottom="0.19685039370078741" header="0.31496062992125984" footer="0.31496062992125984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zoomScaleNormal="100" workbookViewId="0">
      <selection activeCell="C2" sqref="C2:L2"/>
    </sheetView>
  </sheetViews>
  <sheetFormatPr defaultColWidth="9.109375" defaultRowHeight="13.2" x14ac:dyDescent="0.25"/>
  <cols>
    <col min="1" max="1" width="4.44140625" style="39" customWidth="1"/>
    <col min="2" max="2" width="4.33203125" style="41" customWidth="1"/>
    <col min="3" max="3" width="45.6640625" style="39" customWidth="1"/>
    <col min="4" max="4" width="10.109375" style="41" customWidth="1"/>
    <col min="5" max="5" width="8.109375" style="48" customWidth="1"/>
    <col min="6" max="6" width="8.109375" style="151" customWidth="1"/>
    <col min="7" max="7" width="8" style="48" customWidth="1"/>
    <col min="8" max="8" width="8" style="151" customWidth="1"/>
    <col min="9" max="9" width="8.88671875" style="48" customWidth="1"/>
    <col min="10" max="10" width="8.88671875" style="151" customWidth="1"/>
    <col min="11" max="11" width="6.88671875" style="48" customWidth="1"/>
    <col min="12" max="16" width="9.109375" style="26" customWidth="1"/>
    <col min="17" max="16384" width="9.109375" style="26"/>
  </cols>
  <sheetData>
    <row r="1" spans="1:20" ht="15.75" customHeight="1" x14ac:dyDescent="0.3">
      <c r="A1" s="240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20" ht="15.6" x14ac:dyDescent="0.3">
      <c r="A2" s="240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20" ht="14.25" customHeight="1" x14ac:dyDescent="0.25">
      <c r="A3" s="240"/>
      <c r="B3" s="27"/>
      <c r="C3" s="118"/>
      <c r="D3" s="241"/>
      <c r="E3" s="392" t="s">
        <v>160</v>
      </c>
      <c r="F3" s="392"/>
      <c r="G3" s="392"/>
      <c r="H3" s="392"/>
      <c r="I3" s="392"/>
      <c r="J3" s="392"/>
      <c r="K3" s="392"/>
      <c r="L3" s="392"/>
    </row>
    <row r="4" spans="1:20" ht="15.6" x14ac:dyDescent="0.25">
      <c r="E4" s="42"/>
      <c r="F4" s="145"/>
      <c r="G4" s="42"/>
      <c r="H4" s="145"/>
      <c r="I4" s="42"/>
      <c r="J4" s="145"/>
      <c r="K4" s="42"/>
    </row>
    <row r="5" spans="1:20" ht="28.5" customHeight="1" x14ac:dyDescent="0.25">
      <c r="B5" s="405" t="s">
        <v>187</v>
      </c>
      <c r="C5" s="405"/>
      <c r="D5" s="405"/>
      <c r="E5" s="405"/>
      <c r="F5" s="405"/>
      <c r="G5" s="405"/>
      <c r="H5" s="405"/>
      <c r="I5" s="405"/>
      <c r="J5" s="405"/>
      <c r="K5" s="405"/>
    </row>
    <row r="7" spans="1:20" x14ac:dyDescent="0.25">
      <c r="J7" s="357" t="s">
        <v>91</v>
      </c>
      <c r="K7" s="357"/>
      <c r="L7" s="357"/>
    </row>
    <row r="8" spans="1:20" ht="12.75" customHeight="1" x14ac:dyDescent="0.25">
      <c r="A8" s="377" t="s">
        <v>0</v>
      </c>
      <c r="B8" s="377" t="s">
        <v>29</v>
      </c>
      <c r="C8" s="377" t="s">
        <v>16</v>
      </c>
      <c r="D8" s="377" t="s">
        <v>52</v>
      </c>
      <c r="E8" s="367" t="s">
        <v>17</v>
      </c>
      <c r="F8" s="368"/>
      <c r="G8" s="381" t="s">
        <v>18</v>
      </c>
      <c r="H8" s="406"/>
      <c r="I8" s="406"/>
      <c r="J8" s="406"/>
      <c r="K8" s="406"/>
      <c r="L8" s="382"/>
    </row>
    <row r="9" spans="1:20" ht="12.75" customHeight="1" x14ac:dyDescent="0.25">
      <c r="A9" s="407"/>
      <c r="B9" s="407"/>
      <c r="C9" s="407"/>
      <c r="D9" s="407"/>
      <c r="E9" s="369"/>
      <c r="F9" s="370"/>
      <c r="G9" s="381" t="s">
        <v>162</v>
      </c>
      <c r="H9" s="406"/>
      <c r="I9" s="406"/>
      <c r="J9" s="382"/>
      <c r="K9" s="367" t="s">
        <v>30</v>
      </c>
      <c r="L9" s="368"/>
    </row>
    <row r="10" spans="1:20" ht="23.4" customHeight="1" x14ac:dyDescent="0.25">
      <c r="A10" s="407"/>
      <c r="B10" s="407"/>
      <c r="C10" s="407"/>
      <c r="D10" s="407"/>
      <c r="E10" s="377" t="s">
        <v>277</v>
      </c>
      <c r="F10" s="377" t="s">
        <v>278</v>
      </c>
      <c r="G10" s="381" t="s">
        <v>31</v>
      </c>
      <c r="H10" s="382"/>
      <c r="I10" s="381" t="s">
        <v>32</v>
      </c>
      <c r="J10" s="382"/>
      <c r="K10" s="369"/>
      <c r="L10" s="370"/>
    </row>
    <row r="11" spans="1:20" ht="18.600000000000001" customHeight="1" x14ac:dyDescent="0.25">
      <c r="A11" s="378"/>
      <c r="B11" s="378"/>
      <c r="C11" s="378"/>
      <c r="D11" s="378"/>
      <c r="E11" s="378"/>
      <c r="F11" s="378"/>
      <c r="G11" s="144" t="s">
        <v>277</v>
      </c>
      <c r="H11" s="150" t="s">
        <v>278</v>
      </c>
      <c r="I11" s="154" t="s">
        <v>277</v>
      </c>
      <c r="J11" s="154" t="s">
        <v>278</v>
      </c>
      <c r="K11" s="149" t="s">
        <v>277</v>
      </c>
      <c r="L11" s="152" t="s">
        <v>278</v>
      </c>
    </row>
    <row r="12" spans="1:20" x14ac:dyDescent="0.25">
      <c r="A12" s="28">
        <v>1</v>
      </c>
      <c r="B12" s="28">
        <v>2</v>
      </c>
      <c r="C12" s="125">
        <v>3</v>
      </c>
      <c r="D12" s="124">
        <v>4</v>
      </c>
      <c r="E12" s="28">
        <v>5</v>
      </c>
      <c r="F12" s="149">
        <v>6</v>
      </c>
      <c r="G12" s="28">
        <v>7</v>
      </c>
      <c r="H12" s="154">
        <v>8</v>
      </c>
      <c r="I12" s="125">
        <v>9</v>
      </c>
      <c r="J12" s="154">
        <v>10</v>
      </c>
      <c r="K12" s="28">
        <v>11</v>
      </c>
      <c r="L12" s="194">
        <v>12</v>
      </c>
    </row>
    <row r="13" spans="1:20" ht="20.100000000000001" customHeight="1" x14ac:dyDescent="0.25">
      <c r="A13" s="52">
        <v>1</v>
      </c>
      <c r="B13" s="30" t="s">
        <v>53</v>
      </c>
      <c r="C13" s="131" t="s">
        <v>54</v>
      </c>
      <c r="D13" s="50"/>
      <c r="E13" s="61">
        <f>+G13+K13</f>
        <v>694.20000000000016</v>
      </c>
      <c r="F13" s="61">
        <f>+H13+L13</f>
        <v>528.5</v>
      </c>
      <c r="G13" s="61">
        <f t="shared" ref="G13:L13" si="0">SUM(G14:G39)</f>
        <v>676.70000000000016</v>
      </c>
      <c r="H13" s="61">
        <f t="shared" si="0"/>
        <v>512.20000000000005</v>
      </c>
      <c r="I13" s="61">
        <f t="shared" si="0"/>
        <v>16.5</v>
      </c>
      <c r="J13" s="61">
        <f t="shared" si="0"/>
        <v>10.7</v>
      </c>
      <c r="K13" s="61">
        <f t="shared" si="0"/>
        <v>17.5</v>
      </c>
      <c r="L13" s="61">
        <f t="shared" si="0"/>
        <v>16.3</v>
      </c>
      <c r="M13" s="32"/>
      <c r="N13" s="32"/>
      <c r="O13" s="32"/>
      <c r="Q13" s="32"/>
      <c r="R13" s="32"/>
      <c r="S13" s="32"/>
      <c r="T13" s="32"/>
    </row>
    <row r="14" spans="1:20" ht="12.6" customHeight="1" x14ac:dyDescent="0.25">
      <c r="A14" s="156">
        <v>2</v>
      </c>
      <c r="B14" s="211"/>
      <c r="C14" s="191" t="s">
        <v>127</v>
      </c>
      <c r="D14" s="171" t="s">
        <v>55</v>
      </c>
      <c r="E14" s="176">
        <f>+G14+K14</f>
        <v>36.700000000000003</v>
      </c>
      <c r="F14" s="57">
        <f t="shared" ref="F14:F39" si="1">+H14+L14</f>
        <v>31.7</v>
      </c>
      <c r="G14" s="176">
        <f>46.7-10</f>
        <v>36.700000000000003</v>
      </c>
      <c r="H14" s="176">
        <v>31.7</v>
      </c>
      <c r="I14" s="176"/>
      <c r="J14" s="176"/>
      <c r="K14" s="176"/>
      <c r="L14" s="155"/>
      <c r="M14" s="32"/>
      <c r="N14" s="32"/>
      <c r="O14" s="32"/>
      <c r="Q14" s="32"/>
      <c r="R14" s="32"/>
      <c r="S14" s="32"/>
      <c r="T14" s="32"/>
    </row>
    <row r="15" spans="1:20" ht="12.6" customHeight="1" x14ac:dyDescent="0.25">
      <c r="A15" s="156">
        <v>3</v>
      </c>
      <c r="B15" s="211"/>
      <c r="C15" s="191" t="s">
        <v>118</v>
      </c>
      <c r="D15" s="171" t="s">
        <v>55</v>
      </c>
      <c r="E15" s="176">
        <f>+G15+K15</f>
        <v>50</v>
      </c>
      <c r="F15" s="57">
        <f t="shared" si="1"/>
        <v>32.200000000000003</v>
      </c>
      <c r="G15" s="176">
        <f>50-3</f>
        <v>47</v>
      </c>
      <c r="H15" s="176">
        <f>29.1+0.1</f>
        <v>29.200000000000003</v>
      </c>
      <c r="I15" s="176"/>
      <c r="J15" s="176"/>
      <c r="K15" s="176">
        <v>3</v>
      </c>
      <c r="L15" s="155">
        <v>3</v>
      </c>
      <c r="M15" s="32"/>
      <c r="N15" s="32"/>
      <c r="O15" s="32"/>
      <c r="Q15" s="32"/>
      <c r="R15" s="32"/>
      <c r="S15" s="32"/>
      <c r="T15" s="32"/>
    </row>
    <row r="16" spans="1:20" ht="12.6" customHeight="1" x14ac:dyDescent="0.25">
      <c r="A16" s="156">
        <v>4</v>
      </c>
      <c r="B16" s="211"/>
      <c r="C16" s="191" t="s">
        <v>119</v>
      </c>
      <c r="D16" s="171" t="s">
        <v>55</v>
      </c>
      <c r="E16" s="176">
        <f>+G16+K16</f>
        <v>64.7</v>
      </c>
      <c r="F16" s="57">
        <f t="shared" si="1"/>
        <v>40.5</v>
      </c>
      <c r="G16" s="176">
        <v>64.7</v>
      </c>
      <c r="H16" s="176">
        <v>40.5</v>
      </c>
      <c r="I16" s="176"/>
      <c r="J16" s="176"/>
      <c r="K16" s="176"/>
      <c r="L16" s="155"/>
      <c r="M16" s="32"/>
      <c r="N16" s="32"/>
      <c r="O16" s="32"/>
      <c r="Q16" s="32"/>
      <c r="R16" s="32"/>
      <c r="S16" s="32"/>
      <c r="T16" s="32"/>
    </row>
    <row r="17" spans="1:20" ht="12.6" customHeight="1" x14ac:dyDescent="0.25">
      <c r="A17" s="156">
        <v>5</v>
      </c>
      <c r="B17" s="211"/>
      <c r="C17" s="191" t="s">
        <v>123</v>
      </c>
      <c r="D17" s="171" t="s">
        <v>55</v>
      </c>
      <c r="E17" s="176">
        <f>+G17+K17</f>
        <v>47.7</v>
      </c>
      <c r="F17" s="57">
        <f t="shared" si="1"/>
        <v>43.9</v>
      </c>
      <c r="G17" s="176">
        <f>61.7-14</f>
        <v>47.7</v>
      </c>
      <c r="H17" s="176">
        <v>43.9</v>
      </c>
      <c r="I17" s="176"/>
      <c r="J17" s="176"/>
      <c r="K17" s="176"/>
      <c r="L17" s="155"/>
      <c r="M17" s="32"/>
      <c r="N17" s="32"/>
      <c r="O17" s="32"/>
      <c r="Q17" s="32"/>
      <c r="R17" s="32"/>
      <c r="S17" s="32"/>
      <c r="T17" s="32"/>
    </row>
    <row r="18" spans="1:20" ht="12.6" customHeight="1" x14ac:dyDescent="0.25">
      <c r="A18" s="156">
        <v>6</v>
      </c>
      <c r="B18" s="211"/>
      <c r="C18" s="191" t="s">
        <v>120</v>
      </c>
      <c r="D18" s="171" t="s">
        <v>55</v>
      </c>
      <c r="E18" s="176">
        <f t="shared" ref="E18:E44" si="2">+G18+K18</f>
        <v>55</v>
      </c>
      <c r="F18" s="57">
        <f t="shared" si="1"/>
        <v>48</v>
      </c>
      <c r="G18" s="176">
        <f>67.2-12.2</f>
        <v>55</v>
      </c>
      <c r="H18" s="176">
        <v>48</v>
      </c>
      <c r="I18" s="176"/>
      <c r="J18" s="176"/>
      <c r="K18" s="176"/>
      <c r="L18" s="155"/>
      <c r="M18" s="32"/>
      <c r="N18" s="32"/>
      <c r="O18" s="32"/>
      <c r="Q18" s="32"/>
      <c r="R18" s="32"/>
      <c r="S18" s="32"/>
      <c r="T18" s="32"/>
    </row>
    <row r="19" spans="1:20" ht="12.6" customHeight="1" x14ac:dyDescent="0.25">
      <c r="A19" s="156">
        <v>7</v>
      </c>
      <c r="B19" s="211"/>
      <c r="C19" s="191" t="s">
        <v>121</v>
      </c>
      <c r="D19" s="171" t="s">
        <v>55</v>
      </c>
      <c r="E19" s="176">
        <f t="shared" si="2"/>
        <v>29.700000000000003</v>
      </c>
      <c r="F19" s="57">
        <f t="shared" si="1"/>
        <v>28.1</v>
      </c>
      <c r="G19" s="176">
        <f>35.7-6</f>
        <v>29.700000000000003</v>
      </c>
      <c r="H19" s="176">
        <v>28.1</v>
      </c>
      <c r="I19" s="176"/>
      <c r="J19" s="176"/>
      <c r="K19" s="176"/>
      <c r="L19" s="155"/>
      <c r="M19" s="32"/>
      <c r="N19" s="32"/>
      <c r="O19" s="32"/>
      <c r="Q19" s="32"/>
      <c r="R19" s="32"/>
      <c r="S19" s="32"/>
      <c r="T19" s="32"/>
    </row>
    <row r="20" spans="1:20" ht="12.6" customHeight="1" x14ac:dyDescent="0.25">
      <c r="A20" s="156">
        <v>8</v>
      </c>
      <c r="B20" s="211"/>
      <c r="C20" s="191" t="s">
        <v>122</v>
      </c>
      <c r="D20" s="171" t="s">
        <v>55</v>
      </c>
      <c r="E20" s="176">
        <f t="shared" si="2"/>
        <v>59.7</v>
      </c>
      <c r="F20" s="57">
        <f t="shared" si="1"/>
        <v>39.200000000000003</v>
      </c>
      <c r="G20" s="176">
        <f>59.7-1.5</f>
        <v>58.2</v>
      </c>
      <c r="H20" s="176">
        <v>37.700000000000003</v>
      </c>
      <c r="I20" s="176"/>
      <c r="J20" s="176"/>
      <c r="K20" s="176">
        <v>1.5</v>
      </c>
      <c r="L20" s="155">
        <v>1.5</v>
      </c>
      <c r="M20" s="32"/>
      <c r="N20" s="32"/>
      <c r="O20" s="32"/>
      <c r="Q20" s="32"/>
      <c r="R20" s="32"/>
      <c r="S20" s="32"/>
      <c r="T20" s="32"/>
    </row>
    <row r="21" spans="1:20" ht="12.6" customHeight="1" x14ac:dyDescent="0.25">
      <c r="A21" s="156">
        <v>9</v>
      </c>
      <c r="B21" s="211"/>
      <c r="C21" s="175" t="s">
        <v>144</v>
      </c>
      <c r="D21" s="171" t="s">
        <v>56</v>
      </c>
      <c r="E21" s="176">
        <f t="shared" si="2"/>
        <v>32.299999999999997</v>
      </c>
      <c r="F21" s="57">
        <f t="shared" si="1"/>
        <v>27</v>
      </c>
      <c r="G21" s="176">
        <f>47.1-14.8</f>
        <v>32.299999999999997</v>
      </c>
      <c r="H21" s="176">
        <v>27</v>
      </c>
      <c r="I21" s="176"/>
      <c r="J21" s="176"/>
      <c r="K21" s="176"/>
      <c r="L21" s="155"/>
      <c r="M21" s="32"/>
      <c r="N21" s="32"/>
      <c r="O21" s="32"/>
      <c r="Q21" s="32"/>
      <c r="R21" s="32"/>
      <c r="S21" s="32"/>
      <c r="T21" s="32"/>
    </row>
    <row r="22" spans="1:20" ht="12.6" customHeight="1" x14ac:dyDescent="0.25">
      <c r="A22" s="156">
        <v>10</v>
      </c>
      <c r="B22" s="211"/>
      <c r="C22" s="191" t="s">
        <v>42</v>
      </c>
      <c r="D22" s="211" t="s">
        <v>59</v>
      </c>
      <c r="E22" s="176">
        <f t="shared" si="2"/>
        <v>9.6</v>
      </c>
      <c r="F22" s="57">
        <f t="shared" si="1"/>
        <v>9.6</v>
      </c>
      <c r="G22" s="176">
        <v>9.6</v>
      </c>
      <c r="H22" s="176">
        <v>9.6</v>
      </c>
      <c r="I22" s="176"/>
      <c r="J22" s="176"/>
      <c r="K22" s="176"/>
      <c r="L22" s="155"/>
      <c r="M22" s="32"/>
      <c r="N22" s="32"/>
      <c r="O22" s="32"/>
      <c r="Q22" s="32"/>
      <c r="R22" s="32"/>
      <c r="S22" s="32"/>
      <c r="T22" s="32"/>
    </row>
    <row r="23" spans="1:20" s="178" customFormat="1" ht="12.6" customHeight="1" x14ac:dyDescent="0.25">
      <c r="A23" s="156">
        <v>11</v>
      </c>
      <c r="B23" s="211"/>
      <c r="C23" s="193" t="s">
        <v>93</v>
      </c>
      <c r="D23" s="171" t="s">
        <v>57</v>
      </c>
      <c r="E23" s="176">
        <f>+G23+K23</f>
        <v>18.5</v>
      </c>
      <c r="F23" s="57">
        <f t="shared" si="1"/>
        <v>17</v>
      </c>
      <c r="G23" s="212">
        <f>22.5-4</f>
        <v>18.5</v>
      </c>
      <c r="H23" s="212">
        <v>17</v>
      </c>
      <c r="I23" s="212"/>
      <c r="J23" s="212"/>
      <c r="K23" s="212"/>
      <c r="L23" s="161"/>
      <c r="M23" s="162"/>
      <c r="N23" s="162"/>
      <c r="O23" s="162"/>
      <c r="Q23" s="162"/>
      <c r="R23" s="162"/>
      <c r="S23" s="162"/>
      <c r="T23" s="162"/>
    </row>
    <row r="24" spans="1:20" s="178" customFormat="1" ht="12.6" customHeight="1" x14ac:dyDescent="0.25">
      <c r="A24" s="156">
        <v>12</v>
      </c>
      <c r="B24" s="211"/>
      <c r="C24" s="193" t="s">
        <v>94</v>
      </c>
      <c r="D24" s="171" t="s">
        <v>57</v>
      </c>
      <c r="E24" s="176">
        <f>+G24+K24</f>
        <v>1.1000000000000001</v>
      </c>
      <c r="F24" s="57">
        <f t="shared" si="1"/>
        <v>0.7</v>
      </c>
      <c r="G24" s="212">
        <f>1.3-0.2</f>
        <v>1.1000000000000001</v>
      </c>
      <c r="H24" s="212">
        <v>0.7</v>
      </c>
      <c r="I24" s="212"/>
      <c r="J24" s="212"/>
      <c r="K24" s="212"/>
      <c r="L24" s="161"/>
      <c r="M24" s="162"/>
      <c r="N24" s="162"/>
      <c r="O24" s="162"/>
      <c r="Q24" s="162"/>
      <c r="R24" s="162"/>
      <c r="S24" s="162"/>
      <c r="T24" s="162"/>
    </row>
    <row r="25" spans="1:20" s="178" customFormat="1" ht="12.6" customHeight="1" x14ac:dyDescent="0.25">
      <c r="A25" s="156">
        <v>13</v>
      </c>
      <c r="B25" s="211"/>
      <c r="C25" s="193" t="s">
        <v>36</v>
      </c>
      <c r="D25" s="171" t="s">
        <v>57</v>
      </c>
      <c r="E25" s="176">
        <f>+G25+K25</f>
        <v>13.3</v>
      </c>
      <c r="F25" s="57">
        <f t="shared" si="1"/>
        <v>10.4</v>
      </c>
      <c r="G25" s="212">
        <f>16.8-3.5</f>
        <v>13.3</v>
      </c>
      <c r="H25" s="212">
        <v>10.4</v>
      </c>
      <c r="I25" s="212"/>
      <c r="J25" s="212"/>
      <c r="K25" s="212"/>
      <c r="L25" s="161"/>
      <c r="M25" s="162"/>
      <c r="N25" s="162"/>
      <c r="O25" s="162"/>
      <c r="Q25" s="162"/>
      <c r="R25" s="162"/>
      <c r="S25" s="162"/>
      <c r="T25" s="162"/>
    </row>
    <row r="26" spans="1:20" s="178" customFormat="1" ht="12.6" customHeight="1" x14ac:dyDescent="0.25">
      <c r="A26" s="156">
        <v>14</v>
      </c>
      <c r="B26" s="211"/>
      <c r="C26" s="191" t="s">
        <v>97</v>
      </c>
      <c r="D26" s="171" t="s">
        <v>57</v>
      </c>
      <c r="E26" s="176">
        <f>+G26+K26</f>
        <v>2.5999999999999996</v>
      </c>
      <c r="F26" s="57">
        <f t="shared" si="1"/>
        <v>0.3</v>
      </c>
      <c r="G26" s="176">
        <f>4.8-2.2</f>
        <v>2.5999999999999996</v>
      </c>
      <c r="H26" s="176">
        <v>0.3</v>
      </c>
      <c r="I26" s="176"/>
      <c r="J26" s="176"/>
      <c r="K26" s="176"/>
      <c r="L26" s="161"/>
      <c r="M26" s="162"/>
      <c r="N26" s="162"/>
      <c r="O26" s="162"/>
      <c r="Q26" s="162"/>
      <c r="R26" s="162"/>
      <c r="S26" s="162"/>
      <c r="T26" s="162"/>
    </row>
    <row r="27" spans="1:20" s="178" customFormat="1" ht="27" customHeight="1" x14ac:dyDescent="0.25">
      <c r="A27" s="156">
        <v>15</v>
      </c>
      <c r="B27" s="211"/>
      <c r="C27" s="193" t="s">
        <v>124</v>
      </c>
      <c r="D27" s="168" t="s">
        <v>163</v>
      </c>
      <c r="E27" s="176">
        <f t="shared" si="2"/>
        <v>2</v>
      </c>
      <c r="F27" s="57">
        <f t="shared" si="1"/>
        <v>0</v>
      </c>
      <c r="G27" s="176">
        <f>3.5-1.5</f>
        <v>2</v>
      </c>
      <c r="H27" s="176">
        <v>0</v>
      </c>
      <c r="I27" s="176"/>
      <c r="J27" s="176"/>
      <c r="K27" s="176"/>
      <c r="L27" s="161"/>
      <c r="M27" s="162"/>
      <c r="N27" s="162"/>
      <c r="O27" s="162"/>
      <c r="Q27" s="162"/>
      <c r="R27" s="162"/>
      <c r="S27" s="162"/>
      <c r="T27" s="162"/>
    </row>
    <row r="28" spans="1:20" s="178" customFormat="1" ht="12.6" customHeight="1" x14ac:dyDescent="0.25">
      <c r="A28" s="156">
        <v>16</v>
      </c>
      <c r="B28" s="211"/>
      <c r="C28" s="191" t="s">
        <v>125</v>
      </c>
      <c r="D28" s="168" t="s">
        <v>163</v>
      </c>
      <c r="E28" s="176">
        <f t="shared" si="2"/>
        <v>1.6</v>
      </c>
      <c r="F28" s="57">
        <f t="shared" si="1"/>
        <v>1.3</v>
      </c>
      <c r="G28" s="176">
        <f>3.2-1.6</f>
        <v>1.6</v>
      </c>
      <c r="H28" s="176">
        <v>1.3</v>
      </c>
      <c r="I28" s="176"/>
      <c r="J28" s="176"/>
      <c r="K28" s="176"/>
      <c r="L28" s="161"/>
      <c r="M28" s="162"/>
      <c r="N28" s="162"/>
      <c r="O28" s="162"/>
      <c r="Q28" s="162"/>
      <c r="R28" s="162"/>
      <c r="S28" s="162"/>
      <c r="T28" s="162"/>
    </row>
    <row r="29" spans="1:20" s="178" customFormat="1" ht="12.6" customHeight="1" x14ac:dyDescent="0.25">
      <c r="A29" s="156">
        <v>17</v>
      </c>
      <c r="B29" s="211"/>
      <c r="C29" s="193" t="s">
        <v>89</v>
      </c>
      <c r="D29" s="171" t="s">
        <v>58</v>
      </c>
      <c r="E29" s="176">
        <f t="shared" si="2"/>
        <v>3.9</v>
      </c>
      <c r="F29" s="57">
        <f t="shared" si="1"/>
        <v>3.9</v>
      </c>
      <c r="G29" s="176">
        <v>3.9</v>
      </c>
      <c r="H29" s="176">
        <v>3.9</v>
      </c>
      <c r="I29" s="176"/>
      <c r="J29" s="176"/>
      <c r="K29" s="176"/>
      <c r="L29" s="161"/>
      <c r="M29" s="162"/>
      <c r="N29" s="162"/>
      <c r="O29" s="162"/>
      <c r="Q29" s="162"/>
      <c r="R29" s="162"/>
      <c r="S29" s="162"/>
      <c r="T29" s="162"/>
    </row>
    <row r="30" spans="1:20" s="178" customFormat="1" ht="12.6" customHeight="1" x14ac:dyDescent="0.25">
      <c r="A30" s="156">
        <v>18</v>
      </c>
      <c r="B30" s="211"/>
      <c r="C30" s="193" t="s">
        <v>37</v>
      </c>
      <c r="D30" s="171" t="s">
        <v>58</v>
      </c>
      <c r="E30" s="176">
        <f t="shared" si="2"/>
        <v>0.4</v>
      </c>
      <c r="F30" s="57">
        <f t="shared" si="1"/>
        <v>0.3</v>
      </c>
      <c r="G30" s="176">
        <f>0.9-0.5</f>
        <v>0.4</v>
      </c>
      <c r="H30" s="176">
        <v>0.3</v>
      </c>
      <c r="I30" s="176"/>
      <c r="J30" s="176"/>
      <c r="K30" s="176"/>
      <c r="L30" s="161"/>
      <c r="M30" s="162"/>
      <c r="N30" s="162"/>
      <c r="O30" s="162"/>
      <c r="Q30" s="162"/>
      <c r="R30" s="162"/>
      <c r="S30" s="162"/>
      <c r="T30" s="162"/>
    </row>
    <row r="31" spans="1:20" s="178" customFormat="1" ht="12.6" customHeight="1" x14ac:dyDescent="0.25">
      <c r="A31" s="156">
        <v>19</v>
      </c>
      <c r="B31" s="211"/>
      <c r="C31" s="213" t="s">
        <v>95</v>
      </c>
      <c r="D31" s="211" t="s">
        <v>58</v>
      </c>
      <c r="E31" s="176">
        <f t="shared" si="2"/>
        <v>37.200000000000003</v>
      </c>
      <c r="F31" s="57">
        <f t="shared" si="1"/>
        <v>33.700000000000003</v>
      </c>
      <c r="G31" s="212">
        <f>47.2-10</f>
        <v>37.200000000000003</v>
      </c>
      <c r="H31" s="212">
        <v>33.700000000000003</v>
      </c>
      <c r="I31" s="212"/>
      <c r="J31" s="212"/>
      <c r="K31" s="212"/>
      <c r="L31" s="161"/>
      <c r="M31" s="162"/>
      <c r="N31" s="162"/>
      <c r="O31" s="162"/>
      <c r="Q31" s="162"/>
      <c r="R31" s="162"/>
      <c r="S31" s="162"/>
      <c r="T31" s="162"/>
    </row>
    <row r="32" spans="1:20" s="178" customFormat="1" ht="12.6" customHeight="1" x14ac:dyDescent="0.25">
      <c r="A32" s="156">
        <v>20</v>
      </c>
      <c r="B32" s="211"/>
      <c r="C32" s="175" t="s">
        <v>38</v>
      </c>
      <c r="D32" s="171" t="s">
        <v>58</v>
      </c>
      <c r="E32" s="176">
        <f t="shared" si="2"/>
        <v>1.1000000000000001</v>
      </c>
      <c r="F32" s="57">
        <f t="shared" si="1"/>
        <v>0.6</v>
      </c>
      <c r="G32" s="212">
        <f>1.5-0.4</f>
        <v>1.1000000000000001</v>
      </c>
      <c r="H32" s="212">
        <v>0.6</v>
      </c>
      <c r="I32" s="212"/>
      <c r="J32" s="212"/>
      <c r="K32" s="212"/>
      <c r="L32" s="161"/>
      <c r="M32" s="162"/>
      <c r="N32" s="162"/>
      <c r="O32" s="162"/>
      <c r="Q32" s="162"/>
      <c r="R32" s="162"/>
      <c r="S32" s="162"/>
      <c r="T32" s="162"/>
    </row>
    <row r="33" spans="1:20" s="178" customFormat="1" ht="12.6" customHeight="1" x14ac:dyDescent="0.25">
      <c r="A33" s="156">
        <v>21</v>
      </c>
      <c r="B33" s="211"/>
      <c r="C33" s="193" t="s">
        <v>84</v>
      </c>
      <c r="D33" s="211" t="s">
        <v>59</v>
      </c>
      <c r="E33" s="176">
        <f t="shared" si="2"/>
        <v>37.6</v>
      </c>
      <c r="F33" s="57">
        <f t="shared" si="1"/>
        <v>22.3</v>
      </c>
      <c r="G33" s="212">
        <v>37.6</v>
      </c>
      <c r="H33" s="212">
        <v>22.3</v>
      </c>
      <c r="I33" s="212">
        <v>12.1</v>
      </c>
      <c r="J33" s="212">
        <f>6.5-0.1</f>
        <v>6.4</v>
      </c>
      <c r="K33" s="212"/>
      <c r="L33" s="161"/>
      <c r="M33" s="162"/>
      <c r="N33" s="162"/>
      <c r="O33" s="162"/>
      <c r="Q33" s="162"/>
      <c r="R33" s="162"/>
      <c r="S33" s="162"/>
      <c r="T33" s="162"/>
    </row>
    <row r="34" spans="1:20" s="178" customFormat="1" ht="12.6" customHeight="1" x14ac:dyDescent="0.25">
      <c r="A34" s="156">
        <v>22</v>
      </c>
      <c r="B34" s="211"/>
      <c r="C34" s="191" t="s">
        <v>276</v>
      </c>
      <c r="D34" s="171" t="s">
        <v>58</v>
      </c>
      <c r="E34" s="176">
        <f t="shared" si="2"/>
        <v>8</v>
      </c>
      <c r="F34" s="57">
        <f t="shared" si="1"/>
        <v>7.2</v>
      </c>
      <c r="G34" s="212">
        <f>6+2</f>
        <v>8</v>
      </c>
      <c r="H34" s="212">
        <v>7.2</v>
      </c>
      <c r="I34" s="212"/>
      <c r="J34" s="212"/>
      <c r="K34" s="212"/>
      <c r="L34" s="161"/>
      <c r="M34" s="162"/>
      <c r="N34" s="162"/>
      <c r="O34" s="162"/>
      <c r="Q34" s="162"/>
      <c r="R34" s="162"/>
      <c r="S34" s="162"/>
      <c r="T34" s="162"/>
    </row>
    <row r="35" spans="1:20" s="178" customFormat="1" ht="12.6" customHeight="1" x14ac:dyDescent="0.25">
      <c r="A35" s="156">
        <v>23</v>
      </c>
      <c r="B35" s="211"/>
      <c r="C35" s="214" t="s">
        <v>50</v>
      </c>
      <c r="D35" s="211" t="s">
        <v>59</v>
      </c>
      <c r="E35" s="176">
        <f t="shared" si="2"/>
        <v>61.900000000000006</v>
      </c>
      <c r="F35" s="57">
        <f t="shared" si="1"/>
        <v>41.900000000000006</v>
      </c>
      <c r="G35" s="212">
        <f>61.9-4-4.3</f>
        <v>53.6</v>
      </c>
      <c r="H35" s="212">
        <f>34.6+0.1</f>
        <v>34.700000000000003</v>
      </c>
      <c r="I35" s="212">
        <v>4.4000000000000004</v>
      </c>
      <c r="J35" s="212">
        <v>4.3</v>
      </c>
      <c r="K35" s="212">
        <f>4+4.3</f>
        <v>8.3000000000000007</v>
      </c>
      <c r="L35" s="161">
        <v>7.2</v>
      </c>
      <c r="M35" s="162"/>
      <c r="N35" s="162"/>
      <c r="O35" s="162"/>
      <c r="Q35" s="162"/>
      <c r="R35" s="162"/>
      <c r="S35" s="162"/>
      <c r="T35" s="162"/>
    </row>
    <row r="36" spans="1:20" s="178" customFormat="1" ht="12.6" customHeight="1" x14ac:dyDescent="0.25">
      <c r="A36" s="156">
        <v>24</v>
      </c>
      <c r="B36" s="211"/>
      <c r="C36" s="214" t="s">
        <v>43</v>
      </c>
      <c r="D36" s="211" t="s">
        <v>59</v>
      </c>
      <c r="E36" s="176">
        <f t="shared" si="2"/>
        <v>47.6</v>
      </c>
      <c r="F36" s="57">
        <f t="shared" si="1"/>
        <v>36.1</v>
      </c>
      <c r="G36" s="212">
        <f>47.6-4</f>
        <v>43.6</v>
      </c>
      <c r="H36" s="212">
        <v>32.200000000000003</v>
      </c>
      <c r="I36" s="212"/>
      <c r="J36" s="212"/>
      <c r="K36" s="212">
        <v>4</v>
      </c>
      <c r="L36" s="161">
        <v>3.9</v>
      </c>
      <c r="M36" s="162"/>
      <c r="N36" s="162"/>
      <c r="O36" s="162"/>
      <c r="Q36" s="162"/>
      <c r="R36" s="162"/>
      <c r="S36" s="162"/>
      <c r="T36" s="162"/>
    </row>
    <row r="37" spans="1:20" s="178" customFormat="1" ht="12.6" customHeight="1" x14ac:dyDescent="0.25">
      <c r="A37" s="156">
        <v>25</v>
      </c>
      <c r="B37" s="211"/>
      <c r="C37" s="214" t="s">
        <v>44</v>
      </c>
      <c r="D37" s="211" t="s">
        <v>59</v>
      </c>
      <c r="E37" s="176">
        <f t="shared" si="2"/>
        <v>57.7</v>
      </c>
      <c r="F37" s="57">
        <f t="shared" si="1"/>
        <v>39.700000000000003</v>
      </c>
      <c r="G37" s="212">
        <v>57.7</v>
      </c>
      <c r="H37" s="212">
        <v>39.700000000000003</v>
      </c>
      <c r="I37" s="212"/>
      <c r="J37" s="212"/>
      <c r="K37" s="212"/>
      <c r="L37" s="161"/>
      <c r="M37" s="162"/>
      <c r="N37" s="162"/>
      <c r="O37" s="162"/>
      <c r="Q37" s="162"/>
      <c r="R37" s="162"/>
      <c r="S37" s="162"/>
      <c r="T37" s="162"/>
    </row>
    <row r="38" spans="1:20" s="178" customFormat="1" ht="12.6" customHeight="1" x14ac:dyDescent="0.25">
      <c r="A38" s="156">
        <v>27</v>
      </c>
      <c r="B38" s="211"/>
      <c r="C38" s="214" t="s">
        <v>15</v>
      </c>
      <c r="D38" s="171" t="s">
        <v>55</v>
      </c>
      <c r="E38" s="176">
        <f>+G38+K38</f>
        <v>8.3000000000000007</v>
      </c>
      <c r="F38" s="57">
        <f t="shared" si="1"/>
        <v>7.5</v>
      </c>
      <c r="G38" s="212">
        <f>16.6-9</f>
        <v>7.6000000000000014</v>
      </c>
      <c r="H38" s="212">
        <v>6.8</v>
      </c>
      <c r="I38" s="212"/>
      <c r="J38" s="212"/>
      <c r="K38" s="212">
        <f>2.5-1.8</f>
        <v>0.7</v>
      </c>
      <c r="L38" s="161">
        <v>0.7</v>
      </c>
      <c r="M38" s="162"/>
      <c r="N38" s="162"/>
      <c r="O38" s="162"/>
      <c r="Q38" s="162"/>
      <c r="R38" s="162"/>
      <c r="S38" s="162"/>
      <c r="T38" s="162"/>
    </row>
    <row r="39" spans="1:20" s="178" customFormat="1" ht="12.6" customHeight="1" x14ac:dyDescent="0.25">
      <c r="A39" s="156">
        <v>28</v>
      </c>
      <c r="B39" s="211"/>
      <c r="C39" s="214" t="s">
        <v>158</v>
      </c>
      <c r="D39" s="171" t="s">
        <v>55</v>
      </c>
      <c r="E39" s="176">
        <f t="shared" si="2"/>
        <v>6</v>
      </c>
      <c r="F39" s="57">
        <f t="shared" si="1"/>
        <v>5.4</v>
      </c>
      <c r="G39" s="212">
        <f>9-3</f>
        <v>6</v>
      </c>
      <c r="H39" s="212">
        <v>5.4</v>
      </c>
      <c r="I39" s="212"/>
      <c r="J39" s="212"/>
      <c r="K39" s="212"/>
      <c r="L39" s="161"/>
      <c r="M39" s="162"/>
      <c r="N39" s="162"/>
      <c r="O39" s="162"/>
      <c r="Q39" s="162"/>
      <c r="R39" s="162"/>
      <c r="S39" s="162"/>
      <c r="T39" s="162"/>
    </row>
    <row r="40" spans="1:20" s="178" customFormat="1" ht="20.100000000000001" customHeight="1" x14ac:dyDescent="0.25">
      <c r="A40" s="156">
        <v>29</v>
      </c>
      <c r="B40" s="157" t="s">
        <v>21</v>
      </c>
      <c r="C40" s="215" t="s">
        <v>22</v>
      </c>
      <c r="D40" s="211"/>
      <c r="E40" s="216">
        <f>+G40+K40</f>
        <v>664.19999999999993</v>
      </c>
      <c r="F40" s="216">
        <f>+H40+L40</f>
        <v>618.59999999999991</v>
      </c>
      <c r="G40" s="216">
        <f t="shared" ref="G40:L40" si="3">SUM(G41:G44)</f>
        <v>652.79999999999995</v>
      </c>
      <c r="H40" s="216">
        <f t="shared" si="3"/>
        <v>608.19999999999993</v>
      </c>
      <c r="I40" s="216">
        <f t="shared" si="3"/>
        <v>390.2</v>
      </c>
      <c r="J40" s="216">
        <f t="shared" si="3"/>
        <v>369.90000000000003</v>
      </c>
      <c r="K40" s="216">
        <f t="shared" si="3"/>
        <v>11.4</v>
      </c>
      <c r="L40" s="216">
        <f t="shared" si="3"/>
        <v>10.4</v>
      </c>
      <c r="M40" s="162"/>
      <c r="N40" s="162"/>
      <c r="O40" s="162"/>
      <c r="Q40" s="162"/>
      <c r="R40" s="162"/>
      <c r="S40" s="162"/>
      <c r="T40" s="162"/>
    </row>
    <row r="41" spans="1:20" s="178" customFormat="1" ht="12.6" customHeight="1" x14ac:dyDescent="0.25">
      <c r="A41" s="156">
        <v>30</v>
      </c>
      <c r="B41" s="211"/>
      <c r="C41" s="214" t="s">
        <v>2</v>
      </c>
      <c r="D41" s="211" t="s">
        <v>62</v>
      </c>
      <c r="E41" s="176">
        <f t="shared" si="2"/>
        <v>283</v>
      </c>
      <c r="F41" s="176">
        <f>+H41+L41</f>
        <v>250.2</v>
      </c>
      <c r="G41" s="176">
        <f>279-4-2.5</f>
        <v>272.5</v>
      </c>
      <c r="H41" s="176">
        <v>240.6</v>
      </c>
      <c r="I41" s="176">
        <f>187.7-9.5</f>
        <v>178.2</v>
      </c>
      <c r="J41" s="176">
        <v>159.6</v>
      </c>
      <c r="K41" s="176">
        <f>4+6.5</f>
        <v>10.5</v>
      </c>
      <c r="L41" s="161">
        <v>9.6</v>
      </c>
      <c r="M41" s="162"/>
      <c r="N41" s="162"/>
      <c r="O41" s="162"/>
      <c r="Q41" s="162"/>
      <c r="R41" s="162"/>
      <c r="S41" s="162"/>
      <c r="T41" s="162"/>
    </row>
    <row r="42" spans="1:20" s="178" customFormat="1" ht="12.6" customHeight="1" x14ac:dyDescent="0.25">
      <c r="A42" s="156">
        <v>31</v>
      </c>
      <c r="B42" s="211"/>
      <c r="C42" s="214" t="s">
        <v>15</v>
      </c>
      <c r="D42" s="184" t="s">
        <v>62</v>
      </c>
      <c r="E42" s="176">
        <f>+G42+K42</f>
        <v>186.8</v>
      </c>
      <c r="F42" s="176">
        <f>+H42+L42</f>
        <v>185.70000000000002</v>
      </c>
      <c r="G42" s="176">
        <f>178.8+7.1</f>
        <v>185.9</v>
      </c>
      <c r="H42" s="176">
        <v>184.9</v>
      </c>
      <c r="I42" s="176">
        <f>100+20</f>
        <v>120</v>
      </c>
      <c r="J42" s="176">
        <v>120</v>
      </c>
      <c r="K42" s="176">
        <f>8-7.1</f>
        <v>0.90000000000000036</v>
      </c>
      <c r="L42" s="161">
        <v>0.8</v>
      </c>
      <c r="M42" s="162"/>
      <c r="N42" s="162"/>
      <c r="O42" s="162"/>
      <c r="Q42" s="162"/>
      <c r="R42" s="162"/>
      <c r="S42" s="162"/>
      <c r="T42" s="162" t="s">
        <v>193</v>
      </c>
    </row>
    <row r="43" spans="1:20" s="178" customFormat="1" ht="12.6" customHeight="1" x14ac:dyDescent="0.25">
      <c r="A43" s="156">
        <v>32</v>
      </c>
      <c r="B43" s="211"/>
      <c r="C43" s="214" t="s">
        <v>158</v>
      </c>
      <c r="D43" s="184" t="s">
        <v>62</v>
      </c>
      <c r="E43" s="176">
        <f t="shared" si="2"/>
        <v>184</v>
      </c>
      <c r="F43" s="176">
        <f t="shared" ref="F43:F44" si="4">+H43+L43</f>
        <v>175.9</v>
      </c>
      <c r="G43" s="176">
        <f>182-1+3</f>
        <v>184</v>
      </c>
      <c r="H43" s="176">
        <v>175.9</v>
      </c>
      <c r="I43" s="176">
        <f>80+12</f>
        <v>92</v>
      </c>
      <c r="J43" s="176">
        <v>90.3</v>
      </c>
      <c r="K43" s="176"/>
      <c r="L43" s="161"/>
      <c r="M43" s="162"/>
      <c r="N43" s="162"/>
      <c r="O43" s="162"/>
      <c r="Q43" s="162"/>
      <c r="R43" s="162"/>
      <c r="S43" s="162"/>
      <c r="T43" s="162"/>
    </row>
    <row r="44" spans="1:20" s="178" customFormat="1" ht="12.6" customHeight="1" x14ac:dyDescent="0.25">
      <c r="A44" s="156">
        <v>33</v>
      </c>
      <c r="B44" s="211"/>
      <c r="C44" s="206" t="s">
        <v>102</v>
      </c>
      <c r="D44" s="184" t="s">
        <v>23</v>
      </c>
      <c r="E44" s="176">
        <f t="shared" si="2"/>
        <v>10.4</v>
      </c>
      <c r="F44" s="176">
        <f t="shared" si="4"/>
        <v>6.8</v>
      </c>
      <c r="G44" s="176">
        <v>10.4</v>
      </c>
      <c r="H44" s="176">
        <v>6.8</v>
      </c>
      <c r="I44" s="176"/>
      <c r="J44" s="176"/>
      <c r="K44" s="176"/>
      <c r="L44" s="161"/>
      <c r="M44" s="162"/>
      <c r="N44" s="162"/>
      <c r="O44" s="162"/>
      <c r="Q44" s="162"/>
      <c r="R44" s="162"/>
      <c r="S44" s="162"/>
      <c r="T44" s="162"/>
    </row>
    <row r="45" spans="1:20" ht="12.6" customHeight="1" x14ac:dyDescent="0.25">
      <c r="A45" s="52">
        <v>34</v>
      </c>
      <c r="B45" s="30" t="s">
        <v>63</v>
      </c>
      <c r="C45" s="59" t="s">
        <v>148</v>
      </c>
      <c r="D45" s="38"/>
      <c r="E45" s="128">
        <f t="shared" ref="E45:F47" si="5">+G45+K45</f>
        <v>17.5</v>
      </c>
      <c r="F45" s="128">
        <f t="shared" si="5"/>
        <v>9.8000000000000007</v>
      </c>
      <c r="G45" s="128">
        <f t="shared" ref="G45:L45" si="6">G46</f>
        <v>13.5</v>
      </c>
      <c r="H45" s="128">
        <f t="shared" si="6"/>
        <v>5.8</v>
      </c>
      <c r="I45" s="128">
        <f t="shared" si="6"/>
        <v>0</v>
      </c>
      <c r="J45" s="128">
        <f t="shared" si="6"/>
        <v>0</v>
      </c>
      <c r="K45" s="128">
        <f t="shared" si="6"/>
        <v>4</v>
      </c>
      <c r="L45" s="128">
        <f t="shared" si="6"/>
        <v>4</v>
      </c>
      <c r="M45" s="32"/>
      <c r="N45" s="32"/>
      <c r="O45" s="32"/>
      <c r="Q45" s="32"/>
      <c r="R45" s="32"/>
      <c r="S45" s="32"/>
      <c r="T45" s="32"/>
    </row>
    <row r="46" spans="1:20" ht="12.6" customHeight="1" x14ac:dyDescent="0.25">
      <c r="A46" s="52">
        <v>35</v>
      </c>
      <c r="B46" s="49"/>
      <c r="C46" s="120" t="s">
        <v>85</v>
      </c>
      <c r="D46" s="49" t="s">
        <v>59</v>
      </c>
      <c r="E46" s="57">
        <f t="shared" si="5"/>
        <v>17.5</v>
      </c>
      <c r="F46" s="129">
        <f t="shared" si="5"/>
        <v>9.8000000000000007</v>
      </c>
      <c r="G46" s="68">
        <f>17.5-4</f>
        <v>13.5</v>
      </c>
      <c r="H46" s="68">
        <v>5.8</v>
      </c>
      <c r="I46" s="68"/>
      <c r="J46" s="68"/>
      <c r="K46" s="68">
        <v>4</v>
      </c>
      <c r="L46" s="155">
        <v>4</v>
      </c>
      <c r="M46" s="32"/>
      <c r="N46" s="32"/>
      <c r="O46" s="32"/>
      <c r="Q46" s="32"/>
      <c r="R46" s="32"/>
      <c r="S46" s="32"/>
      <c r="T46" s="32"/>
    </row>
    <row r="47" spans="1:20" ht="12.6" customHeight="1" x14ac:dyDescent="0.25">
      <c r="A47" s="52">
        <v>36</v>
      </c>
      <c r="B47" s="49"/>
      <c r="C47" s="114" t="s">
        <v>20</v>
      </c>
      <c r="D47" s="49"/>
      <c r="E47" s="61">
        <f t="shared" si="5"/>
        <v>1375.9</v>
      </c>
      <c r="F47" s="61">
        <f t="shared" si="5"/>
        <v>1156.9000000000001</v>
      </c>
      <c r="G47" s="61">
        <f t="shared" ref="G47:L47" si="7">+G13+G40+G45</f>
        <v>1343</v>
      </c>
      <c r="H47" s="61">
        <f t="shared" si="7"/>
        <v>1126.2</v>
      </c>
      <c r="I47" s="61">
        <f t="shared" si="7"/>
        <v>406.7</v>
      </c>
      <c r="J47" s="61">
        <f t="shared" si="7"/>
        <v>380.6</v>
      </c>
      <c r="K47" s="61">
        <f t="shared" si="7"/>
        <v>32.9</v>
      </c>
      <c r="L47" s="61">
        <f t="shared" si="7"/>
        <v>30.700000000000003</v>
      </c>
      <c r="M47" s="32"/>
      <c r="N47" s="32"/>
      <c r="O47" s="32"/>
      <c r="P47" s="32"/>
      <c r="Q47" s="32"/>
      <c r="R47" s="32"/>
      <c r="S47" s="32"/>
      <c r="T47" s="32"/>
    </row>
    <row r="48" spans="1:20" x14ac:dyDescent="0.25">
      <c r="E48" s="65"/>
      <c r="F48" s="65"/>
      <c r="G48" s="65"/>
      <c r="H48" s="65"/>
      <c r="I48" s="65"/>
      <c r="J48" s="65"/>
      <c r="K48" s="65"/>
    </row>
    <row r="49" spans="3:13" x14ac:dyDescent="0.25">
      <c r="C49" s="39" t="s">
        <v>174</v>
      </c>
      <c r="M49" s="32"/>
    </row>
    <row r="50" spans="3:13" x14ac:dyDescent="0.25">
      <c r="E50" s="70"/>
      <c r="F50" s="70"/>
      <c r="G50" s="65"/>
      <c r="H50" s="65"/>
      <c r="I50" s="65"/>
      <c r="J50" s="65"/>
      <c r="K50" s="65"/>
    </row>
    <row r="51" spans="3:13" x14ac:dyDescent="0.25">
      <c r="E51" s="70"/>
      <c r="F51" s="70"/>
      <c r="G51" s="65"/>
      <c r="H51" s="65"/>
      <c r="I51" s="65"/>
      <c r="J51" s="65"/>
      <c r="K51" s="65"/>
    </row>
    <row r="52" spans="3:13" x14ac:dyDescent="0.25">
      <c r="E52" s="70"/>
      <c r="F52" s="70"/>
      <c r="G52" s="65"/>
      <c r="H52" s="65"/>
      <c r="I52" s="65"/>
      <c r="J52" s="65"/>
      <c r="K52" s="65"/>
    </row>
    <row r="54" spans="3:13" x14ac:dyDescent="0.25">
      <c r="G54" s="71"/>
      <c r="H54" s="71"/>
      <c r="K54" s="71"/>
    </row>
  </sheetData>
  <mergeCells count="17">
    <mergeCell ref="A8:A11"/>
    <mergeCell ref="B8:B11"/>
    <mergeCell ref="C8:C11"/>
    <mergeCell ref="D8:D11"/>
    <mergeCell ref="E8:F9"/>
    <mergeCell ref="E10:E11"/>
    <mergeCell ref="F10:F11"/>
    <mergeCell ref="K9:L10"/>
    <mergeCell ref="G9:J9"/>
    <mergeCell ref="G10:H10"/>
    <mergeCell ref="I10:J10"/>
    <mergeCell ref="C1:L1"/>
    <mergeCell ref="C2:L2"/>
    <mergeCell ref="E3:L3"/>
    <mergeCell ref="B5:K5"/>
    <mergeCell ref="G8:L8"/>
    <mergeCell ref="J7:L7"/>
  </mergeCells>
  <pageMargins left="0.51181102362204722" right="0" top="0.74803149606299213" bottom="0.74803149606299213" header="0.31496062992125984" footer="0.31496062992125984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zoomScaleNormal="100" workbookViewId="0">
      <selection activeCell="E22" sqref="E22"/>
    </sheetView>
  </sheetViews>
  <sheetFormatPr defaultColWidth="9.109375" defaultRowHeight="13.2" x14ac:dyDescent="0.25"/>
  <cols>
    <col min="1" max="1" width="5.44140625" style="39" customWidth="1"/>
    <col min="2" max="2" width="5" style="51" customWidth="1"/>
    <col min="3" max="3" width="45.5546875" style="39" customWidth="1"/>
    <col min="4" max="4" width="10.44140625" style="27" customWidth="1"/>
    <col min="5" max="6" width="8.44140625" style="39" customWidth="1"/>
    <col min="7" max="7" width="9.109375" style="39" customWidth="1"/>
    <col min="8" max="8" width="9.33203125" style="39" customWidth="1"/>
    <col min="9" max="10" width="9.5546875" style="39" customWidth="1"/>
    <col min="11" max="11" width="8.44140625" style="39" customWidth="1"/>
    <col min="12" max="12" width="9.109375" style="39" customWidth="1"/>
    <col min="13" max="13" width="9.109375" style="26" customWidth="1"/>
    <col min="14" max="16384" width="9.109375" style="26"/>
  </cols>
  <sheetData>
    <row r="1" spans="1:17" ht="15.75" customHeight="1" x14ac:dyDescent="0.3">
      <c r="A1" s="240"/>
      <c r="B1" s="41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17" ht="15.6" x14ac:dyDescent="0.3">
      <c r="A2" s="240"/>
      <c r="B2" s="41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7" ht="14.25" customHeight="1" x14ac:dyDescent="0.25">
      <c r="A3" s="240"/>
      <c r="B3" s="27"/>
      <c r="C3" s="118"/>
      <c r="D3" s="241"/>
      <c r="E3" s="392" t="s">
        <v>178</v>
      </c>
      <c r="F3" s="392"/>
      <c r="G3" s="392"/>
      <c r="H3" s="392"/>
      <c r="I3" s="392"/>
      <c r="J3" s="392"/>
      <c r="K3" s="392"/>
      <c r="L3" s="392"/>
    </row>
    <row r="4" spans="1:17" ht="15.6" x14ac:dyDescent="0.25">
      <c r="B4" s="27"/>
      <c r="E4" s="42"/>
      <c r="F4" s="145"/>
      <c r="G4" s="42"/>
      <c r="H4" s="145"/>
      <c r="I4" s="42"/>
      <c r="J4" s="145"/>
      <c r="K4" s="42"/>
    </row>
    <row r="5" spans="1:17" ht="30" customHeight="1" x14ac:dyDescent="0.25">
      <c r="A5" s="356" t="s">
        <v>191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</row>
    <row r="6" spans="1:17" x14ac:dyDescent="0.25">
      <c r="A6" s="88"/>
      <c r="B6" s="88"/>
      <c r="C6" s="88"/>
      <c r="D6" s="88"/>
      <c r="E6" s="88"/>
      <c r="F6" s="146"/>
      <c r="G6" s="88"/>
      <c r="H6" s="146"/>
      <c r="I6" s="88"/>
      <c r="J6" s="146"/>
      <c r="K6" s="88"/>
    </row>
    <row r="7" spans="1:17" x14ac:dyDescent="0.25">
      <c r="B7" s="27"/>
      <c r="E7" s="48"/>
      <c r="F7" s="151"/>
      <c r="G7" s="48"/>
      <c r="H7" s="151"/>
      <c r="I7" s="357" t="s">
        <v>91</v>
      </c>
      <c r="J7" s="357"/>
      <c r="K7" s="357"/>
      <c r="L7" s="357"/>
    </row>
    <row r="8" spans="1:17" ht="12.75" customHeight="1" x14ac:dyDescent="0.25">
      <c r="A8" s="377" t="s">
        <v>0</v>
      </c>
      <c r="B8" s="408" t="s">
        <v>51</v>
      </c>
      <c r="C8" s="377" t="s">
        <v>16</v>
      </c>
      <c r="D8" s="411" t="s">
        <v>52</v>
      </c>
      <c r="E8" s="367" t="s">
        <v>17</v>
      </c>
      <c r="F8" s="368"/>
      <c r="G8" s="371" t="s">
        <v>18</v>
      </c>
      <c r="H8" s="372"/>
      <c r="I8" s="372"/>
      <c r="J8" s="372"/>
      <c r="K8" s="372"/>
      <c r="L8" s="373"/>
    </row>
    <row r="9" spans="1:17" ht="12.75" customHeight="1" x14ac:dyDescent="0.25">
      <c r="A9" s="407"/>
      <c r="B9" s="409"/>
      <c r="C9" s="407"/>
      <c r="D9" s="412"/>
      <c r="E9" s="414"/>
      <c r="F9" s="415"/>
      <c r="G9" s="371" t="s">
        <v>162</v>
      </c>
      <c r="H9" s="372"/>
      <c r="I9" s="372"/>
      <c r="J9" s="373"/>
      <c r="K9" s="367" t="s">
        <v>30</v>
      </c>
      <c r="L9" s="368"/>
    </row>
    <row r="10" spans="1:17" ht="18.600000000000001" customHeight="1" x14ac:dyDescent="0.25">
      <c r="A10" s="407"/>
      <c r="B10" s="409"/>
      <c r="C10" s="407"/>
      <c r="D10" s="412"/>
      <c r="E10" s="377" t="s">
        <v>277</v>
      </c>
      <c r="F10" s="377" t="s">
        <v>278</v>
      </c>
      <c r="G10" s="381" t="s">
        <v>31</v>
      </c>
      <c r="H10" s="382"/>
      <c r="I10" s="383" t="s">
        <v>32</v>
      </c>
      <c r="J10" s="384"/>
      <c r="K10" s="369"/>
      <c r="L10" s="370"/>
    </row>
    <row r="11" spans="1:17" ht="15.6" customHeight="1" x14ac:dyDescent="0.25">
      <c r="A11" s="378"/>
      <c r="B11" s="410"/>
      <c r="C11" s="378"/>
      <c r="D11" s="413"/>
      <c r="E11" s="378"/>
      <c r="F11" s="378"/>
      <c r="G11" s="149" t="s">
        <v>277</v>
      </c>
      <c r="H11" s="149" t="s">
        <v>279</v>
      </c>
      <c r="I11" s="89" t="s">
        <v>277</v>
      </c>
      <c r="J11" s="149" t="s">
        <v>279</v>
      </c>
      <c r="K11" s="149" t="s">
        <v>277</v>
      </c>
      <c r="L11" s="229" t="s">
        <v>279</v>
      </c>
    </row>
    <row r="12" spans="1:17" x14ac:dyDescent="0.25">
      <c r="A12" s="50">
        <v>1</v>
      </c>
      <c r="B12" s="30" t="s">
        <v>19</v>
      </c>
      <c r="C12" s="28">
        <v>3</v>
      </c>
      <c r="D12" s="29">
        <v>4</v>
      </c>
      <c r="E12" s="28">
        <v>5</v>
      </c>
      <c r="F12" s="149">
        <v>6</v>
      </c>
      <c r="G12" s="28">
        <v>7</v>
      </c>
      <c r="H12" s="149">
        <v>8</v>
      </c>
      <c r="I12" s="28">
        <v>9</v>
      </c>
      <c r="J12" s="149">
        <v>10</v>
      </c>
      <c r="K12" s="28">
        <v>11</v>
      </c>
      <c r="L12" s="152">
        <v>12</v>
      </c>
    </row>
    <row r="13" spans="1:17" ht="20.100000000000001" customHeight="1" x14ac:dyDescent="0.25">
      <c r="A13" s="52">
        <v>1</v>
      </c>
      <c r="B13" s="30" t="s">
        <v>53</v>
      </c>
      <c r="C13" s="31" t="s">
        <v>54</v>
      </c>
      <c r="D13" s="29"/>
      <c r="E13" s="53">
        <f t="shared" ref="E13:F28" si="0">+G13+K13</f>
        <v>421.1</v>
      </c>
      <c r="F13" s="53">
        <f t="shared" si="0"/>
        <v>371.6</v>
      </c>
      <c r="G13" s="53">
        <f t="shared" ref="G13:L13" si="1">+G25+G24+G14+G16+G18+G20</f>
        <v>131.9</v>
      </c>
      <c r="H13" s="53">
        <f t="shared" si="1"/>
        <v>124.19999999999999</v>
      </c>
      <c r="I13" s="53">
        <f t="shared" si="1"/>
        <v>46.1</v>
      </c>
      <c r="J13" s="53">
        <f t="shared" si="1"/>
        <v>42.2</v>
      </c>
      <c r="K13" s="53">
        <f t="shared" si="1"/>
        <v>289.20000000000005</v>
      </c>
      <c r="L13" s="53">
        <f t="shared" si="1"/>
        <v>247.4</v>
      </c>
      <c r="M13" s="32"/>
      <c r="N13" s="32"/>
      <c r="O13" s="32"/>
      <c r="P13" s="32"/>
      <c r="Q13" s="32"/>
    </row>
    <row r="14" spans="1:17" s="178" customFormat="1" x14ac:dyDescent="0.25">
      <c r="A14" s="195" t="s">
        <v>19</v>
      </c>
      <c r="B14" s="171"/>
      <c r="C14" s="182" t="s">
        <v>223</v>
      </c>
      <c r="D14" s="171" t="s">
        <v>57</v>
      </c>
      <c r="E14" s="160">
        <f t="shared" si="0"/>
        <v>26.5</v>
      </c>
      <c r="F14" s="160">
        <f t="shared" si="0"/>
        <v>26.1</v>
      </c>
      <c r="G14" s="160">
        <f t="shared" ref="G14:L14" si="2">+G15</f>
        <v>19.899999999999999</v>
      </c>
      <c r="H14" s="160">
        <f t="shared" si="2"/>
        <v>19.5</v>
      </c>
      <c r="I14" s="160">
        <f t="shared" si="2"/>
        <v>6</v>
      </c>
      <c r="J14" s="160">
        <f t="shared" si="2"/>
        <v>5.9</v>
      </c>
      <c r="K14" s="160">
        <f t="shared" si="2"/>
        <v>6.6</v>
      </c>
      <c r="L14" s="160">
        <f t="shared" si="2"/>
        <v>6.6</v>
      </c>
      <c r="M14" s="162"/>
      <c r="N14" s="162"/>
      <c r="O14" s="162"/>
      <c r="P14" s="162"/>
      <c r="Q14" s="196"/>
    </row>
    <row r="15" spans="1:17" s="178" customFormat="1" x14ac:dyDescent="0.25">
      <c r="A15" s="195" t="s">
        <v>208</v>
      </c>
      <c r="B15" s="171"/>
      <c r="C15" s="183" t="s">
        <v>224</v>
      </c>
      <c r="D15" s="171"/>
      <c r="E15" s="160">
        <f t="shared" si="0"/>
        <v>26.5</v>
      </c>
      <c r="F15" s="160">
        <f t="shared" si="0"/>
        <v>26.1</v>
      </c>
      <c r="G15" s="160">
        <v>19.899999999999999</v>
      </c>
      <c r="H15" s="160">
        <v>19.5</v>
      </c>
      <c r="I15" s="160">
        <v>6</v>
      </c>
      <c r="J15" s="160">
        <v>5.9</v>
      </c>
      <c r="K15" s="160">
        <v>6.6</v>
      </c>
      <c r="L15" s="206">
        <v>6.6</v>
      </c>
      <c r="M15" s="162"/>
      <c r="N15" s="162"/>
      <c r="O15" s="162"/>
      <c r="P15" s="162"/>
      <c r="Q15" s="196"/>
    </row>
    <row r="16" spans="1:17" s="178" customFormat="1" x14ac:dyDescent="0.25">
      <c r="A16" s="195" t="s">
        <v>79</v>
      </c>
      <c r="B16" s="171"/>
      <c r="C16" s="182" t="s">
        <v>97</v>
      </c>
      <c r="D16" s="171" t="s">
        <v>57</v>
      </c>
      <c r="E16" s="160">
        <f t="shared" si="0"/>
        <v>9.7999999999999989</v>
      </c>
      <c r="F16" s="160">
        <f t="shared" si="0"/>
        <v>9.1999999999999993</v>
      </c>
      <c r="G16" s="160">
        <f t="shared" ref="G16:L16" si="3">+G17</f>
        <v>8.6999999999999993</v>
      </c>
      <c r="H16" s="160">
        <f t="shared" si="3"/>
        <v>8.1</v>
      </c>
      <c r="I16" s="160">
        <f t="shared" si="3"/>
        <v>7.6</v>
      </c>
      <c r="J16" s="160">
        <f t="shared" si="3"/>
        <v>7.6</v>
      </c>
      <c r="K16" s="160">
        <f t="shared" si="3"/>
        <v>1.1000000000000001</v>
      </c>
      <c r="L16" s="160">
        <f t="shared" si="3"/>
        <v>1.1000000000000001</v>
      </c>
      <c r="M16" s="162"/>
      <c r="N16" s="162"/>
      <c r="O16" s="162"/>
      <c r="P16" s="162"/>
      <c r="Q16" s="196"/>
    </row>
    <row r="17" spans="1:17" s="178" customFormat="1" x14ac:dyDescent="0.25">
      <c r="A17" s="195" t="s">
        <v>100</v>
      </c>
      <c r="B17" s="171"/>
      <c r="C17" s="183" t="s">
        <v>224</v>
      </c>
      <c r="D17" s="171"/>
      <c r="E17" s="160">
        <f t="shared" si="0"/>
        <v>9.7999999999999989</v>
      </c>
      <c r="F17" s="160">
        <f t="shared" si="0"/>
        <v>9.1999999999999993</v>
      </c>
      <c r="G17" s="160">
        <v>8.6999999999999993</v>
      </c>
      <c r="H17" s="160">
        <v>8.1</v>
      </c>
      <c r="I17" s="160">
        <v>7.6</v>
      </c>
      <c r="J17" s="160">
        <f>7.5+0.1</f>
        <v>7.6</v>
      </c>
      <c r="K17" s="160">
        <v>1.1000000000000001</v>
      </c>
      <c r="L17" s="206">
        <v>1.1000000000000001</v>
      </c>
      <c r="M17" s="162"/>
      <c r="N17" s="162"/>
      <c r="O17" s="162"/>
      <c r="P17" s="162"/>
      <c r="Q17" s="196"/>
    </row>
    <row r="18" spans="1:17" s="178" customFormat="1" x14ac:dyDescent="0.25">
      <c r="A18" s="195" t="s">
        <v>33</v>
      </c>
      <c r="B18" s="171"/>
      <c r="C18" s="182" t="s">
        <v>95</v>
      </c>
      <c r="D18" s="171" t="s">
        <v>58</v>
      </c>
      <c r="E18" s="160">
        <f t="shared" si="0"/>
        <v>18</v>
      </c>
      <c r="F18" s="160">
        <f t="shared" si="0"/>
        <v>16.399999999999999</v>
      </c>
      <c r="G18" s="160">
        <f t="shared" ref="G18:L18" si="4">+G19</f>
        <v>14</v>
      </c>
      <c r="H18" s="160">
        <f t="shared" si="4"/>
        <v>12.4</v>
      </c>
      <c r="I18" s="160">
        <f t="shared" si="4"/>
        <v>7.2</v>
      </c>
      <c r="J18" s="160">
        <f t="shared" si="4"/>
        <v>6.8</v>
      </c>
      <c r="K18" s="160">
        <f t="shared" si="4"/>
        <v>4</v>
      </c>
      <c r="L18" s="160">
        <f t="shared" si="4"/>
        <v>4</v>
      </c>
      <c r="M18" s="162"/>
      <c r="N18" s="162"/>
      <c r="O18" s="162"/>
      <c r="P18" s="162"/>
      <c r="Q18" s="196"/>
    </row>
    <row r="19" spans="1:17" s="178" customFormat="1" x14ac:dyDescent="0.25">
      <c r="A19" s="195" t="s">
        <v>139</v>
      </c>
      <c r="B19" s="171"/>
      <c r="C19" s="183" t="s">
        <v>224</v>
      </c>
      <c r="D19" s="171"/>
      <c r="E19" s="160">
        <f t="shared" si="0"/>
        <v>18</v>
      </c>
      <c r="F19" s="160">
        <f t="shared" si="0"/>
        <v>16.399999999999999</v>
      </c>
      <c r="G19" s="160">
        <v>14</v>
      </c>
      <c r="H19" s="160">
        <v>12.4</v>
      </c>
      <c r="I19" s="160">
        <v>7.2</v>
      </c>
      <c r="J19" s="160">
        <v>6.8</v>
      </c>
      <c r="K19" s="160">
        <v>4</v>
      </c>
      <c r="L19" s="206">
        <v>4</v>
      </c>
      <c r="M19" s="162"/>
      <c r="N19" s="162"/>
      <c r="O19" s="162"/>
      <c r="P19" s="162"/>
      <c r="Q19" s="196"/>
    </row>
    <row r="20" spans="1:17" s="178" customFormat="1" ht="26.4" x14ac:dyDescent="0.25">
      <c r="A20" s="195" t="s">
        <v>199</v>
      </c>
      <c r="B20" s="171"/>
      <c r="C20" s="182" t="s">
        <v>233</v>
      </c>
      <c r="D20" s="171"/>
      <c r="E20" s="160">
        <f t="shared" si="0"/>
        <v>44.3</v>
      </c>
      <c r="F20" s="160">
        <f t="shared" si="0"/>
        <v>39.699999999999996</v>
      </c>
      <c r="G20" s="160">
        <f t="shared" ref="G20:L20" si="5">+G21+G22+G23</f>
        <v>40.799999999999997</v>
      </c>
      <c r="H20" s="160">
        <f t="shared" si="5"/>
        <v>37.4</v>
      </c>
      <c r="I20" s="160">
        <f t="shared" si="5"/>
        <v>25.3</v>
      </c>
      <c r="J20" s="160">
        <f t="shared" si="5"/>
        <v>21.900000000000002</v>
      </c>
      <c r="K20" s="160">
        <f t="shared" si="5"/>
        <v>3.5</v>
      </c>
      <c r="L20" s="160">
        <f t="shared" si="5"/>
        <v>2.2999999999999998</v>
      </c>
      <c r="M20" s="231"/>
      <c r="N20" s="162"/>
      <c r="O20" s="162"/>
      <c r="P20" s="162"/>
      <c r="Q20" s="196"/>
    </row>
    <row r="21" spans="1:17" s="178" customFormat="1" x14ac:dyDescent="0.25">
      <c r="A21" s="195" t="s">
        <v>101</v>
      </c>
      <c r="B21" s="171"/>
      <c r="C21" s="183" t="s">
        <v>234</v>
      </c>
      <c r="D21" s="171" t="s">
        <v>57</v>
      </c>
      <c r="E21" s="160">
        <f t="shared" si="0"/>
        <v>9</v>
      </c>
      <c r="F21" s="160">
        <f t="shared" si="0"/>
        <v>9</v>
      </c>
      <c r="G21" s="160">
        <v>9</v>
      </c>
      <c r="H21" s="160">
        <v>9</v>
      </c>
      <c r="I21" s="160">
        <v>2</v>
      </c>
      <c r="J21" s="160">
        <v>2</v>
      </c>
      <c r="K21" s="160"/>
      <c r="L21" s="206"/>
      <c r="M21" s="231"/>
      <c r="N21" s="162"/>
      <c r="O21" s="162"/>
      <c r="P21" s="162"/>
      <c r="Q21" s="196"/>
    </row>
    <row r="22" spans="1:17" s="178" customFormat="1" x14ac:dyDescent="0.25">
      <c r="A22" s="195" t="s">
        <v>151</v>
      </c>
      <c r="B22" s="171"/>
      <c r="C22" s="183" t="s">
        <v>225</v>
      </c>
      <c r="D22" s="184" t="s">
        <v>59</v>
      </c>
      <c r="E22" s="160">
        <f t="shared" si="0"/>
        <v>9.3000000000000007</v>
      </c>
      <c r="F22" s="160">
        <f t="shared" si="0"/>
        <v>9.1999999999999993</v>
      </c>
      <c r="G22" s="160">
        <v>9.3000000000000007</v>
      </c>
      <c r="H22" s="160">
        <f>9.1+0.1</f>
        <v>9.1999999999999993</v>
      </c>
      <c r="I22" s="160">
        <v>2</v>
      </c>
      <c r="J22" s="160">
        <v>1.8</v>
      </c>
      <c r="K22" s="160"/>
      <c r="L22" s="206"/>
      <c r="M22" s="231"/>
      <c r="N22" s="162"/>
      <c r="O22" s="162"/>
      <c r="P22" s="162"/>
      <c r="Q22" s="196"/>
    </row>
    <row r="23" spans="1:17" s="178" customFormat="1" x14ac:dyDescent="0.25">
      <c r="A23" s="195" t="s">
        <v>239</v>
      </c>
      <c r="B23" s="171"/>
      <c r="C23" s="183" t="s">
        <v>226</v>
      </c>
      <c r="D23" s="184" t="s">
        <v>227</v>
      </c>
      <c r="E23" s="160">
        <f t="shared" si="0"/>
        <v>26</v>
      </c>
      <c r="F23" s="160">
        <f t="shared" si="0"/>
        <v>21.5</v>
      </c>
      <c r="G23" s="160">
        <v>22.5</v>
      </c>
      <c r="H23" s="160">
        <v>19.2</v>
      </c>
      <c r="I23" s="160">
        <v>21.3</v>
      </c>
      <c r="J23" s="160">
        <f>18+0.1</f>
        <v>18.100000000000001</v>
      </c>
      <c r="K23" s="160">
        <v>3.5</v>
      </c>
      <c r="L23" s="206">
        <v>2.2999999999999998</v>
      </c>
      <c r="N23" s="162"/>
      <c r="O23" s="162"/>
      <c r="P23" s="162"/>
      <c r="Q23" s="196"/>
    </row>
    <row r="24" spans="1:17" s="178" customFormat="1" x14ac:dyDescent="0.25">
      <c r="A24" s="156">
        <v>6</v>
      </c>
      <c r="B24" s="157"/>
      <c r="C24" s="182" t="s">
        <v>92</v>
      </c>
      <c r="D24" s="192" t="s">
        <v>59</v>
      </c>
      <c r="E24" s="180">
        <f t="shared" si="0"/>
        <v>30.3</v>
      </c>
      <c r="F24" s="160">
        <f t="shared" si="0"/>
        <v>29.7</v>
      </c>
      <c r="G24" s="180">
        <f>29.7+0.6</f>
        <v>30.3</v>
      </c>
      <c r="H24" s="180">
        <v>29.7</v>
      </c>
      <c r="I24" s="197"/>
      <c r="J24" s="197"/>
      <c r="K24" s="197"/>
      <c r="L24" s="206"/>
      <c r="M24" s="162"/>
      <c r="N24" s="162"/>
      <c r="O24" s="162"/>
      <c r="P24" s="162"/>
      <c r="Q24" s="162"/>
    </row>
    <row r="25" spans="1:17" s="178" customFormat="1" ht="18.75" customHeight="1" x14ac:dyDescent="0.25">
      <c r="A25" s="156">
        <v>7</v>
      </c>
      <c r="B25" s="171"/>
      <c r="C25" s="198" t="s">
        <v>143</v>
      </c>
      <c r="D25" s="171"/>
      <c r="E25" s="172">
        <f t="shared" si="0"/>
        <v>292.2</v>
      </c>
      <c r="F25" s="160">
        <f t="shared" si="0"/>
        <v>250.5</v>
      </c>
      <c r="G25" s="172">
        <f>+G26+G27+G28</f>
        <v>18.2</v>
      </c>
      <c r="H25" s="172">
        <f>+H26+H27+H28</f>
        <v>17.100000000000001</v>
      </c>
      <c r="I25" s="172">
        <f>+I26+I27+I28</f>
        <v>0</v>
      </c>
      <c r="J25" s="172">
        <f>+J26+J27+J28</f>
        <v>0</v>
      </c>
      <c r="K25" s="172">
        <f>+K26+K27+K28</f>
        <v>274</v>
      </c>
      <c r="L25" s="206">
        <v>233.4</v>
      </c>
      <c r="M25" s="162"/>
      <c r="N25" s="162"/>
      <c r="O25" s="199"/>
      <c r="P25" s="162"/>
      <c r="Q25" s="200"/>
    </row>
    <row r="26" spans="1:17" s="178" customFormat="1" ht="26.4" x14ac:dyDescent="0.25">
      <c r="A26" s="195" t="s">
        <v>198</v>
      </c>
      <c r="B26" s="201"/>
      <c r="C26" s="182" t="s">
        <v>135</v>
      </c>
      <c r="D26" s="184" t="s">
        <v>55</v>
      </c>
      <c r="E26" s="202">
        <f t="shared" ref="E26:F53" si="6">+G26+K26</f>
        <v>28.2</v>
      </c>
      <c r="F26" s="160">
        <f t="shared" si="0"/>
        <v>21.7</v>
      </c>
      <c r="G26" s="202">
        <v>2</v>
      </c>
      <c r="H26" s="202">
        <f>0.8+0.1</f>
        <v>0.9</v>
      </c>
      <c r="I26" s="203"/>
      <c r="J26" s="203"/>
      <c r="K26" s="202">
        <v>26.2</v>
      </c>
      <c r="L26" s="206">
        <v>20.8</v>
      </c>
      <c r="M26" s="162"/>
      <c r="N26" s="162"/>
      <c r="O26" s="162"/>
      <c r="P26" s="162"/>
      <c r="Q26" s="162"/>
    </row>
    <row r="27" spans="1:17" ht="26.4" x14ac:dyDescent="0.25">
      <c r="A27" s="76" t="s">
        <v>152</v>
      </c>
      <c r="B27" s="100"/>
      <c r="C27" s="60" t="s">
        <v>136</v>
      </c>
      <c r="D27" s="38" t="s">
        <v>55</v>
      </c>
      <c r="E27" s="101">
        <f t="shared" si="6"/>
        <v>113.6</v>
      </c>
      <c r="F27" s="160">
        <f t="shared" si="0"/>
        <v>111.8</v>
      </c>
      <c r="G27" s="101">
        <f>5+2</f>
        <v>7</v>
      </c>
      <c r="H27" s="101">
        <v>7.2</v>
      </c>
      <c r="I27" s="102"/>
      <c r="J27" s="102"/>
      <c r="K27" s="101">
        <f>108.6-2</f>
        <v>106.6</v>
      </c>
      <c r="L27" s="90">
        <v>104.6</v>
      </c>
      <c r="M27" s="32"/>
      <c r="N27" s="32"/>
      <c r="O27" s="32"/>
      <c r="P27" s="32"/>
      <c r="Q27" s="99"/>
    </row>
    <row r="28" spans="1:17" s="178" customFormat="1" ht="39.6" x14ac:dyDescent="0.25">
      <c r="A28" s="195" t="s">
        <v>153</v>
      </c>
      <c r="B28" s="171"/>
      <c r="C28" s="182" t="s">
        <v>103</v>
      </c>
      <c r="D28" s="171" t="s">
        <v>58</v>
      </c>
      <c r="E28" s="172">
        <f t="shared" si="6"/>
        <v>150.39999999999998</v>
      </c>
      <c r="F28" s="160">
        <f t="shared" si="0"/>
        <v>117</v>
      </c>
      <c r="G28" s="172">
        <f>2+7.2</f>
        <v>9.1999999999999993</v>
      </c>
      <c r="H28" s="172">
        <v>9</v>
      </c>
      <c r="I28" s="172"/>
      <c r="J28" s="172"/>
      <c r="K28" s="172">
        <f>122.6-7.2+25.8</f>
        <v>141.19999999999999</v>
      </c>
      <c r="L28" s="206">
        <v>108</v>
      </c>
      <c r="M28" s="162"/>
      <c r="N28" s="162"/>
      <c r="O28" s="162"/>
      <c r="P28" s="162"/>
      <c r="Q28" s="196"/>
    </row>
    <row r="29" spans="1:17" s="178" customFormat="1" x14ac:dyDescent="0.25">
      <c r="A29" s="195" t="s">
        <v>154</v>
      </c>
      <c r="B29" s="157" t="s">
        <v>60</v>
      </c>
      <c r="C29" s="204" t="s">
        <v>61</v>
      </c>
      <c r="D29" s="171"/>
      <c r="E29" s="205">
        <f t="shared" si="6"/>
        <v>86.7</v>
      </c>
      <c r="F29" s="205">
        <f t="shared" si="6"/>
        <v>38.5</v>
      </c>
      <c r="G29" s="205">
        <f t="shared" ref="G29:L29" si="7">+G32+G30</f>
        <v>66.7</v>
      </c>
      <c r="H29" s="205">
        <f t="shared" si="7"/>
        <v>37.799999999999997</v>
      </c>
      <c r="I29" s="205">
        <f t="shared" si="7"/>
        <v>0.3</v>
      </c>
      <c r="J29" s="205">
        <f t="shared" si="7"/>
        <v>0.3</v>
      </c>
      <c r="K29" s="205">
        <f t="shared" si="7"/>
        <v>20</v>
      </c>
      <c r="L29" s="205">
        <f t="shared" si="7"/>
        <v>0.7</v>
      </c>
      <c r="M29" s="162"/>
      <c r="N29" s="162"/>
      <c r="O29" s="162"/>
      <c r="P29" s="162"/>
      <c r="Q29" s="200"/>
    </row>
    <row r="30" spans="1:17" s="178" customFormat="1" ht="26.4" x14ac:dyDescent="0.25">
      <c r="A30" s="195" t="s">
        <v>200</v>
      </c>
      <c r="B30" s="157"/>
      <c r="C30" s="175" t="s">
        <v>133</v>
      </c>
      <c r="D30" s="171"/>
      <c r="E30" s="172">
        <f>+G30+K30</f>
        <v>14.1</v>
      </c>
      <c r="F30" s="172">
        <f>+H30+L30</f>
        <v>13.4</v>
      </c>
      <c r="G30" s="172">
        <f t="shared" ref="G30:L30" si="8">+G31</f>
        <v>14.1</v>
      </c>
      <c r="H30" s="172">
        <f t="shared" si="8"/>
        <v>13.4</v>
      </c>
      <c r="I30" s="172">
        <f t="shared" si="8"/>
        <v>0.3</v>
      </c>
      <c r="J30" s="172">
        <f t="shared" si="8"/>
        <v>0.3</v>
      </c>
      <c r="K30" s="172">
        <f t="shared" si="8"/>
        <v>0</v>
      </c>
      <c r="L30" s="172">
        <f t="shared" si="8"/>
        <v>0</v>
      </c>
      <c r="M30" s="162"/>
      <c r="N30" s="162"/>
      <c r="O30" s="162"/>
      <c r="P30" s="162"/>
      <c r="Q30" s="200"/>
    </row>
    <row r="31" spans="1:17" s="178" customFormat="1" ht="26.4" x14ac:dyDescent="0.25">
      <c r="A31" s="195" t="s">
        <v>201</v>
      </c>
      <c r="B31" s="157"/>
      <c r="C31" s="183" t="s">
        <v>228</v>
      </c>
      <c r="D31" s="171" t="s">
        <v>165</v>
      </c>
      <c r="E31" s="172">
        <f>+G31+K31</f>
        <v>14.1</v>
      </c>
      <c r="F31" s="172">
        <f t="shared" ref="F31:F34" si="9">+H31+L31</f>
        <v>13.4</v>
      </c>
      <c r="G31" s="172">
        <v>14.1</v>
      </c>
      <c r="H31" s="172">
        <v>13.4</v>
      </c>
      <c r="I31" s="172">
        <v>0.3</v>
      </c>
      <c r="J31" s="172">
        <v>0.3</v>
      </c>
      <c r="K31" s="172"/>
      <c r="L31" s="206"/>
      <c r="M31" s="162"/>
      <c r="N31" s="162"/>
      <c r="O31" s="162"/>
      <c r="P31" s="162"/>
      <c r="Q31" s="200"/>
    </row>
    <row r="32" spans="1:17" x14ac:dyDescent="0.25">
      <c r="A32" s="76" t="s">
        <v>77</v>
      </c>
      <c r="B32" s="30"/>
      <c r="C32" s="97" t="s">
        <v>143</v>
      </c>
      <c r="D32" s="33"/>
      <c r="E32" s="67">
        <f t="shared" si="6"/>
        <v>72.599999999999994</v>
      </c>
      <c r="F32" s="172">
        <f t="shared" si="9"/>
        <v>25.099999999999998</v>
      </c>
      <c r="G32" s="67">
        <f t="shared" ref="G32:L32" si="10">+G33+G34</f>
        <v>52.6</v>
      </c>
      <c r="H32" s="67">
        <f t="shared" si="10"/>
        <v>24.4</v>
      </c>
      <c r="I32" s="67">
        <f t="shared" si="10"/>
        <v>0</v>
      </c>
      <c r="J32" s="67">
        <f t="shared" si="10"/>
        <v>0</v>
      </c>
      <c r="K32" s="67">
        <f t="shared" si="10"/>
        <v>20</v>
      </c>
      <c r="L32" s="67">
        <f t="shared" si="10"/>
        <v>0.7</v>
      </c>
      <c r="M32" s="32"/>
      <c r="N32" s="32"/>
      <c r="O32" s="32"/>
      <c r="P32" s="32"/>
      <c r="Q32" s="99"/>
    </row>
    <row r="33" spans="1:17" s="109" customFormat="1" ht="45" customHeight="1" x14ac:dyDescent="0.25">
      <c r="A33" s="76" t="s">
        <v>132</v>
      </c>
      <c r="B33" s="103"/>
      <c r="C33" s="104" t="s">
        <v>104</v>
      </c>
      <c r="D33" s="105" t="s">
        <v>140</v>
      </c>
      <c r="E33" s="106">
        <f t="shared" si="6"/>
        <v>50</v>
      </c>
      <c r="F33" s="172">
        <f t="shared" si="9"/>
        <v>5.6000000000000005</v>
      </c>
      <c r="G33" s="106">
        <v>30</v>
      </c>
      <c r="H33" s="106">
        <v>4.9000000000000004</v>
      </c>
      <c r="I33" s="106"/>
      <c r="J33" s="106"/>
      <c r="K33" s="106">
        <v>20</v>
      </c>
      <c r="L33" s="90">
        <v>0.7</v>
      </c>
      <c r="M33" s="107"/>
      <c r="N33" s="107"/>
      <c r="O33" s="107"/>
      <c r="P33" s="107"/>
      <c r="Q33" s="108"/>
    </row>
    <row r="34" spans="1:17" ht="26.4" x14ac:dyDescent="0.25">
      <c r="A34" s="76" t="s">
        <v>145</v>
      </c>
      <c r="B34" s="30"/>
      <c r="C34" s="64" t="s">
        <v>149</v>
      </c>
      <c r="D34" s="33" t="s">
        <v>150</v>
      </c>
      <c r="E34" s="67">
        <f t="shared" si="6"/>
        <v>22.6</v>
      </c>
      <c r="F34" s="172">
        <f t="shared" si="9"/>
        <v>19.5</v>
      </c>
      <c r="G34" s="67">
        <f>18+4.6</f>
        <v>22.6</v>
      </c>
      <c r="H34" s="67">
        <v>19.5</v>
      </c>
      <c r="I34" s="67"/>
      <c r="J34" s="67"/>
      <c r="K34" s="67"/>
      <c r="L34" s="90"/>
      <c r="M34" s="32"/>
      <c r="N34" s="32"/>
      <c r="O34" s="32"/>
      <c r="P34" s="32"/>
      <c r="Q34" s="99"/>
    </row>
    <row r="35" spans="1:17" ht="15.75" customHeight="1" x14ac:dyDescent="0.25">
      <c r="A35" s="52">
        <v>11</v>
      </c>
      <c r="B35" s="30" t="s">
        <v>21</v>
      </c>
      <c r="C35" s="59" t="s">
        <v>22</v>
      </c>
      <c r="D35" s="33"/>
      <c r="E35" s="74">
        <f t="shared" si="6"/>
        <v>526.1</v>
      </c>
      <c r="F35" s="74">
        <f t="shared" si="6"/>
        <v>459.90000000000003</v>
      </c>
      <c r="G35" s="74">
        <f t="shared" ref="G35:L35" si="11">+G40+G36+G38</f>
        <v>384.2</v>
      </c>
      <c r="H35" s="74">
        <f t="shared" si="11"/>
        <v>331.6</v>
      </c>
      <c r="I35" s="74">
        <f t="shared" si="11"/>
        <v>179.7</v>
      </c>
      <c r="J35" s="74">
        <f t="shared" si="11"/>
        <v>172.3</v>
      </c>
      <c r="K35" s="74">
        <f t="shared" si="11"/>
        <v>141.9</v>
      </c>
      <c r="L35" s="74">
        <f t="shared" si="11"/>
        <v>128.30000000000001</v>
      </c>
      <c r="M35" s="32"/>
      <c r="N35" s="32"/>
      <c r="O35" s="32"/>
      <c r="P35" s="32"/>
      <c r="Q35" s="99"/>
    </row>
    <row r="36" spans="1:17" s="178" customFormat="1" x14ac:dyDescent="0.25">
      <c r="A36" s="195" t="s">
        <v>240</v>
      </c>
      <c r="B36" s="171"/>
      <c r="C36" s="206" t="s">
        <v>1</v>
      </c>
      <c r="D36" s="171"/>
      <c r="E36" s="172">
        <f>+G36+K36</f>
        <v>102</v>
      </c>
      <c r="F36" s="172">
        <f>+H36+L36</f>
        <v>102</v>
      </c>
      <c r="G36" s="172">
        <f t="shared" ref="G36:L36" si="12">+G37</f>
        <v>102</v>
      </c>
      <c r="H36" s="172">
        <f t="shared" si="12"/>
        <v>102</v>
      </c>
      <c r="I36" s="172">
        <f t="shared" si="12"/>
        <v>93</v>
      </c>
      <c r="J36" s="172">
        <f t="shared" si="12"/>
        <v>93</v>
      </c>
      <c r="K36" s="172">
        <f t="shared" si="12"/>
        <v>0</v>
      </c>
      <c r="L36" s="172">
        <f t="shared" si="12"/>
        <v>0</v>
      </c>
      <c r="M36" s="162"/>
      <c r="N36" s="162"/>
      <c r="O36" s="162"/>
      <c r="P36" s="162"/>
      <c r="Q36" s="162"/>
    </row>
    <row r="37" spans="1:17" s="178" customFormat="1" ht="26.4" x14ac:dyDescent="0.25">
      <c r="A37" s="195" t="s">
        <v>217</v>
      </c>
      <c r="B37" s="171"/>
      <c r="C37" s="207" t="s">
        <v>141</v>
      </c>
      <c r="D37" s="171" t="s">
        <v>24</v>
      </c>
      <c r="E37" s="172">
        <f>+G37+K37</f>
        <v>102</v>
      </c>
      <c r="F37" s="172">
        <f t="shared" ref="F37:F43" si="13">+H37+L37</f>
        <v>102</v>
      </c>
      <c r="G37" s="172">
        <v>102</v>
      </c>
      <c r="H37" s="172">
        <v>102</v>
      </c>
      <c r="I37" s="172">
        <v>93</v>
      </c>
      <c r="J37" s="172">
        <v>93</v>
      </c>
      <c r="K37" s="172"/>
      <c r="L37" s="206"/>
      <c r="M37" s="162"/>
      <c r="N37" s="162"/>
      <c r="O37" s="162"/>
      <c r="P37" s="162"/>
      <c r="Q37" s="162"/>
    </row>
    <row r="38" spans="1:17" s="178" customFormat="1" x14ac:dyDescent="0.25">
      <c r="A38" s="195" t="s">
        <v>241</v>
      </c>
      <c r="B38" s="171"/>
      <c r="C38" s="182" t="s">
        <v>102</v>
      </c>
      <c r="D38" s="171"/>
      <c r="E38" s="172">
        <f>+G38+K38</f>
        <v>88.8</v>
      </c>
      <c r="F38" s="172">
        <f t="shared" si="13"/>
        <v>80.599999999999994</v>
      </c>
      <c r="G38" s="172">
        <f t="shared" ref="G38:L38" si="14">+G39</f>
        <v>88.8</v>
      </c>
      <c r="H38" s="172">
        <f t="shared" si="14"/>
        <v>80.599999999999994</v>
      </c>
      <c r="I38" s="172">
        <f t="shared" si="14"/>
        <v>86.7</v>
      </c>
      <c r="J38" s="172">
        <f t="shared" si="14"/>
        <v>79.3</v>
      </c>
      <c r="K38" s="172">
        <f t="shared" si="14"/>
        <v>0</v>
      </c>
      <c r="L38" s="172">
        <f t="shared" si="14"/>
        <v>0</v>
      </c>
      <c r="M38" s="162"/>
      <c r="N38" s="162"/>
      <c r="O38" s="162"/>
      <c r="P38" s="162"/>
      <c r="Q38" s="162"/>
    </row>
    <row r="39" spans="1:17" s="178" customFormat="1" ht="39.6" x14ac:dyDescent="0.25">
      <c r="A39" s="195" t="s">
        <v>202</v>
      </c>
      <c r="B39" s="171"/>
      <c r="C39" s="183" t="s">
        <v>229</v>
      </c>
      <c r="D39" s="171" t="s">
        <v>23</v>
      </c>
      <c r="E39" s="172">
        <f>+G39+K39</f>
        <v>88.8</v>
      </c>
      <c r="F39" s="172">
        <f t="shared" si="13"/>
        <v>80.599999999999994</v>
      </c>
      <c r="G39" s="172">
        <v>88.8</v>
      </c>
      <c r="H39" s="172">
        <f>80.6</f>
        <v>80.599999999999994</v>
      </c>
      <c r="I39" s="172">
        <v>86.7</v>
      </c>
      <c r="J39" s="172">
        <f>79.3</f>
        <v>79.3</v>
      </c>
      <c r="K39" s="172"/>
      <c r="L39" s="206"/>
      <c r="M39" s="162"/>
      <c r="N39" s="162"/>
      <c r="O39" s="162"/>
      <c r="P39" s="162"/>
      <c r="Q39" s="162"/>
    </row>
    <row r="40" spans="1:17" ht="15" customHeight="1" x14ac:dyDescent="0.25">
      <c r="A40" s="52">
        <v>14</v>
      </c>
      <c r="B40" s="30"/>
      <c r="C40" s="97" t="s">
        <v>143</v>
      </c>
      <c r="D40" s="33"/>
      <c r="E40" s="67">
        <f t="shared" si="6"/>
        <v>335.29999999999995</v>
      </c>
      <c r="F40" s="172">
        <f t="shared" si="13"/>
        <v>277.3</v>
      </c>
      <c r="G40" s="67">
        <f>+G41+G42+G43</f>
        <v>193.39999999999998</v>
      </c>
      <c r="H40" s="67">
        <v>149</v>
      </c>
      <c r="I40" s="67">
        <f>+I41+I42+I43</f>
        <v>0</v>
      </c>
      <c r="J40" s="67">
        <f>+J41+J42+J43</f>
        <v>0</v>
      </c>
      <c r="K40" s="67">
        <f>+K41+K42+K43</f>
        <v>141.9</v>
      </c>
      <c r="L40" s="90">
        <v>128.30000000000001</v>
      </c>
      <c r="M40" s="32"/>
      <c r="N40" s="32"/>
      <c r="O40" s="32"/>
      <c r="P40" s="32"/>
      <c r="Q40" s="99"/>
    </row>
    <row r="41" spans="1:17" x14ac:dyDescent="0.25">
      <c r="A41" s="76" t="s">
        <v>222</v>
      </c>
      <c r="B41" s="33"/>
      <c r="C41" s="34" t="s">
        <v>130</v>
      </c>
      <c r="D41" s="33" t="s">
        <v>34</v>
      </c>
      <c r="E41" s="67">
        <f t="shared" si="6"/>
        <v>108.3</v>
      </c>
      <c r="F41" s="172">
        <f t="shared" si="13"/>
        <v>107.4</v>
      </c>
      <c r="G41" s="67">
        <f>90+18.3</f>
        <v>108.3</v>
      </c>
      <c r="H41" s="67">
        <v>107.4</v>
      </c>
      <c r="I41" s="67"/>
      <c r="J41" s="67"/>
      <c r="K41" s="67"/>
      <c r="L41" s="90"/>
      <c r="M41" s="32"/>
      <c r="N41" s="32"/>
      <c r="O41" s="32"/>
      <c r="P41" s="32"/>
      <c r="Q41" s="32"/>
    </row>
    <row r="42" spans="1:17" x14ac:dyDescent="0.25">
      <c r="A42" s="76" t="s">
        <v>242</v>
      </c>
      <c r="B42" s="33"/>
      <c r="C42" s="91" t="s">
        <v>105</v>
      </c>
      <c r="D42" s="93" t="s">
        <v>73</v>
      </c>
      <c r="E42" s="67">
        <f t="shared" si="6"/>
        <v>130</v>
      </c>
      <c r="F42" s="172">
        <f t="shared" si="13"/>
        <v>115.3</v>
      </c>
      <c r="G42" s="67">
        <v>2.1</v>
      </c>
      <c r="H42" s="67">
        <v>0</v>
      </c>
      <c r="I42" s="67"/>
      <c r="J42" s="67"/>
      <c r="K42" s="67">
        <v>127.9</v>
      </c>
      <c r="L42" s="90">
        <v>115.3</v>
      </c>
      <c r="M42" s="32"/>
      <c r="N42" s="32"/>
      <c r="O42" s="32"/>
      <c r="P42" s="32"/>
      <c r="Q42" s="32"/>
    </row>
    <row r="43" spans="1:17" ht="26.4" x14ac:dyDescent="0.25">
      <c r="A43" s="76" t="s">
        <v>243</v>
      </c>
      <c r="B43" s="33"/>
      <c r="C43" s="34" t="s">
        <v>195</v>
      </c>
      <c r="D43" s="33" t="s">
        <v>23</v>
      </c>
      <c r="E43" s="67">
        <f t="shared" si="6"/>
        <v>97</v>
      </c>
      <c r="F43" s="172">
        <f t="shared" si="13"/>
        <v>54.6</v>
      </c>
      <c r="G43" s="67">
        <f>91-8</f>
        <v>83</v>
      </c>
      <c r="H43" s="67">
        <v>41.6</v>
      </c>
      <c r="I43" s="67"/>
      <c r="J43" s="67"/>
      <c r="K43" s="67">
        <f>6+8</f>
        <v>14</v>
      </c>
      <c r="L43" s="90">
        <v>13</v>
      </c>
      <c r="M43" s="32"/>
      <c r="N43" s="32"/>
      <c r="O43" s="32"/>
      <c r="P43" s="32"/>
      <c r="Q43" s="32"/>
    </row>
    <row r="44" spans="1:17" x14ac:dyDescent="0.25">
      <c r="A44" s="76" t="s">
        <v>244</v>
      </c>
      <c r="B44" s="30" t="s">
        <v>63</v>
      </c>
      <c r="C44" s="59" t="s">
        <v>148</v>
      </c>
      <c r="D44" s="33"/>
      <c r="E44" s="74">
        <f>+G44+K44</f>
        <v>38.200000000000003</v>
      </c>
      <c r="F44" s="74">
        <f>+H44+L44</f>
        <v>21</v>
      </c>
      <c r="G44" s="74">
        <f t="shared" ref="G44:L45" si="15">+G45</f>
        <v>7.1999999999999993</v>
      </c>
      <c r="H44" s="74">
        <f t="shared" si="15"/>
        <v>7.2</v>
      </c>
      <c r="I44" s="74">
        <f t="shared" si="15"/>
        <v>0</v>
      </c>
      <c r="J44" s="74">
        <f t="shared" si="15"/>
        <v>0</v>
      </c>
      <c r="K44" s="74">
        <f t="shared" si="15"/>
        <v>31</v>
      </c>
      <c r="L44" s="74">
        <f t="shared" si="15"/>
        <v>13.8</v>
      </c>
      <c r="M44" s="32"/>
      <c r="N44" s="32"/>
      <c r="O44" s="32"/>
      <c r="P44" s="32"/>
      <c r="Q44" s="99"/>
    </row>
    <row r="45" spans="1:17" x14ac:dyDescent="0.25">
      <c r="A45" s="76" t="s">
        <v>245</v>
      </c>
      <c r="B45" s="33"/>
      <c r="C45" s="97" t="s">
        <v>143</v>
      </c>
      <c r="D45" s="33"/>
      <c r="E45" s="67">
        <f>+G45+K45</f>
        <v>38.200000000000003</v>
      </c>
      <c r="F45" s="67">
        <f>+H45+L45</f>
        <v>21</v>
      </c>
      <c r="G45" s="67">
        <f t="shared" si="15"/>
        <v>7.1999999999999993</v>
      </c>
      <c r="H45" s="67">
        <f t="shared" si="15"/>
        <v>7.2</v>
      </c>
      <c r="I45" s="67">
        <f t="shared" si="15"/>
        <v>0</v>
      </c>
      <c r="J45" s="67">
        <f t="shared" si="15"/>
        <v>0</v>
      </c>
      <c r="K45" s="67">
        <f t="shared" si="15"/>
        <v>31</v>
      </c>
      <c r="L45" s="67">
        <f t="shared" si="15"/>
        <v>13.8</v>
      </c>
      <c r="M45" s="32"/>
      <c r="N45" s="32"/>
      <c r="O45" s="32"/>
      <c r="P45" s="32"/>
      <c r="Q45" s="99"/>
    </row>
    <row r="46" spans="1:17" ht="26.4" x14ac:dyDescent="0.25">
      <c r="A46" s="76" t="s">
        <v>246</v>
      </c>
      <c r="B46" s="33"/>
      <c r="C46" s="34" t="s">
        <v>131</v>
      </c>
      <c r="D46" s="33" t="s">
        <v>59</v>
      </c>
      <c r="E46" s="67">
        <f t="shared" si="6"/>
        <v>38.200000000000003</v>
      </c>
      <c r="F46" s="67">
        <f t="shared" si="6"/>
        <v>21</v>
      </c>
      <c r="G46" s="67">
        <f>9.7-2.5</f>
        <v>7.1999999999999993</v>
      </c>
      <c r="H46" s="67">
        <v>7.2</v>
      </c>
      <c r="I46" s="67"/>
      <c r="J46" s="67"/>
      <c r="K46" s="67">
        <f>24.8+2.5+3.7</f>
        <v>31</v>
      </c>
      <c r="L46" s="90">
        <v>13.8</v>
      </c>
      <c r="M46" s="32"/>
      <c r="N46" s="32"/>
      <c r="O46" s="32"/>
      <c r="P46" s="32"/>
      <c r="Q46" s="99"/>
    </row>
    <row r="47" spans="1:17" ht="16.5" customHeight="1" x14ac:dyDescent="0.25">
      <c r="A47" s="52">
        <v>17</v>
      </c>
      <c r="B47" s="30" t="s">
        <v>65</v>
      </c>
      <c r="C47" s="59" t="s">
        <v>66</v>
      </c>
      <c r="D47" s="28"/>
      <c r="E47" s="74">
        <f>+G47+K47</f>
        <v>357.09999999999997</v>
      </c>
      <c r="F47" s="74">
        <f>+H47+L47</f>
        <v>174.6</v>
      </c>
      <c r="G47" s="74">
        <f t="shared" ref="G47:L47" si="16">+G48+G50</f>
        <v>18.899999999999999</v>
      </c>
      <c r="H47" s="74">
        <f t="shared" si="16"/>
        <v>14.2</v>
      </c>
      <c r="I47" s="74">
        <f t="shared" si="16"/>
        <v>2.2000000000000002</v>
      </c>
      <c r="J47" s="74">
        <f t="shared" si="16"/>
        <v>2.2000000000000002</v>
      </c>
      <c r="K47" s="74">
        <f t="shared" si="16"/>
        <v>338.2</v>
      </c>
      <c r="L47" s="74">
        <f t="shared" si="16"/>
        <v>160.4</v>
      </c>
      <c r="M47" s="32"/>
      <c r="N47" s="32"/>
      <c r="O47" s="32"/>
      <c r="P47" s="32"/>
      <c r="Q47" s="99"/>
    </row>
    <row r="48" spans="1:17" s="178" customFormat="1" ht="16.5" customHeight="1" x14ac:dyDescent="0.25">
      <c r="A48" s="156">
        <v>18</v>
      </c>
      <c r="B48" s="157"/>
      <c r="C48" s="158" t="s">
        <v>230</v>
      </c>
      <c r="D48" s="159"/>
      <c r="E48" s="160">
        <f>+G48+K48</f>
        <v>15.1</v>
      </c>
      <c r="F48" s="230">
        <f t="shared" ref="F48:F49" si="17">+H48+L48</f>
        <v>14.2</v>
      </c>
      <c r="G48" s="160">
        <f t="shared" ref="G48:L48" si="18">+G49</f>
        <v>15.1</v>
      </c>
      <c r="H48" s="160">
        <f t="shared" si="18"/>
        <v>14.2</v>
      </c>
      <c r="I48" s="160">
        <f t="shared" si="18"/>
        <v>2.2000000000000002</v>
      </c>
      <c r="J48" s="160">
        <f t="shared" si="18"/>
        <v>2.2000000000000002</v>
      </c>
      <c r="K48" s="160">
        <f t="shared" si="18"/>
        <v>0</v>
      </c>
      <c r="L48" s="160">
        <f t="shared" si="18"/>
        <v>0</v>
      </c>
      <c r="M48" s="162"/>
      <c r="N48" s="162"/>
      <c r="O48" s="162"/>
      <c r="P48" s="162"/>
      <c r="Q48" s="200"/>
    </row>
    <row r="49" spans="1:17" s="178" customFormat="1" x14ac:dyDescent="0.25">
      <c r="A49" s="156" t="s">
        <v>247</v>
      </c>
      <c r="B49" s="157"/>
      <c r="C49" s="167" t="s">
        <v>231</v>
      </c>
      <c r="D49" s="168" t="s">
        <v>67</v>
      </c>
      <c r="E49" s="160">
        <f>+G49+K49</f>
        <v>15.1</v>
      </c>
      <c r="F49" s="230">
        <f t="shared" si="17"/>
        <v>14.2</v>
      </c>
      <c r="G49" s="160">
        <v>15.1</v>
      </c>
      <c r="H49" s="160">
        <v>14.2</v>
      </c>
      <c r="I49" s="160">
        <v>2.2000000000000002</v>
      </c>
      <c r="J49" s="160">
        <v>2.2000000000000002</v>
      </c>
      <c r="K49" s="160"/>
      <c r="L49" s="206"/>
      <c r="M49" s="162"/>
      <c r="N49" s="162"/>
      <c r="O49" s="162"/>
      <c r="P49" s="162"/>
      <c r="Q49" s="200"/>
    </row>
    <row r="50" spans="1:17" ht="15" customHeight="1" x14ac:dyDescent="0.25">
      <c r="A50" s="52">
        <v>19</v>
      </c>
      <c r="B50" s="30"/>
      <c r="C50" s="97" t="s">
        <v>143</v>
      </c>
      <c r="D50" s="33"/>
      <c r="E50" s="67">
        <f>+G50+K50</f>
        <v>342</v>
      </c>
      <c r="F50" s="67">
        <f>+H50+L50</f>
        <v>160.4</v>
      </c>
      <c r="G50" s="67">
        <f t="shared" ref="G50:L50" si="19">+G51+G52+G53</f>
        <v>3.8</v>
      </c>
      <c r="H50" s="67">
        <f t="shared" si="19"/>
        <v>0</v>
      </c>
      <c r="I50" s="67">
        <f t="shared" si="19"/>
        <v>0</v>
      </c>
      <c r="J50" s="67">
        <f t="shared" si="19"/>
        <v>0</v>
      </c>
      <c r="K50" s="67">
        <f t="shared" si="19"/>
        <v>338.2</v>
      </c>
      <c r="L50" s="67">
        <f t="shared" si="19"/>
        <v>160.4</v>
      </c>
      <c r="M50" s="32"/>
      <c r="N50" s="32"/>
      <c r="O50" s="32"/>
      <c r="P50" s="32"/>
      <c r="Q50" s="99"/>
    </row>
    <row r="51" spans="1:17" ht="39.6" x14ac:dyDescent="0.25">
      <c r="A51" s="76" t="s">
        <v>203</v>
      </c>
      <c r="B51" s="33"/>
      <c r="C51" s="60" t="s">
        <v>134</v>
      </c>
      <c r="D51" s="55" t="s">
        <v>69</v>
      </c>
      <c r="E51" s="67">
        <f t="shared" si="6"/>
        <v>150</v>
      </c>
      <c r="F51" s="67">
        <f t="shared" ref="F51:F53" si="20">+H51+L51</f>
        <v>0</v>
      </c>
      <c r="G51" s="67">
        <v>3.8</v>
      </c>
      <c r="H51" s="67">
        <v>0</v>
      </c>
      <c r="I51" s="67"/>
      <c r="J51" s="67"/>
      <c r="K51" s="67">
        <v>146.19999999999999</v>
      </c>
      <c r="L51" s="90">
        <v>0</v>
      </c>
      <c r="M51" s="32"/>
      <c r="N51" s="32"/>
      <c r="O51" s="32"/>
      <c r="P51" s="32"/>
      <c r="Q51" s="99"/>
    </row>
    <row r="52" spans="1:17" ht="26.4" x14ac:dyDescent="0.25">
      <c r="A52" s="76" t="s">
        <v>248</v>
      </c>
      <c r="B52" s="33"/>
      <c r="C52" s="60" t="s">
        <v>106</v>
      </c>
      <c r="D52" s="55" t="s">
        <v>67</v>
      </c>
      <c r="E52" s="67">
        <f t="shared" si="6"/>
        <v>21</v>
      </c>
      <c r="F52" s="67">
        <f t="shared" si="20"/>
        <v>20.8</v>
      </c>
      <c r="G52" s="67"/>
      <c r="H52" s="67"/>
      <c r="I52" s="67"/>
      <c r="J52" s="67"/>
      <c r="K52" s="67">
        <v>21</v>
      </c>
      <c r="L52" s="206">
        <f>20.8</f>
        <v>20.8</v>
      </c>
      <c r="M52" s="32"/>
      <c r="N52" s="32"/>
      <c r="O52" s="32"/>
      <c r="P52" s="32"/>
      <c r="Q52" s="99"/>
    </row>
    <row r="53" spans="1:17" ht="26.4" x14ac:dyDescent="0.25">
      <c r="A53" s="76" t="s">
        <v>249</v>
      </c>
      <c r="B53" s="33"/>
      <c r="C53" s="60" t="s">
        <v>146</v>
      </c>
      <c r="D53" s="55" t="s">
        <v>67</v>
      </c>
      <c r="E53" s="67">
        <f t="shared" si="6"/>
        <v>171</v>
      </c>
      <c r="F53" s="67">
        <f t="shared" si="20"/>
        <v>139.6</v>
      </c>
      <c r="G53" s="67"/>
      <c r="H53" s="67"/>
      <c r="I53" s="67"/>
      <c r="J53" s="67"/>
      <c r="K53" s="67">
        <v>171</v>
      </c>
      <c r="L53" s="90">
        <v>139.6</v>
      </c>
      <c r="M53" s="32"/>
      <c r="N53" s="32"/>
      <c r="O53" s="32"/>
      <c r="P53" s="32"/>
      <c r="Q53" s="99"/>
    </row>
    <row r="54" spans="1:17" ht="28.5" customHeight="1" x14ac:dyDescent="0.25">
      <c r="A54" s="52">
        <v>20</v>
      </c>
      <c r="B54" s="30" t="s">
        <v>80</v>
      </c>
      <c r="C54" s="62" t="s">
        <v>81</v>
      </c>
      <c r="D54" s="33"/>
      <c r="E54" s="74">
        <f t="shared" ref="E54:F64" si="21">+G54+K54</f>
        <v>791.40000000000009</v>
      </c>
      <c r="F54" s="74">
        <f t="shared" si="21"/>
        <v>512.70000000000005</v>
      </c>
      <c r="G54" s="74">
        <f t="shared" ref="G54:L54" si="22">+G55+G60</f>
        <v>369.1</v>
      </c>
      <c r="H54" s="205">
        <f t="shared" si="22"/>
        <v>311.5</v>
      </c>
      <c r="I54" s="74">
        <f t="shared" si="22"/>
        <v>5.0999999999999996</v>
      </c>
      <c r="J54" s="74">
        <f t="shared" si="22"/>
        <v>5.0999999999999996</v>
      </c>
      <c r="K54" s="74">
        <f t="shared" si="22"/>
        <v>422.3</v>
      </c>
      <c r="L54" s="74">
        <f t="shared" si="22"/>
        <v>201.2</v>
      </c>
      <c r="M54" s="32"/>
      <c r="N54" s="32"/>
      <c r="O54" s="32"/>
      <c r="P54" s="32"/>
      <c r="Q54" s="99"/>
    </row>
    <row r="55" spans="1:17" s="178" customFormat="1" ht="26.4" x14ac:dyDescent="0.25">
      <c r="A55" s="156">
        <v>21</v>
      </c>
      <c r="B55" s="157"/>
      <c r="C55" s="208" t="s">
        <v>235</v>
      </c>
      <c r="D55" s="171"/>
      <c r="E55" s="160">
        <f t="shared" si="21"/>
        <v>528.6</v>
      </c>
      <c r="F55" s="353">
        <f t="shared" si="21"/>
        <v>468.3</v>
      </c>
      <c r="G55" s="160">
        <f>SUM(G56:G59)</f>
        <v>335.3</v>
      </c>
      <c r="H55" s="160">
        <f>SUM(H56:H59)</f>
        <v>298.8</v>
      </c>
      <c r="I55" s="160">
        <f>SUM(I56:I59)</f>
        <v>5.0999999999999996</v>
      </c>
      <c r="J55" s="160">
        <f>SUM(J56:J59)</f>
        <v>5.0999999999999996</v>
      </c>
      <c r="K55" s="160">
        <f>SUM(K56:K59)</f>
        <v>193.3</v>
      </c>
      <c r="L55" s="206">
        <v>169.5</v>
      </c>
      <c r="M55" s="162"/>
      <c r="N55" s="162"/>
      <c r="O55" s="162"/>
      <c r="P55" s="162"/>
      <c r="Q55" s="200"/>
    </row>
    <row r="56" spans="1:17" s="178" customFormat="1" ht="39.6" x14ac:dyDescent="0.25">
      <c r="A56" s="156" t="s">
        <v>250</v>
      </c>
      <c r="B56" s="157"/>
      <c r="C56" s="207" t="s">
        <v>232</v>
      </c>
      <c r="D56" s="171" t="s">
        <v>69</v>
      </c>
      <c r="E56" s="160">
        <f t="shared" si="21"/>
        <v>234.8</v>
      </c>
      <c r="F56" s="353">
        <f t="shared" si="21"/>
        <v>174.5</v>
      </c>
      <c r="G56" s="160">
        <v>173.1</v>
      </c>
      <c r="H56" s="160">
        <f>136.7-0.1</f>
        <v>136.6</v>
      </c>
      <c r="I56" s="160">
        <v>5.0999999999999996</v>
      </c>
      <c r="J56" s="160">
        <v>5.0999999999999996</v>
      </c>
      <c r="K56" s="160">
        <v>61.7</v>
      </c>
      <c r="L56" s="206">
        <v>37.9</v>
      </c>
      <c r="M56" s="162"/>
      <c r="N56" s="162"/>
      <c r="O56" s="162"/>
      <c r="P56" s="162"/>
      <c r="Q56" s="200"/>
    </row>
    <row r="57" spans="1:17" s="178" customFormat="1" x14ac:dyDescent="0.25">
      <c r="A57" s="156" t="s">
        <v>251</v>
      </c>
      <c r="B57" s="157"/>
      <c r="C57" s="175" t="s">
        <v>236</v>
      </c>
      <c r="D57" s="171" t="s">
        <v>69</v>
      </c>
      <c r="E57" s="160">
        <f t="shared" si="21"/>
        <v>10.600000000000001</v>
      </c>
      <c r="F57" s="353">
        <f t="shared" si="21"/>
        <v>10.600000000000001</v>
      </c>
      <c r="G57" s="160">
        <v>3.2</v>
      </c>
      <c r="H57" s="160">
        <v>3.2</v>
      </c>
      <c r="I57" s="160"/>
      <c r="J57" s="160"/>
      <c r="K57" s="160">
        <v>7.4</v>
      </c>
      <c r="L57" s="206">
        <v>7.4</v>
      </c>
      <c r="M57" s="162"/>
      <c r="N57" s="162"/>
      <c r="O57" s="162"/>
      <c r="P57" s="162"/>
      <c r="Q57" s="200"/>
    </row>
    <row r="58" spans="1:17" s="178" customFormat="1" ht="26.4" x14ac:dyDescent="0.25">
      <c r="A58" s="156" t="s">
        <v>252</v>
      </c>
      <c r="B58" s="157"/>
      <c r="C58" s="207" t="s">
        <v>237</v>
      </c>
      <c r="D58" s="171" t="s">
        <v>69</v>
      </c>
      <c r="E58" s="160">
        <f t="shared" si="21"/>
        <v>116.2</v>
      </c>
      <c r="F58" s="353">
        <f t="shared" si="21"/>
        <v>116.2</v>
      </c>
      <c r="G58" s="160">
        <v>116.2</v>
      </c>
      <c r="H58" s="160">
        <v>116.2</v>
      </c>
      <c r="I58" s="160"/>
      <c r="J58" s="160"/>
      <c r="K58" s="160"/>
      <c r="L58" s="206"/>
      <c r="M58" s="162"/>
      <c r="N58" s="162"/>
      <c r="O58" s="162"/>
      <c r="P58" s="162"/>
      <c r="Q58" s="200"/>
    </row>
    <row r="59" spans="1:17" s="178" customFormat="1" x14ac:dyDescent="0.25">
      <c r="A59" s="156" t="s">
        <v>253</v>
      </c>
      <c r="B59" s="157"/>
      <c r="C59" s="207" t="s">
        <v>238</v>
      </c>
      <c r="D59" s="171" t="s">
        <v>69</v>
      </c>
      <c r="E59" s="160">
        <f t="shared" si="21"/>
        <v>167</v>
      </c>
      <c r="F59" s="353">
        <f t="shared" si="21"/>
        <v>167</v>
      </c>
      <c r="G59" s="160">
        <v>42.8</v>
      </c>
      <c r="H59" s="160">
        <v>42.8</v>
      </c>
      <c r="I59" s="160"/>
      <c r="J59" s="160"/>
      <c r="K59" s="160">
        <v>124.2</v>
      </c>
      <c r="L59" s="206">
        <v>124.2</v>
      </c>
      <c r="M59" s="162"/>
      <c r="N59" s="162"/>
      <c r="O59" s="162"/>
      <c r="P59" s="162"/>
      <c r="Q59" s="200"/>
    </row>
    <row r="60" spans="1:17" s="178" customFormat="1" ht="16.5" customHeight="1" x14ac:dyDescent="0.25">
      <c r="A60" s="156">
        <v>22</v>
      </c>
      <c r="B60" s="157"/>
      <c r="C60" s="170" t="s">
        <v>143</v>
      </c>
      <c r="D60" s="171"/>
      <c r="E60" s="172">
        <f t="shared" si="21"/>
        <v>262.8</v>
      </c>
      <c r="F60" s="353">
        <f t="shared" si="21"/>
        <v>44.4</v>
      </c>
      <c r="G60" s="172">
        <f>+G61+G62+G63+G64</f>
        <v>33.799999999999997</v>
      </c>
      <c r="H60" s="172">
        <v>12.7</v>
      </c>
      <c r="I60" s="172">
        <f>+I61+I62+I63+I64</f>
        <v>0</v>
      </c>
      <c r="J60" s="172">
        <f>+J61+J62+J63+J64</f>
        <v>0</v>
      </c>
      <c r="K60" s="172">
        <f>+K61+K62+K63+K64</f>
        <v>229</v>
      </c>
      <c r="L60" s="206">
        <v>31.7</v>
      </c>
      <c r="M60" s="162"/>
      <c r="N60" s="162"/>
      <c r="O60" s="162"/>
      <c r="P60" s="162"/>
      <c r="Q60" s="200"/>
    </row>
    <row r="61" spans="1:17" ht="42.75" customHeight="1" x14ac:dyDescent="0.25">
      <c r="A61" s="76" t="s">
        <v>254</v>
      </c>
      <c r="B61" s="33"/>
      <c r="C61" s="34" t="s">
        <v>128</v>
      </c>
      <c r="D61" s="33" t="s">
        <v>98</v>
      </c>
      <c r="E61" s="67">
        <f t="shared" ref="E61:F82" si="23">+G61+K61</f>
        <v>58.4</v>
      </c>
      <c r="F61" s="353">
        <f t="shared" si="21"/>
        <v>25.4</v>
      </c>
      <c r="G61" s="67">
        <v>33.4</v>
      </c>
      <c r="H61" s="67">
        <v>12.7</v>
      </c>
      <c r="I61" s="67"/>
      <c r="J61" s="67"/>
      <c r="K61" s="67">
        <v>25</v>
      </c>
      <c r="L61" s="90">
        <v>12.7</v>
      </c>
      <c r="M61" s="32"/>
      <c r="N61" s="32"/>
      <c r="O61" s="32"/>
      <c r="P61" s="32"/>
      <c r="Q61" s="99"/>
    </row>
    <row r="62" spans="1:17" ht="52.8" x14ac:dyDescent="0.25">
      <c r="A62" s="76" t="s">
        <v>255</v>
      </c>
      <c r="B62" s="33"/>
      <c r="C62" s="92" t="s">
        <v>117</v>
      </c>
      <c r="D62" s="94" t="s">
        <v>114</v>
      </c>
      <c r="E62" s="67">
        <f t="shared" si="23"/>
        <v>125.1</v>
      </c>
      <c r="F62" s="353">
        <f t="shared" si="21"/>
        <v>0</v>
      </c>
      <c r="G62" s="67">
        <v>0.1</v>
      </c>
      <c r="H62" s="67">
        <v>0</v>
      </c>
      <c r="I62" s="67"/>
      <c r="J62" s="67"/>
      <c r="K62" s="67">
        <v>125</v>
      </c>
      <c r="L62" s="90">
        <v>0</v>
      </c>
      <c r="M62" s="32"/>
      <c r="N62" s="32"/>
      <c r="O62" s="32"/>
      <c r="P62" s="32"/>
      <c r="Q62" s="99"/>
    </row>
    <row r="63" spans="1:17" ht="26.4" x14ac:dyDescent="0.25">
      <c r="A63" s="76" t="s">
        <v>256</v>
      </c>
      <c r="B63" s="33"/>
      <c r="C63" s="92" t="s">
        <v>108</v>
      </c>
      <c r="D63" s="94" t="s">
        <v>87</v>
      </c>
      <c r="E63" s="67">
        <f t="shared" si="23"/>
        <v>53.800000000000004</v>
      </c>
      <c r="F63" s="353">
        <f t="shared" si="21"/>
        <v>19</v>
      </c>
      <c r="G63" s="67"/>
      <c r="H63" s="67"/>
      <c r="I63" s="67"/>
      <c r="J63" s="67"/>
      <c r="K63" s="67">
        <f>44.2+9.6</f>
        <v>53.800000000000004</v>
      </c>
      <c r="L63" s="90">
        <v>19</v>
      </c>
      <c r="M63" s="32"/>
      <c r="N63" s="32"/>
      <c r="O63" s="32"/>
      <c r="P63" s="32"/>
      <c r="Q63" s="99"/>
    </row>
    <row r="64" spans="1:17" ht="27.75" customHeight="1" x14ac:dyDescent="0.25">
      <c r="A64" s="76" t="s">
        <v>257</v>
      </c>
      <c r="B64" s="33"/>
      <c r="C64" s="110" t="s">
        <v>107</v>
      </c>
      <c r="D64" s="33" t="s">
        <v>90</v>
      </c>
      <c r="E64" s="67">
        <f t="shared" si="23"/>
        <v>25.5</v>
      </c>
      <c r="F64" s="353">
        <f t="shared" si="21"/>
        <v>0</v>
      </c>
      <c r="G64" s="67">
        <v>0.3</v>
      </c>
      <c r="H64" s="67">
        <v>0</v>
      </c>
      <c r="I64" s="67"/>
      <c r="J64" s="67"/>
      <c r="K64" s="67">
        <v>25.2</v>
      </c>
      <c r="L64" s="90">
        <v>0</v>
      </c>
      <c r="M64" s="32"/>
      <c r="N64" s="32"/>
      <c r="O64" s="32"/>
      <c r="P64" s="32"/>
      <c r="Q64" s="99"/>
    </row>
    <row r="65" spans="1:17" ht="22.5" customHeight="1" x14ac:dyDescent="0.25">
      <c r="A65" s="52">
        <v>23</v>
      </c>
      <c r="B65" s="30" t="s">
        <v>70</v>
      </c>
      <c r="C65" s="35" t="s">
        <v>71</v>
      </c>
      <c r="D65" s="33"/>
      <c r="E65" s="74">
        <f t="shared" si="23"/>
        <v>1661.1</v>
      </c>
      <c r="F65" s="74">
        <f t="shared" si="23"/>
        <v>768.7</v>
      </c>
      <c r="G65" s="74">
        <f t="shared" ref="G65:L65" si="24">+G66</f>
        <v>15</v>
      </c>
      <c r="H65" s="74">
        <f t="shared" si="24"/>
        <v>13.200000000000001</v>
      </c>
      <c r="I65" s="74">
        <f t="shared" si="24"/>
        <v>0</v>
      </c>
      <c r="J65" s="74">
        <f t="shared" si="24"/>
        <v>0</v>
      </c>
      <c r="K65" s="74">
        <f t="shared" si="24"/>
        <v>1646.1</v>
      </c>
      <c r="L65" s="74">
        <f t="shared" si="24"/>
        <v>755.5</v>
      </c>
      <c r="M65" s="32"/>
      <c r="N65" s="32"/>
      <c r="O65" s="32"/>
      <c r="P65" s="32"/>
      <c r="Q65" s="99"/>
    </row>
    <row r="66" spans="1:17" x14ac:dyDescent="0.25">
      <c r="A66" s="52">
        <v>24</v>
      </c>
      <c r="B66" s="33"/>
      <c r="C66" s="97" t="s">
        <v>143</v>
      </c>
      <c r="D66" s="55"/>
      <c r="E66" s="67">
        <f t="shared" si="23"/>
        <v>1661.1</v>
      </c>
      <c r="F66" s="67">
        <f t="shared" si="23"/>
        <v>768.7</v>
      </c>
      <c r="G66" s="67">
        <f t="shared" ref="G66:L66" si="25">+G67+G68+G69+G70+G71+G72+G73+G74</f>
        <v>15</v>
      </c>
      <c r="H66" s="67">
        <f t="shared" si="25"/>
        <v>13.200000000000001</v>
      </c>
      <c r="I66" s="67">
        <f t="shared" si="25"/>
        <v>0</v>
      </c>
      <c r="J66" s="67">
        <f t="shared" si="25"/>
        <v>0</v>
      </c>
      <c r="K66" s="67">
        <f t="shared" si="25"/>
        <v>1646.1</v>
      </c>
      <c r="L66" s="67">
        <f t="shared" si="25"/>
        <v>755.5</v>
      </c>
      <c r="M66" s="32"/>
      <c r="N66" s="32"/>
      <c r="O66" s="32"/>
      <c r="P66" s="32"/>
      <c r="Q66" s="99"/>
    </row>
    <row r="67" spans="1:17" ht="26.4" x14ac:dyDescent="0.25">
      <c r="A67" s="76" t="s">
        <v>258</v>
      </c>
      <c r="B67" s="33"/>
      <c r="C67" s="97" t="s">
        <v>196</v>
      </c>
      <c r="D67" s="55" t="s">
        <v>211</v>
      </c>
      <c r="E67" s="67">
        <f t="shared" si="23"/>
        <v>11</v>
      </c>
      <c r="F67" s="67">
        <f t="shared" si="23"/>
        <v>5.7</v>
      </c>
      <c r="G67" s="67"/>
      <c r="H67" s="67"/>
      <c r="I67" s="67"/>
      <c r="J67" s="67"/>
      <c r="K67" s="67">
        <v>11</v>
      </c>
      <c r="L67" s="90">
        <v>5.7</v>
      </c>
      <c r="M67" s="32"/>
      <c r="N67" s="32"/>
      <c r="O67" s="32"/>
      <c r="P67" s="32"/>
      <c r="Q67" s="99"/>
    </row>
    <row r="68" spans="1:17" ht="39.6" x14ac:dyDescent="0.25">
      <c r="A68" s="76" t="s">
        <v>259</v>
      </c>
      <c r="B68" s="33"/>
      <c r="C68" s="97" t="s">
        <v>197</v>
      </c>
      <c r="D68" s="55" t="s">
        <v>72</v>
      </c>
      <c r="E68" s="67">
        <f t="shared" si="23"/>
        <v>344.7</v>
      </c>
      <c r="F68" s="67">
        <f t="shared" si="23"/>
        <v>137.1</v>
      </c>
      <c r="G68" s="67"/>
      <c r="H68" s="67"/>
      <c r="I68" s="67"/>
      <c r="J68" s="67"/>
      <c r="K68" s="67">
        <v>344.7</v>
      </c>
      <c r="L68" s="90">
        <v>137.1</v>
      </c>
      <c r="M68" s="32"/>
      <c r="N68" s="32"/>
      <c r="O68" s="32"/>
      <c r="P68" s="32"/>
      <c r="Q68" s="99"/>
    </row>
    <row r="69" spans="1:17" x14ac:dyDescent="0.25">
      <c r="A69" s="76" t="s">
        <v>260</v>
      </c>
      <c r="B69" s="33"/>
      <c r="C69" s="97" t="s">
        <v>175</v>
      </c>
      <c r="D69" s="55" t="s">
        <v>87</v>
      </c>
      <c r="E69" s="67">
        <f t="shared" si="23"/>
        <v>27.3</v>
      </c>
      <c r="F69" s="67">
        <f t="shared" si="23"/>
        <v>23.7</v>
      </c>
      <c r="G69" s="67">
        <v>0.1</v>
      </c>
      <c r="H69" s="67">
        <v>0</v>
      </c>
      <c r="I69" s="67"/>
      <c r="J69" s="67"/>
      <c r="K69" s="67">
        <v>27.2</v>
      </c>
      <c r="L69" s="90">
        <v>23.7</v>
      </c>
      <c r="M69" s="32"/>
      <c r="N69" s="32"/>
      <c r="O69" s="32"/>
      <c r="P69" s="32"/>
      <c r="Q69" s="99"/>
    </row>
    <row r="70" spans="1:17" ht="26.4" x14ac:dyDescent="0.25">
      <c r="A70" s="76" t="s">
        <v>261</v>
      </c>
      <c r="B70" s="33"/>
      <c r="C70" s="97" t="s">
        <v>176</v>
      </c>
      <c r="D70" s="55" t="s">
        <v>87</v>
      </c>
      <c r="E70" s="67">
        <f t="shared" si="23"/>
        <v>9.1999999999999993</v>
      </c>
      <c r="F70" s="67">
        <f t="shared" si="23"/>
        <v>8.1</v>
      </c>
      <c r="G70" s="67"/>
      <c r="H70" s="67"/>
      <c r="I70" s="67"/>
      <c r="J70" s="67"/>
      <c r="K70" s="67">
        <v>9.1999999999999993</v>
      </c>
      <c r="L70" s="90">
        <v>8.1</v>
      </c>
      <c r="M70" s="32"/>
      <c r="N70" s="32"/>
      <c r="O70" s="32"/>
      <c r="P70" s="32"/>
      <c r="Q70" s="99"/>
    </row>
    <row r="71" spans="1:17" ht="26.4" x14ac:dyDescent="0.25">
      <c r="A71" s="76" t="s">
        <v>262</v>
      </c>
      <c r="B71" s="33"/>
      <c r="C71" s="97" t="s">
        <v>177</v>
      </c>
      <c r="D71" s="55" t="s">
        <v>87</v>
      </c>
      <c r="E71" s="67">
        <f t="shared" si="23"/>
        <v>62</v>
      </c>
      <c r="F71" s="67">
        <f t="shared" si="23"/>
        <v>58.4</v>
      </c>
      <c r="G71" s="67"/>
      <c r="H71" s="67"/>
      <c r="I71" s="67"/>
      <c r="J71" s="67"/>
      <c r="K71" s="67">
        <v>62</v>
      </c>
      <c r="L71" s="90">
        <v>58.4</v>
      </c>
      <c r="M71" s="32"/>
      <c r="N71" s="32"/>
      <c r="O71" s="32"/>
      <c r="P71" s="32"/>
      <c r="Q71" s="99"/>
    </row>
    <row r="72" spans="1:17" ht="26.4" x14ac:dyDescent="0.25">
      <c r="A72" s="76" t="s">
        <v>263</v>
      </c>
      <c r="B72" s="33"/>
      <c r="C72" s="58" t="s">
        <v>109</v>
      </c>
      <c r="D72" s="95" t="s">
        <v>113</v>
      </c>
      <c r="E72" s="67">
        <f t="shared" si="23"/>
        <v>165.29999999999998</v>
      </c>
      <c r="F72" s="67">
        <f t="shared" si="23"/>
        <v>0.3</v>
      </c>
      <c r="G72" s="67">
        <v>0.7</v>
      </c>
      <c r="H72" s="67">
        <v>0.3</v>
      </c>
      <c r="I72" s="67"/>
      <c r="J72" s="67"/>
      <c r="K72" s="67">
        <v>164.6</v>
      </c>
      <c r="L72" s="90">
        <v>0</v>
      </c>
      <c r="M72" s="32"/>
      <c r="N72" s="32"/>
      <c r="O72" s="32"/>
      <c r="P72" s="32"/>
      <c r="Q72" s="99"/>
    </row>
    <row r="73" spans="1:17" s="178" customFormat="1" ht="26.4" x14ac:dyDescent="0.25">
      <c r="A73" s="195" t="s">
        <v>264</v>
      </c>
      <c r="B73" s="171"/>
      <c r="C73" s="209" t="s">
        <v>110</v>
      </c>
      <c r="D73" s="168" t="s">
        <v>113</v>
      </c>
      <c r="E73" s="172">
        <f t="shared" si="23"/>
        <v>1035.6999999999998</v>
      </c>
      <c r="F73" s="67">
        <f t="shared" si="23"/>
        <v>529.6</v>
      </c>
      <c r="G73" s="172">
        <f>11.1+3.1</f>
        <v>14.2</v>
      </c>
      <c r="H73" s="172">
        <v>12.9</v>
      </c>
      <c r="I73" s="172"/>
      <c r="J73" s="172"/>
      <c r="K73" s="172">
        <f>1024.6-3.1</f>
        <v>1021.4999999999999</v>
      </c>
      <c r="L73" s="206">
        <v>516.70000000000005</v>
      </c>
      <c r="M73" s="162"/>
      <c r="N73" s="162"/>
      <c r="O73" s="162"/>
      <c r="P73" s="162"/>
      <c r="Q73" s="200"/>
    </row>
    <row r="74" spans="1:17" ht="15" customHeight="1" x14ac:dyDescent="0.25">
      <c r="A74" s="76" t="s">
        <v>265</v>
      </c>
      <c r="B74" s="33"/>
      <c r="C74" s="58" t="s">
        <v>212</v>
      </c>
      <c r="D74" s="94" t="s">
        <v>87</v>
      </c>
      <c r="E74" s="67">
        <f t="shared" si="23"/>
        <v>5.9</v>
      </c>
      <c r="F74" s="67">
        <f t="shared" si="23"/>
        <v>5.8</v>
      </c>
      <c r="G74" s="67"/>
      <c r="H74" s="67"/>
      <c r="I74" s="67"/>
      <c r="J74" s="67"/>
      <c r="K74" s="67">
        <v>5.9</v>
      </c>
      <c r="L74" s="90">
        <v>5.8</v>
      </c>
      <c r="M74" s="32"/>
      <c r="N74" s="32"/>
      <c r="O74" s="32"/>
      <c r="P74" s="32"/>
      <c r="Q74" s="99"/>
    </row>
    <row r="75" spans="1:17" ht="17.25" customHeight="1" x14ac:dyDescent="0.25">
      <c r="A75" s="52">
        <v>25</v>
      </c>
      <c r="B75" s="30" t="s">
        <v>74</v>
      </c>
      <c r="C75" s="59" t="s">
        <v>75</v>
      </c>
      <c r="D75" s="33"/>
      <c r="E75" s="74">
        <f t="shared" si="23"/>
        <v>507.8</v>
      </c>
      <c r="F75" s="74">
        <f t="shared" si="23"/>
        <v>150.4</v>
      </c>
      <c r="G75" s="74">
        <f t="shared" ref="G75:L75" si="26">+G76</f>
        <v>161.19999999999999</v>
      </c>
      <c r="H75" s="74">
        <f t="shared" si="26"/>
        <v>122.1</v>
      </c>
      <c r="I75" s="74">
        <f t="shared" si="26"/>
        <v>0</v>
      </c>
      <c r="J75" s="74">
        <f t="shared" si="26"/>
        <v>0</v>
      </c>
      <c r="K75" s="74">
        <f t="shared" si="26"/>
        <v>346.6</v>
      </c>
      <c r="L75" s="74">
        <f t="shared" si="26"/>
        <v>28.3</v>
      </c>
      <c r="M75" s="32"/>
      <c r="N75" s="32"/>
      <c r="O75" s="32"/>
      <c r="P75" s="32"/>
      <c r="Q75" s="99"/>
    </row>
    <row r="76" spans="1:17" ht="17.25" customHeight="1" x14ac:dyDescent="0.25">
      <c r="A76" s="52">
        <v>26</v>
      </c>
      <c r="B76" s="33"/>
      <c r="C76" s="97" t="s">
        <v>143</v>
      </c>
      <c r="D76" s="33"/>
      <c r="E76" s="67">
        <f t="shared" si="23"/>
        <v>507.8</v>
      </c>
      <c r="F76" s="353">
        <f t="shared" si="23"/>
        <v>150.4</v>
      </c>
      <c r="G76" s="67">
        <f t="shared" ref="G76:L76" si="27">+G77+G78+G79</f>
        <v>161.19999999999999</v>
      </c>
      <c r="H76" s="67">
        <f t="shared" si="27"/>
        <v>122.1</v>
      </c>
      <c r="I76" s="67">
        <f t="shared" si="27"/>
        <v>0</v>
      </c>
      <c r="J76" s="67">
        <f t="shared" si="27"/>
        <v>0</v>
      </c>
      <c r="K76" s="67">
        <f t="shared" si="27"/>
        <v>346.6</v>
      </c>
      <c r="L76" s="67">
        <f t="shared" si="27"/>
        <v>28.3</v>
      </c>
      <c r="M76" s="32"/>
      <c r="N76" s="32"/>
      <c r="O76" s="32"/>
      <c r="P76" s="32"/>
      <c r="Q76" s="99"/>
    </row>
    <row r="77" spans="1:17" ht="29.25" customHeight="1" x14ac:dyDescent="0.25">
      <c r="A77" s="76" t="s">
        <v>266</v>
      </c>
      <c r="B77" s="33"/>
      <c r="C77" s="111" t="s">
        <v>111</v>
      </c>
      <c r="D77" s="33" t="s">
        <v>76</v>
      </c>
      <c r="E77" s="67">
        <f t="shared" si="23"/>
        <v>350</v>
      </c>
      <c r="F77" s="353">
        <f t="shared" si="23"/>
        <v>31.7</v>
      </c>
      <c r="G77" s="67">
        <v>3.4</v>
      </c>
      <c r="H77" s="67">
        <v>3.4</v>
      </c>
      <c r="I77" s="67"/>
      <c r="J77" s="67"/>
      <c r="K77" s="67">
        <f>466.6-120</f>
        <v>346.6</v>
      </c>
      <c r="L77" s="90">
        <v>28.3</v>
      </c>
      <c r="M77" s="32"/>
      <c r="N77" s="32"/>
      <c r="O77" s="32"/>
      <c r="P77" s="32"/>
      <c r="Q77" s="99"/>
    </row>
    <row r="78" spans="1:17" ht="39.6" x14ac:dyDescent="0.25">
      <c r="A78" s="76" t="s">
        <v>267</v>
      </c>
      <c r="B78" s="33"/>
      <c r="C78" s="111" t="s">
        <v>147</v>
      </c>
      <c r="D78" s="33" t="s">
        <v>99</v>
      </c>
      <c r="E78" s="67">
        <f t="shared" si="23"/>
        <v>84</v>
      </c>
      <c r="F78" s="353">
        <f t="shared" si="23"/>
        <v>44.8</v>
      </c>
      <c r="G78" s="67">
        <v>84</v>
      </c>
      <c r="H78" s="67">
        <v>44.8</v>
      </c>
      <c r="I78" s="67"/>
      <c r="J78" s="67"/>
      <c r="K78" s="67"/>
      <c r="L78" s="90"/>
      <c r="M78" s="32"/>
      <c r="N78" s="32"/>
      <c r="O78" s="32"/>
      <c r="P78" s="32"/>
      <c r="Q78" s="99"/>
    </row>
    <row r="79" spans="1:17" ht="29.25" customHeight="1" x14ac:dyDescent="0.25">
      <c r="A79" s="76" t="s">
        <v>268</v>
      </c>
      <c r="B79" s="33"/>
      <c r="C79" s="111" t="s">
        <v>112</v>
      </c>
      <c r="D79" s="33" t="s">
        <v>99</v>
      </c>
      <c r="E79" s="67">
        <f t="shared" si="23"/>
        <v>73.8</v>
      </c>
      <c r="F79" s="353">
        <f t="shared" si="23"/>
        <v>73.900000000000006</v>
      </c>
      <c r="G79" s="67">
        <f>116+9-51.2</f>
        <v>73.8</v>
      </c>
      <c r="H79" s="67">
        <v>73.900000000000006</v>
      </c>
      <c r="I79" s="67"/>
      <c r="J79" s="67"/>
      <c r="K79" s="67"/>
      <c r="L79" s="90"/>
      <c r="M79" s="32"/>
      <c r="N79" s="32"/>
      <c r="O79" s="32"/>
      <c r="P79" s="32"/>
      <c r="Q79" s="99"/>
    </row>
    <row r="80" spans="1:17" x14ac:dyDescent="0.25">
      <c r="A80" s="141">
        <v>27</v>
      </c>
      <c r="B80" s="30" t="s">
        <v>25</v>
      </c>
      <c r="C80" s="59" t="s">
        <v>26</v>
      </c>
      <c r="D80" s="33"/>
      <c r="E80" s="74">
        <f t="shared" si="23"/>
        <v>8</v>
      </c>
      <c r="F80" s="74">
        <f t="shared" si="23"/>
        <v>6</v>
      </c>
      <c r="G80" s="61">
        <f t="shared" ref="G80:L81" si="28">+G81</f>
        <v>8</v>
      </c>
      <c r="H80" s="61">
        <f t="shared" si="28"/>
        <v>6</v>
      </c>
      <c r="I80" s="61">
        <f t="shared" si="28"/>
        <v>0</v>
      </c>
      <c r="J80" s="61">
        <f t="shared" si="28"/>
        <v>0</v>
      </c>
      <c r="K80" s="61">
        <f t="shared" si="28"/>
        <v>0</v>
      </c>
      <c r="L80" s="61">
        <f t="shared" si="28"/>
        <v>0</v>
      </c>
      <c r="M80" s="32"/>
      <c r="N80" s="32"/>
      <c r="O80" s="32"/>
      <c r="P80" s="32"/>
      <c r="Q80" s="32"/>
    </row>
    <row r="81" spans="1:17" x14ac:dyDescent="0.25">
      <c r="A81" s="141">
        <v>28</v>
      </c>
      <c r="B81" s="112"/>
      <c r="C81" s="97" t="s">
        <v>143</v>
      </c>
      <c r="D81" s="33"/>
      <c r="E81" s="67">
        <f t="shared" si="23"/>
        <v>8</v>
      </c>
      <c r="F81" s="67">
        <f t="shared" si="23"/>
        <v>6</v>
      </c>
      <c r="G81" s="68">
        <f>+G82</f>
        <v>8</v>
      </c>
      <c r="H81" s="68">
        <f>+H82</f>
        <v>6</v>
      </c>
      <c r="I81" s="68">
        <f t="shared" si="28"/>
        <v>0</v>
      </c>
      <c r="J81" s="68">
        <f t="shared" si="28"/>
        <v>0</v>
      </c>
      <c r="K81" s="68">
        <f t="shared" si="28"/>
        <v>0</v>
      </c>
      <c r="L81" s="68">
        <f t="shared" si="28"/>
        <v>0</v>
      </c>
      <c r="M81" s="32"/>
      <c r="N81" s="32"/>
      <c r="O81" s="32"/>
      <c r="P81" s="32"/>
      <c r="Q81" s="32"/>
    </row>
    <row r="82" spans="1:17" ht="26.4" x14ac:dyDescent="0.25">
      <c r="A82" s="52" t="s">
        <v>269</v>
      </c>
      <c r="B82" s="112"/>
      <c r="C82" s="113" t="s">
        <v>142</v>
      </c>
      <c r="D82" s="33" t="s">
        <v>35</v>
      </c>
      <c r="E82" s="67">
        <f t="shared" si="23"/>
        <v>8</v>
      </c>
      <c r="F82" s="67"/>
      <c r="G82" s="68">
        <v>8</v>
      </c>
      <c r="H82" s="68">
        <v>6</v>
      </c>
      <c r="I82" s="68"/>
      <c r="J82" s="68"/>
      <c r="K82" s="68"/>
      <c r="L82" s="90"/>
      <c r="M82" s="32"/>
      <c r="N82" s="32"/>
      <c r="O82" s="32"/>
      <c r="P82" s="32"/>
      <c r="Q82" s="32"/>
    </row>
    <row r="83" spans="1:17" ht="15.75" customHeight="1" x14ac:dyDescent="0.25">
      <c r="A83" s="52">
        <v>29</v>
      </c>
      <c r="B83" s="33"/>
      <c r="C83" s="114" t="s">
        <v>20</v>
      </c>
      <c r="D83" s="33"/>
      <c r="E83" s="61">
        <f>+G83+K83</f>
        <v>4397.5</v>
      </c>
      <c r="F83" s="61">
        <f>+H83+L83</f>
        <v>2503.4</v>
      </c>
      <c r="G83" s="61">
        <f t="shared" ref="G83:L83" si="29">+G13+G29+G35+G44+G47+G54+G65+G75+G80</f>
        <v>1162.2</v>
      </c>
      <c r="H83" s="61">
        <f t="shared" si="29"/>
        <v>967.80000000000007</v>
      </c>
      <c r="I83" s="61">
        <f t="shared" si="29"/>
        <v>233.39999999999998</v>
      </c>
      <c r="J83" s="61">
        <f t="shared" si="29"/>
        <v>222.1</v>
      </c>
      <c r="K83" s="61">
        <f t="shared" si="29"/>
        <v>3235.2999999999997</v>
      </c>
      <c r="L83" s="61">
        <f t="shared" si="29"/>
        <v>1535.6</v>
      </c>
      <c r="M83" s="32"/>
      <c r="N83" s="32"/>
      <c r="O83" s="32"/>
      <c r="P83" s="32"/>
      <c r="Q83" s="32"/>
    </row>
    <row r="84" spans="1:17" x14ac:dyDescent="0.25">
      <c r="C84" s="39" t="s">
        <v>83</v>
      </c>
      <c r="E84" s="70"/>
      <c r="F84" s="70"/>
      <c r="G84" s="70"/>
      <c r="H84" s="70"/>
      <c r="I84" s="70"/>
      <c r="J84" s="70"/>
      <c r="K84" s="70"/>
    </row>
    <row r="85" spans="1:17" x14ac:dyDescent="0.25">
      <c r="D85" s="41"/>
      <c r="E85" s="70"/>
      <c r="F85" s="70"/>
      <c r="G85" s="70"/>
      <c r="H85" s="70"/>
      <c r="I85" s="70"/>
      <c r="J85" s="70"/>
      <c r="K85" s="70"/>
    </row>
    <row r="86" spans="1:17" x14ac:dyDescent="0.25">
      <c r="C86" s="96"/>
      <c r="E86" s="70"/>
      <c r="F86" s="70"/>
      <c r="G86" s="115"/>
      <c r="H86" s="115"/>
      <c r="I86" s="115"/>
      <c r="J86" s="115"/>
      <c r="K86" s="115"/>
    </row>
    <row r="87" spans="1:17" x14ac:dyDescent="0.25">
      <c r="E87" s="70"/>
      <c r="F87" s="70"/>
      <c r="G87" s="70"/>
      <c r="H87" s="70"/>
      <c r="I87" s="70"/>
      <c r="J87" s="70"/>
      <c r="K87" s="70"/>
    </row>
    <row r="88" spans="1:17" x14ac:dyDescent="0.25">
      <c r="C88" s="48"/>
      <c r="D88" s="41"/>
      <c r="E88" s="70"/>
      <c r="F88" s="70"/>
      <c r="G88" s="70"/>
      <c r="H88" s="70"/>
      <c r="I88" s="70"/>
      <c r="J88" s="70"/>
      <c r="K88" s="70"/>
    </row>
    <row r="89" spans="1:17" x14ac:dyDescent="0.25">
      <c r="C89" s="48"/>
      <c r="D89" s="41"/>
      <c r="E89" s="70"/>
      <c r="F89" s="70"/>
      <c r="G89" s="70"/>
      <c r="H89" s="70"/>
      <c r="I89" s="70"/>
      <c r="J89" s="70"/>
    </row>
    <row r="90" spans="1:17" x14ac:dyDescent="0.25">
      <c r="C90" s="87"/>
      <c r="E90" s="70"/>
      <c r="F90" s="70"/>
      <c r="G90" s="70"/>
      <c r="H90" s="70"/>
      <c r="I90" s="70"/>
      <c r="J90" s="70"/>
      <c r="K90" s="70"/>
    </row>
    <row r="91" spans="1:17" x14ac:dyDescent="0.25">
      <c r="C91" s="87"/>
      <c r="E91" s="70"/>
      <c r="F91" s="70"/>
      <c r="G91" s="70"/>
      <c r="H91" s="70"/>
      <c r="I91" s="70"/>
      <c r="J91" s="70"/>
      <c r="K91" s="70"/>
    </row>
    <row r="92" spans="1:17" x14ac:dyDescent="0.25">
      <c r="E92" s="70"/>
      <c r="F92" s="70"/>
      <c r="I92" s="70"/>
      <c r="J92" s="70"/>
    </row>
    <row r="93" spans="1:17" x14ac:dyDescent="0.25">
      <c r="C93" s="48"/>
      <c r="E93" s="70"/>
      <c r="F93" s="70"/>
      <c r="G93" s="70"/>
      <c r="H93" s="70"/>
      <c r="I93" s="70"/>
      <c r="J93" s="70"/>
      <c r="K93" s="70"/>
    </row>
    <row r="94" spans="1:17" x14ac:dyDescent="0.25">
      <c r="C94" s="48"/>
    </row>
    <row r="95" spans="1:17" x14ac:dyDescent="0.25">
      <c r="C95" s="48"/>
    </row>
    <row r="96" spans="1:17" x14ac:dyDescent="0.25">
      <c r="C96" s="48"/>
      <c r="E96" s="26"/>
      <c r="F96" s="26"/>
    </row>
    <row r="97" spans="3:11" x14ac:dyDescent="0.25">
      <c r="C97" s="48"/>
      <c r="E97" s="26"/>
      <c r="F97" s="26"/>
      <c r="G97" s="70"/>
      <c r="H97" s="70"/>
      <c r="I97" s="70"/>
      <c r="J97" s="70"/>
      <c r="K97" s="70"/>
    </row>
    <row r="98" spans="3:11" x14ac:dyDescent="0.25">
      <c r="C98" s="83"/>
      <c r="D98" s="39"/>
      <c r="E98" s="26"/>
      <c r="F98" s="26"/>
      <c r="G98" s="70"/>
      <c r="H98" s="70"/>
      <c r="I98" s="70"/>
      <c r="J98" s="70"/>
      <c r="K98" s="70"/>
    </row>
    <row r="99" spans="3:11" x14ac:dyDescent="0.25">
      <c r="C99" s="84"/>
      <c r="D99" s="70"/>
      <c r="E99" s="26"/>
      <c r="F99" s="26"/>
    </row>
    <row r="100" spans="3:11" x14ac:dyDescent="0.25">
      <c r="C100" s="48"/>
      <c r="D100" s="70"/>
    </row>
    <row r="101" spans="3:11" x14ac:dyDescent="0.25">
      <c r="C101" s="48"/>
      <c r="D101" s="116"/>
    </row>
    <row r="102" spans="3:11" x14ac:dyDescent="0.25">
      <c r="C102" s="48"/>
      <c r="E102" s="117"/>
      <c r="F102" s="117"/>
    </row>
    <row r="103" spans="3:11" x14ac:dyDescent="0.25">
      <c r="C103" s="48"/>
    </row>
    <row r="104" spans="3:11" x14ac:dyDescent="0.25">
      <c r="D104" s="39"/>
      <c r="E104" s="117"/>
      <c r="F104" s="117"/>
    </row>
    <row r="105" spans="3:11" x14ac:dyDescent="0.25">
      <c r="E105" s="70"/>
      <c r="F105" s="70"/>
    </row>
    <row r="106" spans="3:11" x14ac:dyDescent="0.25">
      <c r="C106" s="48"/>
      <c r="E106" s="70"/>
      <c r="F106" s="70"/>
    </row>
  </sheetData>
  <mergeCells count="17">
    <mergeCell ref="K9:L10"/>
    <mergeCell ref="G9:J9"/>
    <mergeCell ref="G10:H10"/>
    <mergeCell ref="I10:J10"/>
    <mergeCell ref="G8:L8"/>
    <mergeCell ref="A8:A11"/>
    <mergeCell ref="B8:B11"/>
    <mergeCell ref="C8:C11"/>
    <mergeCell ref="D8:D11"/>
    <mergeCell ref="E8:F9"/>
    <mergeCell ref="F10:F11"/>
    <mergeCell ref="E10:E11"/>
    <mergeCell ref="A5:K5"/>
    <mergeCell ref="C1:L1"/>
    <mergeCell ref="C2:L2"/>
    <mergeCell ref="E3:L3"/>
    <mergeCell ref="I7:L7"/>
  </mergeCells>
  <phoneticPr fontId="5" type="noConversion"/>
  <pageMargins left="0.51181102362204722" right="0" top="0.74803149606299213" bottom="0.39370078740157483" header="0.31496062992125984" footer="0.31496062992125984"/>
  <pageSetup paperSize="9" fitToHeight="2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workbookViewId="0">
      <selection activeCell="C2" sqref="C2:L2"/>
    </sheetView>
  </sheetViews>
  <sheetFormatPr defaultColWidth="9.109375" defaultRowHeight="13.2" x14ac:dyDescent="0.25"/>
  <cols>
    <col min="1" max="1" width="3.88671875" style="39" customWidth="1"/>
    <col min="2" max="2" width="6.5546875" style="27" customWidth="1"/>
    <col min="3" max="3" width="51" style="96" customWidth="1"/>
    <col min="4" max="4" width="10.33203125" style="79" customWidth="1"/>
    <col min="5" max="5" width="8.5546875" style="151" customWidth="1"/>
    <col min="6" max="6" width="8.6640625" style="151" customWidth="1"/>
    <col min="7" max="8" width="7.6640625" style="151" customWidth="1"/>
    <col min="9" max="9" width="7.44140625" style="151" customWidth="1"/>
    <col min="10" max="10" width="8.44140625" style="151" customWidth="1"/>
    <col min="11" max="11" width="7.33203125" style="151" customWidth="1"/>
    <col min="12" max="12" width="9.109375" style="26"/>
    <col min="13" max="13" width="9.44140625" style="26" bestFit="1" customWidth="1"/>
    <col min="14" max="16384" width="9.109375" style="26"/>
  </cols>
  <sheetData>
    <row r="1" spans="1:15" ht="15.75" customHeight="1" x14ac:dyDescent="0.3">
      <c r="A1" s="240"/>
      <c r="B1" s="41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15" ht="15.6" x14ac:dyDescent="0.3">
      <c r="A2" s="240"/>
      <c r="B2" s="41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5" ht="14.25" customHeight="1" x14ac:dyDescent="0.25">
      <c r="A3" s="240"/>
      <c r="C3" s="118"/>
      <c r="D3" s="241"/>
      <c r="E3" s="392" t="s">
        <v>173</v>
      </c>
      <c r="F3" s="392"/>
      <c r="G3" s="392"/>
      <c r="H3" s="392"/>
      <c r="I3" s="392"/>
      <c r="J3" s="392"/>
      <c r="K3" s="392"/>
      <c r="L3" s="392"/>
    </row>
    <row r="4" spans="1:15" ht="12" customHeight="1" x14ac:dyDescent="0.25">
      <c r="C4" s="41"/>
      <c r="D4" s="41"/>
      <c r="E4" s="41"/>
      <c r="F4" s="41"/>
      <c r="G4" s="41"/>
      <c r="H4" s="41"/>
      <c r="I4" s="41"/>
      <c r="J4" s="41"/>
      <c r="K4" s="41"/>
    </row>
    <row r="5" spans="1:15" ht="25.5" customHeight="1" x14ac:dyDescent="0.25">
      <c r="A5" s="356" t="s">
        <v>613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</row>
    <row r="6" spans="1:15" x14ac:dyDescent="0.25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</row>
    <row r="7" spans="1:15" x14ac:dyDescent="0.25">
      <c r="J7" s="357" t="s">
        <v>91</v>
      </c>
      <c r="K7" s="357"/>
      <c r="L7" s="357"/>
    </row>
    <row r="8" spans="1:15" ht="35.25" customHeight="1" x14ac:dyDescent="0.25">
      <c r="A8" s="377" t="s">
        <v>0</v>
      </c>
      <c r="B8" s="411" t="s">
        <v>29</v>
      </c>
      <c r="C8" s="377" t="s">
        <v>16</v>
      </c>
      <c r="D8" s="411" t="s">
        <v>614</v>
      </c>
      <c r="E8" s="381" t="s">
        <v>615</v>
      </c>
      <c r="F8" s="406"/>
      <c r="G8" s="406"/>
      <c r="H8" s="406"/>
      <c r="I8" s="406"/>
      <c r="J8" s="406"/>
      <c r="K8" s="406"/>
      <c r="L8" s="382"/>
    </row>
    <row r="9" spans="1:15" x14ac:dyDescent="0.25">
      <c r="A9" s="407"/>
      <c r="B9" s="412"/>
      <c r="C9" s="407"/>
      <c r="D9" s="412"/>
      <c r="E9" s="381" t="s">
        <v>17</v>
      </c>
      <c r="F9" s="382"/>
      <c r="G9" s="381" t="s">
        <v>18</v>
      </c>
      <c r="H9" s="406"/>
      <c r="I9" s="406"/>
      <c r="J9" s="406"/>
      <c r="K9" s="406"/>
      <c r="L9" s="382"/>
    </row>
    <row r="10" spans="1:15" ht="13.2" customHeight="1" x14ac:dyDescent="0.25">
      <c r="A10" s="407"/>
      <c r="B10" s="412"/>
      <c r="C10" s="407"/>
      <c r="D10" s="412"/>
      <c r="E10" s="377" t="s">
        <v>277</v>
      </c>
      <c r="F10" s="377" t="s">
        <v>278</v>
      </c>
      <c r="G10" s="381" t="s">
        <v>162</v>
      </c>
      <c r="H10" s="406"/>
      <c r="I10" s="406"/>
      <c r="J10" s="382"/>
      <c r="K10" s="367" t="s">
        <v>30</v>
      </c>
      <c r="L10" s="368"/>
    </row>
    <row r="11" spans="1:15" ht="28.95" customHeight="1" x14ac:dyDescent="0.25">
      <c r="A11" s="407"/>
      <c r="B11" s="412"/>
      <c r="C11" s="407"/>
      <c r="D11" s="412"/>
      <c r="E11" s="407"/>
      <c r="F11" s="407"/>
      <c r="G11" s="381" t="s">
        <v>31</v>
      </c>
      <c r="H11" s="382"/>
      <c r="I11" s="381" t="s">
        <v>32</v>
      </c>
      <c r="J11" s="382"/>
      <c r="K11" s="369"/>
      <c r="L11" s="370"/>
    </row>
    <row r="12" spans="1:15" ht="22.95" customHeight="1" x14ac:dyDescent="0.25">
      <c r="A12" s="378"/>
      <c r="B12" s="413"/>
      <c r="C12" s="378"/>
      <c r="D12" s="413"/>
      <c r="E12" s="378"/>
      <c r="F12" s="378"/>
      <c r="G12" s="300" t="s">
        <v>277</v>
      </c>
      <c r="H12" s="229" t="s">
        <v>278</v>
      </c>
      <c r="I12" s="300" t="s">
        <v>277</v>
      </c>
      <c r="J12" s="229" t="s">
        <v>278</v>
      </c>
      <c r="K12" s="300" t="s">
        <v>277</v>
      </c>
      <c r="L12" s="229" t="s">
        <v>278</v>
      </c>
    </row>
    <row r="13" spans="1:15" s="142" customFormat="1" ht="12" customHeight="1" x14ac:dyDescent="0.25">
      <c r="A13" s="152">
        <v>1</v>
      </c>
      <c r="B13" s="29" t="s">
        <v>19</v>
      </c>
      <c r="C13" s="229">
        <v>3</v>
      </c>
      <c r="D13" s="29" t="s">
        <v>33</v>
      </c>
      <c r="E13" s="229">
        <v>5</v>
      </c>
      <c r="F13" s="229">
        <v>6</v>
      </c>
      <c r="G13" s="229">
        <v>7</v>
      </c>
      <c r="H13" s="229">
        <v>8</v>
      </c>
      <c r="I13" s="229">
        <v>9</v>
      </c>
      <c r="J13" s="229">
        <v>10</v>
      </c>
      <c r="K13" s="229">
        <v>11</v>
      </c>
      <c r="L13" s="194">
        <v>12</v>
      </c>
    </row>
    <row r="14" spans="1:15" s="142" customFormat="1" ht="20.100000000000001" customHeight="1" x14ac:dyDescent="0.25">
      <c r="A14" s="52">
        <v>1</v>
      </c>
      <c r="B14" s="29" t="s">
        <v>60</v>
      </c>
      <c r="C14" s="31" t="s">
        <v>61</v>
      </c>
      <c r="D14" s="29"/>
      <c r="E14" s="61">
        <f>+G14+K14</f>
        <v>486.2</v>
      </c>
      <c r="F14" s="61">
        <f>+H14+L14</f>
        <v>486.1</v>
      </c>
      <c r="G14" s="53">
        <f>SUM(G15+G17+G19+G21)</f>
        <v>486.2</v>
      </c>
      <c r="H14" s="53">
        <f t="shared" ref="H14:L14" si="0">SUM(H15+H17+H19+H21)</f>
        <v>486.1</v>
      </c>
      <c r="I14" s="53">
        <f t="shared" si="0"/>
        <v>315.89999999999998</v>
      </c>
      <c r="J14" s="53">
        <f t="shared" si="0"/>
        <v>315.8</v>
      </c>
      <c r="K14" s="53">
        <f t="shared" si="0"/>
        <v>0</v>
      </c>
      <c r="L14" s="53">
        <f t="shared" si="0"/>
        <v>0</v>
      </c>
      <c r="M14" s="132"/>
      <c r="N14" s="132"/>
      <c r="O14" s="132"/>
    </row>
    <row r="15" spans="1:15" s="142" customFormat="1" ht="12.6" customHeight="1" x14ac:dyDescent="0.25">
      <c r="A15" s="52">
        <v>2</v>
      </c>
      <c r="B15" s="55" t="s">
        <v>616</v>
      </c>
      <c r="C15" s="301" t="s">
        <v>617</v>
      </c>
      <c r="D15" s="55" t="s">
        <v>165</v>
      </c>
      <c r="E15" s="302">
        <f t="shared" ref="E15:J15" si="1">+E16</f>
        <v>264.60000000000002</v>
      </c>
      <c r="F15" s="302">
        <f t="shared" si="1"/>
        <v>264.60000000000002</v>
      </c>
      <c r="G15" s="302">
        <f t="shared" si="1"/>
        <v>264.60000000000002</v>
      </c>
      <c r="H15" s="302">
        <f t="shared" si="1"/>
        <v>264.60000000000002</v>
      </c>
      <c r="I15" s="302">
        <f t="shared" si="1"/>
        <v>213.2</v>
      </c>
      <c r="J15" s="302">
        <f t="shared" si="1"/>
        <v>213.2</v>
      </c>
      <c r="K15" s="302"/>
      <c r="L15" s="303"/>
      <c r="M15" s="132"/>
      <c r="N15" s="132"/>
      <c r="O15" s="132"/>
    </row>
    <row r="16" spans="1:15" s="142" customFormat="1" ht="12.6" customHeight="1" x14ac:dyDescent="0.25">
      <c r="A16" s="52">
        <v>3</v>
      </c>
      <c r="B16" s="29"/>
      <c r="C16" s="92" t="s">
        <v>159</v>
      </c>
      <c r="D16" s="29"/>
      <c r="E16" s="73">
        <f>+G16+K16</f>
        <v>264.60000000000002</v>
      </c>
      <c r="F16" s="57">
        <f t="shared" ref="F16:F22" si="2">+H16+L16</f>
        <v>264.60000000000002</v>
      </c>
      <c r="G16" s="73">
        <v>264.60000000000002</v>
      </c>
      <c r="H16" s="73">
        <v>264.60000000000002</v>
      </c>
      <c r="I16" s="73">
        <v>213.2</v>
      </c>
      <c r="J16" s="73">
        <v>213.2</v>
      </c>
      <c r="K16" s="73"/>
      <c r="L16" s="303"/>
      <c r="M16" s="132"/>
      <c r="N16" s="132"/>
      <c r="O16" s="132"/>
    </row>
    <row r="17" spans="1:15" s="142" customFormat="1" ht="12.6" customHeight="1" x14ac:dyDescent="0.25">
      <c r="A17" s="52">
        <v>4</v>
      </c>
      <c r="B17" s="55" t="s">
        <v>618</v>
      </c>
      <c r="C17" s="301" t="s">
        <v>619</v>
      </c>
      <c r="D17" s="55" t="s">
        <v>165</v>
      </c>
      <c r="E17" s="302">
        <f t="shared" ref="E17:J17" si="3">+E18</f>
        <v>131.5</v>
      </c>
      <c r="F17" s="302">
        <f t="shared" si="3"/>
        <v>131.5</v>
      </c>
      <c r="G17" s="302">
        <f t="shared" si="3"/>
        <v>131.5</v>
      </c>
      <c r="H17" s="302">
        <f t="shared" si="3"/>
        <v>131.5</v>
      </c>
      <c r="I17" s="302">
        <f t="shared" si="3"/>
        <v>99.8</v>
      </c>
      <c r="J17" s="302">
        <f t="shared" si="3"/>
        <v>99.8</v>
      </c>
      <c r="K17" s="302"/>
      <c r="L17" s="303"/>
      <c r="M17" s="132"/>
      <c r="N17" s="132"/>
      <c r="O17" s="132"/>
    </row>
    <row r="18" spans="1:15" s="142" customFormat="1" ht="12.6" customHeight="1" x14ac:dyDescent="0.25">
      <c r="A18" s="52">
        <v>5</v>
      </c>
      <c r="B18" s="55"/>
      <c r="C18" s="92" t="s">
        <v>159</v>
      </c>
      <c r="D18" s="29"/>
      <c r="E18" s="73">
        <f>+G18+K18</f>
        <v>131.5</v>
      </c>
      <c r="F18" s="57">
        <f t="shared" si="2"/>
        <v>131.5</v>
      </c>
      <c r="G18" s="73">
        <v>131.5</v>
      </c>
      <c r="H18" s="73">
        <v>131.5</v>
      </c>
      <c r="I18" s="73">
        <v>99.8</v>
      </c>
      <c r="J18" s="73">
        <v>99.8</v>
      </c>
      <c r="K18" s="73"/>
      <c r="L18" s="303"/>
      <c r="M18" s="132"/>
      <c r="N18" s="132"/>
      <c r="O18" s="132"/>
    </row>
    <row r="19" spans="1:15" s="142" customFormat="1" ht="12.6" customHeight="1" x14ac:dyDescent="0.25">
      <c r="A19" s="52">
        <v>6</v>
      </c>
      <c r="B19" s="55" t="s">
        <v>620</v>
      </c>
      <c r="C19" s="301" t="s">
        <v>621</v>
      </c>
      <c r="D19" s="55" t="s">
        <v>165</v>
      </c>
      <c r="E19" s="302">
        <f>+G19+K19</f>
        <v>87.2</v>
      </c>
      <c r="F19" s="302">
        <f>+H19+L19</f>
        <v>87.2</v>
      </c>
      <c r="G19" s="302">
        <f t="shared" ref="G19:L19" si="4">+G20</f>
        <v>87.2</v>
      </c>
      <c r="H19" s="302">
        <f t="shared" si="4"/>
        <v>87.2</v>
      </c>
      <c r="I19" s="302">
        <f t="shared" si="4"/>
        <v>0</v>
      </c>
      <c r="J19" s="302">
        <f t="shared" si="4"/>
        <v>0</v>
      </c>
      <c r="K19" s="302">
        <f t="shared" si="4"/>
        <v>0</v>
      </c>
      <c r="L19" s="302">
        <f t="shared" si="4"/>
        <v>0</v>
      </c>
      <c r="M19" s="132"/>
      <c r="N19" s="132"/>
      <c r="O19" s="132"/>
    </row>
    <row r="20" spans="1:15" s="142" customFormat="1" ht="12.6" customHeight="1" x14ac:dyDescent="0.25">
      <c r="A20" s="52">
        <v>7</v>
      </c>
      <c r="B20" s="55"/>
      <c r="C20" s="92" t="s">
        <v>159</v>
      </c>
      <c r="D20" s="29"/>
      <c r="E20" s="73">
        <f>+G20+K20</f>
        <v>87.2</v>
      </c>
      <c r="F20" s="57">
        <f t="shared" si="2"/>
        <v>87.2</v>
      </c>
      <c r="G20" s="73">
        <v>87.2</v>
      </c>
      <c r="H20" s="73">
        <v>87.2</v>
      </c>
      <c r="I20" s="73"/>
      <c r="J20" s="73"/>
      <c r="K20" s="73"/>
      <c r="L20" s="303"/>
      <c r="M20" s="132"/>
      <c r="N20" s="132"/>
      <c r="O20" s="132"/>
    </row>
    <row r="21" spans="1:15" s="142" customFormat="1" ht="12.6" customHeight="1" x14ac:dyDescent="0.25">
      <c r="A21" s="52">
        <v>8</v>
      </c>
      <c r="B21" s="55" t="s">
        <v>622</v>
      </c>
      <c r="C21" s="301" t="s">
        <v>623</v>
      </c>
      <c r="D21" s="55" t="s">
        <v>343</v>
      </c>
      <c r="E21" s="302">
        <f t="shared" ref="E21:L21" si="5">+E22</f>
        <v>2.9</v>
      </c>
      <c r="F21" s="302">
        <f t="shared" si="5"/>
        <v>2.8</v>
      </c>
      <c r="G21" s="302">
        <f t="shared" si="5"/>
        <v>2.9</v>
      </c>
      <c r="H21" s="302">
        <f t="shared" si="5"/>
        <v>2.8</v>
      </c>
      <c r="I21" s="302">
        <f t="shared" si="5"/>
        <v>2.9</v>
      </c>
      <c r="J21" s="302">
        <f t="shared" si="5"/>
        <v>2.8</v>
      </c>
      <c r="K21" s="302">
        <f t="shared" si="5"/>
        <v>0</v>
      </c>
      <c r="L21" s="302">
        <f t="shared" si="5"/>
        <v>0</v>
      </c>
      <c r="M21" s="132"/>
      <c r="N21" s="132"/>
      <c r="O21" s="132"/>
    </row>
    <row r="22" spans="1:15" s="142" customFormat="1" ht="12.6" customHeight="1" x14ac:dyDescent="0.25">
      <c r="A22" s="52">
        <v>9</v>
      </c>
      <c r="B22" s="29"/>
      <c r="C22" s="123" t="s">
        <v>3</v>
      </c>
      <c r="D22" s="29"/>
      <c r="E22" s="73">
        <f>+G22+K22</f>
        <v>2.9</v>
      </c>
      <c r="F22" s="57">
        <f t="shared" si="2"/>
        <v>2.8</v>
      </c>
      <c r="G22" s="73">
        <v>2.9</v>
      </c>
      <c r="H22" s="73">
        <v>2.8</v>
      </c>
      <c r="I22" s="73">
        <v>2.9</v>
      </c>
      <c r="J22" s="73">
        <v>2.8</v>
      </c>
      <c r="K22" s="73"/>
      <c r="L22" s="303"/>
      <c r="M22" s="132"/>
      <c r="N22" s="132"/>
      <c r="O22" s="132"/>
    </row>
    <row r="23" spans="1:15" ht="20.100000000000001" customHeight="1" x14ac:dyDescent="0.25">
      <c r="A23" s="52">
        <v>10</v>
      </c>
      <c r="B23" s="30" t="s">
        <v>21</v>
      </c>
      <c r="C23" s="59" t="s">
        <v>22</v>
      </c>
      <c r="D23" s="239"/>
      <c r="E23" s="61">
        <f>+G23+K23</f>
        <v>2781.1</v>
      </c>
      <c r="F23" s="61">
        <f>+H23+L23</f>
        <v>2662</v>
      </c>
      <c r="G23" s="61">
        <f t="shared" ref="G23:L23" si="6">SUM(G24+G31+G33+G46+G48)</f>
        <v>2781.1</v>
      </c>
      <c r="H23" s="61">
        <f t="shared" si="6"/>
        <v>2662</v>
      </c>
      <c r="I23" s="61">
        <f t="shared" si="6"/>
        <v>1252.8000000000002</v>
      </c>
      <c r="J23" s="61">
        <f t="shared" si="6"/>
        <v>1251.8000000000002</v>
      </c>
      <c r="K23" s="61">
        <f t="shared" si="6"/>
        <v>0</v>
      </c>
      <c r="L23" s="61">
        <f t="shared" si="6"/>
        <v>0</v>
      </c>
      <c r="M23" s="32"/>
      <c r="N23" s="32"/>
      <c r="O23" s="32"/>
    </row>
    <row r="24" spans="1:15" ht="24.9" customHeight="1" x14ac:dyDescent="0.25">
      <c r="A24" s="52">
        <v>11</v>
      </c>
      <c r="B24" s="239" t="s">
        <v>624</v>
      </c>
      <c r="C24" s="301" t="s">
        <v>625</v>
      </c>
      <c r="D24" s="49" t="s">
        <v>24</v>
      </c>
      <c r="E24" s="119">
        <f t="shared" ref="E24:L24" si="7">SUM(E25:E29)</f>
        <v>960.30000000000007</v>
      </c>
      <c r="F24" s="119">
        <f t="shared" si="7"/>
        <v>945.30000000000007</v>
      </c>
      <c r="G24" s="119">
        <f t="shared" si="7"/>
        <v>960.30000000000007</v>
      </c>
      <c r="H24" s="119">
        <f t="shared" si="7"/>
        <v>945.30000000000007</v>
      </c>
      <c r="I24" s="119">
        <f t="shared" si="7"/>
        <v>572.20000000000005</v>
      </c>
      <c r="J24" s="119">
        <f t="shared" si="7"/>
        <v>572.20000000000005</v>
      </c>
      <c r="K24" s="119">
        <f t="shared" si="7"/>
        <v>0</v>
      </c>
      <c r="L24" s="119">
        <f t="shared" si="7"/>
        <v>0</v>
      </c>
      <c r="M24" s="32"/>
      <c r="N24" s="32"/>
      <c r="O24" s="32"/>
    </row>
    <row r="25" spans="1:15" ht="12.6" customHeight="1" x14ac:dyDescent="0.25">
      <c r="A25" s="52">
        <v>12</v>
      </c>
      <c r="B25" s="239"/>
      <c r="C25" s="60" t="s">
        <v>1</v>
      </c>
      <c r="D25" s="49"/>
      <c r="E25" s="57">
        <f t="shared" ref="E25:F30" si="8">+G25+K25</f>
        <v>341.1</v>
      </c>
      <c r="F25" s="57">
        <f t="shared" si="8"/>
        <v>341.1</v>
      </c>
      <c r="G25" s="57">
        <f>197.1+144</f>
        <v>341.1</v>
      </c>
      <c r="H25" s="57">
        <v>341.1</v>
      </c>
      <c r="I25" s="57">
        <f>194+140.5</f>
        <v>334.5</v>
      </c>
      <c r="J25" s="57">
        <v>334.5</v>
      </c>
      <c r="K25" s="57"/>
      <c r="L25" s="303"/>
      <c r="M25" s="32"/>
      <c r="N25" s="32"/>
      <c r="O25" s="32"/>
    </row>
    <row r="26" spans="1:15" ht="12.6" customHeight="1" x14ac:dyDescent="0.25">
      <c r="A26" s="52">
        <v>13</v>
      </c>
      <c r="B26" s="239"/>
      <c r="C26" s="91" t="s">
        <v>2</v>
      </c>
      <c r="D26" s="49"/>
      <c r="E26" s="57">
        <f t="shared" si="8"/>
        <v>129.80000000000001</v>
      </c>
      <c r="F26" s="57">
        <f t="shared" si="8"/>
        <v>129.80000000000001</v>
      </c>
      <c r="G26" s="57">
        <f>108.9+20.9</f>
        <v>129.80000000000001</v>
      </c>
      <c r="H26" s="57">
        <v>129.80000000000001</v>
      </c>
      <c r="I26" s="57">
        <f>92+10</f>
        <v>102</v>
      </c>
      <c r="J26" s="57">
        <v>102</v>
      </c>
      <c r="K26" s="57"/>
      <c r="L26" s="303"/>
      <c r="M26" s="32"/>
      <c r="N26" s="32"/>
      <c r="O26" s="32"/>
    </row>
    <row r="27" spans="1:15" ht="12.6" customHeight="1" x14ac:dyDescent="0.25">
      <c r="A27" s="52">
        <v>14</v>
      </c>
      <c r="B27" s="239"/>
      <c r="C27" s="91" t="s">
        <v>15</v>
      </c>
      <c r="D27" s="49"/>
      <c r="E27" s="57">
        <f t="shared" si="8"/>
        <v>81</v>
      </c>
      <c r="F27" s="57">
        <f t="shared" si="8"/>
        <v>81</v>
      </c>
      <c r="G27" s="57">
        <f>64.7+16.3</f>
        <v>81</v>
      </c>
      <c r="H27" s="57">
        <v>81</v>
      </c>
      <c r="I27" s="57">
        <f>42.6+16.1</f>
        <v>58.7</v>
      </c>
      <c r="J27" s="57">
        <v>58.7</v>
      </c>
      <c r="K27" s="57"/>
      <c r="L27" s="303"/>
      <c r="M27" s="32"/>
      <c r="N27" s="32"/>
      <c r="O27" s="32"/>
    </row>
    <row r="28" spans="1:15" ht="12.6" customHeight="1" x14ac:dyDescent="0.25">
      <c r="A28" s="52">
        <v>15</v>
      </c>
      <c r="B28" s="239"/>
      <c r="C28" s="91" t="s">
        <v>290</v>
      </c>
      <c r="D28" s="49"/>
      <c r="E28" s="57">
        <f t="shared" si="8"/>
        <v>85.4</v>
      </c>
      <c r="F28" s="57">
        <f t="shared" si="8"/>
        <v>85.4</v>
      </c>
      <c r="G28" s="57">
        <f>67.7+17.7</f>
        <v>85.4</v>
      </c>
      <c r="H28" s="57">
        <v>85.4</v>
      </c>
      <c r="I28" s="57">
        <f>60.3+16.7</f>
        <v>77</v>
      </c>
      <c r="J28" s="57">
        <v>77</v>
      </c>
      <c r="K28" s="57"/>
      <c r="L28" s="303"/>
      <c r="M28" s="32"/>
      <c r="N28" s="32"/>
      <c r="O28" s="32"/>
    </row>
    <row r="29" spans="1:15" ht="12.6" customHeight="1" x14ac:dyDescent="0.25">
      <c r="A29" s="416">
        <v>16</v>
      </c>
      <c r="B29" s="418"/>
      <c r="C29" s="123" t="s">
        <v>3</v>
      </c>
      <c r="D29" s="49"/>
      <c r="E29" s="57">
        <f t="shared" si="8"/>
        <v>323</v>
      </c>
      <c r="F29" s="57">
        <f t="shared" si="8"/>
        <v>308</v>
      </c>
      <c r="G29" s="57">
        <f>270+53</f>
        <v>323</v>
      </c>
      <c r="H29" s="57">
        <v>308</v>
      </c>
      <c r="I29" s="57"/>
      <c r="J29" s="57"/>
      <c r="K29" s="57"/>
      <c r="L29" s="303"/>
      <c r="M29" s="32"/>
      <c r="N29" s="32"/>
      <c r="O29" s="32"/>
    </row>
    <row r="30" spans="1:15" ht="26.4" x14ac:dyDescent="0.25">
      <c r="A30" s="417"/>
      <c r="B30" s="419"/>
      <c r="C30" s="60" t="s">
        <v>626</v>
      </c>
      <c r="D30" s="49"/>
      <c r="E30" s="57">
        <f t="shared" si="8"/>
        <v>45.6</v>
      </c>
      <c r="F30" s="176">
        <f t="shared" si="8"/>
        <v>0</v>
      </c>
      <c r="G30" s="57">
        <v>45.6</v>
      </c>
      <c r="H30" s="176">
        <v>0</v>
      </c>
      <c r="I30" s="57"/>
      <c r="J30" s="57"/>
      <c r="K30" s="57"/>
      <c r="L30" s="303"/>
      <c r="M30" s="32"/>
      <c r="N30" s="32"/>
      <c r="O30" s="32"/>
    </row>
    <row r="31" spans="1:15" ht="24.9" customHeight="1" x14ac:dyDescent="0.25">
      <c r="A31" s="52">
        <v>17</v>
      </c>
      <c r="B31" s="239" t="s">
        <v>627</v>
      </c>
      <c r="C31" s="301" t="s">
        <v>628</v>
      </c>
      <c r="D31" s="239" t="s">
        <v>23</v>
      </c>
      <c r="E31" s="119">
        <f t="shared" ref="E31:J31" si="9">SUM(E32:E32)</f>
        <v>681.7</v>
      </c>
      <c r="F31" s="119">
        <f t="shared" si="9"/>
        <v>681.7</v>
      </c>
      <c r="G31" s="119">
        <f t="shared" si="9"/>
        <v>681.7</v>
      </c>
      <c r="H31" s="119">
        <f t="shared" si="9"/>
        <v>681.7</v>
      </c>
      <c r="I31" s="119">
        <f t="shared" si="9"/>
        <v>656.1</v>
      </c>
      <c r="J31" s="119">
        <f t="shared" si="9"/>
        <v>656.1</v>
      </c>
      <c r="K31" s="119"/>
      <c r="L31" s="303"/>
      <c r="M31" s="32"/>
      <c r="N31" s="32"/>
      <c r="O31" s="32"/>
    </row>
    <row r="32" spans="1:15" ht="12.6" customHeight="1" x14ac:dyDescent="0.25">
      <c r="A32" s="52">
        <v>18</v>
      </c>
      <c r="B32" s="239"/>
      <c r="C32" s="60" t="s">
        <v>102</v>
      </c>
      <c r="D32" s="239"/>
      <c r="E32" s="57">
        <f>+G32+K32</f>
        <v>681.7</v>
      </c>
      <c r="F32" s="57">
        <f>+H32+L32</f>
        <v>681.7</v>
      </c>
      <c r="G32" s="57">
        <f>644.2+9.6+27.9</f>
        <v>681.7</v>
      </c>
      <c r="H32" s="57">
        <v>681.7</v>
      </c>
      <c r="I32" s="57">
        <f>619.5+9.6+27</f>
        <v>656.1</v>
      </c>
      <c r="J32" s="57">
        <v>656.1</v>
      </c>
      <c r="K32" s="119"/>
      <c r="L32" s="303"/>
      <c r="M32" s="32"/>
      <c r="N32" s="32"/>
      <c r="O32" s="32"/>
    </row>
    <row r="33" spans="1:17" ht="45.6" customHeight="1" x14ac:dyDescent="0.25">
      <c r="A33" s="52">
        <v>19</v>
      </c>
      <c r="B33" s="239" t="s">
        <v>629</v>
      </c>
      <c r="C33" s="301" t="s">
        <v>630</v>
      </c>
      <c r="D33" s="55" t="s">
        <v>631</v>
      </c>
      <c r="E33" s="119">
        <f t="shared" ref="E33:J33" si="10">SUM(E34:E45)</f>
        <v>355.50000000000006</v>
      </c>
      <c r="F33" s="119">
        <f t="shared" si="10"/>
        <v>334.79999999999995</v>
      </c>
      <c r="G33" s="119">
        <f t="shared" si="10"/>
        <v>355.50000000000006</v>
      </c>
      <c r="H33" s="119">
        <f t="shared" si="10"/>
        <v>334.79999999999995</v>
      </c>
      <c r="I33" s="119">
        <f t="shared" si="10"/>
        <v>9.6999999999999993</v>
      </c>
      <c r="J33" s="119">
        <f t="shared" si="10"/>
        <v>9.4</v>
      </c>
      <c r="K33" s="119"/>
      <c r="L33" s="303"/>
      <c r="M33" s="32"/>
      <c r="N33" s="32"/>
      <c r="O33" s="32"/>
      <c r="P33" s="77"/>
      <c r="Q33" s="77"/>
    </row>
    <row r="34" spans="1:17" ht="12.6" customHeight="1" x14ac:dyDescent="0.25">
      <c r="A34" s="52">
        <v>20</v>
      </c>
      <c r="B34" s="239"/>
      <c r="C34" s="123" t="s">
        <v>3</v>
      </c>
      <c r="D34" s="55"/>
      <c r="E34" s="57">
        <f>+G34+K34</f>
        <v>5.4</v>
      </c>
      <c r="F34" s="57">
        <f>+H34+L34</f>
        <v>4.9000000000000004</v>
      </c>
      <c r="G34" s="57">
        <f>5.8+1.6-2</f>
        <v>5.4</v>
      </c>
      <c r="H34" s="57">
        <v>4.9000000000000004</v>
      </c>
      <c r="I34" s="57"/>
      <c r="J34" s="57"/>
      <c r="K34" s="57"/>
      <c r="L34" s="303"/>
      <c r="M34" s="32"/>
      <c r="N34" s="32"/>
      <c r="O34" s="32"/>
    </row>
    <row r="35" spans="1:17" ht="24.9" customHeight="1" x14ac:dyDescent="0.25">
      <c r="A35" s="52">
        <v>21</v>
      </c>
      <c r="B35" s="239"/>
      <c r="C35" s="58" t="s">
        <v>8</v>
      </c>
      <c r="D35" s="239"/>
      <c r="E35" s="57">
        <f>+G35+K35</f>
        <v>184.8</v>
      </c>
      <c r="F35" s="57">
        <f t="shared" ref="F35:F45" si="11">+H35+L35</f>
        <v>177</v>
      </c>
      <c r="G35" s="57">
        <f>155.8+66.8-28.2-12.3+2.7</f>
        <v>184.8</v>
      </c>
      <c r="H35" s="57">
        <v>177</v>
      </c>
      <c r="I35" s="57">
        <f>4.4+0.8</f>
        <v>5.2</v>
      </c>
      <c r="J35" s="57">
        <v>5.2</v>
      </c>
      <c r="K35" s="57"/>
      <c r="L35" s="303"/>
      <c r="M35" s="32"/>
      <c r="N35" s="32"/>
      <c r="O35" s="32"/>
    </row>
    <row r="36" spans="1:17" ht="12.6" customHeight="1" x14ac:dyDescent="0.25">
      <c r="A36" s="52">
        <v>22</v>
      </c>
      <c r="B36" s="239"/>
      <c r="C36" s="58" t="s">
        <v>4</v>
      </c>
      <c r="D36" s="239"/>
      <c r="E36" s="57">
        <f t="shared" ref="E36:F47" si="12">+G36+K36</f>
        <v>33.299999999999997</v>
      </c>
      <c r="F36" s="57">
        <f t="shared" si="11"/>
        <v>31.1</v>
      </c>
      <c r="G36" s="57">
        <f>22.4+6.1+4.5+0.3</f>
        <v>33.299999999999997</v>
      </c>
      <c r="H36" s="57">
        <v>31.1</v>
      </c>
      <c r="I36" s="57">
        <f>0.7+0.3</f>
        <v>1</v>
      </c>
      <c r="J36" s="57">
        <v>1</v>
      </c>
      <c r="K36" s="57"/>
      <c r="L36" s="303"/>
      <c r="M36" s="32"/>
      <c r="N36" s="32"/>
      <c r="O36" s="32"/>
    </row>
    <row r="37" spans="1:17" ht="12.6" customHeight="1" x14ac:dyDescent="0.25">
      <c r="A37" s="52">
        <v>23</v>
      </c>
      <c r="B37" s="239"/>
      <c r="C37" s="58" t="s">
        <v>5</v>
      </c>
      <c r="D37" s="239"/>
      <c r="E37" s="57">
        <f t="shared" si="12"/>
        <v>7.5000000000000018</v>
      </c>
      <c r="F37" s="57">
        <f t="shared" si="11"/>
        <v>7.1</v>
      </c>
      <c r="G37" s="57">
        <f>8.8-1.1-2.3+2.1</f>
        <v>7.5000000000000018</v>
      </c>
      <c r="H37" s="57">
        <v>7.1</v>
      </c>
      <c r="I37" s="57">
        <f>0.3-0.1</f>
        <v>0.19999999999999998</v>
      </c>
      <c r="J37" s="57">
        <v>0.2</v>
      </c>
      <c r="K37" s="57"/>
      <c r="L37" s="303"/>
      <c r="M37" s="32"/>
      <c r="N37" s="32"/>
      <c r="O37" s="32"/>
    </row>
    <row r="38" spans="1:17" ht="12.6" customHeight="1" x14ac:dyDescent="0.25">
      <c r="A38" s="52">
        <v>24</v>
      </c>
      <c r="B38" s="239"/>
      <c r="C38" s="58" t="s">
        <v>7</v>
      </c>
      <c r="D38" s="239"/>
      <c r="E38" s="57">
        <f>+G38+K38</f>
        <v>22.3</v>
      </c>
      <c r="F38" s="57">
        <f t="shared" si="11"/>
        <v>20.3</v>
      </c>
      <c r="G38" s="57">
        <f>19.2+2.1+1</f>
        <v>22.3</v>
      </c>
      <c r="H38" s="57">
        <v>20.3</v>
      </c>
      <c r="I38" s="57">
        <v>0.6</v>
      </c>
      <c r="J38" s="57">
        <v>0.5</v>
      </c>
      <c r="K38" s="57"/>
      <c r="L38" s="303"/>
      <c r="M38" s="32"/>
      <c r="N38" s="32"/>
      <c r="O38" s="32"/>
    </row>
    <row r="39" spans="1:17" ht="12.6" customHeight="1" x14ac:dyDescent="0.25">
      <c r="A39" s="52">
        <v>25</v>
      </c>
      <c r="B39" s="239"/>
      <c r="C39" s="58" t="s">
        <v>6</v>
      </c>
      <c r="D39" s="239"/>
      <c r="E39" s="57">
        <f t="shared" si="12"/>
        <v>18.100000000000001</v>
      </c>
      <c r="F39" s="57">
        <f t="shared" si="11"/>
        <v>17</v>
      </c>
      <c r="G39" s="57">
        <f>13.9+4.2-1.3+1.3</f>
        <v>18.100000000000001</v>
      </c>
      <c r="H39" s="57">
        <v>17</v>
      </c>
      <c r="I39" s="57">
        <f>0.4+0.1</f>
        <v>0.5</v>
      </c>
      <c r="J39" s="57">
        <v>0.4</v>
      </c>
      <c r="K39" s="57"/>
      <c r="L39" s="303"/>
      <c r="M39" s="32"/>
      <c r="N39" s="32"/>
      <c r="O39" s="32"/>
    </row>
    <row r="40" spans="1:17" ht="12.6" customHeight="1" x14ac:dyDescent="0.25">
      <c r="A40" s="52">
        <v>26</v>
      </c>
      <c r="B40" s="239"/>
      <c r="C40" s="58" t="s">
        <v>9</v>
      </c>
      <c r="D40" s="239"/>
      <c r="E40" s="57">
        <f t="shared" si="12"/>
        <v>20.8</v>
      </c>
      <c r="F40" s="57">
        <f t="shared" si="11"/>
        <v>18.8</v>
      </c>
      <c r="G40" s="57">
        <f>12.8+12.2-4.2</f>
        <v>20.8</v>
      </c>
      <c r="H40" s="57">
        <v>18.8</v>
      </c>
      <c r="I40" s="57">
        <f>0.4+0.2</f>
        <v>0.60000000000000009</v>
      </c>
      <c r="J40" s="57">
        <v>0.5</v>
      </c>
      <c r="K40" s="57"/>
      <c r="L40" s="303"/>
      <c r="M40" s="32"/>
      <c r="N40" s="32"/>
      <c r="O40" s="32"/>
    </row>
    <row r="41" spans="1:17" ht="12.6" customHeight="1" x14ac:dyDescent="0.25">
      <c r="A41" s="52">
        <v>27</v>
      </c>
      <c r="B41" s="239"/>
      <c r="C41" s="60" t="s">
        <v>10</v>
      </c>
      <c r="D41" s="239"/>
      <c r="E41" s="57">
        <f t="shared" si="12"/>
        <v>10.100000000000001</v>
      </c>
      <c r="F41" s="57">
        <f t="shared" si="11"/>
        <v>9.1999999999999993</v>
      </c>
      <c r="G41" s="57">
        <f>5.5+2-0.6+1.3+1.9</f>
        <v>10.100000000000001</v>
      </c>
      <c r="H41" s="57">
        <v>9.1999999999999993</v>
      </c>
      <c r="I41" s="57">
        <v>0.2</v>
      </c>
      <c r="J41" s="57">
        <v>0.2</v>
      </c>
      <c r="K41" s="278"/>
      <c r="L41" s="303"/>
      <c r="M41" s="32"/>
      <c r="N41" s="32"/>
      <c r="O41" s="32"/>
    </row>
    <row r="42" spans="1:17" ht="12.6" customHeight="1" x14ac:dyDescent="0.25">
      <c r="A42" s="52">
        <v>28</v>
      </c>
      <c r="B42" s="239"/>
      <c r="C42" s="58" t="s">
        <v>12</v>
      </c>
      <c r="D42" s="239"/>
      <c r="E42" s="57">
        <f>+G42+K42</f>
        <v>8.5</v>
      </c>
      <c r="F42" s="57">
        <f t="shared" si="11"/>
        <v>7.2</v>
      </c>
      <c r="G42" s="57">
        <f>6.9+1.6</f>
        <v>8.5</v>
      </c>
      <c r="H42" s="57">
        <v>7.2</v>
      </c>
      <c r="I42" s="57">
        <v>0.2</v>
      </c>
      <c r="J42" s="57">
        <v>0.2</v>
      </c>
      <c r="K42" s="57"/>
      <c r="L42" s="303"/>
      <c r="M42" s="32"/>
      <c r="N42" s="32"/>
      <c r="O42" s="32"/>
    </row>
    <row r="43" spans="1:17" ht="12.6" customHeight="1" x14ac:dyDescent="0.25">
      <c r="A43" s="52">
        <v>29</v>
      </c>
      <c r="B43" s="239"/>
      <c r="C43" s="58" t="s">
        <v>11</v>
      </c>
      <c r="D43" s="239"/>
      <c r="E43" s="57">
        <f t="shared" si="12"/>
        <v>16.399999999999999</v>
      </c>
      <c r="F43" s="57">
        <f t="shared" si="11"/>
        <v>16.399999999999999</v>
      </c>
      <c r="G43" s="57">
        <f>12+1+2.1+1.3</f>
        <v>16.399999999999999</v>
      </c>
      <c r="H43" s="57">
        <v>16.399999999999999</v>
      </c>
      <c r="I43" s="57">
        <v>0.4</v>
      </c>
      <c r="J43" s="57">
        <v>0.4</v>
      </c>
      <c r="K43" s="57"/>
      <c r="L43" s="303"/>
      <c r="M43" s="32"/>
      <c r="N43" s="32"/>
      <c r="O43" s="32"/>
    </row>
    <row r="44" spans="1:17" ht="12.6" customHeight="1" x14ac:dyDescent="0.25">
      <c r="A44" s="52">
        <v>30</v>
      </c>
      <c r="B44" s="239"/>
      <c r="C44" s="58" t="s">
        <v>13</v>
      </c>
      <c r="D44" s="239"/>
      <c r="E44" s="57">
        <f t="shared" si="12"/>
        <v>10.199999999999999</v>
      </c>
      <c r="F44" s="57">
        <f t="shared" si="11"/>
        <v>9.3000000000000007</v>
      </c>
      <c r="G44" s="57">
        <f>5.6+3.8+0.8</f>
        <v>10.199999999999999</v>
      </c>
      <c r="H44" s="57">
        <v>9.3000000000000007</v>
      </c>
      <c r="I44" s="57">
        <f>0.2+0.1</f>
        <v>0.30000000000000004</v>
      </c>
      <c r="J44" s="57">
        <v>0.3</v>
      </c>
      <c r="K44" s="57"/>
      <c r="L44" s="303"/>
      <c r="M44" s="32"/>
      <c r="N44" s="32"/>
      <c r="O44" s="32"/>
    </row>
    <row r="45" spans="1:17" ht="12.6" customHeight="1" x14ac:dyDescent="0.25">
      <c r="A45" s="52">
        <v>31</v>
      </c>
      <c r="B45" s="239"/>
      <c r="C45" s="58" t="s">
        <v>14</v>
      </c>
      <c r="D45" s="239"/>
      <c r="E45" s="57">
        <f t="shared" si="12"/>
        <v>18.100000000000001</v>
      </c>
      <c r="F45" s="57">
        <f t="shared" si="11"/>
        <v>16.5</v>
      </c>
      <c r="G45" s="57">
        <f>18.3+1.5-3+1.3</f>
        <v>18.100000000000001</v>
      </c>
      <c r="H45" s="57">
        <v>16.5</v>
      </c>
      <c r="I45" s="57">
        <v>0.5</v>
      </c>
      <c r="J45" s="57">
        <v>0.5</v>
      </c>
      <c r="K45" s="57"/>
      <c r="L45" s="303"/>
      <c r="M45" s="32"/>
      <c r="N45" s="32"/>
      <c r="O45" s="32"/>
    </row>
    <row r="46" spans="1:17" ht="29.25" customHeight="1" x14ac:dyDescent="0.25">
      <c r="A46" s="52">
        <v>32</v>
      </c>
      <c r="B46" s="239" t="s">
        <v>632</v>
      </c>
      <c r="C46" s="304" t="s">
        <v>633</v>
      </c>
      <c r="D46" s="239" t="s">
        <v>34</v>
      </c>
      <c r="E46" s="119">
        <f t="shared" ref="E46:J46" si="13">+E47</f>
        <v>779.9</v>
      </c>
      <c r="F46" s="119">
        <f t="shared" si="13"/>
        <v>697</v>
      </c>
      <c r="G46" s="119">
        <f t="shared" si="13"/>
        <v>779.9</v>
      </c>
      <c r="H46" s="119">
        <f t="shared" si="13"/>
        <v>697</v>
      </c>
      <c r="I46" s="119">
        <f t="shared" si="13"/>
        <v>14.8</v>
      </c>
      <c r="J46" s="119">
        <f t="shared" si="13"/>
        <v>14.1</v>
      </c>
      <c r="K46" s="119"/>
      <c r="L46" s="303"/>
      <c r="M46" s="32"/>
      <c r="N46" s="32"/>
      <c r="O46" s="32"/>
    </row>
    <row r="47" spans="1:17" ht="12.6" customHeight="1" x14ac:dyDescent="0.25">
      <c r="A47" s="52">
        <v>33</v>
      </c>
      <c r="B47" s="239"/>
      <c r="C47" s="123" t="s">
        <v>3</v>
      </c>
      <c r="D47" s="239"/>
      <c r="E47" s="57">
        <f t="shared" si="12"/>
        <v>779.9</v>
      </c>
      <c r="F47" s="57">
        <f t="shared" si="12"/>
        <v>697</v>
      </c>
      <c r="G47" s="57">
        <f>749.9+30</f>
        <v>779.9</v>
      </c>
      <c r="H47" s="57">
        <v>697</v>
      </c>
      <c r="I47" s="57">
        <v>14.8</v>
      </c>
      <c r="J47" s="176">
        <f>14.2-0.1</f>
        <v>14.1</v>
      </c>
      <c r="K47" s="57"/>
      <c r="L47" s="303"/>
      <c r="M47" s="32"/>
      <c r="N47" s="32"/>
      <c r="O47" s="32"/>
    </row>
    <row r="48" spans="1:17" ht="24.9" customHeight="1" x14ac:dyDescent="0.25">
      <c r="A48" s="52">
        <v>34</v>
      </c>
      <c r="B48" s="239" t="s">
        <v>634</v>
      </c>
      <c r="C48" s="304" t="s">
        <v>635</v>
      </c>
      <c r="D48" s="239" t="s">
        <v>359</v>
      </c>
      <c r="E48" s="119">
        <f t="shared" ref="E48:I48" si="14">+E49</f>
        <v>3.7</v>
      </c>
      <c r="F48" s="119">
        <f t="shared" si="14"/>
        <v>3.2</v>
      </c>
      <c r="G48" s="119">
        <f t="shared" si="14"/>
        <v>3.7</v>
      </c>
      <c r="H48" s="119">
        <f t="shared" si="14"/>
        <v>3.2</v>
      </c>
      <c r="I48" s="119">
        <f t="shared" si="14"/>
        <v>0</v>
      </c>
      <c r="J48" s="119"/>
      <c r="K48" s="119"/>
      <c r="L48" s="303"/>
      <c r="M48" s="32"/>
      <c r="N48" s="32"/>
      <c r="O48" s="32"/>
    </row>
    <row r="49" spans="1:15" ht="12.6" customHeight="1" x14ac:dyDescent="0.25">
      <c r="A49" s="52">
        <v>35</v>
      </c>
      <c r="B49" s="239"/>
      <c r="C49" s="123" t="s">
        <v>3</v>
      </c>
      <c r="D49" s="239"/>
      <c r="E49" s="57">
        <f>+G49+K49</f>
        <v>3.7</v>
      </c>
      <c r="F49" s="57">
        <f>+H49+L49</f>
        <v>3.2</v>
      </c>
      <c r="G49" s="57">
        <v>3.7</v>
      </c>
      <c r="H49" s="57">
        <v>3.2</v>
      </c>
      <c r="I49" s="57">
        <v>0</v>
      </c>
      <c r="J49" s="57"/>
      <c r="K49" s="57"/>
      <c r="L49" s="303"/>
      <c r="M49" s="32"/>
      <c r="N49" s="32"/>
      <c r="O49" s="32"/>
    </row>
    <row r="50" spans="1:15" ht="20.100000000000001" customHeight="1" x14ac:dyDescent="0.25">
      <c r="A50" s="52">
        <v>36</v>
      </c>
      <c r="B50" s="30" t="s">
        <v>563</v>
      </c>
      <c r="C50" s="59" t="s">
        <v>564</v>
      </c>
      <c r="D50" s="239"/>
      <c r="E50" s="61">
        <f>+G50+K50</f>
        <v>579.4</v>
      </c>
      <c r="F50" s="61">
        <f>+H50+L50</f>
        <v>579.20000000000005</v>
      </c>
      <c r="G50" s="61">
        <f t="shared" ref="G50:L50" si="15">+G51+G63+G66</f>
        <v>579.4</v>
      </c>
      <c r="H50" s="61">
        <f t="shared" si="15"/>
        <v>579.20000000000005</v>
      </c>
      <c r="I50" s="61">
        <f t="shared" si="15"/>
        <v>194.50000000000006</v>
      </c>
      <c r="J50" s="61">
        <f t="shared" si="15"/>
        <v>194.50000000000006</v>
      </c>
      <c r="K50" s="61">
        <f t="shared" si="15"/>
        <v>0</v>
      </c>
      <c r="L50" s="61">
        <f t="shared" si="15"/>
        <v>0</v>
      </c>
      <c r="M50" s="32"/>
      <c r="N50" s="32"/>
      <c r="O50" s="32"/>
    </row>
    <row r="51" spans="1:15" ht="12.6" customHeight="1" x14ac:dyDescent="0.25">
      <c r="A51" s="52">
        <v>37</v>
      </c>
      <c r="B51" s="239" t="s">
        <v>636</v>
      </c>
      <c r="C51" s="304" t="s">
        <v>637</v>
      </c>
      <c r="D51" s="239" t="s">
        <v>638</v>
      </c>
      <c r="E51" s="119">
        <f t="shared" ref="E51:J51" si="16">SUM(E52:E62)</f>
        <v>200.10000000000002</v>
      </c>
      <c r="F51" s="119">
        <f t="shared" si="16"/>
        <v>199.90000000000003</v>
      </c>
      <c r="G51" s="119">
        <f t="shared" si="16"/>
        <v>200.10000000000002</v>
      </c>
      <c r="H51" s="119">
        <f t="shared" si="16"/>
        <v>199.90000000000003</v>
      </c>
      <c r="I51" s="119">
        <f t="shared" si="16"/>
        <v>186.30000000000007</v>
      </c>
      <c r="J51" s="119">
        <f t="shared" si="16"/>
        <v>186.30000000000007</v>
      </c>
      <c r="K51" s="119"/>
      <c r="L51" s="303"/>
      <c r="M51" s="32"/>
      <c r="N51" s="32"/>
      <c r="O51" s="32"/>
    </row>
    <row r="52" spans="1:15" ht="12.6" customHeight="1" x14ac:dyDescent="0.25">
      <c r="A52" s="52">
        <v>38</v>
      </c>
      <c r="B52" s="239"/>
      <c r="C52" s="123" t="s">
        <v>3</v>
      </c>
      <c r="D52" s="239"/>
      <c r="E52" s="57">
        <f>+G52+K52</f>
        <v>99.5</v>
      </c>
      <c r="F52" s="57">
        <f>+H52+L52</f>
        <v>99.5</v>
      </c>
      <c r="G52" s="57">
        <v>99.5</v>
      </c>
      <c r="H52" s="57">
        <v>99.5</v>
      </c>
      <c r="I52" s="57">
        <v>87.1</v>
      </c>
      <c r="J52" s="57">
        <v>87.1</v>
      </c>
      <c r="K52" s="57"/>
      <c r="L52" s="303"/>
      <c r="M52" s="32"/>
      <c r="N52" s="32"/>
      <c r="O52" s="32"/>
    </row>
    <row r="53" spans="1:15" ht="12.6" customHeight="1" x14ac:dyDescent="0.25">
      <c r="A53" s="52">
        <v>39</v>
      </c>
      <c r="B53" s="239"/>
      <c r="C53" s="58" t="s">
        <v>4</v>
      </c>
      <c r="D53" s="239"/>
      <c r="E53" s="57">
        <f t="shared" ref="E53:F62" si="17">+G53+K53</f>
        <v>10.6</v>
      </c>
      <c r="F53" s="57">
        <f t="shared" si="17"/>
        <v>10.5</v>
      </c>
      <c r="G53" s="176">
        <f>10.6</f>
        <v>10.6</v>
      </c>
      <c r="H53" s="176">
        <f>10.6-0.1</f>
        <v>10.5</v>
      </c>
      <c r="I53" s="57">
        <v>10.4</v>
      </c>
      <c r="J53" s="57">
        <v>10.4</v>
      </c>
      <c r="K53" s="57"/>
      <c r="L53" s="303"/>
      <c r="M53" s="32"/>
      <c r="N53" s="32"/>
      <c r="O53" s="32"/>
    </row>
    <row r="54" spans="1:15" ht="12.6" customHeight="1" x14ac:dyDescent="0.25">
      <c r="A54" s="52">
        <v>40</v>
      </c>
      <c r="B54" s="239"/>
      <c r="C54" s="58" t="s">
        <v>5</v>
      </c>
      <c r="D54" s="239"/>
      <c r="E54" s="57">
        <f t="shared" si="17"/>
        <v>8</v>
      </c>
      <c r="F54" s="57">
        <f t="shared" si="17"/>
        <v>8</v>
      </c>
      <c r="G54" s="57">
        <v>8</v>
      </c>
      <c r="H54" s="57">
        <v>8</v>
      </c>
      <c r="I54" s="57">
        <v>7.9</v>
      </c>
      <c r="J54" s="57">
        <v>7.9</v>
      </c>
      <c r="K54" s="57"/>
      <c r="L54" s="303"/>
      <c r="M54" s="32"/>
      <c r="N54" s="32"/>
      <c r="O54" s="32"/>
    </row>
    <row r="55" spans="1:15" ht="12.6" customHeight="1" x14ac:dyDescent="0.25">
      <c r="A55" s="52">
        <v>41</v>
      </c>
      <c r="B55" s="239"/>
      <c r="C55" s="58" t="s">
        <v>7</v>
      </c>
      <c r="D55" s="239"/>
      <c r="E55" s="57">
        <f>+G55+K55</f>
        <v>11.4</v>
      </c>
      <c r="F55" s="57">
        <f t="shared" si="17"/>
        <v>11.4</v>
      </c>
      <c r="G55" s="57">
        <v>11.4</v>
      </c>
      <c r="H55" s="57">
        <v>11.4</v>
      </c>
      <c r="I55" s="57">
        <v>11.3</v>
      </c>
      <c r="J55" s="57">
        <v>11.3</v>
      </c>
      <c r="K55" s="57"/>
      <c r="L55" s="303"/>
      <c r="M55" s="32"/>
      <c r="N55" s="32"/>
      <c r="O55" s="32"/>
    </row>
    <row r="56" spans="1:15" ht="12.6" customHeight="1" x14ac:dyDescent="0.25">
      <c r="A56" s="52">
        <v>42</v>
      </c>
      <c r="B56" s="239"/>
      <c r="C56" s="58" t="s">
        <v>6</v>
      </c>
      <c r="D56" s="239"/>
      <c r="E56" s="57">
        <f t="shared" si="17"/>
        <v>14.3</v>
      </c>
      <c r="F56" s="57">
        <f t="shared" si="17"/>
        <v>14.3</v>
      </c>
      <c r="G56" s="57">
        <v>14.3</v>
      </c>
      <c r="H56" s="57">
        <v>14.3</v>
      </c>
      <c r="I56" s="57">
        <v>14.1</v>
      </c>
      <c r="J56" s="57">
        <v>14.1</v>
      </c>
      <c r="K56" s="57"/>
      <c r="L56" s="303"/>
      <c r="M56" s="32"/>
      <c r="N56" s="32"/>
      <c r="O56" s="32"/>
    </row>
    <row r="57" spans="1:15" ht="12.6" customHeight="1" x14ac:dyDescent="0.25">
      <c r="A57" s="52">
        <v>43</v>
      </c>
      <c r="B57" s="239"/>
      <c r="C57" s="58" t="s">
        <v>9</v>
      </c>
      <c r="D57" s="239"/>
      <c r="E57" s="57">
        <f t="shared" si="17"/>
        <v>11.4</v>
      </c>
      <c r="F57" s="57">
        <f t="shared" si="17"/>
        <v>11.4</v>
      </c>
      <c r="G57" s="57">
        <v>11.4</v>
      </c>
      <c r="H57" s="57">
        <v>11.4</v>
      </c>
      <c r="I57" s="57">
        <v>11.3</v>
      </c>
      <c r="J57" s="57">
        <v>11.3</v>
      </c>
      <c r="K57" s="57"/>
      <c r="L57" s="303"/>
      <c r="M57" s="32"/>
      <c r="N57" s="32"/>
      <c r="O57" s="32"/>
    </row>
    <row r="58" spans="1:15" ht="12.6" customHeight="1" x14ac:dyDescent="0.25">
      <c r="A58" s="52">
        <v>44</v>
      </c>
      <c r="B58" s="239"/>
      <c r="C58" s="60" t="s">
        <v>10</v>
      </c>
      <c r="D58" s="239"/>
      <c r="E58" s="57">
        <f t="shared" si="17"/>
        <v>7.9</v>
      </c>
      <c r="F58" s="57">
        <f t="shared" si="17"/>
        <v>7.9</v>
      </c>
      <c r="G58" s="57">
        <v>7.9</v>
      </c>
      <c r="H58" s="57">
        <v>7.9</v>
      </c>
      <c r="I58" s="57">
        <v>7.8</v>
      </c>
      <c r="J58" s="57">
        <v>7.8</v>
      </c>
      <c r="K58" s="57"/>
      <c r="L58" s="303"/>
      <c r="M58" s="32"/>
      <c r="N58" s="32"/>
      <c r="O58" s="32"/>
    </row>
    <row r="59" spans="1:15" ht="12.6" customHeight="1" x14ac:dyDescent="0.25">
      <c r="A59" s="52">
        <v>45</v>
      </c>
      <c r="B59" s="239"/>
      <c r="C59" s="58" t="s">
        <v>12</v>
      </c>
      <c r="D59" s="239"/>
      <c r="E59" s="57">
        <f>+G59+K59</f>
        <v>7.4</v>
      </c>
      <c r="F59" s="57">
        <f t="shared" si="17"/>
        <v>7.4</v>
      </c>
      <c r="G59" s="57">
        <v>7.4</v>
      </c>
      <c r="H59" s="57">
        <v>7.4</v>
      </c>
      <c r="I59" s="57">
        <v>7.3</v>
      </c>
      <c r="J59" s="57">
        <v>7.3</v>
      </c>
      <c r="K59" s="57"/>
      <c r="L59" s="303"/>
      <c r="M59" s="32"/>
      <c r="N59" s="32"/>
      <c r="O59" s="32"/>
    </row>
    <row r="60" spans="1:15" ht="12.6" customHeight="1" x14ac:dyDescent="0.25">
      <c r="A60" s="52">
        <v>46</v>
      </c>
      <c r="B60" s="239"/>
      <c r="C60" s="58" t="s">
        <v>11</v>
      </c>
      <c r="D60" s="239"/>
      <c r="E60" s="57">
        <f t="shared" si="17"/>
        <v>10.6</v>
      </c>
      <c r="F60" s="57">
        <f t="shared" si="17"/>
        <v>10.6</v>
      </c>
      <c r="G60" s="57">
        <v>10.6</v>
      </c>
      <c r="H60" s="57">
        <v>10.6</v>
      </c>
      <c r="I60" s="57">
        <v>10.4</v>
      </c>
      <c r="J60" s="57">
        <v>10.4</v>
      </c>
      <c r="K60" s="57"/>
      <c r="L60" s="303"/>
      <c r="M60" s="32"/>
      <c r="N60" s="32"/>
      <c r="O60" s="32"/>
    </row>
    <row r="61" spans="1:15" ht="12.6" customHeight="1" x14ac:dyDescent="0.25">
      <c r="A61" s="52">
        <v>47</v>
      </c>
      <c r="B61" s="239"/>
      <c r="C61" s="58" t="s">
        <v>13</v>
      </c>
      <c r="D61" s="239"/>
      <c r="E61" s="57">
        <f t="shared" si="17"/>
        <v>8.4</v>
      </c>
      <c r="F61" s="57">
        <f t="shared" si="17"/>
        <v>8.4</v>
      </c>
      <c r="G61" s="57">
        <v>8.4</v>
      </c>
      <c r="H61" s="57">
        <v>8.4</v>
      </c>
      <c r="I61" s="57">
        <v>8.3000000000000007</v>
      </c>
      <c r="J61" s="57">
        <v>8.3000000000000007</v>
      </c>
      <c r="K61" s="57"/>
      <c r="L61" s="303"/>
      <c r="M61" s="32"/>
      <c r="N61" s="32"/>
      <c r="O61" s="32"/>
    </row>
    <row r="62" spans="1:15" ht="12.6" customHeight="1" x14ac:dyDescent="0.25">
      <c r="A62" s="52">
        <v>48</v>
      </c>
      <c r="B62" s="239"/>
      <c r="C62" s="58" t="s">
        <v>14</v>
      </c>
      <c r="D62" s="239"/>
      <c r="E62" s="57">
        <f t="shared" si="17"/>
        <v>10.6</v>
      </c>
      <c r="F62" s="57">
        <f t="shared" si="17"/>
        <v>10.5</v>
      </c>
      <c r="G62" s="176">
        <f>10.6</f>
        <v>10.6</v>
      </c>
      <c r="H62" s="176">
        <f>10.6-0.1</f>
        <v>10.5</v>
      </c>
      <c r="I62" s="57">
        <v>10.4</v>
      </c>
      <c r="J62" s="57">
        <v>10.4</v>
      </c>
      <c r="K62" s="57"/>
      <c r="L62" s="303"/>
      <c r="M62" s="32"/>
      <c r="N62" s="32"/>
      <c r="O62" s="32"/>
    </row>
    <row r="63" spans="1:15" ht="72" customHeight="1" x14ac:dyDescent="0.25">
      <c r="A63" s="416">
        <v>49</v>
      </c>
      <c r="B63" s="418" t="s">
        <v>639</v>
      </c>
      <c r="C63" s="301" t="s">
        <v>640</v>
      </c>
      <c r="D63" s="418"/>
      <c r="E63" s="119">
        <f t="shared" ref="E63:L63" si="18">+E65</f>
        <v>360</v>
      </c>
      <c r="F63" s="119">
        <f t="shared" si="18"/>
        <v>360</v>
      </c>
      <c r="G63" s="119">
        <f t="shared" si="18"/>
        <v>360</v>
      </c>
      <c r="H63" s="119">
        <f t="shared" si="18"/>
        <v>360</v>
      </c>
      <c r="I63" s="119">
        <f t="shared" si="18"/>
        <v>0</v>
      </c>
      <c r="J63" s="119">
        <f t="shared" si="18"/>
        <v>0</v>
      </c>
      <c r="K63" s="119">
        <f t="shared" si="18"/>
        <v>0</v>
      </c>
      <c r="L63" s="119">
        <f t="shared" si="18"/>
        <v>0</v>
      </c>
      <c r="M63" s="32"/>
      <c r="N63" s="32"/>
      <c r="O63" s="32"/>
    </row>
    <row r="64" spans="1:15" x14ac:dyDescent="0.25">
      <c r="A64" s="417"/>
      <c r="B64" s="419"/>
      <c r="C64" s="301" t="s">
        <v>641</v>
      </c>
      <c r="D64" s="419"/>
      <c r="E64" s="119">
        <f t="shared" ref="E64:F68" si="19">+G64+K64</f>
        <v>10</v>
      </c>
      <c r="F64" s="119">
        <f t="shared" si="19"/>
        <v>10</v>
      </c>
      <c r="G64" s="119">
        <v>10</v>
      </c>
      <c r="H64" s="119">
        <v>10</v>
      </c>
      <c r="I64" s="119"/>
      <c r="J64" s="119"/>
      <c r="K64" s="119"/>
      <c r="L64" s="303"/>
      <c r="M64" s="32"/>
      <c r="N64" s="32"/>
      <c r="O64" s="32"/>
    </row>
    <row r="65" spans="1:15" ht="12.6" customHeight="1" x14ac:dyDescent="0.25">
      <c r="A65" s="52">
        <v>50</v>
      </c>
      <c r="B65" s="239"/>
      <c r="C65" s="123" t="s">
        <v>3</v>
      </c>
      <c r="D65" s="239" t="s">
        <v>570</v>
      </c>
      <c r="E65" s="57">
        <f t="shared" si="19"/>
        <v>360</v>
      </c>
      <c r="F65" s="57">
        <f t="shared" si="19"/>
        <v>360</v>
      </c>
      <c r="G65" s="57">
        <v>360</v>
      </c>
      <c r="H65" s="57">
        <v>360</v>
      </c>
      <c r="I65" s="57"/>
      <c r="J65" s="57"/>
      <c r="K65" s="57"/>
      <c r="L65" s="303"/>
      <c r="M65" s="32"/>
      <c r="N65" s="32"/>
      <c r="O65" s="32"/>
    </row>
    <row r="66" spans="1:15" ht="13.5" customHeight="1" x14ac:dyDescent="0.25">
      <c r="A66" s="238" t="s">
        <v>642</v>
      </c>
      <c r="B66" s="239"/>
      <c r="C66" s="63" t="s">
        <v>643</v>
      </c>
      <c r="D66" s="239" t="s">
        <v>644</v>
      </c>
      <c r="E66" s="57">
        <f t="shared" si="19"/>
        <v>19.3</v>
      </c>
      <c r="F66" s="57">
        <f t="shared" si="19"/>
        <v>19.3</v>
      </c>
      <c r="G66" s="57">
        <f t="shared" ref="G66:L66" si="20">+G67</f>
        <v>19.3</v>
      </c>
      <c r="H66" s="57">
        <f t="shared" si="20"/>
        <v>19.3</v>
      </c>
      <c r="I66" s="57">
        <f t="shared" si="20"/>
        <v>8.1999999999999993</v>
      </c>
      <c r="J66" s="57">
        <f t="shared" si="20"/>
        <v>8.1999999999999993</v>
      </c>
      <c r="K66" s="57">
        <f t="shared" si="20"/>
        <v>0</v>
      </c>
      <c r="L66" s="57">
        <f t="shared" si="20"/>
        <v>0</v>
      </c>
      <c r="M66" s="32"/>
      <c r="N66" s="32"/>
      <c r="O66" s="32"/>
    </row>
    <row r="67" spans="1:15" ht="13.5" customHeight="1" x14ac:dyDescent="0.25">
      <c r="A67" s="52">
        <v>52</v>
      </c>
      <c r="B67" s="239"/>
      <c r="C67" s="58" t="s">
        <v>3</v>
      </c>
      <c r="D67" s="239"/>
      <c r="E67" s="57">
        <f t="shared" si="19"/>
        <v>19.3</v>
      </c>
      <c r="F67" s="57">
        <f t="shared" si="19"/>
        <v>19.3</v>
      </c>
      <c r="G67" s="57">
        <v>19.3</v>
      </c>
      <c r="H67" s="57">
        <v>19.3</v>
      </c>
      <c r="I67" s="57">
        <v>8.1999999999999993</v>
      </c>
      <c r="J67" s="57">
        <v>8.1999999999999993</v>
      </c>
      <c r="K67" s="57"/>
      <c r="L67" s="303"/>
      <c r="M67" s="32"/>
      <c r="N67" s="32"/>
      <c r="O67" s="32"/>
    </row>
    <row r="68" spans="1:15" ht="20.100000000000001" customHeight="1" x14ac:dyDescent="0.25">
      <c r="A68" s="238" t="s">
        <v>645</v>
      </c>
      <c r="B68" s="30" t="s">
        <v>25</v>
      </c>
      <c r="C68" s="59" t="s">
        <v>26</v>
      </c>
      <c r="D68" s="239"/>
      <c r="E68" s="61">
        <f t="shared" si="19"/>
        <v>1437.6</v>
      </c>
      <c r="F68" s="61">
        <f t="shared" si="19"/>
        <v>1436.9999999999998</v>
      </c>
      <c r="G68" s="61">
        <f t="shared" ref="G68:L68" si="21">SUM(G69+G71+G73+G75+G77+G79+G81+G83+G85+G87+G89+G91+G103)</f>
        <v>1437.6</v>
      </c>
      <c r="H68" s="61">
        <f t="shared" si="21"/>
        <v>1436.9999999999998</v>
      </c>
      <c r="I68" s="61">
        <f t="shared" si="21"/>
        <v>1331.7999999999995</v>
      </c>
      <c r="J68" s="61">
        <f t="shared" si="21"/>
        <v>1331.5999999999995</v>
      </c>
      <c r="K68" s="61">
        <f t="shared" si="21"/>
        <v>0</v>
      </c>
      <c r="L68" s="61">
        <f t="shared" si="21"/>
        <v>0</v>
      </c>
      <c r="M68" s="32"/>
      <c r="N68" s="32"/>
      <c r="O68" s="32"/>
    </row>
    <row r="69" spans="1:15" ht="12.6" customHeight="1" x14ac:dyDescent="0.25">
      <c r="A69" s="238" t="s">
        <v>646</v>
      </c>
      <c r="B69" s="239" t="s">
        <v>647</v>
      </c>
      <c r="C69" s="304" t="s">
        <v>648</v>
      </c>
      <c r="D69" s="239" t="s">
        <v>28</v>
      </c>
      <c r="E69" s="119">
        <f t="shared" ref="E69:J69" si="22">+E70</f>
        <v>1074.3</v>
      </c>
      <c r="F69" s="119">
        <f t="shared" si="22"/>
        <v>1074.3</v>
      </c>
      <c r="G69" s="119">
        <f t="shared" si="22"/>
        <v>1074.3</v>
      </c>
      <c r="H69" s="119">
        <f t="shared" si="22"/>
        <v>1074.3</v>
      </c>
      <c r="I69" s="119">
        <f t="shared" si="22"/>
        <v>992.6</v>
      </c>
      <c r="J69" s="119">
        <f t="shared" si="22"/>
        <v>992.6</v>
      </c>
      <c r="K69" s="119"/>
      <c r="L69" s="303"/>
      <c r="M69" s="32"/>
      <c r="N69" s="32"/>
      <c r="O69" s="32"/>
    </row>
    <row r="70" spans="1:15" ht="14.25" customHeight="1" x14ac:dyDescent="0.25">
      <c r="A70" s="238" t="s">
        <v>649</v>
      </c>
      <c r="B70" s="305"/>
      <c r="C70" s="58" t="s">
        <v>27</v>
      </c>
      <c r="D70" s="49"/>
      <c r="E70" s="57">
        <f>+G70+K70</f>
        <v>1074.3</v>
      </c>
      <c r="F70" s="57">
        <f>+H70+L70</f>
        <v>1074.3</v>
      </c>
      <c r="G70" s="57">
        <f>980.8+93.5</f>
        <v>1074.3</v>
      </c>
      <c r="H70" s="57">
        <v>1074.3</v>
      </c>
      <c r="I70" s="57">
        <f>920.5+74.1-2</f>
        <v>992.6</v>
      </c>
      <c r="J70" s="57">
        <v>992.6</v>
      </c>
      <c r="K70" s="57"/>
      <c r="L70" s="303"/>
      <c r="M70" s="32"/>
      <c r="N70" s="32"/>
      <c r="O70" s="32"/>
    </row>
    <row r="71" spans="1:15" ht="24.9" customHeight="1" x14ac:dyDescent="0.25">
      <c r="A71" s="238" t="s">
        <v>650</v>
      </c>
      <c r="B71" s="239" t="s">
        <v>651</v>
      </c>
      <c r="C71" s="301" t="s">
        <v>652</v>
      </c>
      <c r="D71" s="239" t="s">
        <v>653</v>
      </c>
      <c r="E71" s="119">
        <f t="shared" ref="E71:J71" si="23">SUM(E72:E72)</f>
        <v>0.8</v>
      </c>
      <c r="F71" s="119">
        <f t="shared" si="23"/>
        <v>0.8</v>
      </c>
      <c r="G71" s="119">
        <f t="shared" si="23"/>
        <v>0.8</v>
      </c>
      <c r="H71" s="119">
        <f t="shared" si="23"/>
        <v>0.8</v>
      </c>
      <c r="I71" s="119">
        <f t="shared" si="23"/>
        <v>0.8</v>
      </c>
      <c r="J71" s="119">
        <f t="shared" si="23"/>
        <v>0.8</v>
      </c>
      <c r="K71" s="119"/>
      <c r="L71" s="303"/>
      <c r="M71" s="32"/>
      <c r="N71" s="32"/>
      <c r="O71" s="32"/>
    </row>
    <row r="72" spans="1:15" ht="12.6" customHeight="1" x14ac:dyDescent="0.25">
      <c r="A72" s="238" t="s">
        <v>654</v>
      </c>
      <c r="B72" s="239"/>
      <c r="C72" s="123" t="s">
        <v>3</v>
      </c>
      <c r="D72" s="239"/>
      <c r="E72" s="57">
        <f>+G72+K72</f>
        <v>0.8</v>
      </c>
      <c r="F72" s="57">
        <f>+H72+L72</f>
        <v>0.8</v>
      </c>
      <c r="G72" s="57">
        <v>0.8</v>
      </c>
      <c r="H72" s="57">
        <v>0.8</v>
      </c>
      <c r="I72" s="57">
        <v>0.8</v>
      </c>
      <c r="J72" s="57">
        <v>0.8</v>
      </c>
      <c r="K72" s="57"/>
      <c r="L72" s="303"/>
      <c r="M72" s="32"/>
      <c r="N72" s="32"/>
      <c r="O72" s="32"/>
    </row>
    <row r="73" spans="1:15" ht="12.6" customHeight="1" x14ac:dyDescent="0.25">
      <c r="A73" s="238" t="s">
        <v>655</v>
      </c>
      <c r="B73" s="55" t="s">
        <v>656</v>
      </c>
      <c r="C73" s="301" t="s">
        <v>657</v>
      </c>
      <c r="D73" s="239" t="s">
        <v>653</v>
      </c>
      <c r="E73" s="302">
        <f t="shared" ref="E73:J73" si="24">+E74</f>
        <v>45</v>
      </c>
      <c r="F73" s="302">
        <f t="shared" si="24"/>
        <v>45</v>
      </c>
      <c r="G73" s="302">
        <f t="shared" si="24"/>
        <v>45</v>
      </c>
      <c r="H73" s="302">
        <f t="shared" si="24"/>
        <v>45</v>
      </c>
      <c r="I73" s="302">
        <f t="shared" si="24"/>
        <v>39.200000000000003</v>
      </c>
      <c r="J73" s="302">
        <f t="shared" si="24"/>
        <v>39.200000000000003</v>
      </c>
      <c r="K73" s="302"/>
      <c r="L73" s="303"/>
      <c r="M73" s="32"/>
      <c r="N73" s="32"/>
      <c r="O73" s="32"/>
    </row>
    <row r="74" spans="1:15" ht="12.6" customHeight="1" x14ac:dyDescent="0.25">
      <c r="A74" s="238" t="s">
        <v>658</v>
      </c>
      <c r="B74" s="239"/>
      <c r="C74" s="123" t="s">
        <v>3</v>
      </c>
      <c r="D74" s="239"/>
      <c r="E74" s="57">
        <f>+G74+K74</f>
        <v>45</v>
      </c>
      <c r="F74" s="57">
        <f>+H74+L74</f>
        <v>45</v>
      </c>
      <c r="G74" s="57">
        <v>45</v>
      </c>
      <c r="H74" s="57">
        <v>45</v>
      </c>
      <c r="I74" s="57">
        <v>39.200000000000003</v>
      </c>
      <c r="J74" s="57">
        <v>39.200000000000003</v>
      </c>
      <c r="K74" s="57"/>
      <c r="L74" s="303"/>
      <c r="M74" s="32"/>
      <c r="N74" s="32"/>
      <c r="O74" s="32"/>
    </row>
    <row r="75" spans="1:15" ht="12.6" customHeight="1" x14ac:dyDescent="0.25">
      <c r="A75" s="238" t="s">
        <v>659</v>
      </c>
      <c r="B75" s="239" t="s">
        <v>660</v>
      </c>
      <c r="C75" s="301" t="s">
        <v>661</v>
      </c>
      <c r="D75" s="239" t="s">
        <v>35</v>
      </c>
      <c r="E75" s="119">
        <f t="shared" ref="E75:J75" si="25">+E76</f>
        <v>33.1</v>
      </c>
      <c r="F75" s="119">
        <f t="shared" si="25"/>
        <v>33.1</v>
      </c>
      <c r="G75" s="119">
        <f t="shared" si="25"/>
        <v>33.1</v>
      </c>
      <c r="H75" s="119">
        <f t="shared" si="25"/>
        <v>33.1</v>
      </c>
      <c r="I75" s="119">
        <f t="shared" si="25"/>
        <v>31.8</v>
      </c>
      <c r="J75" s="119">
        <f t="shared" si="25"/>
        <v>31.8</v>
      </c>
      <c r="K75" s="119"/>
      <c r="L75" s="303"/>
      <c r="M75" s="32"/>
      <c r="N75" s="32"/>
      <c r="O75" s="32"/>
    </row>
    <row r="76" spans="1:15" ht="12.6" customHeight="1" x14ac:dyDescent="0.25">
      <c r="A76" s="238" t="s">
        <v>662</v>
      </c>
      <c r="B76" s="239"/>
      <c r="C76" s="123" t="s">
        <v>3</v>
      </c>
      <c r="D76" s="239"/>
      <c r="E76" s="57">
        <f>+G76+K76</f>
        <v>33.1</v>
      </c>
      <c r="F76" s="57">
        <f>+H76+L76</f>
        <v>33.1</v>
      </c>
      <c r="G76" s="57">
        <v>33.1</v>
      </c>
      <c r="H76" s="57">
        <v>33.1</v>
      </c>
      <c r="I76" s="57">
        <v>31.8</v>
      </c>
      <c r="J76" s="57">
        <v>31.8</v>
      </c>
      <c r="K76" s="57"/>
      <c r="L76" s="303"/>
      <c r="M76" s="32"/>
      <c r="N76" s="32"/>
      <c r="O76" s="32"/>
    </row>
    <row r="77" spans="1:15" ht="12.6" customHeight="1" x14ac:dyDescent="0.25">
      <c r="A77" s="238" t="s">
        <v>663</v>
      </c>
      <c r="B77" s="239" t="s">
        <v>664</v>
      </c>
      <c r="C77" s="301" t="s">
        <v>665</v>
      </c>
      <c r="D77" s="55" t="s">
        <v>666</v>
      </c>
      <c r="E77" s="302">
        <f t="shared" ref="E77:J77" si="26">+E78</f>
        <v>44.9</v>
      </c>
      <c r="F77" s="302">
        <f t="shared" si="26"/>
        <v>44.9</v>
      </c>
      <c r="G77" s="302">
        <f t="shared" si="26"/>
        <v>44.9</v>
      </c>
      <c r="H77" s="302">
        <f t="shared" si="26"/>
        <v>44.9</v>
      </c>
      <c r="I77" s="302">
        <f t="shared" si="26"/>
        <v>37.6</v>
      </c>
      <c r="J77" s="302">
        <f t="shared" si="26"/>
        <v>37.6</v>
      </c>
      <c r="K77" s="302"/>
      <c r="L77" s="303"/>
      <c r="M77" s="32"/>
      <c r="N77" s="32"/>
      <c r="O77" s="32"/>
    </row>
    <row r="78" spans="1:15" ht="12.6" customHeight="1" x14ac:dyDescent="0.25">
      <c r="A78" s="238" t="s">
        <v>667</v>
      </c>
      <c r="B78" s="239"/>
      <c r="C78" s="123" t="s">
        <v>3</v>
      </c>
      <c r="D78" s="239"/>
      <c r="E78" s="73">
        <f>+G78+K78</f>
        <v>44.9</v>
      </c>
      <c r="F78" s="73">
        <f>+H78+L78</f>
        <v>44.9</v>
      </c>
      <c r="G78" s="73">
        <v>44.9</v>
      </c>
      <c r="H78" s="73">
        <v>44.9</v>
      </c>
      <c r="I78" s="73">
        <v>37.6</v>
      </c>
      <c r="J78" s="73">
        <v>37.6</v>
      </c>
      <c r="K78" s="57"/>
      <c r="L78" s="303"/>
      <c r="M78" s="32"/>
      <c r="N78" s="32"/>
      <c r="O78" s="32"/>
    </row>
    <row r="79" spans="1:15" ht="12.6" customHeight="1" x14ac:dyDescent="0.25">
      <c r="A79" s="238" t="s">
        <v>668</v>
      </c>
      <c r="B79" s="239" t="s">
        <v>669</v>
      </c>
      <c r="C79" s="304" t="s">
        <v>670</v>
      </c>
      <c r="D79" s="239" t="s">
        <v>35</v>
      </c>
      <c r="E79" s="119">
        <f t="shared" ref="E79:J79" si="27">+E80</f>
        <v>8.1999999999999993</v>
      </c>
      <c r="F79" s="119">
        <f t="shared" si="27"/>
        <v>8.2999999999999989</v>
      </c>
      <c r="G79" s="119">
        <f t="shared" si="27"/>
        <v>8.1999999999999993</v>
      </c>
      <c r="H79" s="119">
        <f t="shared" si="27"/>
        <v>8.2999999999999989</v>
      </c>
      <c r="I79" s="119">
        <f t="shared" si="27"/>
        <v>8.1</v>
      </c>
      <c r="J79" s="119">
        <f t="shared" si="27"/>
        <v>8.1</v>
      </c>
      <c r="K79" s="119"/>
      <c r="L79" s="303"/>
      <c r="M79" s="32"/>
      <c r="N79" s="32"/>
      <c r="O79" s="32"/>
    </row>
    <row r="80" spans="1:15" ht="12.6" customHeight="1" x14ac:dyDescent="0.25">
      <c r="A80" s="238" t="s">
        <v>671</v>
      </c>
      <c r="B80" s="239"/>
      <c r="C80" s="123" t="s">
        <v>3</v>
      </c>
      <c r="D80" s="239"/>
      <c r="E80" s="57">
        <f>+G80+K80</f>
        <v>8.1999999999999993</v>
      </c>
      <c r="F80" s="57">
        <f>+H80+L80</f>
        <v>8.2999999999999989</v>
      </c>
      <c r="G80" s="57">
        <v>8.1999999999999993</v>
      </c>
      <c r="H80" s="176">
        <f>8.2+0.1</f>
        <v>8.2999999999999989</v>
      </c>
      <c r="I80" s="57">
        <v>8.1</v>
      </c>
      <c r="J80" s="57">
        <v>8.1</v>
      </c>
      <c r="K80" s="57"/>
      <c r="L80" s="303"/>
      <c r="M80" s="32"/>
      <c r="N80" s="32"/>
      <c r="O80" s="32"/>
    </row>
    <row r="81" spans="1:15" ht="12.6" customHeight="1" x14ac:dyDescent="0.25">
      <c r="A81" s="238" t="s">
        <v>672</v>
      </c>
      <c r="B81" s="239" t="s">
        <v>673</v>
      </c>
      <c r="C81" s="301" t="s">
        <v>674</v>
      </c>
      <c r="D81" s="55" t="s">
        <v>675</v>
      </c>
      <c r="E81" s="119">
        <f t="shared" ref="E81:J81" si="28">+E82</f>
        <v>29.6</v>
      </c>
      <c r="F81" s="119">
        <f t="shared" si="28"/>
        <v>29.6</v>
      </c>
      <c r="G81" s="119">
        <f t="shared" si="28"/>
        <v>29.6</v>
      </c>
      <c r="H81" s="119">
        <f t="shared" si="28"/>
        <v>29.6</v>
      </c>
      <c r="I81" s="119">
        <f t="shared" si="28"/>
        <v>26</v>
      </c>
      <c r="J81" s="119">
        <f t="shared" si="28"/>
        <v>26</v>
      </c>
      <c r="K81" s="119"/>
      <c r="L81" s="303"/>
      <c r="M81" s="32"/>
      <c r="N81" s="32"/>
      <c r="O81" s="32"/>
    </row>
    <row r="82" spans="1:15" ht="11.25" customHeight="1" x14ac:dyDescent="0.25">
      <c r="A82" s="238" t="s">
        <v>676</v>
      </c>
      <c r="B82" s="239"/>
      <c r="C82" s="123" t="s">
        <v>3</v>
      </c>
      <c r="D82" s="239"/>
      <c r="E82" s="57">
        <f>+G82+K82</f>
        <v>29.6</v>
      </c>
      <c r="F82" s="57">
        <f>+H82+L82</f>
        <v>29.6</v>
      </c>
      <c r="G82" s="57">
        <v>29.6</v>
      </c>
      <c r="H82" s="57">
        <v>29.6</v>
      </c>
      <c r="I82" s="57">
        <v>26</v>
      </c>
      <c r="J82" s="57">
        <v>26</v>
      </c>
      <c r="K82" s="57"/>
      <c r="L82" s="303"/>
      <c r="M82" s="32"/>
      <c r="N82" s="32"/>
      <c r="O82" s="32"/>
    </row>
    <row r="83" spans="1:15" ht="12.6" customHeight="1" x14ac:dyDescent="0.25">
      <c r="A83" s="238" t="s">
        <v>677</v>
      </c>
      <c r="B83" s="239" t="s">
        <v>678</v>
      </c>
      <c r="C83" s="304" t="s">
        <v>679</v>
      </c>
      <c r="D83" s="239" t="s">
        <v>35</v>
      </c>
      <c r="E83" s="119">
        <f t="shared" ref="E83:J83" si="29">+E84</f>
        <v>20.8</v>
      </c>
      <c r="F83" s="119">
        <f t="shared" si="29"/>
        <v>20.8</v>
      </c>
      <c r="G83" s="119">
        <f t="shared" si="29"/>
        <v>20.8</v>
      </c>
      <c r="H83" s="119">
        <f t="shared" si="29"/>
        <v>20.8</v>
      </c>
      <c r="I83" s="119">
        <f t="shared" si="29"/>
        <v>19.7</v>
      </c>
      <c r="J83" s="119">
        <f t="shared" si="29"/>
        <v>19.7</v>
      </c>
      <c r="K83" s="119"/>
      <c r="L83" s="303"/>
      <c r="M83" s="32"/>
      <c r="N83" s="32"/>
      <c r="O83" s="32"/>
    </row>
    <row r="84" spans="1:15" ht="12.6" customHeight="1" x14ac:dyDescent="0.25">
      <c r="A84" s="238" t="s">
        <v>680</v>
      </c>
      <c r="B84" s="239"/>
      <c r="C84" s="123" t="s">
        <v>3</v>
      </c>
      <c r="D84" s="239"/>
      <c r="E84" s="57">
        <f>+G84+K84</f>
        <v>20.8</v>
      </c>
      <c r="F84" s="57">
        <f>+H84+L84</f>
        <v>20.8</v>
      </c>
      <c r="G84" s="57">
        <f>18.2+2.6</f>
        <v>20.8</v>
      </c>
      <c r="H84" s="57">
        <v>20.8</v>
      </c>
      <c r="I84" s="57">
        <f>17.2+2.5</f>
        <v>19.7</v>
      </c>
      <c r="J84" s="57">
        <v>19.7</v>
      </c>
      <c r="K84" s="57"/>
      <c r="L84" s="303"/>
      <c r="M84" s="32"/>
      <c r="N84" s="32"/>
      <c r="O84" s="32"/>
    </row>
    <row r="85" spans="1:15" ht="12.6" customHeight="1" x14ac:dyDescent="0.25">
      <c r="A85" s="238" t="s">
        <v>681</v>
      </c>
      <c r="B85" s="239" t="s">
        <v>682</v>
      </c>
      <c r="C85" s="301" t="s">
        <v>683</v>
      </c>
      <c r="D85" s="239" t="s">
        <v>35</v>
      </c>
      <c r="E85" s="119">
        <f t="shared" ref="E85:J85" si="30">+E86</f>
        <v>14.2</v>
      </c>
      <c r="F85" s="119">
        <f t="shared" si="30"/>
        <v>14.2</v>
      </c>
      <c r="G85" s="119">
        <f t="shared" si="30"/>
        <v>14.2</v>
      </c>
      <c r="H85" s="119">
        <f t="shared" si="30"/>
        <v>14.2</v>
      </c>
      <c r="I85" s="119">
        <f t="shared" si="30"/>
        <v>13.5</v>
      </c>
      <c r="J85" s="119">
        <f t="shared" si="30"/>
        <v>13.5</v>
      </c>
      <c r="K85" s="119"/>
      <c r="L85" s="303"/>
      <c r="M85" s="32"/>
      <c r="N85" s="32"/>
      <c r="O85" s="32"/>
    </row>
    <row r="86" spans="1:15" ht="12.6" customHeight="1" x14ac:dyDescent="0.25">
      <c r="A86" s="238" t="s">
        <v>684</v>
      </c>
      <c r="B86" s="239"/>
      <c r="C86" s="123" t="s">
        <v>3</v>
      </c>
      <c r="D86" s="239"/>
      <c r="E86" s="57">
        <f>+G86+K86</f>
        <v>14.2</v>
      </c>
      <c r="F86" s="57">
        <f>+H86+L86</f>
        <v>14.2</v>
      </c>
      <c r="G86" s="57">
        <v>14.2</v>
      </c>
      <c r="H86" s="57">
        <v>14.2</v>
      </c>
      <c r="I86" s="57">
        <v>13.5</v>
      </c>
      <c r="J86" s="57">
        <v>13.5</v>
      </c>
      <c r="K86" s="57"/>
      <c r="L86" s="303"/>
      <c r="M86" s="32"/>
      <c r="N86" s="32"/>
      <c r="O86" s="32"/>
    </row>
    <row r="87" spans="1:15" ht="12.6" customHeight="1" x14ac:dyDescent="0.25">
      <c r="A87" s="238" t="s">
        <v>685</v>
      </c>
      <c r="B87" s="239" t="s">
        <v>686</v>
      </c>
      <c r="C87" s="304" t="s">
        <v>687</v>
      </c>
      <c r="D87" s="239" t="s">
        <v>653</v>
      </c>
      <c r="E87" s="119">
        <f t="shared" ref="E87:J87" si="31">+E88</f>
        <v>0.8</v>
      </c>
      <c r="F87" s="119">
        <f t="shared" si="31"/>
        <v>0.8</v>
      </c>
      <c r="G87" s="119">
        <f t="shared" si="31"/>
        <v>0.8</v>
      </c>
      <c r="H87" s="119">
        <f t="shared" si="31"/>
        <v>0.8</v>
      </c>
      <c r="I87" s="119">
        <f t="shared" si="31"/>
        <v>0.8</v>
      </c>
      <c r="J87" s="119">
        <f t="shared" si="31"/>
        <v>0.8</v>
      </c>
      <c r="K87" s="119"/>
      <c r="L87" s="303"/>
      <c r="M87" s="32"/>
      <c r="N87" s="32"/>
      <c r="O87" s="32"/>
    </row>
    <row r="88" spans="1:15" ht="12.6" customHeight="1" x14ac:dyDescent="0.25">
      <c r="A88" s="238" t="s">
        <v>688</v>
      </c>
      <c r="B88" s="239"/>
      <c r="C88" s="123" t="s">
        <v>3</v>
      </c>
      <c r="D88" s="239"/>
      <c r="E88" s="57">
        <f>+G88+K88</f>
        <v>0.8</v>
      </c>
      <c r="F88" s="57">
        <f>+H88+L88</f>
        <v>0.8</v>
      </c>
      <c r="G88" s="57">
        <v>0.8</v>
      </c>
      <c r="H88" s="57">
        <v>0.8</v>
      </c>
      <c r="I88" s="57">
        <v>0.8</v>
      </c>
      <c r="J88" s="57">
        <v>0.8</v>
      </c>
      <c r="K88" s="57"/>
      <c r="L88" s="303"/>
      <c r="M88" s="32"/>
      <c r="N88" s="32"/>
      <c r="O88" s="32"/>
    </row>
    <row r="89" spans="1:15" ht="12.6" customHeight="1" x14ac:dyDescent="0.25">
      <c r="A89" s="238" t="s">
        <v>689</v>
      </c>
      <c r="B89" s="239" t="s">
        <v>690</v>
      </c>
      <c r="C89" s="304" t="s">
        <v>691</v>
      </c>
      <c r="D89" s="239" t="s">
        <v>35</v>
      </c>
      <c r="E89" s="119">
        <f t="shared" ref="E89:J89" si="32">SUM(E90:E90)</f>
        <v>8.9</v>
      </c>
      <c r="F89" s="119">
        <f t="shared" si="32"/>
        <v>8.9</v>
      </c>
      <c r="G89" s="119">
        <f t="shared" si="32"/>
        <v>8.9</v>
      </c>
      <c r="H89" s="119">
        <f t="shared" si="32"/>
        <v>8.9</v>
      </c>
      <c r="I89" s="119">
        <f t="shared" si="32"/>
        <v>8.8000000000000007</v>
      </c>
      <c r="J89" s="119">
        <f t="shared" si="32"/>
        <v>8.8000000000000007</v>
      </c>
      <c r="K89" s="119"/>
      <c r="L89" s="303"/>
      <c r="M89" s="32"/>
      <c r="N89" s="32"/>
      <c r="O89" s="32"/>
    </row>
    <row r="90" spans="1:15" ht="24.9" customHeight="1" x14ac:dyDescent="0.25">
      <c r="A90" s="238" t="s">
        <v>692</v>
      </c>
      <c r="B90" s="93"/>
      <c r="C90" s="58" t="s">
        <v>8</v>
      </c>
      <c r="D90" s="93"/>
      <c r="E90" s="57">
        <f>+G90+K90</f>
        <v>8.9</v>
      </c>
      <c r="F90" s="57">
        <f>+H90+L90</f>
        <v>8.9</v>
      </c>
      <c r="G90" s="57">
        <v>8.9</v>
      </c>
      <c r="H90" s="57">
        <v>8.9</v>
      </c>
      <c r="I90" s="57">
        <v>8.8000000000000007</v>
      </c>
      <c r="J90" s="57">
        <v>8.8000000000000007</v>
      </c>
      <c r="K90" s="57"/>
      <c r="L90" s="303"/>
      <c r="M90" s="32"/>
      <c r="N90" s="32"/>
      <c r="O90" s="32"/>
    </row>
    <row r="91" spans="1:15" ht="12.6" customHeight="1" x14ac:dyDescent="0.25">
      <c r="A91" s="238" t="s">
        <v>693</v>
      </c>
      <c r="B91" s="239" t="s">
        <v>694</v>
      </c>
      <c r="C91" s="304" t="s">
        <v>695</v>
      </c>
      <c r="D91" s="239" t="s">
        <v>609</v>
      </c>
      <c r="E91" s="119">
        <f t="shared" ref="E91:J91" si="33">SUM(E92:E102)</f>
        <v>139.29999999999998</v>
      </c>
      <c r="F91" s="119">
        <f t="shared" si="33"/>
        <v>138.69999999999999</v>
      </c>
      <c r="G91" s="119">
        <f t="shared" si="33"/>
        <v>139.29999999999998</v>
      </c>
      <c r="H91" s="119">
        <f t="shared" si="33"/>
        <v>138.69999999999999</v>
      </c>
      <c r="I91" s="119">
        <f t="shared" si="33"/>
        <v>135.80000000000001</v>
      </c>
      <c r="J91" s="119">
        <f t="shared" si="33"/>
        <v>135.6</v>
      </c>
      <c r="K91" s="119"/>
      <c r="L91" s="303"/>
      <c r="M91" s="32"/>
      <c r="N91" s="32"/>
      <c r="O91" s="32"/>
    </row>
    <row r="92" spans="1:15" ht="24.9" customHeight="1" x14ac:dyDescent="0.25">
      <c r="A92" s="238" t="s">
        <v>696</v>
      </c>
      <c r="B92" s="239"/>
      <c r="C92" s="58" t="s">
        <v>8</v>
      </c>
      <c r="D92" s="239"/>
      <c r="E92" s="57">
        <f>+G92+K92</f>
        <v>61</v>
      </c>
      <c r="F92" s="57">
        <f>+H92+L92</f>
        <v>60.8</v>
      </c>
      <c r="G92" s="57">
        <v>61</v>
      </c>
      <c r="H92" s="57">
        <v>60.8</v>
      </c>
      <c r="I92" s="57">
        <v>59.4</v>
      </c>
      <c r="J92" s="57">
        <v>59.3</v>
      </c>
      <c r="K92" s="57"/>
      <c r="L92" s="303"/>
      <c r="M92" s="32"/>
      <c r="N92" s="32"/>
      <c r="O92" s="32"/>
    </row>
    <row r="93" spans="1:15" ht="12.6" customHeight="1" x14ac:dyDescent="0.25">
      <c r="A93" s="238" t="s">
        <v>697</v>
      </c>
      <c r="B93" s="239"/>
      <c r="C93" s="58" t="s">
        <v>4</v>
      </c>
      <c r="D93" s="239"/>
      <c r="E93" s="57">
        <f t="shared" ref="E93:F105" si="34">+G93+K93</f>
        <v>11.6</v>
      </c>
      <c r="F93" s="57">
        <f t="shared" si="34"/>
        <v>11.5</v>
      </c>
      <c r="G93" s="57">
        <v>11.6</v>
      </c>
      <c r="H93" s="57">
        <v>11.5</v>
      </c>
      <c r="I93" s="57">
        <v>11.3</v>
      </c>
      <c r="J93" s="57">
        <v>11.3</v>
      </c>
      <c r="K93" s="57"/>
      <c r="L93" s="303"/>
      <c r="M93" s="32"/>
      <c r="N93" s="32"/>
      <c r="O93" s="32"/>
    </row>
    <row r="94" spans="1:15" ht="12.6" customHeight="1" x14ac:dyDescent="0.25">
      <c r="A94" s="238" t="s">
        <v>698</v>
      </c>
      <c r="B94" s="239"/>
      <c r="C94" s="58" t="s">
        <v>5</v>
      </c>
      <c r="D94" s="239"/>
      <c r="E94" s="57">
        <f t="shared" si="34"/>
        <v>5.8</v>
      </c>
      <c r="F94" s="57">
        <f t="shared" si="34"/>
        <v>5.8</v>
      </c>
      <c r="G94" s="57">
        <v>5.8</v>
      </c>
      <c r="H94" s="57">
        <v>5.8</v>
      </c>
      <c r="I94" s="57">
        <v>5.7</v>
      </c>
      <c r="J94" s="57">
        <v>5.7</v>
      </c>
      <c r="K94" s="57"/>
      <c r="L94" s="303"/>
      <c r="M94" s="32"/>
      <c r="N94" s="32"/>
      <c r="O94" s="32"/>
    </row>
    <row r="95" spans="1:15" ht="12.6" customHeight="1" x14ac:dyDescent="0.25">
      <c r="A95" s="238" t="s">
        <v>699</v>
      </c>
      <c r="B95" s="239"/>
      <c r="C95" s="58" t="s">
        <v>7</v>
      </c>
      <c r="D95" s="239"/>
      <c r="E95" s="57">
        <f>+G95+K95</f>
        <v>11.6</v>
      </c>
      <c r="F95" s="57">
        <f t="shared" si="34"/>
        <v>11.6</v>
      </c>
      <c r="G95" s="57">
        <v>11.6</v>
      </c>
      <c r="H95" s="57">
        <v>11.6</v>
      </c>
      <c r="I95" s="57">
        <v>11.3</v>
      </c>
      <c r="J95" s="57">
        <v>11.3</v>
      </c>
      <c r="K95" s="57"/>
      <c r="L95" s="303"/>
      <c r="M95" s="32"/>
      <c r="N95" s="32"/>
      <c r="O95" s="32"/>
    </row>
    <row r="96" spans="1:15" ht="12.6" customHeight="1" x14ac:dyDescent="0.25">
      <c r="A96" s="238" t="s">
        <v>700</v>
      </c>
      <c r="B96" s="239"/>
      <c r="C96" s="58" t="s">
        <v>6</v>
      </c>
      <c r="D96" s="239"/>
      <c r="E96" s="57">
        <f t="shared" si="34"/>
        <v>11.6</v>
      </c>
      <c r="F96" s="57">
        <f t="shared" si="34"/>
        <v>11.5</v>
      </c>
      <c r="G96" s="57">
        <v>11.6</v>
      </c>
      <c r="H96" s="57">
        <v>11.5</v>
      </c>
      <c r="I96" s="57">
        <v>11.3</v>
      </c>
      <c r="J96" s="57">
        <v>11.3</v>
      </c>
      <c r="K96" s="57"/>
      <c r="L96" s="303"/>
      <c r="M96" s="32"/>
      <c r="N96" s="32"/>
      <c r="O96" s="32"/>
    </row>
    <row r="97" spans="1:15" ht="12.6" customHeight="1" x14ac:dyDescent="0.25">
      <c r="A97" s="238" t="s">
        <v>701</v>
      </c>
      <c r="B97" s="239"/>
      <c r="C97" s="58" t="s">
        <v>9</v>
      </c>
      <c r="D97" s="239"/>
      <c r="E97" s="57">
        <f t="shared" si="34"/>
        <v>8.6999999999999993</v>
      </c>
      <c r="F97" s="57">
        <f t="shared" si="34"/>
        <v>8.6</v>
      </c>
      <c r="G97" s="57">
        <v>8.6999999999999993</v>
      </c>
      <c r="H97" s="57">
        <v>8.6</v>
      </c>
      <c r="I97" s="57">
        <v>8.5</v>
      </c>
      <c r="J97" s="57">
        <v>8.4</v>
      </c>
      <c r="K97" s="57"/>
      <c r="L97" s="303"/>
      <c r="M97" s="32"/>
      <c r="N97" s="32"/>
      <c r="O97" s="32"/>
    </row>
    <row r="98" spans="1:15" ht="12.6" customHeight="1" x14ac:dyDescent="0.25">
      <c r="A98" s="238" t="s">
        <v>702</v>
      </c>
      <c r="B98" s="239"/>
      <c r="C98" s="60" t="s">
        <v>10</v>
      </c>
      <c r="D98" s="239"/>
      <c r="E98" s="57">
        <f t="shared" si="34"/>
        <v>2.9</v>
      </c>
      <c r="F98" s="57">
        <f t="shared" si="34"/>
        <v>2.9</v>
      </c>
      <c r="G98" s="57">
        <v>2.9</v>
      </c>
      <c r="H98" s="57">
        <v>2.9</v>
      </c>
      <c r="I98" s="57">
        <v>2.8</v>
      </c>
      <c r="J98" s="57">
        <v>2.8</v>
      </c>
      <c r="K98" s="57"/>
      <c r="L98" s="303"/>
      <c r="M98" s="32"/>
      <c r="N98" s="32"/>
      <c r="O98" s="32"/>
    </row>
    <row r="99" spans="1:15" ht="12.6" customHeight="1" x14ac:dyDescent="0.25">
      <c r="A99" s="238" t="s">
        <v>703</v>
      </c>
      <c r="B99" s="239"/>
      <c r="C99" s="58" t="s">
        <v>12</v>
      </c>
      <c r="D99" s="239"/>
      <c r="E99" s="57">
        <f>+G99+K99</f>
        <v>5.8</v>
      </c>
      <c r="F99" s="57">
        <f t="shared" si="34"/>
        <v>5.8</v>
      </c>
      <c r="G99" s="57">
        <v>5.8</v>
      </c>
      <c r="H99" s="57">
        <v>5.8</v>
      </c>
      <c r="I99" s="57">
        <v>5.7</v>
      </c>
      <c r="J99" s="57">
        <v>5.7</v>
      </c>
      <c r="K99" s="57"/>
      <c r="L99" s="303"/>
      <c r="M99" s="32"/>
      <c r="N99" s="32"/>
      <c r="O99" s="32"/>
    </row>
    <row r="100" spans="1:15" x14ac:dyDescent="0.25">
      <c r="A100" s="238" t="s">
        <v>704</v>
      </c>
      <c r="B100" s="239"/>
      <c r="C100" s="58" t="s">
        <v>11</v>
      </c>
      <c r="D100" s="239"/>
      <c r="E100" s="57">
        <f t="shared" si="34"/>
        <v>2.9</v>
      </c>
      <c r="F100" s="57">
        <f t="shared" si="34"/>
        <v>2.9</v>
      </c>
      <c r="G100" s="57">
        <v>2.9</v>
      </c>
      <c r="H100" s="57">
        <v>2.9</v>
      </c>
      <c r="I100" s="57">
        <v>2.8</v>
      </c>
      <c r="J100" s="57">
        <v>2.8</v>
      </c>
      <c r="K100" s="57"/>
      <c r="L100" s="303"/>
      <c r="M100" s="32"/>
      <c r="N100" s="32"/>
      <c r="O100" s="32"/>
    </row>
    <row r="101" spans="1:15" ht="15.75" customHeight="1" x14ac:dyDescent="0.25">
      <c r="A101" s="238" t="s">
        <v>705</v>
      </c>
      <c r="B101" s="239"/>
      <c r="C101" s="58" t="s">
        <v>13</v>
      </c>
      <c r="D101" s="239"/>
      <c r="E101" s="57">
        <f t="shared" si="34"/>
        <v>5.8</v>
      </c>
      <c r="F101" s="57">
        <f t="shared" si="34"/>
        <v>5.8</v>
      </c>
      <c r="G101" s="57">
        <v>5.8</v>
      </c>
      <c r="H101" s="57">
        <v>5.8</v>
      </c>
      <c r="I101" s="57">
        <v>5.7</v>
      </c>
      <c r="J101" s="57">
        <v>5.7</v>
      </c>
      <c r="K101" s="57"/>
      <c r="L101" s="303"/>
      <c r="M101" s="32"/>
      <c r="N101" s="32"/>
      <c r="O101" s="32"/>
    </row>
    <row r="102" spans="1:15" x14ac:dyDescent="0.25">
      <c r="A102" s="238" t="s">
        <v>706</v>
      </c>
      <c r="B102" s="239"/>
      <c r="C102" s="58" t="s">
        <v>14</v>
      </c>
      <c r="D102" s="239"/>
      <c r="E102" s="57">
        <f t="shared" si="34"/>
        <v>11.6</v>
      </c>
      <c r="F102" s="57">
        <f t="shared" si="34"/>
        <v>11.5</v>
      </c>
      <c r="G102" s="57">
        <v>11.6</v>
      </c>
      <c r="H102" s="57">
        <v>11.5</v>
      </c>
      <c r="I102" s="57">
        <v>11.3</v>
      </c>
      <c r="J102" s="57">
        <v>11.3</v>
      </c>
      <c r="K102" s="57"/>
      <c r="L102" s="303"/>
      <c r="M102" s="32"/>
      <c r="N102" s="32"/>
      <c r="O102" s="32"/>
    </row>
    <row r="103" spans="1:15" ht="39.6" x14ac:dyDescent="0.25">
      <c r="A103" s="238" t="s">
        <v>707</v>
      </c>
      <c r="B103" s="239" t="s">
        <v>708</v>
      </c>
      <c r="C103" s="63" t="s">
        <v>709</v>
      </c>
      <c r="D103" s="239"/>
      <c r="E103" s="57">
        <f t="shared" si="34"/>
        <v>17.7</v>
      </c>
      <c r="F103" s="57">
        <f t="shared" si="34"/>
        <v>17.600000000000001</v>
      </c>
      <c r="G103" s="57">
        <f t="shared" ref="G103:L103" si="35">+G104</f>
        <v>17.7</v>
      </c>
      <c r="H103" s="57">
        <f t="shared" si="35"/>
        <v>17.600000000000001</v>
      </c>
      <c r="I103" s="57">
        <f t="shared" si="35"/>
        <v>17.100000000000001</v>
      </c>
      <c r="J103" s="57">
        <f t="shared" si="35"/>
        <v>17.100000000000001</v>
      </c>
      <c r="K103" s="57">
        <f t="shared" si="35"/>
        <v>0</v>
      </c>
      <c r="L103" s="57">
        <f t="shared" si="35"/>
        <v>0</v>
      </c>
      <c r="M103" s="32"/>
      <c r="N103" s="32"/>
      <c r="O103" s="32"/>
    </row>
    <row r="104" spans="1:15" x14ac:dyDescent="0.25">
      <c r="A104" s="238" t="s">
        <v>710</v>
      </c>
      <c r="B104" s="239"/>
      <c r="C104" s="64" t="s">
        <v>3</v>
      </c>
      <c r="D104" s="56" t="s">
        <v>711</v>
      </c>
      <c r="E104" s="57">
        <f t="shared" si="34"/>
        <v>17.7</v>
      </c>
      <c r="F104" s="57">
        <f t="shared" si="34"/>
        <v>17.600000000000001</v>
      </c>
      <c r="G104" s="57">
        <v>17.7</v>
      </c>
      <c r="H104" s="57">
        <v>17.600000000000001</v>
      </c>
      <c r="I104" s="57">
        <v>17.100000000000001</v>
      </c>
      <c r="J104" s="57">
        <v>17.100000000000001</v>
      </c>
      <c r="K104" s="57"/>
      <c r="L104" s="303"/>
      <c r="M104" s="32"/>
      <c r="N104" s="32"/>
      <c r="O104" s="32"/>
    </row>
    <row r="105" spans="1:15" ht="12.6" customHeight="1" x14ac:dyDescent="0.25">
      <c r="A105" s="238" t="s">
        <v>712</v>
      </c>
      <c r="B105" s="239"/>
      <c r="C105" s="306" t="s">
        <v>20</v>
      </c>
      <c r="D105" s="30"/>
      <c r="E105" s="61">
        <f t="shared" si="34"/>
        <v>5284.2999999999993</v>
      </c>
      <c r="F105" s="61">
        <f t="shared" si="34"/>
        <v>5164.3</v>
      </c>
      <c r="G105" s="61">
        <f t="shared" ref="G105:L105" si="36">+G14+G23+G50+G68</f>
        <v>5284.2999999999993</v>
      </c>
      <c r="H105" s="61">
        <f t="shared" si="36"/>
        <v>5164.3</v>
      </c>
      <c r="I105" s="61">
        <f t="shared" si="36"/>
        <v>3095</v>
      </c>
      <c r="J105" s="61">
        <f t="shared" si="36"/>
        <v>3093.7</v>
      </c>
      <c r="K105" s="61">
        <f t="shared" si="36"/>
        <v>0</v>
      </c>
      <c r="L105" s="61">
        <f t="shared" si="36"/>
        <v>0</v>
      </c>
      <c r="M105" s="32"/>
      <c r="N105" s="32"/>
      <c r="O105" s="32"/>
    </row>
    <row r="106" spans="1:15" x14ac:dyDescent="0.25">
      <c r="C106" s="39" t="s">
        <v>713</v>
      </c>
      <c r="D106" s="96"/>
      <c r="E106" s="65"/>
      <c r="F106" s="65"/>
      <c r="G106" s="65"/>
      <c r="H106" s="65"/>
      <c r="I106" s="65"/>
      <c r="J106" s="65"/>
      <c r="K106" s="39"/>
    </row>
    <row r="107" spans="1:15" x14ac:dyDescent="0.25">
      <c r="E107" s="65"/>
      <c r="F107" s="65"/>
      <c r="G107" s="65"/>
      <c r="H107" s="65"/>
      <c r="I107" s="65"/>
      <c r="J107" s="65"/>
      <c r="K107" s="65"/>
    </row>
    <row r="108" spans="1:15" x14ac:dyDescent="0.25">
      <c r="E108" s="65"/>
      <c r="F108" s="65"/>
      <c r="G108" s="65"/>
      <c r="H108" s="65"/>
      <c r="I108" s="65"/>
      <c r="J108" s="65"/>
      <c r="K108" s="65"/>
    </row>
  </sheetData>
  <mergeCells count="23">
    <mergeCell ref="G11:H11"/>
    <mergeCell ref="I11:J11"/>
    <mergeCell ref="A29:A30"/>
    <mergeCell ref="B29:B30"/>
    <mergeCell ref="A63:A64"/>
    <mergeCell ref="B63:B64"/>
    <mergeCell ref="D63:D64"/>
    <mergeCell ref="C1:L1"/>
    <mergeCell ref="C2:L2"/>
    <mergeCell ref="E3:L3"/>
    <mergeCell ref="E9:F9"/>
    <mergeCell ref="G9:L9"/>
    <mergeCell ref="A5:K5"/>
    <mergeCell ref="J7:L7"/>
    <mergeCell ref="A8:A12"/>
    <mergeCell ref="B8:B12"/>
    <mergeCell ref="C8:C12"/>
    <mergeCell ref="D8:D12"/>
    <mergeCell ref="E8:L8"/>
    <mergeCell ref="E10:E12"/>
    <mergeCell ref="F10:F12"/>
    <mergeCell ref="G10:J10"/>
    <mergeCell ref="K10:L11"/>
  </mergeCells>
  <pageMargins left="0.70866141732283472" right="0.19685039370078741" top="0.74803149606299213" bottom="0.74803149606299213" header="0.31496062992125984" footer="0.31496062992125984"/>
  <pageSetup paperSize="9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workbookViewId="0">
      <selection activeCell="C2" sqref="C2:L2"/>
    </sheetView>
  </sheetViews>
  <sheetFormatPr defaultColWidth="9.109375" defaultRowHeight="13.2" x14ac:dyDescent="0.25"/>
  <cols>
    <col min="1" max="1" width="4.109375" style="39" customWidth="1"/>
    <col min="2" max="2" width="6.109375" style="27" customWidth="1"/>
    <col min="3" max="3" width="41.44140625" style="40" customWidth="1"/>
    <col min="4" max="4" width="10.6640625" style="41" customWidth="1"/>
    <col min="5" max="5" width="9.44140625" style="48" customWidth="1"/>
    <col min="6" max="6" width="9.44140625" style="151" customWidth="1"/>
    <col min="7" max="7" width="9.44140625" style="48" customWidth="1"/>
    <col min="8" max="8" width="9.44140625" style="151" customWidth="1"/>
    <col min="9" max="9" width="9" style="48" customWidth="1"/>
    <col min="10" max="10" width="9" style="151" customWidth="1"/>
    <col min="11" max="11" width="7.44140625" style="48" customWidth="1"/>
    <col min="12" max="12" width="9.109375" style="39"/>
    <col min="13" max="16384" width="9.109375" style="26"/>
  </cols>
  <sheetData>
    <row r="1" spans="1:19" ht="15.75" customHeight="1" x14ac:dyDescent="0.3">
      <c r="A1" s="240"/>
      <c r="B1" s="41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19" ht="15.6" x14ac:dyDescent="0.3">
      <c r="A2" s="240"/>
      <c r="B2" s="41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9" ht="14.25" customHeight="1" x14ac:dyDescent="0.25">
      <c r="A3" s="240"/>
      <c r="C3" s="118"/>
      <c r="D3" s="241"/>
      <c r="E3" s="392" t="s">
        <v>88</v>
      </c>
      <c r="F3" s="392"/>
      <c r="G3" s="392"/>
      <c r="H3" s="392"/>
      <c r="I3" s="392"/>
      <c r="J3" s="392"/>
      <c r="K3" s="392"/>
      <c r="L3" s="392"/>
    </row>
    <row r="4" spans="1:19" ht="15.6" x14ac:dyDescent="0.25">
      <c r="E4" s="42"/>
      <c r="F4" s="145"/>
      <c r="G4" s="42"/>
      <c r="H4" s="145"/>
      <c r="I4" s="42"/>
      <c r="J4" s="145"/>
      <c r="K4" s="42"/>
    </row>
    <row r="5" spans="1:19" ht="32.25" customHeight="1" x14ac:dyDescent="0.25">
      <c r="A5" s="420" t="s">
        <v>190</v>
      </c>
      <c r="B5" s="420"/>
      <c r="C5" s="420"/>
      <c r="D5" s="420"/>
      <c r="E5" s="420"/>
      <c r="F5" s="420"/>
      <c r="G5" s="420"/>
      <c r="H5" s="420"/>
      <c r="I5" s="420"/>
      <c r="J5" s="420"/>
      <c r="K5" s="420"/>
    </row>
    <row r="6" spans="1:19" x14ac:dyDescent="0.25">
      <c r="A6" s="133"/>
      <c r="B6" s="133"/>
      <c r="C6" s="133"/>
      <c r="D6" s="133"/>
      <c r="E6" s="133"/>
      <c r="F6" s="153"/>
      <c r="G6" s="133"/>
      <c r="H6" s="153"/>
      <c r="I6" s="133"/>
      <c r="J6" s="153"/>
      <c r="K6" s="133"/>
    </row>
    <row r="7" spans="1:19" x14ac:dyDescent="0.25">
      <c r="A7" s="118"/>
      <c r="B7" s="44"/>
      <c r="C7" s="45"/>
      <c r="D7" s="46"/>
      <c r="E7" s="47"/>
      <c r="F7" s="47"/>
      <c r="G7" s="47"/>
      <c r="H7" s="47"/>
      <c r="I7" s="47"/>
      <c r="J7" s="357" t="s">
        <v>91</v>
      </c>
      <c r="K7" s="357"/>
      <c r="L7" s="357"/>
    </row>
    <row r="8" spans="1:19" ht="12.75" customHeight="1" x14ac:dyDescent="0.25">
      <c r="A8" s="377" t="s">
        <v>0</v>
      </c>
      <c r="B8" s="411" t="s">
        <v>29</v>
      </c>
      <c r="C8" s="411" t="s">
        <v>16</v>
      </c>
      <c r="D8" s="377" t="s">
        <v>52</v>
      </c>
      <c r="E8" s="367" t="s">
        <v>17</v>
      </c>
      <c r="F8" s="368"/>
      <c r="G8" s="381" t="s">
        <v>78</v>
      </c>
      <c r="H8" s="406"/>
      <c r="I8" s="406"/>
      <c r="J8" s="406"/>
      <c r="K8" s="406"/>
      <c r="L8" s="382"/>
    </row>
    <row r="9" spans="1:19" ht="12.75" customHeight="1" x14ac:dyDescent="0.25">
      <c r="A9" s="407"/>
      <c r="B9" s="412"/>
      <c r="C9" s="412"/>
      <c r="D9" s="407"/>
      <c r="E9" s="414"/>
      <c r="F9" s="415"/>
      <c r="G9" s="381" t="s">
        <v>162</v>
      </c>
      <c r="H9" s="406"/>
      <c r="I9" s="406"/>
      <c r="J9" s="382"/>
      <c r="K9" s="367" t="s">
        <v>30</v>
      </c>
      <c r="L9" s="368"/>
    </row>
    <row r="10" spans="1:19" ht="25.95" customHeight="1" x14ac:dyDescent="0.25">
      <c r="A10" s="407"/>
      <c r="B10" s="412"/>
      <c r="C10" s="412"/>
      <c r="D10" s="407"/>
      <c r="E10" s="369"/>
      <c r="F10" s="370"/>
      <c r="G10" s="381" t="s">
        <v>31</v>
      </c>
      <c r="H10" s="382"/>
      <c r="I10" s="381" t="s">
        <v>32</v>
      </c>
      <c r="J10" s="382"/>
      <c r="K10" s="369"/>
      <c r="L10" s="370"/>
    </row>
    <row r="11" spans="1:19" ht="19.2" customHeight="1" x14ac:dyDescent="0.25">
      <c r="A11" s="407"/>
      <c r="B11" s="412"/>
      <c r="C11" s="412"/>
      <c r="D11" s="407"/>
      <c r="E11" s="377" t="s">
        <v>277</v>
      </c>
      <c r="F11" s="377" t="s">
        <v>278</v>
      </c>
      <c r="G11" s="377" t="s">
        <v>277</v>
      </c>
      <c r="H11" s="377" t="s">
        <v>278</v>
      </c>
      <c r="I11" s="377" t="s">
        <v>277</v>
      </c>
      <c r="J11" s="377" t="s">
        <v>278</v>
      </c>
      <c r="K11" s="377" t="s">
        <v>277</v>
      </c>
      <c r="L11" s="421" t="s">
        <v>278</v>
      </c>
    </row>
    <row r="12" spans="1:19" ht="19.95" hidden="1" customHeight="1" x14ac:dyDescent="0.25">
      <c r="A12" s="378"/>
      <c r="B12" s="413"/>
      <c r="C12" s="413"/>
      <c r="D12" s="378"/>
      <c r="E12" s="378"/>
      <c r="F12" s="378"/>
      <c r="G12" s="378"/>
      <c r="H12" s="378"/>
      <c r="I12" s="378"/>
      <c r="J12" s="378"/>
      <c r="K12" s="378"/>
      <c r="L12" s="422"/>
    </row>
    <row r="13" spans="1:19" s="51" customFormat="1" ht="12.75" customHeight="1" x14ac:dyDescent="0.25">
      <c r="A13" s="50">
        <v>1</v>
      </c>
      <c r="B13" s="29" t="s">
        <v>19</v>
      </c>
      <c r="C13" s="29" t="s">
        <v>79</v>
      </c>
      <c r="D13" s="28">
        <v>4</v>
      </c>
      <c r="E13" s="28">
        <v>5</v>
      </c>
      <c r="F13" s="149">
        <v>6</v>
      </c>
      <c r="G13" s="28">
        <v>7</v>
      </c>
      <c r="H13" s="149">
        <v>8</v>
      </c>
      <c r="I13" s="28">
        <v>9</v>
      </c>
      <c r="J13" s="149">
        <v>10</v>
      </c>
      <c r="K13" s="50">
        <v>11</v>
      </c>
      <c r="L13" s="152">
        <v>12</v>
      </c>
      <c r="M13" s="26"/>
      <c r="N13" s="26"/>
      <c r="O13" s="26"/>
      <c r="P13" s="26"/>
    </row>
    <row r="14" spans="1:19" s="51" customFormat="1" ht="20.100000000000001" customHeight="1" x14ac:dyDescent="0.25">
      <c r="A14" s="52">
        <v>1</v>
      </c>
      <c r="B14" s="30" t="s">
        <v>53</v>
      </c>
      <c r="C14" s="31" t="s">
        <v>54</v>
      </c>
      <c r="D14" s="28"/>
      <c r="E14" s="53">
        <f t="shared" ref="E14:F70" si="0">+G14+K14</f>
        <v>15146.099999999995</v>
      </c>
      <c r="F14" s="53">
        <f t="shared" si="0"/>
        <v>15122.699999999995</v>
      </c>
      <c r="G14" s="53">
        <f t="shared" ref="G14:L14" si="1">+G15+G49+G51</f>
        <v>15055.199999999995</v>
      </c>
      <c r="H14" s="53">
        <f t="shared" si="1"/>
        <v>15031.799999999996</v>
      </c>
      <c r="I14" s="53">
        <f t="shared" si="1"/>
        <v>14311.199999999997</v>
      </c>
      <c r="J14" s="53">
        <f t="shared" si="1"/>
        <v>14288.099999999997</v>
      </c>
      <c r="K14" s="53">
        <f t="shared" si="1"/>
        <v>90.9</v>
      </c>
      <c r="L14" s="53">
        <f t="shared" si="1"/>
        <v>90.9</v>
      </c>
      <c r="M14" s="32"/>
      <c r="N14" s="32"/>
      <c r="O14" s="32"/>
      <c r="P14" s="32"/>
      <c r="Q14" s="132"/>
      <c r="R14" s="132"/>
      <c r="S14" s="132"/>
    </row>
    <row r="15" spans="1:19" s="51" customFormat="1" ht="24.9" customHeight="1" x14ac:dyDescent="0.25">
      <c r="A15" s="52">
        <v>2</v>
      </c>
      <c r="B15" s="55" t="s">
        <v>213</v>
      </c>
      <c r="C15" s="134" t="s">
        <v>181</v>
      </c>
      <c r="D15" s="229"/>
      <c r="E15" s="302">
        <f t="shared" si="0"/>
        <v>14435.599999999995</v>
      </c>
      <c r="F15" s="302">
        <f t="shared" si="0"/>
        <v>14412.199999999995</v>
      </c>
      <c r="G15" s="302">
        <f t="shared" ref="G15:L15" si="2">+G17+G20+G21+G22+G16+G18+G19+G23+G28+G25+G38+G24+G30+G31+G26+G27+G29+G32+G33+G34+G35+G36+G37+G39+G40+G41+G42+G48+G47</f>
        <v>14400.299999999996</v>
      </c>
      <c r="H15" s="302">
        <f t="shared" si="2"/>
        <v>14376.899999999996</v>
      </c>
      <c r="I15" s="302">
        <f t="shared" si="2"/>
        <v>13849.399999999998</v>
      </c>
      <c r="J15" s="302">
        <f t="shared" si="2"/>
        <v>13826.299999999997</v>
      </c>
      <c r="K15" s="302">
        <f t="shared" si="2"/>
        <v>35.300000000000004</v>
      </c>
      <c r="L15" s="302">
        <f t="shared" si="2"/>
        <v>35.300000000000004</v>
      </c>
      <c r="M15" s="32"/>
      <c r="N15" s="32"/>
      <c r="O15" s="32"/>
      <c r="P15" s="32"/>
      <c r="Q15" s="132"/>
      <c r="R15" s="132"/>
      <c r="S15" s="132"/>
    </row>
    <row r="16" spans="1:19" s="178" customFormat="1" ht="14.25" customHeight="1" x14ac:dyDescent="0.25">
      <c r="A16" s="156">
        <v>3</v>
      </c>
      <c r="B16" s="171"/>
      <c r="C16" s="206" t="s">
        <v>127</v>
      </c>
      <c r="D16" s="171" t="s">
        <v>55</v>
      </c>
      <c r="E16" s="176">
        <f t="shared" si="0"/>
        <v>289.8</v>
      </c>
      <c r="F16" s="73">
        <f t="shared" si="0"/>
        <v>289.8</v>
      </c>
      <c r="G16" s="176">
        <f>295.3-5.5</f>
        <v>289.8</v>
      </c>
      <c r="H16" s="176">
        <v>289.8</v>
      </c>
      <c r="I16" s="176">
        <f>285.2-5.5+1.2</f>
        <v>280.89999999999998</v>
      </c>
      <c r="J16" s="176">
        <v>280.89999999999998</v>
      </c>
      <c r="K16" s="176"/>
      <c r="L16" s="206"/>
      <c r="M16" s="162"/>
      <c r="N16" s="162"/>
      <c r="O16" s="162"/>
      <c r="P16" s="162"/>
      <c r="Q16" s="162"/>
      <c r="R16" s="162"/>
      <c r="S16" s="162"/>
    </row>
    <row r="17" spans="1:19" s="178" customFormat="1" ht="12.6" customHeight="1" x14ac:dyDescent="0.25">
      <c r="A17" s="156">
        <v>4</v>
      </c>
      <c r="B17" s="171"/>
      <c r="C17" s="206" t="s">
        <v>118</v>
      </c>
      <c r="D17" s="171" t="s">
        <v>55</v>
      </c>
      <c r="E17" s="176">
        <f t="shared" si="0"/>
        <v>305.8</v>
      </c>
      <c r="F17" s="73">
        <f t="shared" si="0"/>
        <v>305.8</v>
      </c>
      <c r="G17" s="176">
        <f>295.8+10</f>
        <v>305.8</v>
      </c>
      <c r="H17" s="176">
        <v>305.8</v>
      </c>
      <c r="I17" s="176">
        <f>285.7+9.8</f>
        <v>295.5</v>
      </c>
      <c r="J17" s="176">
        <v>295.5</v>
      </c>
      <c r="K17" s="176"/>
      <c r="L17" s="206"/>
      <c r="M17" s="162"/>
      <c r="N17" s="162"/>
      <c r="O17" s="162"/>
      <c r="P17" s="162"/>
      <c r="Q17" s="162"/>
      <c r="R17" s="162"/>
      <c r="S17" s="162"/>
    </row>
    <row r="18" spans="1:19" s="178" customFormat="1" ht="12.6" customHeight="1" x14ac:dyDescent="0.25">
      <c r="A18" s="156">
        <v>5</v>
      </c>
      <c r="B18" s="171"/>
      <c r="C18" s="206" t="s">
        <v>119</v>
      </c>
      <c r="D18" s="171" t="s">
        <v>55</v>
      </c>
      <c r="E18" s="176">
        <f t="shared" si="0"/>
        <v>307.8</v>
      </c>
      <c r="F18" s="73">
        <f t="shared" si="0"/>
        <v>307.8</v>
      </c>
      <c r="G18" s="176">
        <f>304.5+3.3</f>
        <v>307.8</v>
      </c>
      <c r="H18" s="176">
        <v>307.8</v>
      </c>
      <c r="I18" s="176">
        <f>293.1+3</f>
        <v>296.10000000000002</v>
      </c>
      <c r="J18" s="176">
        <v>296.10000000000002</v>
      </c>
      <c r="K18" s="176"/>
      <c r="L18" s="206"/>
      <c r="M18" s="162"/>
      <c r="N18" s="162"/>
      <c r="O18" s="162"/>
      <c r="P18" s="162"/>
      <c r="Q18" s="162"/>
      <c r="R18" s="162"/>
      <c r="S18" s="162"/>
    </row>
    <row r="19" spans="1:19" s="178" customFormat="1" ht="12.6" customHeight="1" x14ac:dyDescent="0.25">
      <c r="A19" s="156">
        <v>6</v>
      </c>
      <c r="B19" s="171"/>
      <c r="C19" s="206" t="s">
        <v>123</v>
      </c>
      <c r="D19" s="171" t="s">
        <v>55</v>
      </c>
      <c r="E19" s="176">
        <f t="shared" si="0"/>
        <v>359.79999999999995</v>
      </c>
      <c r="F19" s="73">
        <f t="shared" si="0"/>
        <v>359.8</v>
      </c>
      <c r="G19" s="176">
        <f>350.9+8.9</f>
        <v>359.79999999999995</v>
      </c>
      <c r="H19" s="176">
        <v>359.8</v>
      </c>
      <c r="I19" s="176">
        <f>337.6+8.8-5.6</f>
        <v>340.8</v>
      </c>
      <c r="J19" s="176">
        <v>340.8</v>
      </c>
      <c r="K19" s="176"/>
      <c r="L19" s="206"/>
      <c r="M19" s="162"/>
      <c r="N19" s="162"/>
      <c r="O19" s="162"/>
      <c r="P19" s="162"/>
      <c r="Q19" s="162"/>
      <c r="R19" s="162"/>
      <c r="S19" s="162"/>
    </row>
    <row r="20" spans="1:19" s="178" customFormat="1" ht="12.6" customHeight="1" x14ac:dyDescent="0.25">
      <c r="A20" s="156">
        <v>7</v>
      </c>
      <c r="B20" s="171"/>
      <c r="C20" s="206" t="s">
        <v>120</v>
      </c>
      <c r="D20" s="171" t="s">
        <v>55</v>
      </c>
      <c r="E20" s="176">
        <f t="shared" si="0"/>
        <v>345.5</v>
      </c>
      <c r="F20" s="73">
        <f t="shared" si="0"/>
        <v>345.5</v>
      </c>
      <c r="G20" s="176">
        <f>345.7-0.2-3</f>
        <v>342.5</v>
      </c>
      <c r="H20" s="176">
        <v>342.5</v>
      </c>
      <c r="I20" s="176">
        <f>333.3-0.2-12</f>
        <v>321.10000000000002</v>
      </c>
      <c r="J20" s="176">
        <v>321.10000000000002</v>
      </c>
      <c r="K20" s="176">
        <v>3</v>
      </c>
      <c r="L20" s="206">
        <v>3</v>
      </c>
      <c r="M20" s="162"/>
      <c r="N20" s="162"/>
      <c r="O20" s="162"/>
      <c r="P20" s="162"/>
      <c r="Q20" s="162"/>
      <c r="R20" s="162"/>
      <c r="S20" s="162"/>
    </row>
    <row r="21" spans="1:19" s="178" customFormat="1" ht="12.6" customHeight="1" x14ac:dyDescent="0.25">
      <c r="A21" s="156">
        <v>8</v>
      </c>
      <c r="B21" s="171"/>
      <c r="C21" s="206" t="s">
        <v>121</v>
      </c>
      <c r="D21" s="171" t="s">
        <v>55</v>
      </c>
      <c r="E21" s="176">
        <f t="shared" si="0"/>
        <v>307.3</v>
      </c>
      <c r="F21" s="73">
        <f t="shared" si="0"/>
        <v>307.3</v>
      </c>
      <c r="G21" s="176">
        <f>283.6+23.7-3.1</f>
        <v>304.2</v>
      </c>
      <c r="H21" s="176">
        <v>304.2</v>
      </c>
      <c r="I21" s="176">
        <f>274.2+23.3-6</f>
        <v>291.5</v>
      </c>
      <c r="J21" s="176">
        <v>291.5</v>
      </c>
      <c r="K21" s="176">
        <v>3.1</v>
      </c>
      <c r="L21" s="206">
        <v>3.1</v>
      </c>
      <c r="M21" s="162"/>
      <c r="N21" s="162"/>
      <c r="O21" s="162"/>
      <c r="P21" s="162"/>
      <c r="Q21" s="162"/>
      <c r="R21" s="162"/>
      <c r="S21" s="162"/>
    </row>
    <row r="22" spans="1:19" s="178" customFormat="1" ht="12.6" customHeight="1" x14ac:dyDescent="0.25">
      <c r="A22" s="156">
        <v>9</v>
      </c>
      <c r="B22" s="171"/>
      <c r="C22" s="206" t="s">
        <v>122</v>
      </c>
      <c r="D22" s="171" t="s">
        <v>55</v>
      </c>
      <c r="E22" s="176">
        <f t="shared" si="0"/>
        <v>335.9</v>
      </c>
      <c r="F22" s="73">
        <f t="shared" si="0"/>
        <v>335.9</v>
      </c>
      <c r="G22" s="176">
        <f>328.4-1.5+7.5</f>
        <v>334.4</v>
      </c>
      <c r="H22" s="176">
        <v>334.4</v>
      </c>
      <c r="I22" s="176">
        <f>315.7+7.3</f>
        <v>323</v>
      </c>
      <c r="J22" s="176">
        <v>323</v>
      </c>
      <c r="K22" s="176">
        <v>1.5</v>
      </c>
      <c r="L22" s="206">
        <v>1.5</v>
      </c>
      <c r="M22" s="162"/>
      <c r="N22" s="162"/>
      <c r="O22" s="162"/>
      <c r="P22" s="162"/>
      <c r="Q22" s="164"/>
      <c r="R22" s="162"/>
      <c r="S22" s="162"/>
    </row>
    <row r="23" spans="1:19" s="178" customFormat="1" ht="12.6" customHeight="1" x14ac:dyDescent="0.25">
      <c r="A23" s="156">
        <v>10</v>
      </c>
      <c r="B23" s="171"/>
      <c r="C23" s="175" t="s">
        <v>144</v>
      </c>
      <c r="D23" s="171" t="s">
        <v>56</v>
      </c>
      <c r="E23" s="176">
        <f t="shared" si="0"/>
        <v>346.40000000000003</v>
      </c>
      <c r="F23" s="73">
        <f t="shared" si="0"/>
        <v>346.4</v>
      </c>
      <c r="G23" s="176">
        <f>334.8+11.6</f>
        <v>346.40000000000003</v>
      </c>
      <c r="H23" s="176">
        <v>346.4</v>
      </c>
      <c r="I23" s="176">
        <f>322.2+11.5-1.5</f>
        <v>332.2</v>
      </c>
      <c r="J23" s="176">
        <v>332.2</v>
      </c>
      <c r="K23" s="176"/>
      <c r="L23" s="206"/>
      <c r="M23" s="162"/>
      <c r="N23" s="162"/>
      <c r="O23" s="162"/>
      <c r="P23" s="162"/>
      <c r="Q23" s="162"/>
      <c r="R23" s="162"/>
      <c r="S23" s="162"/>
    </row>
    <row r="24" spans="1:19" s="178" customFormat="1" ht="12.6" customHeight="1" x14ac:dyDescent="0.25">
      <c r="A24" s="156">
        <v>11</v>
      </c>
      <c r="B24" s="171"/>
      <c r="C24" s="206" t="s">
        <v>126</v>
      </c>
      <c r="D24" s="171" t="s">
        <v>57</v>
      </c>
      <c r="E24" s="176">
        <f t="shared" si="0"/>
        <v>998.1</v>
      </c>
      <c r="F24" s="73">
        <f t="shared" si="0"/>
        <v>998.1</v>
      </c>
      <c r="G24" s="176">
        <f>976.6+21.5</f>
        <v>998.1</v>
      </c>
      <c r="H24" s="176">
        <v>998.1</v>
      </c>
      <c r="I24" s="176">
        <f>944.5+20.8-1.8</f>
        <v>963.5</v>
      </c>
      <c r="J24" s="176">
        <v>963.5</v>
      </c>
      <c r="K24" s="176"/>
      <c r="L24" s="206"/>
      <c r="M24" s="162"/>
      <c r="N24" s="162"/>
      <c r="O24" s="162"/>
      <c r="P24" s="162"/>
      <c r="Q24" s="162"/>
      <c r="R24" s="162"/>
      <c r="S24" s="162"/>
    </row>
    <row r="25" spans="1:19" s="178" customFormat="1" ht="14.25" customHeight="1" x14ac:dyDescent="0.25">
      <c r="A25" s="156">
        <v>12</v>
      </c>
      <c r="B25" s="171"/>
      <c r="C25" s="206" t="s">
        <v>42</v>
      </c>
      <c r="D25" s="171" t="s">
        <v>57</v>
      </c>
      <c r="E25" s="176">
        <f t="shared" si="0"/>
        <v>944.30000000000007</v>
      </c>
      <c r="F25" s="73">
        <f t="shared" si="0"/>
        <v>944.3</v>
      </c>
      <c r="G25" s="176">
        <f>915.2+29.1</f>
        <v>944.30000000000007</v>
      </c>
      <c r="H25" s="176">
        <v>944.3</v>
      </c>
      <c r="I25" s="176">
        <f>884.3+28.3-1.2</f>
        <v>911.39999999999986</v>
      </c>
      <c r="J25" s="176">
        <v>911.4</v>
      </c>
      <c r="K25" s="176"/>
      <c r="L25" s="206"/>
      <c r="M25" s="162"/>
      <c r="N25" s="162"/>
      <c r="O25" s="162"/>
      <c r="P25" s="162"/>
      <c r="Q25" s="162"/>
      <c r="R25" s="162"/>
      <c r="S25" s="162"/>
    </row>
    <row r="26" spans="1:19" s="178" customFormat="1" ht="14.25" customHeight="1" x14ac:dyDescent="0.25">
      <c r="A26" s="156">
        <v>13</v>
      </c>
      <c r="B26" s="171"/>
      <c r="C26" s="175" t="s">
        <v>93</v>
      </c>
      <c r="D26" s="171" t="s">
        <v>57</v>
      </c>
      <c r="E26" s="176">
        <f t="shared" si="0"/>
        <v>825.6</v>
      </c>
      <c r="F26" s="73">
        <f t="shared" si="0"/>
        <v>825.6</v>
      </c>
      <c r="G26" s="176">
        <f>806.1+19.5-1.5</f>
        <v>824.1</v>
      </c>
      <c r="H26" s="176">
        <v>824.1</v>
      </c>
      <c r="I26" s="176">
        <f>778.7+19.5-7.4</f>
        <v>790.80000000000007</v>
      </c>
      <c r="J26" s="176">
        <v>790.8</v>
      </c>
      <c r="K26" s="176">
        <v>1.5</v>
      </c>
      <c r="L26" s="206">
        <v>1.5</v>
      </c>
      <c r="M26" s="162"/>
      <c r="N26" s="162"/>
      <c r="O26" s="162"/>
      <c r="P26" s="162"/>
      <c r="Q26" s="162"/>
      <c r="R26" s="162"/>
      <c r="S26" s="162"/>
    </row>
    <row r="27" spans="1:19" s="178" customFormat="1" ht="12.6" customHeight="1" x14ac:dyDescent="0.25">
      <c r="A27" s="156">
        <v>14</v>
      </c>
      <c r="B27" s="171"/>
      <c r="C27" s="175" t="s">
        <v>94</v>
      </c>
      <c r="D27" s="171" t="s">
        <v>57</v>
      </c>
      <c r="E27" s="176">
        <f t="shared" si="0"/>
        <v>573.40000000000009</v>
      </c>
      <c r="F27" s="73">
        <f t="shared" si="0"/>
        <v>573.4</v>
      </c>
      <c r="G27" s="176">
        <f>553.2+20.2</f>
        <v>573.40000000000009</v>
      </c>
      <c r="H27" s="176">
        <v>573.4</v>
      </c>
      <c r="I27" s="176">
        <f>534+19.8+3.2</f>
        <v>557</v>
      </c>
      <c r="J27" s="176">
        <v>557</v>
      </c>
      <c r="K27" s="176"/>
      <c r="L27" s="206"/>
      <c r="M27" s="162"/>
      <c r="N27" s="162"/>
      <c r="O27" s="162"/>
      <c r="P27" s="162"/>
      <c r="Q27" s="162"/>
      <c r="R27" s="162"/>
      <c r="S27" s="162"/>
    </row>
    <row r="28" spans="1:19" s="178" customFormat="1" ht="12.6" customHeight="1" x14ac:dyDescent="0.25">
      <c r="A28" s="156">
        <v>15</v>
      </c>
      <c r="B28" s="171"/>
      <c r="C28" s="175" t="s">
        <v>36</v>
      </c>
      <c r="D28" s="171" t="s">
        <v>57</v>
      </c>
      <c r="E28" s="176">
        <f t="shared" si="0"/>
        <v>718.7</v>
      </c>
      <c r="F28" s="73">
        <f t="shared" si="0"/>
        <v>718.7</v>
      </c>
      <c r="G28" s="176">
        <f>703.1+15.6</f>
        <v>718.7</v>
      </c>
      <c r="H28" s="176">
        <v>718.7</v>
      </c>
      <c r="I28" s="176">
        <f>680.9+15.5-1.6</f>
        <v>694.8</v>
      </c>
      <c r="J28" s="176">
        <v>694.8</v>
      </c>
      <c r="K28" s="176"/>
      <c r="L28" s="206"/>
      <c r="M28" s="162"/>
      <c r="N28" s="162"/>
      <c r="O28" s="162"/>
      <c r="P28" s="162"/>
      <c r="Q28" s="162"/>
      <c r="R28" s="162"/>
      <c r="S28" s="162"/>
    </row>
    <row r="29" spans="1:19" s="178" customFormat="1" ht="12.6" customHeight="1" x14ac:dyDescent="0.25">
      <c r="A29" s="324">
        <v>16</v>
      </c>
      <c r="B29" s="171"/>
      <c r="C29" s="206" t="s">
        <v>97</v>
      </c>
      <c r="D29" s="171" t="s">
        <v>57</v>
      </c>
      <c r="E29" s="176">
        <f>+G29+K29</f>
        <v>553.80000000000007</v>
      </c>
      <c r="F29" s="73">
        <f t="shared" si="0"/>
        <v>553.79999999999995</v>
      </c>
      <c r="G29" s="176">
        <f>546.7+7.1</f>
        <v>553.80000000000007</v>
      </c>
      <c r="H29" s="176">
        <v>553.79999999999995</v>
      </c>
      <c r="I29" s="176">
        <f>529+7+0.3</f>
        <v>536.29999999999995</v>
      </c>
      <c r="J29" s="176">
        <v>536.29999999999995</v>
      </c>
      <c r="K29" s="176"/>
      <c r="L29" s="206"/>
      <c r="M29" s="162"/>
      <c r="N29" s="162"/>
      <c r="O29" s="162"/>
      <c r="P29" s="162"/>
      <c r="Q29" s="162"/>
      <c r="R29" s="162"/>
      <c r="S29" s="162"/>
    </row>
    <row r="30" spans="1:19" s="178" customFormat="1" ht="24.9" customHeight="1" x14ac:dyDescent="0.25">
      <c r="A30" s="156">
        <v>17</v>
      </c>
      <c r="B30" s="171"/>
      <c r="C30" s="175" t="s">
        <v>124</v>
      </c>
      <c r="D30" s="171" t="s">
        <v>58</v>
      </c>
      <c r="E30" s="176">
        <f t="shared" si="0"/>
        <v>1390.9</v>
      </c>
      <c r="F30" s="73">
        <f t="shared" si="0"/>
        <v>1390.9</v>
      </c>
      <c r="G30" s="176">
        <f>1363.5-3+27.4-20</f>
        <v>1367.9</v>
      </c>
      <c r="H30" s="176">
        <v>1367.9</v>
      </c>
      <c r="I30" s="176">
        <f>1312.3+26.9-42</f>
        <v>1297.2</v>
      </c>
      <c r="J30" s="176">
        <v>1297.2</v>
      </c>
      <c r="K30" s="176">
        <f>3+20</f>
        <v>23</v>
      </c>
      <c r="L30" s="206">
        <v>23</v>
      </c>
      <c r="M30" s="162"/>
      <c r="N30" s="162"/>
      <c r="O30" s="162"/>
      <c r="P30" s="162"/>
      <c r="Q30" s="162"/>
      <c r="R30" s="162"/>
      <c r="S30" s="162"/>
    </row>
    <row r="31" spans="1:19" s="178" customFormat="1" ht="12.6" customHeight="1" x14ac:dyDescent="0.25">
      <c r="A31" s="156">
        <v>18</v>
      </c>
      <c r="B31" s="171"/>
      <c r="C31" s="206" t="s">
        <v>125</v>
      </c>
      <c r="D31" s="168" t="s">
        <v>163</v>
      </c>
      <c r="E31" s="176">
        <f t="shared" si="0"/>
        <v>1472.5</v>
      </c>
      <c r="F31" s="73">
        <f t="shared" si="0"/>
        <v>1472.5</v>
      </c>
      <c r="G31" s="176">
        <f>1462.8+9.7</f>
        <v>1472.5</v>
      </c>
      <c r="H31" s="176">
        <v>1472.5</v>
      </c>
      <c r="I31" s="176">
        <f>1406+9.9-18.5</f>
        <v>1397.4</v>
      </c>
      <c r="J31" s="176">
        <v>1397.4</v>
      </c>
      <c r="K31" s="176"/>
      <c r="L31" s="206"/>
      <c r="M31" s="162"/>
      <c r="N31" s="162"/>
      <c r="O31" s="162"/>
      <c r="P31" s="162"/>
      <c r="Q31" s="162"/>
      <c r="R31" s="162"/>
      <c r="S31" s="162"/>
    </row>
    <row r="32" spans="1:19" s="178" customFormat="1" ht="12.6" customHeight="1" x14ac:dyDescent="0.25">
      <c r="A32" s="156">
        <v>19</v>
      </c>
      <c r="B32" s="171"/>
      <c r="C32" s="175" t="s">
        <v>89</v>
      </c>
      <c r="D32" s="168" t="s">
        <v>163</v>
      </c>
      <c r="E32" s="176">
        <f t="shared" si="0"/>
        <v>975.4</v>
      </c>
      <c r="F32" s="73">
        <f t="shared" si="0"/>
        <v>975.4</v>
      </c>
      <c r="G32" s="176">
        <f>956.4+19</f>
        <v>975.4</v>
      </c>
      <c r="H32" s="176">
        <v>975.4</v>
      </c>
      <c r="I32" s="176">
        <f>921.2+18.8-3.8</f>
        <v>936.2</v>
      </c>
      <c r="J32" s="176">
        <v>936.2</v>
      </c>
      <c r="K32" s="176"/>
      <c r="L32" s="206"/>
      <c r="M32" s="162"/>
      <c r="N32" s="162"/>
      <c r="O32" s="162"/>
      <c r="P32" s="162"/>
      <c r="Q32" s="162"/>
      <c r="R32" s="162"/>
      <c r="S32" s="162"/>
    </row>
    <row r="33" spans="1:19" s="178" customFormat="1" ht="12.6" customHeight="1" x14ac:dyDescent="0.25">
      <c r="A33" s="156">
        <v>20</v>
      </c>
      <c r="B33" s="171"/>
      <c r="C33" s="175" t="s">
        <v>37</v>
      </c>
      <c r="D33" s="171" t="s">
        <v>58</v>
      </c>
      <c r="E33" s="176">
        <f t="shared" si="0"/>
        <v>354.29999999999995</v>
      </c>
      <c r="F33" s="73">
        <f t="shared" si="0"/>
        <v>354.3</v>
      </c>
      <c r="G33" s="176">
        <f>350.9+3.4</f>
        <v>354.29999999999995</v>
      </c>
      <c r="H33" s="176">
        <v>354.3</v>
      </c>
      <c r="I33" s="176">
        <f>341.4+3.6+1.9</f>
        <v>346.9</v>
      </c>
      <c r="J33" s="176">
        <v>346.9</v>
      </c>
      <c r="K33" s="176"/>
      <c r="L33" s="206"/>
      <c r="M33" s="162"/>
      <c r="N33" s="162"/>
      <c r="O33" s="162"/>
      <c r="P33" s="162"/>
      <c r="Q33" s="162"/>
      <c r="R33" s="162"/>
      <c r="S33" s="162"/>
    </row>
    <row r="34" spans="1:19" s="178" customFormat="1" ht="12.6" customHeight="1" x14ac:dyDescent="0.25">
      <c r="A34" s="156">
        <v>21</v>
      </c>
      <c r="B34" s="171"/>
      <c r="C34" s="175" t="s">
        <v>95</v>
      </c>
      <c r="D34" s="171" t="s">
        <v>58</v>
      </c>
      <c r="E34" s="176">
        <f t="shared" si="0"/>
        <v>730.8</v>
      </c>
      <c r="F34" s="73">
        <f t="shared" si="0"/>
        <v>730.8</v>
      </c>
      <c r="G34" s="176">
        <f>721.3+9.5</f>
        <v>730.8</v>
      </c>
      <c r="H34" s="176">
        <v>730.8</v>
      </c>
      <c r="I34" s="176">
        <f>700+9.1-3</f>
        <v>706.1</v>
      </c>
      <c r="J34" s="176">
        <v>706.1</v>
      </c>
      <c r="K34" s="176"/>
      <c r="L34" s="206"/>
      <c r="M34" s="162"/>
      <c r="N34" s="162"/>
      <c r="O34" s="162"/>
      <c r="P34" s="162"/>
      <c r="Q34" s="162"/>
      <c r="R34" s="162"/>
      <c r="S34" s="162"/>
    </row>
    <row r="35" spans="1:19" s="178" customFormat="1" ht="12.6" customHeight="1" x14ac:dyDescent="0.25">
      <c r="A35" s="156">
        <v>22</v>
      </c>
      <c r="B35" s="171"/>
      <c r="C35" s="175" t="s">
        <v>156</v>
      </c>
      <c r="D35" s="171" t="s">
        <v>58</v>
      </c>
      <c r="E35" s="176">
        <f t="shared" si="0"/>
        <v>322.89999999999998</v>
      </c>
      <c r="F35" s="73">
        <f t="shared" si="0"/>
        <v>322.89999999999998</v>
      </c>
      <c r="G35" s="176">
        <f>331.7-8.8</f>
        <v>322.89999999999998</v>
      </c>
      <c r="H35" s="176">
        <v>322.89999999999998</v>
      </c>
      <c r="I35" s="176">
        <f>323.5-8.7-2.4</f>
        <v>312.40000000000003</v>
      </c>
      <c r="J35" s="176">
        <v>312.39999999999998</v>
      </c>
      <c r="K35" s="176"/>
      <c r="L35" s="206"/>
      <c r="M35" s="162"/>
      <c r="N35" s="162"/>
      <c r="O35" s="162"/>
      <c r="P35" s="162"/>
      <c r="Q35" s="162"/>
      <c r="R35" s="162"/>
      <c r="S35" s="162"/>
    </row>
    <row r="36" spans="1:19" s="178" customFormat="1" ht="27" customHeight="1" x14ac:dyDescent="0.25">
      <c r="A36" s="156">
        <v>23</v>
      </c>
      <c r="B36" s="195"/>
      <c r="C36" s="175" t="s">
        <v>38</v>
      </c>
      <c r="D36" s="171" t="s">
        <v>58</v>
      </c>
      <c r="E36" s="176">
        <f t="shared" si="0"/>
        <v>335</v>
      </c>
      <c r="F36" s="73">
        <f t="shared" si="0"/>
        <v>335</v>
      </c>
      <c r="G36" s="176">
        <f>340.3-5.3-3.2</f>
        <v>331.8</v>
      </c>
      <c r="H36" s="176">
        <v>331.8</v>
      </c>
      <c r="I36" s="176">
        <f>331.4-5.1-5.5</f>
        <v>320.79999999999995</v>
      </c>
      <c r="J36" s="176">
        <v>320.8</v>
      </c>
      <c r="K36" s="176">
        <v>3.2</v>
      </c>
      <c r="L36" s="206">
        <v>3.2</v>
      </c>
      <c r="M36" s="162"/>
      <c r="N36" s="162"/>
      <c r="O36" s="162"/>
      <c r="P36" s="162"/>
      <c r="Q36" s="162"/>
      <c r="R36" s="162"/>
      <c r="S36" s="162"/>
    </row>
    <row r="37" spans="1:19" s="178" customFormat="1" ht="14.25" customHeight="1" x14ac:dyDescent="0.25">
      <c r="A37" s="156">
        <v>24</v>
      </c>
      <c r="B37" s="171"/>
      <c r="C37" s="175" t="s">
        <v>96</v>
      </c>
      <c r="D37" s="171" t="s">
        <v>58</v>
      </c>
      <c r="E37" s="176">
        <f t="shared" si="0"/>
        <v>263.8</v>
      </c>
      <c r="F37" s="73">
        <f t="shared" si="0"/>
        <v>263.8</v>
      </c>
      <c r="G37" s="176">
        <f>262.5+1.3</f>
        <v>263.8</v>
      </c>
      <c r="H37" s="176">
        <v>263.8</v>
      </c>
      <c r="I37" s="176">
        <f>255.8+1.4</f>
        <v>257.2</v>
      </c>
      <c r="J37" s="176">
        <v>257.2</v>
      </c>
      <c r="K37" s="176"/>
      <c r="L37" s="206"/>
      <c r="M37" s="162"/>
      <c r="N37" s="162"/>
      <c r="O37" s="162"/>
      <c r="P37" s="162"/>
      <c r="Q37" s="162"/>
      <c r="R37" s="162"/>
      <c r="S37" s="162"/>
    </row>
    <row r="38" spans="1:19" s="178" customFormat="1" ht="26.4" customHeight="1" x14ac:dyDescent="0.25">
      <c r="A38" s="156">
        <v>25</v>
      </c>
      <c r="B38" s="171"/>
      <c r="C38" s="175" t="s">
        <v>84</v>
      </c>
      <c r="D38" s="168" t="s">
        <v>182</v>
      </c>
      <c r="E38" s="176">
        <f>+G38+K38</f>
        <v>288.90000000000003</v>
      </c>
      <c r="F38" s="73">
        <f t="shared" si="0"/>
        <v>288.89999999999998</v>
      </c>
      <c r="G38" s="176">
        <f>301.8-12.9</f>
        <v>288.90000000000003</v>
      </c>
      <c r="H38" s="176">
        <v>288.89999999999998</v>
      </c>
      <c r="I38" s="176">
        <f>291-12.6+1</f>
        <v>279.39999999999998</v>
      </c>
      <c r="J38" s="176">
        <v>279.39999999999998</v>
      </c>
      <c r="K38" s="176"/>
      <c r="L38" s="206"/>
      <c r="M38" s="162"/>
      <c r="N38" s="162"/>
      <c r="O38" s="162"/>
      <c r="P38" s="162"/>
      <c r="Q38" s="162"/>
      <c r="R38" s="162"/>
      <c r="S38" s="162"/>
    </row>
    <row r="39" spans="1:19" s="178" customFormat="1" ht="14.25" customHeight="1" x14ac:dyDescent="0.25">
      <c r="A39" s="156">
        <v>26</v>
      </c>
      <c r="B39" s="171"/>
      <c r="C39" s="206" t="s">
        <v>276</v>
      </c>
      <c r="D39" s="171" t="s">
        <v>58</v>
      </c>
      <c r="E39" s="176">
        <f>+G39+K39</f>
        <v>555.4</v>
      </c>
      <c r="F39" s="73">
        <f t="shared" si="0"/>
        <v>555.4</v>
      </c>
      <c r="G39" s="176">
        <f>562.5-7.1</f>
        <v>555.4</v>
      </c>
      <c r="H39" s="176">
        <v>555.4</v>
      </c>
      <c r="I39" s="176">
        <f>551-7</f>
        <v>544</v>
      </c>
      <c r="J39" s="176">
        <v>544</v>
      </c>
      <c r="K39" s="176"/>
      <c r="L39" s="206"/>
      <c r="M39" s="162"/>
      <c r="N39" s="162"/>
      <c r="O39" s="162"/>
      <c r="P39" s="162"/>
      <c r="Q39" s="162"/>
      <c r="R39" s="162"/>
      <c r="S39" s="162"/>
    </row>
    <row r="40" spans="1:19" ht="12.6" customHeight="1" x14ac:dyDescent="0.25">
      <c r="A40" s="52">
        <v>27</v>
      </c>
      <c r="B40" s="239"/>
      <c r="C40" s="90" t="s">
        <v>50</v>
      </c>
      <c r="D40" s="239" t="s">
        <v>59</v>
      </c>
      <c r="E40" s="57">
        <f t="shared" si="0"/>
        <v>24.2</v>
      </c>
      <c r="F40" s="73">
        <f t="shared" si="0"/>
        <v>24.2</v>
      </c>
      <c r="G40" s="57">
        <f>24.9-0.7</f>
        <v>24.2</v>
      </c>
      <c r="H40" s="57">
        <v>24.2</v>
      </c>
      <c r="I40" s="57">
        <f>24.5-0.6</f>
        <v>23.9</v>
      </c>
      <c r="J40" s="57">
        <v>23.9</v>
      </c>
      <c r="K40" s="57"/>
      <c r="L40" s="90"/>
      <c r="M40" s="32"/>
      <c r="N40" s="32"/>
      <c r="O40" s="32"/>
      <c r="P40" s="32"/>
      <c r="Q40" s="32"/>
      <c r="R40" s="32"/>
      <c r="S40" s="32"/>
    </row>
    <row r="41" spans="1:19" ht="12.6" customHeight="1" x14ac:dyDescent="0.25">
      <c r="A41" s="52">
        <v>28</v>
      </c>
      <c r="B41" s="239"/>
      <c r="C41" s="90" t="s">
        <v>44</v>
      </c>
      <c r="D41" s="239" t="s">
        <v>59</v>
      </c>
      <c r="E41" s="57">
        <f t="shared" si="0"/>
        <v>31.599999999999998</v>
      </c>
      <c r="F41" s="73">
        <f t="shared" si="0"/>
        <v>31.6</v>
      </c>
      <c r="G41" s="57">
        <f>30.9+0.7</f>
        <v>31.599999999999998</v>
      </c>
      <c r="H41" s="57">
        <v>31.6</v>
      </c>
      <c r="I41" s="57">
        <f>30.5+0.6</f>
        <v>31.1</v>
      </c>
      <c r="J41" s="57">
        <v>31.1</v>
      </c>
      <c r="K41" s="57"/>
      <c r="L41" s="90"/>
      <c r="M41" s="32"/>
      <c r="N41" s="32"/>
      <c r="O41" s="32"/>
      <c r="P41" s="32"/>
      <c r="Q41" s="32"/>
      <c r="R41" s="32"/>
      <c r="S41" s="32"/>
    </row>
    <row r="42" spans="1:19" ht="12.6" customHeight="1" x14ac:dyDescent="0.25">
      <c r="A42" s="52">
        <v>29</v>
      </c>
      <c r="B42" s="239"/>
      <c r="C42" s="90" t="s">
        <v>183</v>
      </c>
      <c r="D42" s="239" t="s">
        <v>164</v>
      </c>
      <c r="E42" s="57">
        <f>+G42+K42</f>
        <v>288.3</v>
      </c>
      <c r="F42" s="57">
        <f>+H42+L42</f>
        <v>264.89999999999998</v>
      </c>
      <c r="G42" s="57">
        <f t="shared" ref="G42:L42" si="3">+G43+G44+G45+G46</f>
        <v>288.3</v>
      </c>
      <c r="H42" s="57">
        <f t="shared" si="3"/>
        <v>264.89999999999998</v>
      </c>
      <c r="I42" s="57">
        <f t="shared" si="3"/>
        <v>282.2</v>
      </c>
      <c r="J42" s="57">
        <f t="shared" si="3"/>
        <v>259.10000000000002</v>
      </c>
      <c r="K42" s="57">
        <f t="shared" si="3"/>
        <v>0</v>
      </c>
      <c r="L42" s="57">
        <f t="shared" si="3"/>
        <v>0</v>
      </c>
      <c r="M42" s="32"/>
      <c r="N42" s="32"/>
      <c r="O42" s="32"/>
      <c r="P42" s="32"/>
      <c r="Q42" s="32"/>
      <c r="R42" s="32"/>
      <c r="S42" s="32"/>
    </row>
    <row r="43" spans="1:19" ht="24.9" customHeight="1" x14ac:dyDescent="0.25">
      <c r="A43" s="122" t="s">
        <v>204</v>
      </c>
      <c r="B43" s="136"/>
      <c r="C43" s="58" t="s">
        <v>271</v>
      </c>
      <c r="D43" s="239"/>
      <c r="E43" s="57">
        <f t="shared" si="0"/>
        <v>140</v>
      </c>
      <c r="F43" s="57">
        <f t="shared" ref="F43:F46" si="4">+H43+L43</f>
        <v>116.60000000000001</v>
      </c>
      <c r="G43" s="57">
        <f>119.8+20.2</f>
        <v>140</v>
      </c>
      <c r="H43" s="176">
        <f>116.7-0.1</f>
        <v>116.60000000000001</v>
      </c>
      <c r="I43" s="57">
        <f>118.1+19.9</f>
        <v>138</v>
      </c>
      <c r="J43" s="57">
        <v>115</v>
      </c>
      <c r="K43" s="57"/>
      <c r="L43" s="90"/>
      <c r="M43" s="32"/>
      <c r="N43" s="32"/>
      <c r="O43" s="32"/>
      <c r="P43" s="32"/>
      <c r="Q43" s="32"/>
      <c r="R43" s="32"/>
      <c r="S43" s="32"/>
    </row>
    <row r="44" spans="1:19" ht="26.4" x14ac:dyDescent="0.25">
      <c r="A44" s="122" t="s">
        <v>205</v>
      </c>
      <c r="B44" s="136"/>
      <c r="C44" s="58" t="s">
        <v>270</v>
      </c>
      <c r="D44" s="239"/>
      <c r="E44" s="57">
        <f t="shared" si="0"/>
        <v>7.6</v>
      </c>
      <c r="F44" s="57">
        <f t="shared" si="4"/>
        <v>7.6</v>
      </c>
      <c r="G44" s="57">
        <f>9.2-1.6</f>
        <v>7.6</v>
      </c>
      <c r="H44" s="57">
        <v>7.6</v>
      </c>
      <c r="I44" s="57">
        <f>9.1-1.6</f>
        <v>7.5</v>
      </c>
      <c r="J44" s="57">
        <v>7.4</v>
      </c>
      <c r="K44" s="57"/>
      <c r="L44" s="90"/>
      <c r="M44" s="32"/>
      <c r="N44" s="32"/>
      <c r="O44" s="32"/>
      <c r="P44" s="32"/>
      <c r="Q44" s="32"/>
      <c r="R44" s="32"/>
      <c r="S44" s="32"/>
    </row>
    <row r="45" spans="1:19" x14ac:dyDescent="0.25">
      <c r="A45" s="122" t="s">
        <v>206</v>
      </c>
      <c r="B45" s="136"/>
      <c r="C45" s="58" t="s">
        <v>272</v>
      </c>
      <c r="D45" s="239"/>
      <c r="E45" s="57">
        <f t="shared" si="0"/>
        <v>88.2</v>
      </c>
      <c r="F45" s="57">
        <f t="shared" si="4"/>
        <v>88.2</v>
      </c>
      <c r="G45" s="57">
        <f>89.2-1</f>
        <v>88.2</v>
      </c>
      <c r="H45" s="57">
        <v>88.2</v>
      </c>
      <c r="I45" s="57">
        <f>86.4-0.9</f>
        <v>85.5</v>
      </c>
      <c r="J45" s="57">
        <v>85.5</v>
      </c>
      <c r="K45" s="57"/>
      <c r="L45" s="90"/>
      <c r="M45" s="32"/>
      <c r="N45" s="32"/>
      <c r="O45" s="32"/>
      <c r="P45" s="32"/>
      <c r="Q45" s="32"/>
      <c r="R45" s="32"/>
      <c r="S45" s="32"/>
    </row>
    <row r="46" spans="1:19" x14ac:dyDescent="0.25">
      <c r="A46" s="122" t="s">
        <v>207</v>
      </c>
      <c r="B46" s="136"/>
      <c r="C46" s="58" t="s">
        <v>273</v>
      </c>
      <c r="D46" s="239"/>
      <c r="E46" s="57">
        <f t="shared" si="0"/>
        <v>52.5</v>
      </c>
      <c r="F46" s="57">
        <f t="shared" si="4"/>
        <v>52.5</v>
      </c>
      <c r="G46" s="57">
        <f>47.3+5.2</f>
        <v>52.5</v>
      </c>
      <c r="H46" s="57">
        <v>52.5</v>
      </c>
      <c r="I46" s="57">
        <f>46+5.2</f>
        <v>51.2</v>
      </c>
      <c r="J46" s="57">
        <v>51.2</v>
      </c>
      <c r="K46" s="57"/>
      <c r="L46" s="90"/>
      <c r="M46" s="32"/>
      <c r="N46" s="32"/>
      <c r="O46" s="32"/>
      <c r="P46" s="32"/>
      <c r="Q46" s="32"/>
      <c r="R46" s="32"/>
      <c r="S46" s="32"/>
    </row>
    <row r="47" spans="1:19" s="178" customFormat="1" ht="12.6" customHeight="1" x14ac:dyDescent="0.25">
      <c r="A47" s="156">
        <v>30</v>
      </c>
      <c r="B47" s="171"/>
      <c r="C47" s="187" t="s">
        <v>15</v>
      </c>
      <c r="D47" s="171" t="s">
        <v>55</v>
      </c>
      <c r="E47" s="176">
        <f>+G47+K47</f>
        <v>108.60000000000001</v>
      </c>
      <c r="F47" s="176">
        <f>+H47+L47</f>
        <v>108.6</v>
      </c>
      <c r="G47" s="176">
        <f>105.2+3.4</f>
        <v>108.60000000000001</v>
      </c>
      <c r="H47" s="176">
        <v>108.6</v>
      </c>
      <c r="I47" s="176">
        <f>101.4+3.5-3</f>
        <v>101.9</v>
      </c>
      <c r="J47" s="176">
        <v>101.9</v>
      </c>
      <c r="K47" s="176"/>
      <c r="L47" s="206"/>
      <c r="M47" s="162"/>
      <c r="N47" s="162"/>
      <c r="O47" s="162"/>
      <c r="P47" s="162"/>
      <c r="Q47" s="162"/>
      <c r="R47" s="162"/>
      <c r="S47" s="162"/>
    </row>
    <row r="48" spans="1:19" s="178" customFormat="1" ht="12.6" customHeight="1" x14ac:dyDescent="0.25">
      <c r="A48" s="156">
        <v>31</v>
      </c>
      <c r="B48" s="171"/>
      <c r="C48" s="187" t="s">
        <v>184</v>
      </c>
      <c r="D48" s="171" t="s">
        <v>55</v>
      </c>
      <c r="E48" s="176">
        <f t="shared" si="0"/>
        <v>80.800000000000011</v>
      </c>
      <c r="F48" s="176">
        <f>+H48+L48</f>
        <v>80.8</v>
      </c>
      <c r="G48" s="176">
        <f>79.4+1.4</f>
        <v>80.800000000000011</v>
      </c>
      <c r="H48" s="176">
        <v>80.8</v>
      </c>
      <c r="I48" s="176">
        <f>76.8+1.4-0.4</f>
        <v>77.8</v>
      </c>
      <c r="J48" s="176">
        <v>77.8</v>
      </c>
      <c r="K48" s="176"/>
      <c r="L48" s="206"/>
      <c r="M48" s="162"/>
      <c r="N48" s="162"/>
      <c r="O48" s="162"/>
      <c r="P48" s="162"/>
      <c r="Q48" s="162"/>
      <c r="R48" s="162"/>
      <c r="S48" s="162"/>
    </row>
    <row r="49" spans="1:19" s="178" customFormat="1" ht="26.4" x14ac:dyDescent="0.25">
      <c r="A49" s="156">
        <v>32</v>
      </c>
      <c r="B49" s="168" t="s">
        <v>214</v>
      </c>
      <c r="C49" s="188" t="s">
        <v>155</v>
      </c>
      <c r="D49" s="189"/>
      <c r="E49" s="190">
        <f t="shared" si="0"/>
        <v>554.4</v>
      </c>
      <c r="F49" s="190">
        <f t="shared" si="0"/>
        <v>554.4</v>
      </c>
      <c r="G49" s="190">
        <f>+G50</f>
        <v>554.4</v>
      </c>
      <c r="H49" s="190">
        <f>+H50</f>
        <v>554.4</v>
      </c>
      <c r="I49" s="190">
        <f>+I50</f>
        <v>461.8</v>
      </c>
      <c r="J49" s="190">
        <f>+J50</f>
        <v>461.8</v>
      </c>
      <c r="K49" s="176"/>
      <c r="L49" s="206"/>
      <c r="M49" s="162"/>
      <c r="N49" s="162"/>
      <c r="O49" s="162"/>
      <c r="P49" s="162"/>
      <c r="Q49" s="162"/>
      <c r="R49" s="162"/>
      <c r="S49" s="162"/>
    </row>
    <row r="50" spans="1:19" s="178" customFormat="1" ht="12.6" customHeight="1" x14ac:dyDescent="0.25">
      <c r="A50" s="156">
        <v>33</v>
      </c>
      <c r="B50" s="171"/>
      <c r="C50" s="206" t="s">
        <v>276</v>
      </c>
      <c r="D50" s="171" t="s">
        <v>58</v>
      </c>
      <c r="E50" s="176">
        <f t="shared" si="0"/>
        <v>554.4</v>
      </c>
      <c r="F50" s="176">
        <f t="shared" si="0"/>
        <v>554.4</v>
      </c>
      <c r="G50" s="176">
        <v>554.4</v>
      </c>
      <c r="H50" s="176">
        <v>554.4</v>
      </c>
      <c r="I50" s="176">
        <f>463-1.2</f>
        <v>461.8</v>
      </c>
      <c r="J50" s="176">
        <v>461.8</v>
      </c>
      <c r="K50" s="176"/>
      <c r="L50" s="206"/>
      <c r="M50" s="162"/>
      <c r="N50" s="162"/>
      <c r="O50" s="162"/>
      <c r="P50" s="162"/>
      <c r="Q50" s="162"/>
      <c r="R50" s="162"/>
      <c r="S50" s="162"/>
    </row>
    <row r="51" spans="1:19" ht="39.6" x14ac:dyDescent="0.25">
      <c r="A51" s="52">
        <v>34</v>
      </c>
      <c r="B51" s="55" t="s">
        <v>215</v>
      </c>
      <c r="C51" s="134" t="s">
        <v>189</v>
      </c>
      <c r="D51" s="49"/>
      <c r="E51" s="119">
        <f t="shared" si="0"/>
        <v>156.1</v>
      </c>
      <c r="F51" s="119">
        <f t="shared" si="0"/>
        <v>156.10000000000002</v>
      </c>
      <c r="G51" s="119">
        <f t="shared" ref="G51:L51" si="5">SUM(G52:G69)</f>
        <v>100.5</v>
      </c>
      <c r="H51" s="119">
        <f t="shared" si="5"/>
        <v>100.50000000000001</v>
      </c>
      <c r="I51" s="119">
        <f t="shared" si="5"/>
        <v>0</v>
      </c>
      <c r="J51" s="119">
        <f t="shared" si="5"/>
        <v>0</v>
      </c>
      <c r="K51" s="119">
        <f t="shared" si="5"/>
        <v>55.6</v>
      </c>
      <c r="L51" s="119">
        <f t="shared" si="5"/>
        <v>55.6</v>
      </c>
      <c r="M51" s="32"/>
      <c r="N51" s="32"/>
      <c r="O51" s="32"/>
      <c r="P51" s="32"/>
      <c r="Q51" s="32"/>
      <c r="R51" s="32"/>
      <c r="S51" s="32"/>
    </row>
    <row r="52" spans="1:19" ht="12.75" customHeight="1" x14ac:dyDescent="0.25">
      <c r="A52" s="52">
        <v>35</v>
      </c>
      <c r="B52" s="239"/>
      <c r="C52" s="58" t="s">
        <v>144</v>
      </c>
      <c r="D52" s="239" t="s">
        <v>56</v>
      </c>
      <c r="E52" s="57">
        <f t="shared" si="0"/>
        <v>2.5</v>
      </c>
      <c r="F52" s="57">
        <f t="shared" si="0"/>
        <v>2.5</v>
      </c>
      <c r="G52" s="57">
        <f>2.5-1.7</f>
        <v>0.8</v>
      </c>
      <c r="H52" s="57">
        <v>0.8</v>
      </c>
      <c r="I52" s="57"/>
      <c r="J52" s="57"/>
      <c r="K52" s="57">
        <v>1.7</v>
      </c>
      <c r="L52" s="90">
        <v>1.7</v>
      </c>
      <c r="M52" s="32"/>
      <c r="N52" s="32"/>
      <c r="O52" s="32"/>
      <c r="P52" s="32"/>
      <c r="Q52" s="32"/>
      <c r="R52" s="32"/>
      <c r="S52" s="32"/>
    </row>
    <row r="53" spans="1:19" ht="12.75" customHeight="1" x14ac:dyDescent="0.25">
      <c r="A53" s="10">
        <v>36</v>
      </c>
      <c r="B53" s="1"/>
      <c r="C53" s="20" t="s">
        <v>126</v>
      </c>
      <c r="D53" s="1" t="s">
        <v>57</v>
      </c>
      <c r="E53" s="16">
        <f t="shared" si="0"/>
        <v>14.5</v>
      </c>
      <c r="F53" s="57">
        <f t="shared" si="0"/>
        <v>14.5</v>
      </c>
      <c r="G53" s="16">
        <f>14.3+0.2-8.4</f>
        <v>6.1</v>
      </c>
      <c r="H53" s="16">
        <v>6.1</v>
      </c>
      <c r="I53" s="16"/>
      <c r="J53" s="16"/>
      <c r="K53" s="16">
        <v>8.4</v>
      </c>
      <c r="L53" s="90">
        <v>8.4</v>
      </c>
      <c r="M53" s="32"/>
      <c r="N53" s="32"/>
      <c r="O53" s="32"/>
      <c r="P53" s="32"/>
      <c r="Q53" s="32"/>
      <c r="R53" s="32"/>
      <c r="S53" s="32"/>
    </row>
    <row r="54" spans="1:19" ht="12.75" customHeight="1" x14ac:dyDescent="0.25">
      <c r="A54" s="10">
        <v>37</v>
      </c>
      <c r="B54" s="1"/>
      <c r="C54" s="20" t="s">
        <v>42</v>
      </c>
      <c r="D54" s="1" t="s">
        <v>57</v>
      </c>
      <c r="E54" s="16">
        <f t="shared" si="0"/>
        <v>14.2</v>
      </c>
      <c r="F54" s="57">
        <f t="shared" si="0"/>
        <v>14.2</v>
      </c>
      <c r="G54" s="16">
        <f>14+0.2-5.2</f>
        <v>9</v>
      </c>
      <c r="H54" s="16">
        <v>9</v>
      </c>
      <c r="I54" s="16"/>
      <c r="J54" s="16"/>
      <c r="K54" s="16">
        <v>5.2</v>
      </c>
      <c r="L54" s="90">
        <v>5.2</v>
      </c>
      <c r="M54" s="32"/>
      <c r="N54" s="32"/>
      <c r="O54" s="32"/>
      <c r="P54" s="32"/>
      <c r="Q54" s="32"/>
      <c r="R54" s="32"/>
      <c r="S54" s="32"/>
    </row>
    <row r="55" spans="1:19" ht="12.75" customHeight="1" x14ac:dyDescent="0.25">
      <c r="A55" s="52">
        <v>38</v>
      </c>
      <c r="B55" s="239"/>
      <c r="C55" s="58" t="s">
        <v>93</v>
      </c>
      <c r="D55" s="239" t="s">
        <v>57</v>
      </c>
      <c r="E55" s="57">
        <f t="shared" si="0"/>
        <v>9</v>
      </c>
      <c r="F55" s="57">
        <f t="shared" si="0"/>
        <v>9</v>
      </c>
      <c r="G55" s="57">
        <f>9.1-6.1-0.1-1.1</f>
        <v>1.7999999999999998</v>
      </c>
      <c r="H55" s="57">
        <v>1.8</v>
      </c>
      <c r="I55" s="57"/>
      <c r="J55" s="57"/>
      <c r="K55" s="57">
        <f>6.1+1.1</f>
        <v>7.1999999999999993</v>
      </c>
      <c r="L55" s="90">
        <v>7.2</v>
      </c>
      <c r="M55" s="32"/>
      <c r="N55" s="32"/>
      <c r="O55" s="32"/>
      <c r="P55" s="32"/>
      <c r="Q55" s="32"/>
      <c r="R55" s="32"/>
      <c r="S55" s="32"/>
    </row>
    <row r="56" spans="1:19" ht="12.75" customHeight="1" x14ac:dyDescent="0.25">
      <c r="A56" s="52">
        <v>39</v>
      </c>
      <c r="B56" s="239"/>
      <c r="C56" s="58" t="s">
        <v>94</v>
      </c>
      <c r="D56" s="239" t="s">
        <v>57</v>
      </c>
      <c r="E56" s="57">
        <f t="shared" si="0"/>
        <v>8.6</v>
      </c>
      <c r="F56" s="57">
        <f t="shared" si="0"/>
        <v>8.6</v>
      </c>
      <c r="G56" s="57">
        <f>8.5+0.1</f>
        <v>8.6</v>
      </c>
      <c r="H56" s="57">
        <v>8.6</v>
      </c>
      <c r="I56" s="57"/>
      <c r="J56" s="57"/>
      <c r="K56" s="57"/>
      <c r="L56" s="90"/>
      <c r="M56" s="32"/>
      <c r="N56" s="32"/>
      <c r="O56" s="32"/>
      <c r="P56" s="32"/>
      <c r="Q56" s="32"/>
      <c r="R56" s="32"/>
      <c r="S56" s="32"/>
    </row>
    <row r="57" spans="1:19" ht="12.75" customHeight="1" x14ac:dyDescent="0.25">
      <c r="A57" s="52">
        <v>40</v>
      </c>
      <c r="B57" s="239"/>
      <c r="C57" s="58" t="s">
        <v>36</v>
      </c>
      <c r="D57" s="239" t="s">
        <v>57</v>
      </c>
      <c r="E57" s="57">
        <f t="shared" si="0"/>
        <v>7.6000000000000005</v>
      </c>
      <c r="F57" s="57">
        <f t="shared" si="0"/>
        <v>7.6</v>
      </c>
      <c r="G57" s="57">
        <f>7.7-0.1</f>
        <v>7.6000000000000005</v>
      </c>
      <c r="H57" s="57">
        <v>7.6</v>
      </c>
      <c r="I57" s="57"/>
      <c r="J57" s="57"/>
      <c r="K57" s="57"/>
      <c r="L57" s="90"/>
      <c r="M57" s="32"/>
      <c r="N57" s="32"/>
      <c r="O57" s="32"/>
      <c r="P57" s="32"/>
      <c r="Q57" s="32"/>
      <c r="R57" s="32"/>
      <c r="S57" s="32"/>
    </row>
    <row r="58" spans="1:19" ht="12.75" customHeight="1" x14ac:dyDescent="0.25">
      <c r="A58" s="52">
        <v>41</v>
      </c>
      <c r="B58" s="239"/>
      <c r="C58" s="90" t="s">
        <v>97</v>
      </c>
      <c r="D58" s="239" t="s">
        <v>57</v>
      </c>
      <c r="E58" s="57">
        <f t="shared" si="0"/>
        <v>7.4</v>
      </c>
      <c r="F58" s="57">
        <f t="shared" si="0"/>
        <v>7.4</v>
      </c>
      <c r="G58" s="57">
        <v>7.4</v>
      </c>
      <c r="H58" s="57">
        <v>7.4</v>
      </c>
      <c r="I58" s="57"/>
      <c r="J58" s="57"/>
      <c r="K58" s="57"/>
      <c r="L58" s="90"/>
      <c r="M58" s="32"/>
      <c r="N58" s="32"/>
      <c r="O58" s="32"/>
      <c r="P58" s="32"/>
      <c r="Q58" s="32"/>
      <c r="R58" s="32"/>
      <c r="S58" s="32"/>
    </row>
    <row r="59" spans="1:19" ht="12.75" customHeight="1" x14ac:dyDescent="0.25">
      <c r="A59" s="52">
        <v>42</v>
      </c>
      <c r="B59" s="239"/>
      <c r="C59" s="58" t="s">
        <v>124</v>
      </c>
      <c r="D59" s="239" t="s">
        <v>58</v>
      </c>
      <c r="E59" s="57">
        <f t="shared" si="0"/>
        <v>25</v>
      </c>
      <c r="F59" s="57">
        <f t="shared" si="0"/>
        <v>25</v>
      </c>
      <c r="G59" s="57">
        <f>24.9-20.4+0.1</f>
        <v>4.5999999999999996</v>
      </c>
      <c r="H59" s="57">
        <v>4.5999999999999996</v>
      </c>
      <c r="I59" s="57"/>
      <c r="J59" s="57"/>
      <c r="K59" s="57">
        <v>20.399999999999999</v>
      </c>
      <c r="L59" s="90">
        <v>20.399999999999999</v>
      </c>
      <c r="M59" s="32"/>
      <c r="N59" s="32"/>
      <c r="O59" s="32"/>
      <c r="P59" s="32"/>
      <c r="Q59" s="32"/>
      <c r="R59" s="32"/>
      <c r="S59" s="32"/>
    </row>
    <row r="60" spans="1:19" ht="12.75" customHeight="1" x14ac:dyDescent="0.25">
      <c r="A60" s="52">
        <v>43</v>
      </c>
      <c r="B60" s="239"/>
      <c r="C60" s="90" t="s">
        <v>125</v>
      </c>
      <c r="D60" s="55" t="s">
        <v>163</v>
      </c>
      <c r="E60" s="57">
        <f t="shared" si="0"/>
        <v>27.9</v>
      </c>
      <c r="F60" s="57">
        <f t="shared" si="0"/>
        <v>27.900000000000002</v>
      </c>
      <c r="G60" s="57">
        <f>28.2-0.3-1.1</f>
        <v>26.799999999999997</v>
      </c>
      <c r="H60" s="57">
        <v>26.8</v>
      </c>
      <c r="I60" s="57"/>
      <c r="J60" s="57"/>
      <c r="K60" s="57">
        <v>1.1000000000000001</v>
      </c>
      <c r="L60" s="90">
        <v>1.1000000000000001</v>
      </c>
      <c r="M60" s="32"/>
      <c r="N60" s="32"/>
      <c r="O60" s="32"/>
      <c r="P60" s="32"/>
      <c r="Q60" s="32"/>
      <c r="R60" s="32"/>
      <c r="S60" s="32"/>
    </row>
    <row r="61" spans="1:19" ht="12.75" customHeight="1" x14ac:dyDescent="0.25">
      <c r="A61" s="52">
        <v>44</v>
      </c>
      <c r="B61" s="239"/>
      <c r="C61" s="58" t="s">
        <v>89</v>
      </c>
      <c r="D61" s="55" t="s">
        <v>163</v>
      </c>
      <c r="E61" s="57">
        <f t="shared" si="0"/>
        <v>16.399999999999999</v>
      </c>
      <c r="F61" s="57">
        <f t="shared" si="0"/>
        <v>16.399999999999999</v>
      </c>
      <c r="G61" s="57">
        <f>16.4-9.9</f>
        <v>6.4999999999999982</v>
      </c>
      <c r="H61" s="57">
        <v>6.5</v>
      </c>
      <c r="I61" s="57"/>
      <c r="J61" s="57"/>
      <c r="K61" s="57">
        <v>9.9</v>
      </c>
      <c r="L61" s="90">
        <v>9.9</v>
      </c>
      <c r="M61" s="32"/>
      <c r="N61" s="32"/>
      <c r="O61" s="32"/>
      <c r="P61" s="32"/>
      <c r="Q61" s="32"/>
      <c r="R61" s="32"/>
      <c r="S61" s="32"/>
    </row>
    <row r="62" spans="1:19" ht="12.75" customHeight="1" x14ac:dyDescent="0.25">
      <c r="A62" s="52">
        <v>45</v>
      </c>
      <c r="B62" s="239"/>
      <c r="C62" s="58" t="s">
        <v>37</v>
      </c>
      <c r="D62" s="239" t="s">
        <v>58</v>
      </c>
      <c r="E62" s="57">
        <f t="shared" si="0"/>
        <v>2.9</v>
      </c>
      <c r="F62" s="57">
        <f t="shared" si="0"/>
        <v>2.9</v>
      </c>
      <c r="G62" s="57">
        <f>3-0.1</f>
        <v>2.9</v>
      </c>
      <c r="H62" s="57">
        <v>2.9</v>
      </c>
      <c r="I62" s="57"/>
      <c r="J62" s="57"/>
      <c r="K62" s="57"/>
      <c r="L62" s="90"/>
      <c r="M62" s="32"/>
      <c r="N62" s="32"/>
      <c r="O62" s="32"/>
      <c r="P62" s="32"/>
      <c r="Q62" s="32"/>
      <c r="R62" s="32"/>
      <c r="S62" s="32"/>
    </row>
    <row r="63" spans="1:19" ht="12.75" customHeight="1" x14ac:dyDescent="0.25">
      <c r="A63" s="52">
        <v>46</v>
      </c>
      <c r="B63" s="239"/>
      <c r="C63" s="58" t="s">
        <v>95</v>
      </c>
      <c r="D63" s="239" t="s">
        <v>58</v>
      </c>
      <c r="E63" s="57">
        <f t="shared" si="0"/>
        <v>4.5</v>
      </c>
      <c r="F63" s="57">
        <f t="shared" si="0"/>
        <v>4.5</v>
      </c>
      <c r="G63" s="57">
        <f>4.4+0.1</f>
        <v>4.5</v>
      </c>
      <c r="H63" s="57">
        <v>4.5</v>
      </c>
      <c r="I63" s="57"/>
      <c r="J63" s="57"/>
      <c r="K63" s="57"/>
      <c r="L63" s="90"/>
      <c r="M63" s="32"/>
      <c r="N63" s="32"/>
      <c r="O63" s="32"/>
      <c r="P63" s="32"/>
      <c r="Q63" s="32"/>
      <c r="R63" s="32"/>
      <c r="S63" s="32"/>
    </row>
    <row r="64" spans="1:19" ht="12.75" customHeight="1" x14ac:dyDescent="0.25">
      <c r="A64" s="52">
        <v>47</v>
      </c>
      <c r="B64" s="239"/>
      <c r="C64" s="58" t="s">
        <v>156</v>
      </c>
      <c r="D64" s="239" t="s">
        <v>58</v>
      </c>
      <c r="E64" s="57">
        <f t="shared" si="0"/>
        <v>2.4</v>
      </c>
      <c r="F64" s="57">
        <f t="shared" si="0"/>
        <v>2.4</v>
      </c>
      <c r="G64" s="57">
        <f>2.5-0.1</f>
        <v>2.4</v>
      </c>
      <c r="H64" s="57">
        <v>2.4</v>
      </c>
      <c r="I64" s="57"/>
      <c r="J64" s="57"/>
      <c r="K64" s="57"/>
      <c r="L64" s="90"/>
      <c r="M64" s="32"/>
      <c r="N64" s="32"/>
      <c r="O64" s="32"/>
      <c r="P64" s="32"/>
      <c r="Q64" s="32"/>
      <c r="R64" s="32"/>
      <c r="S64" s="32"/>
    </row>
    <row r="65" spans="1:19" ht="12.75" customHeight="1" x14ac:dyDescent="0.25">
      <c r="A65" s="52">
        <v>48</v>
      </c>
      <c r="B65" s="239"/>
      <c r="C65" s="58" t="s">
        <v>38</v>
      </c>
      <c r="D65" s="239" t="s">
        <v>58</v>
      </c>
      <c r="E65" s="57">
        <f t="shared" si="0"/>
        <v>3</v>
      </c>
      <c r="F65" s="57">
        <f t="shared" si="0"/>
        <v>3</v>
      </c>
      <c r="G65" s="57">
        <f>3-0.5</f>
        <v>2.5</v>
      </c>
      <c r="H65" s="57">
        <v>2.5</v>
      </c>
      <c r="I65" s="57"/>
      <c r="J65" s="57"/>
      <c r="K65" s="57">
        <v>0.5</v>
      </c>
      <c r="L65" s="90">
        <v>0.5</v>
      </c>
      <c r="M65" s="32"/>
      <c r="N65" s="32"/>
      <c r="O65" s="32"/>
      <c r="P65" s="32"/>
      <c r="Q65" s="32"/>
      <c r="R65" s="32"/>
      <c r="S65" s="32"/>
    </row>
    <row r="66" spans="1:19" ht="12.75" customHeight="1" x14ac:dyDescent="0.25">
      <c r="A66" s="52">
        <v>49</v>
      </c>
      <c r="B66" s="239"/>
      <c r="C66" s="58" t="s">
        <v>96</v>
      </c>
      <c r="D66" s="239" t="s">
        <v>58</v>
      </c>
      <c r="E66" s="57">
        <f t="shared" si="0"/>
        <v>2.2000000000000002</v>
      </c>
      <c r="F66" s="57">
        <f t="shared" si="0"/>
        <v>2.2000000000000002</v>
      </c>
      <c r="G66" s="57">
        <v>2.2000000000000002</v>
      </c>
      <c r="H66" s="57">
        <v>2.2000000000000002</v>
      </c>
      <c r="I66" s="57"/>
      <c r="J66" s="57"/>
      <c r="K66" s="57"/>
      <c r="L66" s="90"/>
      <c r="M66" s="32"/>
      <c r="N66" s="32"/>
      <c r="O66" s="32"/>
      <c r="P66" s="32"/>
      <c r="Q66" s="32"/>
      <c r="R66" s="32"/>
      <c r="S66" s="32"/>
    </row>
    <row r="67" spans="1:19" ht="12.75" customHeight="1" x14ac:dyDescent="0.25">
      <c r="A67" s="52">
        <v>50</v>
      </c>
      <c r="B67" s="239"/>
      <c r="C67" s="58" t="s">
        <v>84</v>
      </c>
      <c r="D67" s="55" t="s">
        <v>182</v>
      </c>
      <c r="E67" s="57">
        <f t="shared" si="0"/>
        <v>5</v>
      </c>
      <c r="F67" s="57">
        <f t="shared" si="0"/>
        <v>5</v>
      </c>
      <c r="G67" s="57">
        <f>5.2-0.2-1.2</f>
        <v>3.8</v>
      </c>
      <c r="H67" s="57">
        <v>3.8</v>
      </c>
      <c r="I67" s="57"/>
      <c r="J67" s="57"/>
      <c r="K67" s="57">
        <v>1.2</v>
      </c>
      <c r="L67" s="90">
        <v>1.2</v>
      </c>
      <c r="M67" s="32"/>
      <c r="N67" s="32"/>
      <c r="O67" s="32"/>
      <c r="P67" s="32"/>
      <c r="Q67" s="32"/>
      <c r="R67" s="32"/>
      <c r="S67" s="32"/>
    </row>
    <row r="68" spans="1:19" s="178" customFormat="1" ht="12.75" customHeight="1" x14ac:dyDescent="0.25">
      <c r="A68" s="156">
        <v>51</v>
      </c>
      <c r="B68" s="171"/>
      <c r="C68" s="206" t="s">
        <v>276</v>
      </c>
      <c r="D68" s="168" t="s">
        <v>58</v>
      </c>
      <c r="E68" s="176">
        <f t="shared" si="0"/>
        <v>2.6999999999999997</v>
      </c>
      <c r="F68" s="57">
        <f t="shared" si="0"/>
        <v>2.7</v>
      </c>
      <c r="G68" s="176">
        <f>2.8-0.1</f>
        <v>2.6999999999999997</v>
      </c>
      <c r="H68" s="176">
        <v>2.7</v>
      </c>
      <c r="I68" s="176"/>
      <c r="J68" s="176"/>
      <c r="K68" s="176"/>
      <c r="L68" s="206"/>
      <c r="M68" s="162"/>
      <c r="N68" s="162"/>
      <c r="O68" s="162"/>
      <c r="P68" s="162"/>
      <c r="Q68" s="162"/>
      <c r="R68" s="162"/>
      <c r="S68" s="162"/>
    </row>
    <row r="69" spans="1:19" ht="12.75" customHeight="1" x14ac:dyDescent="0.25">
      <c r="A69" s="52">
        <v>52</v>
      </c>
      <c r="B69" s="239"/>
      <c r="C69" s="90" t="s">
        <v>183</v>
      </c>
      <c r="D69" s="55" t="s">
        <v>188</v>
      </c>
      <c r="E69" s="57">
        <f t="shared" si="0"/>
        <v>0.3</v>
      </c>
      <c r="F69" s="57">
        <f t="shared" si="0"/>
        <v>0.3</v>
      </c>
      <c r="G69" s="57">
        <f>+G70</f>
        <v>0.3</v>
      </c>
      <c r="H69" s="57">
        <f>+H70</f>
        <v>0.3</v>
      </c>
      <c r="I69" s="57"/>
      <c r="J69" s="57"/>
      <c r="K69" s="57"/>
      <c r="L69" s="90"/>
      <c r="M69" s="32"/>
      <c r="N69" s="32"/>
      <c r="O69" s="32"/>
      <c r="P69" s="32"/>
      <c r="Q69" s="32"/>
      <c r="R69" s="32"/>
      <c r="S69" s="32"/>
    </row>
    <row r="70" spans="1:19" ht="12.75" customHeight="1" x14ac:dyDescent="0.25">
      <c r="A70" s="122" t="s">
        <v>216</v>
      </c>
      <c r="B70" s="239"/>
      <c r="C70" s="60" t="s">
        <v>274</v>
      </c>
      <c r="D70" s="55"/>
      <c r="E70" s="57">
        <f t="shared" si="0"/>
        <v>0.3</v>
      </c>
      <c r="F70" s="57">
        <f t="shared" si="0"/>
        <v>0.3</v>
      </c>
      <c r="G70" s="57">
        <v>0.3</v>
      </c>
      <c r="H70" s="57">
        <v>0.3</v>
      </c>
      <c r="I70" s="57"/>
      <c r="J70" s="57"/>
      <c r="K70" s="57"/>
      <c r="L70" s="90"/>
      <c r="M70" s="32"/>
      <c r="N70" s="32"/>
      <c r="O70" s="32"/>
      <c r="P70" s="32"/>
      <c r="Q70" s="32"/>
      <c r="R70" s="32"/>
      <c r="S70" s="32"/>
    </row>
    <row r="71" spans="1:19" ht="12.75" customHeight="1" x14ac:dyDescent="0.25">
      <c r="A71" s="52">
        <v>53</v>
      </c>
      <c r="B71" s="30" t="s">
        <v>63</v>
      </c>
      <c r="C71" s="59" t="s">
        <v>148</v>
      </c>
      <c r="D71" s="38"/>
      <c r="E71" s="128">
        <f>+G71+K71</f>
        <v>48.599999999999994</v>
      </c>
      <c r="F71" s="128">
        <f>+H71+L71</f>
        <v>48.6</v>
      </c>
      <c r="G71" s="128">
        <f t="shared" ref="G71:L71" si="6">G73</f>
        <v>48.599999999999994</v>
      </c>
      <c r="H71" s="128">
        <f t="shared" si="6"/>
        <v>48.6</v>
      </c>
      <c r="I71" s="128">
        <f t="shared" si="6"/>
        <v>47.9</v>
      </c>
      <c r="J71" s="128">
        <f t="shared" si="6"/>
        <v>47.9</v>
      </c>
      <c r="K71" s="128">
        <f t="shared" si="6"/>
        <v>0</v>
      </c>
      <c r="L71" s="128">
        <f t="shared" si="6"/>
        <v>0</v>
      </c>
      <c r="M71" s="32"/>
      <c r="N71" s="32"/>
      <c r="O71" s="32"/>
      <c r="P71" s="32"/>
      <c r="Q71" s="32"/>
      <c r="R71" s="32"/>
      <c r="S71" s="32"/>
    </row>
    <row r="72" spans="1:19" ht="12.75" customHeight="1" x14ac:dyDescent="0.25">
      <c r="A72" s="52">
        <v>54</v>
      </c>
      <c r="B72" s="30"/>
      <c r="C72" s="134" t="s">
        <v>181</v>
      </c>
      <c r="D72" s="38"/>
      <c r="E72" s="135">
        <f>+G72</f>
        <v>48.599999999999994</v>
      </c>
      <c r="F72" s="135">
        <f>+H72</f>
        <v>48.6</v>
      </c>
      <c r="G72" s="135">
        <f>+G73</f>
        <v>48.599999999999994</v>
      </c>
      <c r="H72" s="135">
        <f>+H73</f>
        <v>48.6</v>
      </c>
      <c r="I72" s="135">
        <f>+I73</f>
        <v>47.9</v>
      </c>
      <c r="J72" s="135">
        <f>+J73</f>
        <v>47.9</v>
      </c>
      <c r="K72" s="128"/>
      <c r="L72" s="90"/>
      <c r="M72" s="32"/>
      <c r="N72" s="32"/>
      <c r="O72" s="32"/>
      <c r="P72" s="32"/>
      <c r="Q72" s="32"/>
      <c r="R72" s="32"/>
      <c r="S72" s="32"/>
    </row>
    <row r="73" spans="1:19" ht="12.75" customHeight="1" x14ac:dyDescent="0.25">
      <c r="A73" s="10">
        <v>55</v>
      </c>
      <c r="B73" s="15"/>
      <c r="C73" s="20" t="s">
        <v>85</v>
      </c>
      <c r="D73" s="1" t="s">
        <v>59</v>
      </c>
      <c r="E73" s="16">
        <f>+G73+K73</f>
        <v>48.599999999999994</v>
      </c>
      <c r="F73" s="16">
        <f>+H73+L73</f>
        <v>48.6</v>
      </c>
      <c r="G73" s="16">
        <f>48.8-0.2</f>
        <v>48.599999999999994</v>
      </c>
      <c r="H73" s="16">
        <v>48.6</v>
      </c>
      <c r="I73" s="16">
        <f>48.1-0.2</f>
        <v>47.9</v>
      </c>
      <c r="J73" s="16">
        <v>47.9</v>
      </c>
      <c r="K73" s="140"/>
      <c r="L73" s="90"/>
      <c r="M73" s="32"/>
      <c r="N73" s="32"/>
      <c r="O73" s="32"/>
      <c r="P73" s="32"/>
      <c r="Q73" s="32"/>
      <c r="R73" s="32"/>
      <c r="S73" s="32"/>
    </row>
    <row r="74" spans="1:19" ht="12.75" customHeight="1" x14ac:dyDescent="0.25">
      <c r="A74" s="52">
        <v>56</v>
      </c>
      <c r="B74" s="30"/>
      <c r="C74" s="114" t="s">
        <v>20</v>
      </c>
      <c r="D74" s="33"/>
      <c r="E74" s="61">
        <f>+G74+K74</f>
        <v>15194.699999999995</v>
      </c>
      <c r="F74" s="61">
        <f>+H74+L74</f>
        <v>15171.299999999996</v>
      </c>
      <c r="G74" s="61">
        <f t="shared" ref="G74:L74" si="7">+G14+G71</f>
        <v>15103.799999999996</v>
      </c>
      <c r="H74" s="61">
        <f t="shared" si="7"/>
        <v>15080.399999999996</v>
      </c>
      <c r="I74" s="61">
        <f t="shared" si="7"/>
        <v>14359.099999999997</v>
      </c>
      <c r="J74" s="61">
        <f t="shared" si="7"/>
        <v>14335.999999999996</v>
      </c>
      <c r="K74" s="61">
        <f t="shared" si="7"/>
        <v>90.9</v>
      </c>
      <c r="L74" s="61">
        <f t="shared" si="7"/>
        <v>90.9</v>
      </c>
      <c r="M74" s="32"/>
      <c r="N74" s="32"/>
      <c r="O74" s="32"/>
      <c r="P74" s="32"/>
      <c r="Q74" s="32"/>
      <c r="R74" s="32"/>
      <c r="S74" s="32"/>
    </row>
    <row r="75" spans="1:19" ht="12.75" customHeight="1" x14ac:dyDescent="0.25">
      <c r="A75" s="48"/>
      <c r="B75" s="137"/>
      <c r="C75" s="138"/>
      <c r="D75" s="27"/>
      <c r="E75" s="139"/>
      <c r="F75" s="139"/>
      <c r="G75" s="139"/>
      <c r="H75" s="139"/>
      <c r="I75" s="139"/>
      <c r="J75" s="139"/>
      <c r="K75" s="139"/>
      <c r="L75" s="70"/>
      <c r="M75" s="32"/>
      <c r="N75" s="32"/>
      <c r="O75" s="32"/>
      <c r="P75" s="32"/>
      <c r="Q75" s="32"/>
      <c r="R75" s="32"/>
      <c r="S75" s="32"/>
    </row>
    <row r="76" spans="1:19" x14ac:dyDescent="0.25">
      <c r="C76" s="40" t="s">
        <v>86</v>
      </c>
      <c r="D76" s="27"/>
      <c r="E76" s="65"/>
      <c r="F76" s="65"/>
      <c r="G76" s="65"/>
      <c r="H76" s="65"/>
      <c r="I76" s="65"/>
      <c r="J76" s="65"/>
      <c r="K76" s="65"/>
    </row>
    <row r="77" spans="1:19" x14ac:dyDescent="0.25">
      <c r="E77" s="70"/>
      <c r="F77" s="70"/>
      <c r="G77" s="65"/>
      <c r="H77" s="65"/>
      <c r="I77" s="65"/>
      <c r="J77" s="65"/>
      <c r="K77" s="65"/>
    </row>
    <row r="78" spans="1:19" x14ac:dyDescent="0.25">
      <c r="E78" s="70"/>
      <c r="F78" s="70"/>
      <c r="G78" s="70"/>
      <c r="H78" s="70"/>
      <c r="I78" s="70"/>
      <c r="J78" s="70"/>
      <c r="K78" s="70"/>
    </row>
    <row r="79" spans="1:19" x14ac:dyDescent="0.25">
      <c r="E79" s="70"/>
      <c r="F79" s="70"/>
      <c r="G79" s="70"/>
      <c r="H79" s="70"/>
      <c r="I79" s="70"/>
      <c r="J79" s="70"/>
      <c r="K79" s="70"/>
    </row>
    <row r="80" spans="1:19" x14ac:dyDescent="0.25">
      <c r="E80" s="70"/>
      <c r="F80" s="70"/>
      <c r="G80" s="70"/>
      <c r="H80" s="70"/>
      <c r="I80" s="70"/>
      <c r="J80" s="70"/>
      <c r="K80" s="70"/>
    </row>
    <row r="81" spans="3:15" x14ac:dyDescent="0.25"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3:15" x14ac:dyDescent="0.25">
      <c r="C82" s="39"/>
      <c r="E82" s="65"/>
      <c r="F82" s="65"/>
      <c r="G82" s="65"/>
      <c r="H82" s="65"/>
      <c r="I82" s="65"/>
      <c r="J82" s="65"/>
      <c r="K82" s="65"/>
    </row>
    <row r="83" spans="3:15" x14ac:dyDescent="0.25">
      <c r="E83" s="65"/>
      <c r="F83" s="65"/>
      <c r="G83" s="39"/>
      <c r="H83" s="39"/>
      <c r="I83" s="39"/>
      <c r="J83" s="39"/>
      <c r="K83" s="39"/>
    </row>
    <row r="84" spans="3:15" x14ac:dyDescent="0.25">
      <c r="E84" s="65"/>
      <c r="F84" s="65"/>
      <c r="G84" s="70"/>
      <c r="H84" s="70"/>
      <c r="I84" s="70"/>
      <c r="J84" s="70"/>
      <c r="K84" s="70"/>
    </row>
    <row r="85" spans="3:15" x14ac:dyDescent="0.25">
      <c r="E85" s="70"/>
      <c r="F85" s="70"/>
      <c r="G85" s="70"/>
      <c r="H85" s="70"/>
      <c r="I85" s="70"/>
      <c r="J85" s="70"/>
      <c r="K85" s="70"/>
    </row>
    <row r="86" spans="3:15" x14ac:dyDescent="0.25">
      <c r="E86" s="70"/>
      <c r="F86" s="70"/>
      <c r="G86" s="39"/>
      <c r="H86" s="39"/>
      <c r="I86" s="39"/>
      <c r="J86" s="39"/>
      <c r="K86" s="39"/>
    </row>
    <row r="87" spans="3:15" x14ac:dyDescent="0.25">
      <c r="E87" s="70"/>
      <c r="F87" s="70"/>
      <c r="G87" s="70"/>
      <c r="H87" s="70"/>
      <c r="I87" s="70"/>
      <c r="J87" s="70"/>
      <c r="K87" s="70"/>
    </row>
    <row r="88" spans="3:15" x14ac:dyDescent="0.25">
      <c r="E88" s="39"/>
      <c r="F88" s="39"/>
      <c r="G88" s="39"/>
      <c r="H88" s="39"/>
      <c r="I88" s="39"/>
      <c r="J88" s="39"/>
      <c r="K88" s="39"/>
    </row>
    <row r="89" spans="3:15" x14ac:dyDescent="0.25">
      <c r="E89" s="39"/>
      <c r="F89" s="39"/>
      <c r="G89" s="39"/>
      <c r="H89" s="39"/>
      <c r="I89" s="39"/>
      <c r="J89" s="39"/>
      <c r="K89" s="39"/>
    </row>
  </sheetData>
  <mergeCells count="23">
    <mergeCell ref="H11:H12"/>
    <mergeCell ref="G8:L8"/>
    <mergeCell ref="K9:L10"/>
    <mergeCell ref="G9:J9"/>
    <mergeCell ref="G10:H10"/>
    <mergeCell ref="I10:J10"/>
    <mergeCell ref="I11:I12"/>
    <mergeCell ref="A5:K5"/>
    <mergeCell ref="J11:J12"/>
    <mergeCell ref="K11:K12"/>
    <mergeCell ref="C1:L1"/>
    <mergeCell ref="C2:L2"/>
    <mergeCell ref="E3:L3"/>
    <mergeCell ref="L11:L12"/>
    <mergeCell ref="J7:L7"/>
    <mergeCell ref="A8:A12"/>
    <mergeCell ref="B8:B12"/>
    <mergeCell ref="C8:C12"/>
    <mergeCell ref="D8:D12"/>
    <mergeCell ref="E8:F10"/>
    <mergeCell ref="E11:E12"/>
    <mergeCell ref="F11:F12"/>
    <mergeCell ref="G11:G12"/>
  </mergeCells>
  <pageMargins left="0.51181102362204722" right="0.31496062992125984" top="0" bottom="0.19685039370078741" header="0.31496062992125984" footer="0.31496062992125984"/>
  <pageSetup paperSize="9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workbookViewId="0">
      <selection activeCell="C2" sqref="C2:L2"/>
    </sheetView>
  </sheetViews>
  <sheetFormatPr defaultColWidth="9.109375" defaultRowHeight="13.2" x14ac:dyDescent="0.25"/>
  <cols>
    <col min="1" max="1" width="4.6640625" style="39" customWidth="1"/>
    <col min="2" max="2" width="6.109375" style="27" customWidth="1"/>
    <col min="3" max="3" width="44" style="40" customWidth="1"/>
    <col min="4" max="4" width="10.5546875" style="41" customWidth="1"/>
    <col min="5" max="5" width="8.44140625" style="151" customWidth="1"/>
    <col min="6" max="6" width="8.5546875" style="151" customWidth="1"/>
    <col min="7" max="7" width="8.33203125" style="151" customWidth="1"/>
    <col min="8" max="8" width="8.5546875" style="151" customWidth="1"/>
    <col min="9" max="9" width="9.5546875" style="151" customWidth="1"/>
    <col min="10" max="10" width="10.109375" style="151" customWidth="1"/>
    <col min="11" max="11" width="7" style="151" customWidth="1"/>
    <col min="12" max="12" width="7.44140625" style="26" customWidth="1"/>
    <col min="13" max="13" width="12" style="26" customWidth="1"/>
    <col min="14" max="14" width="9.109375" style="26"/>
    <col min="15" max="15" width="12.33203125" style="26" customWidth="1"/>
    <col min="16" max="16384" width="9.109375" style="26"/>
  </cols>
  <sheetData>
    <row r="1" spans="1:15" ht="15.75" customHeight="1" x14ac:dyDescent="0.3">
      <c r="A1" s="240"/>
      <c r="B1" s="41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15" ht="15.6" x14ac:dyDescent="0.3">
      <c r="A2" s="240"/>
      <c r="B2" s="41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15" ht="14.25" customHeight="1" x14ac:dyDescent="0.25">
      <c r="A3" s="240"/>
      <c r="C3" s="118"/>
      <c r="D3" s="241"/>
      <c r="E3" s="392" t="s">
        <v>612</v>
      </c>
      <c r="F3" s="392"/>
      <c r="G3" s="392"/>
      <c r="H3" s="392"/>
      <c r="I3" s="392"/>
      <c r="J3" s="392"/>
      <c r="K3" s="392"/>
      <c r="L3" s="392"/>
    </row>
    <row r="4" spans="1:15" ht="15.6" x14ac:dyDescent="0.25">
      <c r="E4" s="234"/>
      <c r="F4" s="234"/>
      <c r="G4" s="234"/>
      <c r="H4" s="234"/>
      <c r="I4" s="234"/>
      <c r="J4" s="234"/>
      <c r="K4" s="234"/>
    </row>
    <row r="5" spans="1:15" ht="35.25" customHeight="1" x14ac:dyDescent="0.25">
      <c r="A5" s="405" t="s">
        <v>714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</row>
    <row r="6" spans="1:15" x14ac:dyDescent="0.25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spans="1:15" x14ac:dyDescent="0.25">
      <c r="A7" s="118"/>
      <c r="B7" s="44"/>
      <c r="C7" s="45"/>
      <c r="D7" s="46"/>
      <c r="E7" s="47"/>
      <c r="F7" s="47"/>
      <c r="G7" s="47"/>
      <c r="H7" s="47"/>
      <c r="I7" s="47"/>
      <c r="J7" s="357" t="s">
        <v>91</v>
      </c>
      <c r="K7" s="357"/>
      <c r="L7" s="357"/>
    </row>
    <row r="8" spans="1:15" ht="12.75" customHeight="1" x14ac:dyDescent="0.25">
      <c r="A8" s="377" t="s">
        <v>0</v>
      </c>
      <c r="B8" s="411" t="s">
        <v>29</v>
      </c>
      <c r="C8" s="411" t="s">
        <v>16</v>
      </c>
      <c r="D8" s="377" t="s">
        <v>52</v>
      </c>
      <c r="E8" s="367" t="s">
        <v>17</v>
      </c>
      <c r="F8" s="368"/>
      <c r="G8" s="381" t="s">
        <v>18</v>
      </c>
      <c r="H8" s="406"/>
      <c r="I8" s="406"/>
      <c r="J8" s="406"/>
      <c r="K8" s="406"/>
      <c r="L8" s="382"/>
    </row>
    <row r="9" spans="1:15" ht="19.2" customHeight="1" x14ac:dyDescent="0.25">
      <c r="A9" s="407"/>
      <c r="B9" s="412"/>
      <c r="C9" s="412"/>
      <c r="D9" s="407"/>
      <c r="E9" s="369"/>
      <c r="F9" s="370"/>
      <c r="G9" s="381" t="s">
        <v>162</v>
      </c>
      <c r="H9" s="406"/>
      <c r="I9" s="406"/>
      <c r="J9" s="382"/>
      <c r="K9" s="381" t="s">
        <v>30</v>
      </c>
      <c r="L9" s="382"/>
    </row>
    <row r="10" spans="1:15" ht="19.2" customHeight="1" x14ac:dyDescent="0.25">
      <c r="A10" s="407"/>
      <c r="B10" s="412"/>
      <c r="C10" s="412"/>
      <c r="D10" s="407"/>
      <c r="E10" s="377" t="s">
        <v>277</v>
      </c>
      <c r="F10" s="377" t="s">
        <v>278</v>
      </c>
      <c r="G10" s="381" t="s">
        <v>31</v>
      </c>
      <c r="H10" s="382"/>
      <c r="I10" s="381" t="s">
        <v>32</v>
      </c>
      <c r="J10" s="382"/>
      <c r="K10" s="377" t="s">
        <v>277</v>
      </c>
      <c r="L10" s="421" t="s">
        <v>278</v>
      </c>
    </row>
    <row r="11" spans="1:15" ht="16.95" customHeight="1" x14ac:dyDescent="0.25">
      <c r="A11" s="378"/>
      <c r="B11" s="413"/>
      <c r="C11" s="413"/>
      <c r="D11" s="378"/>
      <c r="E11" s="378"/>
      <c r="F11" s="378"/>
      <c r="G11" s="229" t="s">
        <v>277</v>
      </c>
      <c r="H11" s="229" t="s">
        <v>278</v>
      </c>
      <c r="I11" s="229" t="s">
        <v>277</v>
      </c>
      <c r="J11" s="229" t="s">
        <v>278</v>
      </c>
      <c r="K11" s="378"/>
      <c r="L11" s="422"/>
    </row>
    <row r="12" spans="1:15" s="142" customFormat="1" ht="12.75" customHeight="1" x14ac:dyDescent="0.25">
      <c r="A12" s="152">
        <v>1</v>
      </c>
      <c r="B12" s="29" t="s">
        <v>19</v>
      </c>
      <c r="C12" s="29" t="s">
        <v>79</v>
      </c>
      <c r="D12" s="229">
        <v>4</v>
      </c>
      <c r="E12" s="229">
        <v>5</v>
      </c>
      <c r="F12" s="229">
        <v>6</v>
      </c>
      <c r="G12" s="229">
        <v>7</v>
      </c>
      <c r="H12" s="229">
        <v>8</v>
      </c>
      <c r="I12" s="229">
        <v>9</v>
      </c>
      <c r="J12" s="229">
        <v>10</v>
      </c>
      <c r="K12" s="152">
        <v>11</v>
      </c>
      <c r="L12" s="194">
        <v>12</v>
      </c>
    </row>
    <row r="13" spans="1:15" s="142" customFormat="1" ht="20.100000000000001" customHeight="1" x14ac:dyDescent="0.25">
      <c r="A13" s="52">
        <v>1</v>
      </c>
      <c r="B13" s="30" t="s">
        <v>53</v>
      </c>
      <c r="C13" s="31" t="s">
        <v>54</v>
      </c>
      <c r="D13" s="229"/>
      <c r="E13" s="53">
        <f t="shared" ref="E13:F145" si="0">+G13+K13</f>
        <v>1034</v>
      </c>
      <c r="F13" s="53">
        <f t="shared" si="0"/>
        <v>1004.2</v>
      </c>
      <c r="G13" s="53">
        <f t="shared" ref="G13:L13" si="1">+G14+G17+G37+G51+G87+G58+G67+G69</f>
        <v>499</v>
      </c>
      <c r="H13" s="53">
        <f t="shared" si="1"/>
        <v>469.20000000000005</v>
      </c>
      <c r="I13" s="53">
        <f t="shared" si="1"/>
        <v>209.9</v>
      </c>
      <c r="J13" s="53">
        <f t="shared" si="1"/>
        <v>196.7</v>
      </c>
      <c r="K13" s="53">
        <f t="shared" si="1"/>
        <v>535</v>
      </c>
      <c r="L13" s="53">
        <f t="shared" si="1"/>
        <v>535</v>
      </c>
      <c r="M13" s="54"/>
      <c r="N13" s="54"/>
      <c r="O13" s="54"/>
    </row>
    <row r="14" spans="1:15" x14ac:dyDescent="0.25">
      <c r="A14" s="52">
        <v>2</v>
      </c>
      <c r="B14" s="55" t="s">
        <v>213</v>
      </c>
      <c r="C14" s="347" t="s">
        <v>715</v>
      </c>
      <c r="D14" s="49"/>
      <c r="E14" s="119">
        <f t="shared" si="0"/>
        <v>274.60000000000002</v>
      </c>
      <c r="F14" s="119">
        <f t="shared" si="0"/>
        <v>256.8</v>
      </c>
      <c r="G14" s="119">
        <f t="shared" ref="G14:L14" si="2">+G15+G16</f>
        <v>274.60000000000002</v>
      </c>
      <c r="H14" s="119">
        <f t="shared" si="2"/>
        <v>256.8</v>
      </c>
      <c r="I14" s="119">
        <f t="shared" si="2"/>
        <v>8.1</v>
      </c>
      <c r="J14" s="119">
        <f t="shared" si="2"/>
        <v>6.8</v>
      </c>
      <c r="K14" s="119">
        <f t="shared" si="2"/>
        <v>0</v>
      </c>
      <c r="L14" s="119">
        <f t="shared" si="2"/>
        <v>0</v>
      </c>
      <c r="M14" s="54"/>
      <c r="N14" s="54"/>
      <c r="O14" s="54"/>
    </row>
    <row r="15" spans="1:15" ht="15.6" customHeight="1" x14ac:dyDescent="0.25">
      <c r="A15" s="52">
        <v>3</v>
      </c>
      <c r="B15" s="239"/>
      <c r="C15" s="348" t="s">
        <v>157</v>
      </c>
      <c r="D15" s="55" t="s">
        <v>188</v>
      </c>
      <c r="E15" s="57">
        <f t="shared" si="0"/>
        <v>266.40000000000003</v>
      </c>
      <c r="F15" s="176">
        <f t="shared" si="0"/>
        <v>249.9</v>
      </c>
      <c r="G15" s="57">
        <f>274.6-8.2</f>
        <v>266.40000000000003</v>
      </c>
      <c r="H15" s="57">
        <v>249.9</v>
      </c>
      <c r="I15" s="57"/>
      <c r="J15" s="57"/>
      <c r="K15" s="57"/>
      <c r="L15" s="303"/>
      <c r="M15" s="54"/>
      <c r="N15" s="54"/>
      <c r="O15" s="54"/>
    </row>
    <row r="16" spans="1:15" ht="15.6" customHeight="1" x14ac:dyDescent="0.25">
      <c r="A16" s="52">
        <v>4</v>
      </c>
      <c r="B16" s="239"/>
      <c r="C16" s="258" t="s">
        <v>716</v>
      </c>
      <c r="D16" s="55" t="s">
        <v>717</v>
      </c>
      <c r="E16" s="57">
        <f t="shared" si="0"/>
        <v>8.1999999999999993</v>
      </c>
      <c r="F16" s="57">
        <f t="shared" si="0"/>
        <v>6.9</v>
      </c>
      <c r="G16" s="57">
        <v>8.1999999999999993</v>
      </c>
      <c r="H16" s="57">
        <v>6.9</v>
      </c>
      <c r="I16" s="57">
        <v>8.1</v>
      </c>
      <c r="J16" s="57">
        <v>6.8</v>
      </c>
      <c r="K16" s="57"/>
      <c r="L16" s="303"/>
      <c r="M16" s="54"/>
      <c r="N16" s="54"/>
      <c r="O16" s="54"/>
    </row>
    <row r="17" spans="1:15" ht="24" x14ac:dyDescent="0.25">
      <c r="A17" s="52">
        <v>5</v>
      </c>
      <c r="B17" s="55" t="s">
        <v>214</v>
      </c>
      <c r="C17" s="347" t="s">
        <v>718</v>
      </c>
      <c r="D17" s="49"/>
      <c r="E17" s="119">
        <f t="shared" si="0"/>
        <v>20.9</v>
      </c>
      <c r="F17" s="119">
        <f t="shared" si="0"/>
        <v>20.799999999999997</v>
      </c>
      <c r="G17" s="119">
        <f t="shared" ref="G17:L17" si="3">SUM(G18:G35)</f>
        <v>20.9</v>
      </c>
      <c r="H17" s="119">
        <f t="shared" si="3"/>
        <v>20.799999999999997</v>
      </c>
      <c r="I17" s="119">
        <f t="shared" si="3"/>
        <v>20.7</v>
      </c>
      <c r="J17" s="119">
        <f t="shared" si="3"/>
        <v>20.699999999999996</v>
      </c>
      <c r="K17" s="119">
        <f t="shared" si="3"/>
        <v>0</v>
      </c>
      <c r="L17" s="119">
        <f t="shared" si="3"/>
        <v>0</v>
      </c>
      <c r="M17" s="54"/>
      <c r="N17" s="54"/>
      <c r="O17" s="54"/>
    </row>
    <row r="18" spans="1:15" x14ac:dyDescent="0.25">
      <c r="A18" s="52">
        <v>6</v>
      </c>
      <c r="B18" s="239"/>
      <c r="C18" s="253" t="s">
        <v>144</v>
      </c>
      <c r="D18" s="239" t="s">
        <v>56</v>
      </c>
      <c r="E18" s="57">
        <f t="shared" si="0"/>
        <v>0.3</v>
      </c>
      <c r="F18" s="57">
        <f t="shared" si="0"/>
        <v>0.3</v>
      </c>
      <c r="G18" s="57">
        <v>0.3</v>
      </c>
      <c r="H18" s="57">
        <v>0.3</v>
      </c>
      <c r="I18" s="57">
        <v>0.3</v>
      </c>
      <c r="J18" s="57">
        <v>0.3</v>
      </c>
      <c r="K18" s="57"/>
      <c r="L18" s="303"/>
      <c r="M18" s="54"/>
      <c r="N18" s="54"/>
      <c r="O18" s="54"/>
    </row>
    <row r="19" spans="1:15" x14ac:dyDescent="0.25">
      <c r="A19" s="52">
        <v>7</v>
      </c>
      <c r="B19" s="239"/>
      <c r="C19" s="251" t="s">
        <v>126</v>
      </c>
      <c r="D19" s="239" t="s">
        <v>57</v>
      </c>
      <c r="E19" s="57">
        <f t="shared" si="0"/>
        <v>1.9</v>
      </c>
      <c r="F19" s="57">
        <f t="shared" si="0"/>
        <v>1.9</v>
      </c>
      <c r="G19" s="57">
        <v>1.9</v>
      </c>
      <c r="H19" s="57">
        <v>1.9</v>
      </c>
      <c r="I19" s="57">
        <v>1.9</v>
      </c>
      <c r="J19" s="57">
        <v>1.9</v>
      </c>
      <c r="K19" s="57"/>
      <c r="L19" s="303"/>
      <c r="M19" s="54"/>
      <c r="N19" s="54"/>
      <c r="O19" s="54"/>
    </row>
    <row r="20" spans="1:15" x14ac:dyDescent="0.25">
      <c r="A20" s="52">
        <v>8</v>
      </c>
      <c r="B20" s="239"/>
      <c r="C20" s="251" t="s">
        <v>42</v>
      </c>
      <c r="D20" s="239" t="s">
        <v>57</v>
      </c>
      <c r="E20" s="57">
        <f t="shared" si="0"/>
        <v>1.9</v>
      </c>
      <c r="F20" s="57">
        <f t="shared" si="0"/>
        <v>1.9</v>
      </c>
      <c r="G20" s="57">
        <v>1.9</v>
      </c>
      <c r="H20" s="57">
        <v>1.9</v>
      </c>
      <c r="I20" s="57">
        <v>1.8</v>
      </c>
      <c r="J20" s="176">
        <f>1.8+0.1</f>
        <v>1.9000000000000001</v>
      </c>
      <c r="K20" s="57"/>
      <c r="L20" s="303"/>
      <c r="M20" s="54"/>
      <c r="N20" s="54"/>
      <c r="O20" s="54"/>
    </row>
    <row r="21" spans="1:15" x14ac:dyDescent="0.25">
      <c r="A21" s="52">
        <v>9</v>
      </c>
      <c r="B21" s="239"/>
      <c r="C21" s="253" t="s">
        <v>93</v>
      </c>
      <c r="D21" s="239" t="s">
        <v>57</v>
      </c>
      <c r="E21" s="57">
        <f t="shared" si="0"/>
        <v>1.2</v>
      </c>
      <c r="F21" s="57">
        <f t="shared" si="0"/>
        <v>1.2</v>
      </c>
      <c r="G21" s="57">
        <v>1.2</v>
      </c>
      <c r="H21" s="57">
        <v>1.2</v>
      </c>
      <c r="I21" s="57">
        <v>1.2</v>
      </c>
      <c r="J21" s="57">
        <v>1.2</v>
      </c>
      <c r="K21" s="57"/>
      <c r="L21" s="303"/>
      <c r="M21" s="54"/>
      <c r="N21" s="54"/>
      <c r="O21" s="54"/>
    </row>
    <row r="22" spans="1:15" x14ac:dyDescent="0.25">
      <c r="A22" s="52">
        <v>10</v>
      </c>
      <c r="B22" s="239"/>
      <c r="C22" s="253" t="s">
        <v>94</v>
      </c>
      <c r="D22" s="239" t="s">
        <v>57</v>
      </c>
      <c r="E22" s="57">
        <f t="shared" si="0"/>
        <v>1.1000000000000001</v>
      </c>
      <c r="F22" s="57">
        <f t="shared" si="0"/>
        <v>1.1000000000000001</v>
      </c>
      <c r="G22" s="57">
        <v>1.1000000000000001</v>
      </c>
      <c r="H22" s="57">
        <v>1.1000000000000001</v>
      </c>
      <c r="I22" s="57">
        <v>1.1000000000000001</v>
      </c>
      <c r="J22" s="57">
        <v>1.1000000000000001</v>
      </c>
      <c r="K22" s="57"/>
      <c r="L22" s="303"/>
      <c r="M22" s="54"/>
      <c r="N22" s="54"/>
      <c r="O22" s="54"/>
    </row>
    <row r="23" spans="1:15" x14ac:dyDescent="0.25">
      <c r="A23" s="52">
        <v>11</v>
      </c>
      <c r="B23" s="239"/>
      <c r="C23" s="253" t="s">
        <v>36</v>
      </c>
      <c r="D23" s="239" t="s">
        <v>57</v>
      </c>
      <c r="E23" s="57">
        <f t="shared" si="0"/>
        <v>1</v>
      </c>
      <c r="F23" s="57">
        <f t="shared" si="0"/>
        <v>1</v>
      </c>
      <c r="G23" s="57">
        <v>1</v>
      </c>
      <c r="H23" s="57">
        <v>1</v>
      </c>
      <c r="I23" s="57">
        <v>1</v>
      </c>
      <c r="J23" s="57">
        <v>1</v>
      </c>
      <c r="K23" s="57"/>
      <c r="L23" s="303"/>
      <c r="M23" s="54"/>
      <c r="N23" s="54"/>
      <c r="O23" s="54"/>
    </row>
    <row r="24" spans="1:15" ht="12.75" customHeight="1" x14ac:dyDescent="0.25">
      <c r="A24" s="52">
        <v>12</v>
      </c>
      <c r="B24" s="239"/>
      <c r="C24" s="251" t="s">
        <v>97</v>
      </c>
      <c r="D24" s="239" t="s">
        <v>57</v>
      </c>
      <c r="E24" s="57">
        <f t="shared" si="0"/>
        <v>1</v>
      </c>
      <c r="F24" s="57">
        <f t="shared" si="0"/>
        <v>1</v>
      </c>
      <c r="G24" s="57">
        <v>1</v>
      </c>
      <c r="H24" s="57">
        <v>1</v>
      </c>
      <c r="I24" s="57">
        <v>1</v>
      </c>
      <c r="J24" s="57">
        <v>1</v>
      </c>
      <c r="K24" s="57"/>
      <c r="L24" s="303"/>
      <c r="M24" s="54"/>
      <c r="N24" s="54"/>
      <c r="O24" s="54"/>
    </row>
    <row r="25" spans="1:15" ht="12.75" customHeight="1" x14ac:dyDescent="0.25">
      <c r="A25" s="52">
        <v>13</v>
      </c>
      <c r="B25" s="239"/>
      <c r="C25" s="253" t="s">
        <v>124</v>
      </c>
      <c r="D25" s="239" t="s">
        <v>58</v>
      </c>
      <c r="E25" s="57">
        <f t="shared" si="0"/>
        <v>3.3</v>
      </c>
      <c r="F25" s="57">
        <f t="shared" si="0"/>
        <v>3.3</v>
      </c>
      <c r="G25" s="57">
        <v>3.3</v>
      </c>
      <c r="H25" s="57">
        <v>3.3</v>
      </c>
      <c r="I25" s="57">
        <v>3.3</v>
      </c>
      <c r="J25" s="57">
        <v>3.3</v>
      </c>
      <c r="K25" s="57"/>
      <c r="L25" s="303"/>
      <c r="M25" s="54"/>
      <c r="N25" s="54"/>
      <c r="O25" s="54"/>
    </row>
    <row r="26" spans="1:15" x14ac:dyDescent="0.25">
      <c r="A26" s="52">
        <v>14</v>
      </c>
      <c r="B26" s="239"/>
      <c r="C26" s="251" t="s">
        <v>125</v>
      </c>
      <c r="D26" s="55" t="s">
        <v>163</v>
      </c>
      <c r="E26" s="57">
        <f t="shared" si="0"/>
        <v>3.8</v>
      </c>
      <c r="F26" s="57">
        <f t="shared" si="0"/>
        <v>3.8</v>
      </c>
      <c r="G26" s="57">
        <v>3.8</v>
      </c>
      <c r="H26" s="57">
        <v>3.8</v>
      </c>
      <c r="I26" s="57">
        <v>3.7</v>
      </c>
      <c r="J26" s="57">
        <v>3.7</v>
      </c>
      <c r="K26" s="57"/>
      <c r="L26" s="303"/>
      <c r="M26" s="54"/>
      <c r="N26" s="54"/>
      <c r="O26" s="54"/>
    </row>
    <row r="27" spans="1:15" x14ac:dyDescent="0.25">
      <c r="A27" s="52">
        <v>15</v>
      </c>
      <c r="B27" s="239"/>
      <c r="C27" s="253" t="s">
        <v>89</v>
      </c>
      <c r="D27" s="55" t="s">
        <v>163</v>
      </c>
      <c r="E27" s="57">
        <f t="shared" si="0"/>
        <v>2.2000000000000002</v>
      </c>
      <c r="F27" s="57">
        <f t="shared" si="0"/>
        <v>2.2000000000000002</v>
      </c>
      <c r="G27" s="57">
        <v>2.2000000000000002</v>
      </c>
      <c r="H27" s="57">
        <v>2.2000000000000002</v>
      </c>
      <c r="I27" s="57">
        <v>2.2000000000000002</v>
      </c>
      <c r="J27" s="57">
        <v>2.2000000000000002</v>
      </c>
      <c r="K27" s="57"/>
      <c r="L27" s="303"/>
      <c r="M27" s="54"/>
      <c r="N27" s="54"/>
      <c r="O27" s="54"/>
    </row>
    <row r="28" spans="1:15" x14ac:dyDescent="0.25">
      <c r="A28" s="52">
        <v>16</v>
      </c>
      <c r="B28" s="239"/>
      <c r="C28" s="253" t="s">
        <v>37</v>
      </c>
      <c r="D28" s="239" t="s">
        <v>58</v>
      </c>
      <c r="E28" s="57">
        <f t="shared" si="0"/>
        <v>0.4</v>
      </c>
      <c r="F28" s="57">
        <f t="shared" si="0"/>
        <v>0.4</v>
      </c>
      <c r="G28" s="57">
        <v>0.4</v>
      </c>
      <c r="H28" s="57">
        <v>0.4</v>
      </c>
      <c r="I28" s="57">
        <v>0.4</v>
      </c>
      <c r="J28" s="57">
        <v>0.4</v>
      </c>
      <c r="K28" s="57"/>
      <c r="L28" s="303"/>
      <c r="M28" s="54"/>
      <c r="N28" s="54"/>
      <c r="O28" s="54"/>
    </row>
    <row r="29" spans="1:15" x14ac:dyDescent="0.25">
      <c r="A29" s="52">
        <v>17</v>
      </c>
      <c r="B29" s="239"/>
      <c r="C29" s="253" t="s">
        <v>95</v>
      </c>
      <c r="D29" s="239" t="s">
        <v>58</v>
      </c>
      <c r="E29" s="57">
        <f t="shared" si="0"/>
        <v>0.6</v>
      </c>
      <c r="F29" s="57">
        <f t="shared" si="0"/>
        <v>0.6</v>
      </c>
      <c r="G29" s="57">
        <v>0.6</v>
      </c>
      <c r="H29" s="57">
        <v>0.6</v>
      </c>
      <c r="I29" s="57">
        <v>0.6</v>
      </c>
      <c r="J29" s="57">
        <v>0.6</v>
      </c>
      <c r="K29" s="57"/>
      <c r="L29" s="303"/>
      <c r="M29" s="54"/>
      <c r="N29" s="54"/>
      <c r="O29" s="54"/>
    </row>
    <row r="30" spans="1:15" x14ac:dyDescent="0.25">
      <c r="A30" s="52">
        <v>18</v>
      </c>
      <c r="B30" s="239"/>
      <c r="C30" s="253" t="s">
        <v>156</v>
      </c>
      <c r="D30" s="239" t="s">
        <v>58</v>
      </c>
      <c r="E30" s="57">
        <f t="shared" si="0"/>
        <v>0.3</v>
      </c>
      <c r="F30" s="57">
        <f t="shared" si="0"/>
        <v>0.3</v>
      </c>
      <c r="G30" s="57">
        <v>0.3</v>
      </c>
      <c r="H30" s="57">
        <v>0.3</v>
      </c>
      <c r="I30" s="57">
        <v>0.3</v>
      </c>
      <c r="J30" s="57">
        <v>0.3</v>
      </c>
      <c r="K30" s="57"/>
      <c r="L30" s="303"/>
      <c r="M30" s="54"/>
      <c r="N30" s="54"/>
      <c r="O30" s="54"/>
    </row>
    <row r="31" spans="1:15" x14ac:dyDescent="0.25">
      <c r="A31" s="52">
        <v>19</v>
      </c>
      <c r="B31" s="239"/>
      <c r="C31" s="253" t="s">
        <v>38</v>
      </c>
      <c r="D31" s="239" t="s">
        <v>58</v>
      </c>
      <c r="E31" s="57">
        <f t="shared" si="0"/>
        <v>0.4</v>
      </c>
      <c r="F31" s="57">
        <f t="shared" si="0"/>
        <v>0.4</v>
      </c>
      <c r="G31" s="57">
        <v>0.4</v>
      </c>
      <c r="H31" s="57">
        <v>0.4</v>
      </c>
      <c r="I31" s="57">
        <v>0.4</v>
      </c>
      <c r="J31" s="57">
        <v>0.4</v>
      </c>
      <c r="K31" s="57"/>
      <c r="L31" s="303"/>
      <c r="M31" s="54"/>
      <c r="N31" s="54"/>
      <c r="O31" s="54"/>
    </row>
    <row r="32" spans="1:15" x14ac:dyDescent="0.25">
      <c r="A32" s="52">
        <v>20</v>
      </c>
      <c r="B32" s="239"/>
      <c r="C32" s="253" t="s">
        <v>96</v>
      </c>
      <c r="D32" s="239" t="s">
        <v>58</v>
      </c>
      <c r="E32" s="57">
        <f t="shared" si="0"/>
        <v>0.3</v>
      </c>
      <c r="F32" s="57">
        <f t="shared" si="0"/>
        <v>0.3</v>
      </c>
      <c r="G32" s="57">
        <v>0.3</v>
      </c>
      <c r="H32" s="57">
        <v>0.3</v>
      </c>
      <c r="I32" s="57">
        <v>0.3</v>
      </c>
      <c r="J32" s="57">
        <v>0.3</v>
      </c>
      <c r="K32" s="57"/>
      <c r="L32" s="303"/>
      <c r="M32" s="54"/>
      <c r="N32" s="54"/>
      <c r="O32" s="54"/>
    </row>
    <row r="33" spans="1:15" ht="26.4" x14ac:dyDescent="0.25">
      <c r="A33" s="52">
        <v>21</v>
      </c>
      <c r="B33" s="239"/>
      <c r="C33" s="253" t="s">
        <v>84</v>
      </c>
      <c r="D33" s="55" t="s">
        <v>182</v>
      </c>
      <c r="E33" s="57">
        <f t="shared" si="0"/>
        <v>0.7</v>
      </c>
      <c r="F33" s="57">
        <f t="shared" si="0"/>
        <v>0.7</v>
      </c>
      <c r="G33" s="57">
        <v>0.7</v>
      </c>
      <c r="H33" s="57">
        <v>0.7</v>
      </c>
      <c r="I33" s="57">
        <v>0.7</v>
      </c>
      <c r="J33" s="57">
        <v>0.7</v>
      </c>
      <c r="K33" s="57"/>
      <c r="L33" s="303"/>
      <c r="M33" s="54"/>
      <c r="N33" s="54"/>
      <c r="O33" s="54"/>
    </row>
    <row r="34" spans="1:15" x14ac:dyDescent="0.25">
      <c r="A34" s="52">
        <v>22</v>
      </c>
      <c r="B34" s="239"/>
      <c r="C34" s="349" t="s">
        <v>276</v>
      </c>
      <c r="D34" s="55" t="s">
        <v>58</v>
      </c>
      <c r="E34" s="57">
        <f t="shared" si="0"/>
        <v>0.4</v>
      </c>
      <c r="F34" s="57">
        <f t="shared" si="0"/>
        <v>0.4</v>
      </c>
      <c r="G34" s="57">
        <v>0.4</v>
      </c>
      <c r="H34" s="57">
        <v>0.4</v>
      </c>
      <c r="I34" s="57">
        <v>0.4</v>
      </c>
      <c r="J34" s="57">
        <v>0.4</v>
      </c>
      <c r="K34" s="57"/>
      <c r="L34" s="303"/>
      <c r="M34" s="54"/>
      <c r="N34" s="54"/>
      <c r="O34" s="54"/>
    </row>
    <row r="35" spans="1:15" ht="15.6" customHeight="1" x14ac:dyDescent="0.25">
      <c r="A35" s="52">
        <v>23</v>
      </c>
      <c r="B35" s="239"/>
      <c r="C35" s="251" t="s">
        <v>183</v>
      </c>
      <c r="D35" s="55" t="s">
        <v>188</v>
      </c>
      <c r="E35" s="57">
        <f t="shared" si="0"/>
        <v>0.1</v>
      </c>
      <c r="F35" s="57">
        <f t="shared" si="0"/>
        <v>0</v>
      </c>
      <c r="G35" s="57">
        <f>+G36</f>
        <v>0.1</v>
      </c>
      <c r="H35" s="57">
        <f>+H36</f>
        <v>0</v>
      </c>
      <c r="I35" s="57">
        <f>+I36</f>
        <v>0.1</v>
      </c>
      <c r="J35" s="57">
        <f>+J36</f>
        <v>0</v>
      </c>
      <c r="K35" s="57"/>
      <c r="L35" s="303"/>
      <c r="M35" s="54"/>
      <c r="N35" s="54"/>
      <c r="O35" s="54"/>
    </row>
    <row r="36" spans="1:15" x14ac:dyDescent="0.25">
      <c r="A36" s="122" t="s">
        <v>719</v>
      </c>
      <c r="B36" s="239"/>
      <c r="C36" s="258" t="s">
        <v>273</v>
      </c>
      <c r="D36" s="55"/>
      <c r="E36" s="57">
        <f t="shared" si="0"/>
        <v>0.1</v>
      </c>
      <c r="F36" s="57">
        <f t="shared" si="0"/>
        <v>0</v>
      </c>
      <c r="G36" s="57">
        <v>0.1</v>
      </c>
      <c r="H36" s="57">
        <v>0</v>
      </c>
      <c r="I36" s="57">
        <v>0.1</v>
      </c>
      <c r="J36" s="57">
        <v>0</v>
      </c>
      <c r="K36" s="57"/>
      <c r="L36" s="303"/>
      <c r="M36" s="54"/>
      <c r="N36" s="54"/>
      <c r="O36" s="54"/>
    </row>
    <row r="37" spans="1:15" ht="24" x14ac:dyDescent="0.25">
      <c r="A37" s="52">
        <v>24</v>
      </c>
      <c r="B37" s="239" t="s">
        <v>215</v>
      </c>
      <c r="C37" s="350" t="s">
        <v>720</v>
      </c>
      <c r="D37" s="55"/>
      <c r="E37" s="119">
        <f t="shared" si="0"/>
        <v>101.29999999999997</v>
      </c>
      <c r="F37" s="119">
        <f t="shared" si="0"/>
        <v>95.699999999999989</v>
      </c>
      <c r="G37" s="119">
        <f t="shared" ref="G37:L37" si="4">SUM(G38:G50)</f>
        <v>101.29999999999997</v>
      </c>
      <c r="H37" s="119">
        <f t="shared" si="4"/>
        <v>95.699999999999989</v>
      </c>
      <c r="I37" s="119">
        <f t="shared" si="4"/>
        <v>99.5</v>
      </c>
      <c r="J37" s="119">
        <f t="shared" si="4"/>
        <v>93.699999999999989</v>
      </c>
      <c r="K37" s="119">
        <f t="shared" si="4"/>
        <v>0</v>
      </c>
      <c r="L37" s="119">
        <f t="shared" si="4"/>
        <v>0</v>
      </c>
      <c r="M37" s="54"/>
      <c r="N37" s="54"/>
      <c r="O37" s="54"/>
    </row>
    <row r="38" spans="1:15" x14ac:dyDescent="0.25">
      <c r="A38" s="52">
        <v>25</v>
      </c>
      <c r="B38" s="239"/>
      <c r="C38" s="251" t="s">
        <v>127</v>
      </c>
      <c r="D38" s="239" t="s">
        <v>55</v>
      </c>
      <c r="E38" s="57">
        <f t="shared" si="0"/>
        <v>5.0999999999999996</v>
      </c>
      <c r="F38" s="57">
        <f t="shared" si="0"/>
        <v>5.0999999999999996</v>
      </c>
      <c r="G38" s="57">
        <v>5.0999999999999996</v>
      </c>
      <c r="H38" s="57">
        <v>5.0999999999999996</v>
      </c>
      <c r="I38" s="57">
        <v>5</v>
      </c>
      <c r="J38" s="57">
        <v>5</v>
      </c>
      <c r="K38" s="57"/>
      <c r="L38" s="303"/>
      <c r="M38" s="54"/>
      <c r="N38" s="54"/>
      <c r="O38" s="54"/>
    </row>
    <row r="39" spans="1:15" x14ac:dyDescent="0.25">
      <c r="A39" s="52">
        <v>26</v>
      </c>
      <c r="B39" s="239"/>
      <c r="C39" s="251" t="s">
        <v>118</v>
      </c>
      <c r="D39" s="239" t="s">
        <v>55</v>
      </c>
      <c r="E39" s="57">
        <f t="shared" si="0"/>
        <v>10.1</v>
      </c>
      <c r="F39" s="57">
        <f t="shared" si="0"/>
        <v>10.1</v>
      </c>
      <c r="G39" s="57">
        <v>10.1</v>
      </c>
      <c r="H39" s="57">
        <v>10.1</v>
      </c>
      <c r="I39" s="57">
        <v>10</v>
      </c>
      <c r="J39" s="57">
        <v>10</v>
      </c>
      <c r="K39" s="57"/>
      <c r="L39" s="303"/>
      <c r="M39" s="54"/>
      <c r="N39" s="54"/>
      <c r="O39" s="54"/>
    </row>
    <row r="40" spans="1:15" x14ac:dyDescent="0.25">
      <c r="A40" s="52">
        <v>27</v>
      </c>
      <c r="B40" s="239"/>
      <c r="C40" s="251" t="s">
        <v>121</v>
      </c>
      <c r="D40" s="239" t="s">
        <v>55</v>
      </c>
      <c r="E40" s="57">
        <f t="shared" si="0"/>
        <v>10.1</v>
      </c>
      <c r="F40" s="57">
        <f t="shared" si="0"/>
        <v>10.1</v>
      </c>
      <c r="G40" s="57">
        <v>10.1</v>
      </c>
      <c r="H40" s="57">
        <v>10.1</v>
      </c>
      <c r="I40" s="57">
        <v>10</v>
      </c>
      <c r="J40" s="57">
        <v>10</v>
      </c>
      <c r="K40" s="57"/>
      <c r="L40" s="303"/>
      <c r="M40" s="54"/>
      <c r="N40" s="54"/>
      <c r="O40" s="54"/>
    </row>
    <row r="41" spans="1:15" x14ac:dyDescent="0.25">
      <c r="A41" s="52">
        <v>28</v>
      </c>
      <c r="B41" s="239"/>
      <c r="C41" s="251" t="s">
        <v>122</v>
      </c>
      <c r="D41" s="239" t="s">
        <v>55</v>
      </c>
      <c r="E41" s="57">
        <f t="shared" si="0"/>
        <v>10.1</v>
      </c>
      <c r="F41" s="57">
        <f t="shared" si="0"/>
        <v>9.8000000000000007</v>
      </c>
      <c r="G41" s="57">
        <v>10.1</v>
      </c>
      <c r="H41" s="57">
        <v>9.8000000000000007</v>
      </c>
      <c r="I41" s="57">
        <v>10</v>
      </c>
      <c r="J41" s="57">
        <v>9.6999999999999993</v>
      </c>
      <c r="K41" s="57"/>
      <c r="L41" s="303"/>
      <c r="M41" s="54"/>
      <c r="N41" s="54"/>
      <c r="O41" s="54"/>
    </row>
    <row r="42" spans="1:15" x14ac:dyDescent="0.25">
      <c r="A42" s="52">
        <v>29</v>
      </c>
      <c r="B42" s="239"/>
      <c r="C42" s="253" t="s">
        <v>144</v>
      </c>
      <c r="D42" s="239" t="s">
        <v>56</v>
      </c>
      <c r="E42" s="57">
        <f t="shared" si="0"/>
        <v>10.1</v>
      </c>
      <c r="F42" s="57">
        <f t="shared" si="0"/>
        <v>9.6</v>
      </c>
      <c r="G42" s="57">
        <v>10.1</v>
      </c>
      <c r="H42" s="57">
        <v>9.6</v>
      </c>
      <c r="I42" s="57">
        <f>10-0.1</f>
        <v>9.9</v>
      </c>
      <c r="J42" s="176">
        <f>9.4-0.1</f>
        <v>9.3000000000000007</v>
      </c>
      <c r="K42" s="57"/>
      <c r="L42" s="303"/>
      <c r="M42" s="54"/>
      <c r="N42" s="54"/>
      <c r="O42" s="54"/>
    </row>
    <row r="43" spans="1:15" x14ac:dyDescent="0.25">
      <c r="A43" s="52">
        <v>30</v>
      </c>
      <c r="B43" s="239"/>
      <c r="C43" s="253" t="s">
        <v>93</v>
      </c>
      <c r="D43" s="239" t="s">
        <v>57</v>
      </c>
      <c r="E43" s="57">
        <f t="shared" si="0"/>
        <v>10.1</v>
      </c>
      <c r="F43" s="57">
        <f t="shared" si="0"/>
        <v>10.1</v>
      </c>
      <c r="G43" s="57">
        <v>10.1</v>
      </c>
      <c r="H43" s="57">
        <v>10.1</v>
      </c>
      <c r="I43" s="57">
        <f>10-0.1</f>
        <v>9.9</v>
      </c>
      <c r="J43" s="57">
        <v>9.9</v>
      </c>
      <c r="K43" s="57"/>
      <c r="L43" s="303"/>
      <c r="M43" s="54"/>
      <c r="N43" s="54"/>
      <c r="O43" s="54"/>
    </row>
    <row r="44" spans="1:15" x14ac:dyDescent="0.25">
      <c r="A44" s="52">
        <v>31</v>
      </c>
      <c r="B44" s="239"/>
      <c r="C44" s="253" t="s">
        <v>36</v>
      </c>
      <c r="D44" s="239" t="s">
        <v>57</v>
      </c>
      <c r="E44" s="57">
        <f t="shared" si="0"/>
        <v>5.0999999999999996</v>
      </c>
      <c r="F44" s="57">
        <f t="shared" si="0"/>
        <v>5.0999999999999996</v>
      </c>
      <c r="G44" s="57">
        <v>5.0999999999999996</v>
      </c>
      <c r="H44" s="57">
        <v>5.0999999999999996</v>
      </c>
      <c r="I44" s="57">
        <v>5</v>
      </c>
      <c r="J44" s="57">
        <v>5</v>
      </c>
      <c r="K44" s="57"/>
      <c r="L44" s="303"/>
      <c r="M44" s="54"/>
      <c r="N44" s="54"/>
      <c r="O44" s="54"/>
    </row>
    <row r="45" spans="1:15" x14ac:dyDescent="0.25">
      <c r="A45" s="52">
        <v>32</v>
      </c>
      <c r="B45" s="239"/>
      <c r="C45" s="251" t="s">
        <v>97</v>
      </c>
      <c r="D45" s="239" t="s">
        <v>57</v>
      </c>
      <c r="E45" s="57">
        <f t="shared" si="0"/>
        <v>5.0999999999999996</v>
      </c>
      <c r="F45" s="57">
        <f t="shared" si="0"/>
        <v>3.9</v>
      </c>
      <c r="G45" s="57">
        <v>5.0999999999999996</v>
      </c>
      <c r="H45" s="176">
        <f>4-0.1</f>
        <v>3.9</v>
      </c>
      <c r="I45" s="57">
        <v>5</v>
      </c>
      <c r="J45" s="57">
        <v>3.7</v>
      </c>
      <c r="K45" s="57"/>
      <c r="L45" s="303"/>
      <c r="M45" s="54"/>
      <c r="N45" s="54"/>
      <c r="O45" s="54"/>
    </row>
    <row r="46" spans="1:15" x14ac:dyDescent="0.25">
      <c r="A46" s="52">
        <v>33</v>
      </c>
      <c r="B46" s="239"/>
      <c r="C46" s="251" t="s">
        <v>124</v>
      </c>
      <c r="D46" s="239" t="s">
        <v>58</v>
      </c>
      <c r="E46" s="57">
        <f t="shared" si="0"/>
        <v>5.0999999999999996</v>
      </c>
      <c r="F46" s="57">
        <f t="shared" si="0"/>
        <v>5.0999999999999996</v>
      </c>
      <c r="G46" s="57">
        <v>5.0999999999999996</v>
      </c>
      <c r="H46" s="57">
        <v>5.0999999999999996</v>
      </c>
      <c r="I46" s="57">
        <v>5</v>
      </c>
      <c r="J46" s="57">
        <v>5</v>
      </c>
      <c r="K46" s="57"/>
      <c r="L46" s="303"/>
      <c r="M46" s="54"/>
      <c r="N46" s="54"/>
      <c r="O46" s="54"/>
    </row>
    <row r="47" spans="1:15" x14ac:dyDescent="0.25">
      <c r="A47" s="52">
        <v>34</v>
      </c>
      <c r="B47" s="239"/>
      <c r="C47" s="253" t="s">
        <v>89</v>
      </c>
      <c r="D47" s="55" t="s">
        <v>163</v>
      </c>
      <c r="E47" s="57">
        <f t="shared" si="0"/>
        <v>10.1</v>
      </c>
      <c r="F47" s="57">
        <f t="shared" si="0"/>
        <v>8.1999999999999993</v>
      </c>
      <c r="G47" s="57">
        <v>10.1</v>
      </c>
      <c r="H47" s="57">
        <v>8.1999999999999993</v>
      </c>
      <c r="I47" s="57">
        <v>10</v>
      </c>
      <c r="J47" s="57">
        <v>8.1</v>
      </c>
      <c r="K47" s="57"/>
      <c r="L47" s="303"/>
      <c r="M47" s="54"/>
      <c r="N47" s="54"/>
      <c r="O47" s="54"/>
    </row>
    <row r="48" spans="1:15" x14ac:dyDescent="0.25">
      <c r="A48" s="52">
        <v>35</v>
      </c>
      <c r="B48" s="239"/>
      <c r="C48" s="253" t="s">
        <v>95</v>
      </c>
      <c r="D48" s="239" t="s">
        <v>58</v>
      </c>
      <c r="E48" s="57">
        <f t="shared" si="0"/>
        <v>10.1</v>
      </c>
      <c r="F48" s="57">
        <f t="shared" si="0"/>
        <v>10.1</v>
      </c>
      <c r="G48" s="57">
        <v>10.1</v>
      </c>
      <c r="H48" s="57">
        <v>10.1</v>
      </c>
      <c r="I48" s="57">
        <v>10</v>
      </c>
      <c r="J48" s="176">
        <v>9.9</v>
      </c>
      <c r="K48" s="57"/>
      <c r="L48" s="303"/>
      <c r="M48" s="54"/>
      <c r="N48" s="54"/>
      <c r="O48" s="54"/>
    </row>
    <row r="49" spans="1:15" x14ac:dyDescent="0.25">
      <c r="A49" s="52">
        <v>36</v>
      </c>
      <c r="B49" s="239"/>
      <c r="C49" s="253" t="s">
        <v>38</v>
      </c>
      <c r="D49" s="239" t="s">
        <v>58</v>
      </c>
      <c r="E49" s="57">
        <f t="shared" si="0"/>
        <v>5.0999999999999996</v>
      </c>
      <c r="F49" s="57">
        <f t="shared" si="0"/>
        <v>3.4</v>
      </c>
      <c r="G49" s="57">
        <v>5.0999999999999996</v>
      </c>
      <c r="H49" s="57">
        <v>3.4</v>
      </c>
      <c r="I49" s="57">
        <f>5-0.3</f>
        <v>4.7</v>
      </c>
      <c r="J49" s="57">
        <v>3.1</v>
      </c>
      <c r="K49" s="57"/>
      <c r="L49" s="303"/>
      <c r="M49" s="54"/>
      <c r="N49" s="54"/>
      <c r="O49" s="54"/>
    </row>
    <row r="50" spans="1:15" x14ac:dyDescent="0.25">
      <c r="A50" s="52">
        <v>37</v>
      </c>
      <c r="B50" s="239"/>
      <c r="C50" s="253" t="s">
        <v>96</v>
      </c>
      <c r="D50" s="239" t="s">
        <v>58</v>
      </c>
      <c r="E50" s="57">
        <f t="shared" si="0"/>
        <v>5.0999999999999996</v>
      </c>
      <c r="F50" s="57">
        <f t="shared" si="0"/>
        <v>5.0999999999999996</v>
      </c>
      <c r="G50" s="57">
        <v>5.0999999999999996</v>
      </c>
      <c r="H50" s="57">
        <v>5.0999999999999996</v>
      </c>
      <c r="I50" s="57">
        <v>5</v>
      </c>
      <c r="J50" s="57">
        <v>5</v>
      </c>
      <c r="K50" s="57"/>
      <c r="L50" s="303"/>
      <c r="M50" s="54"/>
      <c r="N50" s="54"/>
      <c r="O50" s="54"/>
    </row>
    <row r="51" spans="1:15" ht="36" x14ac:dyDescent="0.25">
      <c r="A51" s="52">
        <v>38</v>
      </c>
      <c r="B51" s="239" t="s">
        <v>721</v>
      </c>
      <c r="C51" s="271" t="s">
        <v>722</v>
      </c>
      <c r="D51" s="239"/>
      <c r="E51" s="119">
        <f t="shared" si="0"/>
        <v>5.0000000000000009</v>
      </c>
      <c r="F51" s="119">
        <f t="shared" si="0"/>
        <v>5.0000000000000009</v>
      </c>
      <c r="G51" s="119">
        <f t="shared" ref="G51:L51" si="5">SUM(G52:G57)</f>
        <v>5.0000000000000009</v>
      </c>
      <c r="H51" s="119">
        <f t="shared" si="5"/>
        <v>5.0000000000000009</v>
      </c>
      <c r="I51" s="119">
        <f t="shared" si="5"/>
        <v>5.0000000000000009</v>
      </c>
      <c r="J51" s="119">
        <f t="shared" si="5"/>
        <v>5</v>
      </c>
      <c r="K51" s="119">
        <f t="shared" si="5"/>
        <v>0</v>
      </c>
      <c r="L51" s="119">
        <f t="shared" si="5"/>
        <v>0</v>
      </c>
      <c r="M51" s="54"/>
      <c r="N51" s="54"/>
      <c r="O51" s="54"/>
    </row>
    <row r="52" spans="1:15" x14ac:dyDescent="0.25">
      <c r="A52" s="52">
        <v>39</v>
      </c>
      <c r="B52" s="239"/>
      <c r="C52" s="251" t="s">
        <v>126</v>
      </c>
      <c r="D52" s="239" t="s">
        <v>57</v>
      </c>
      <c r="E52" s="57">
        <f t="shared" si="0"/>
        <v>1.7</v>
      </c>
      <c r="F52" s="57">
        <f t="shared" si="0"/>
        <v>1.7</v>
      </c>
      <c r="G52" s="57">
        <v>1.7</v>
      </c>
      <c r="H52" s="57">
        <v>1.7</v>
      </c>
      <c r="I52" s="57">
        <v>1.7</v>
      </c>
      <c r="J52" s="57">
        <v>1.6</v>
      </c>
      <c r="K52" s="57"/>
      <c r="L52" s="303"/>
      <c r="M52" s="54"/>
      <c r="N52" s="54"/>
      <c r="O52" s="54"/>
    </row>
    <row r="53" spans="1:15" ht="26.4" x14ac:dyDescent="0.25">
      <c r="A53" s="52">
        <v>40</v>
      </c>
      <c r="B53" s="239"/>
      <c r="C53" s="251" t="s">
        <v>42</v>
      </c>
      <c r="D53" s="55" t="s">
        <v>286</v>
      </c>
      <c r="E53" s="57">
        <f t="shared" si="0"/>
        <v>2</v>
      </c>
      <c r="F53" s="57">
        <f t="shared" si="0"/>
        <v>2</v>
      </c>
      <c r="G53" s="57">
        <v>2</v>
      </c>
      <c r="H53" s="57">
        <v>2</v>
      </c>
      <c r="I53" s="57">
        <v>2</v>
      </c>
      <c r="J53" s="57">
        <v>2</v>
      </c>
      <c r="K53" s="57"/>
      <c r="L53" s="303"/>
      <c r="M53" s="54"/>
      <c r="N53" s="54"/>
      <c r="O53" s="54"/>
    </row>
    <row r="54" spans="1:15" x14ac:dyDescent="0.25">
      <c r="A54" s="52">
        <v>41</v>
      </c>
      <c r="B54" s="239"/>
      <c r="C54" s="253" t="s">
        <v>93</v>
      </c>
      <c r="D54" s="239" t="s">
        <v>57</v>
      </c>
      <c r="E54" s="57">
        <f t="shared" si="0"/>
        <v>0.4</v>
      </c>
      <c r="F54" s="57">
        <f t="shared" si="0"/>
        <v>0.4</v>
      </c>
      <c r="G54" s="57">
        <v>0.4</v>
      </c>
      <c r="H54" s="57">
        <v>0.4</v>
      </c>
      <c r="I54" s="57">
        <v>0.4</v>
      </c>
      <c r="J54" s="176">
        <f>0.4+0.1</f>
        <v>0.5</v>
      </c>
      <c r="K54" s="57"/>
      <c r="L54" s="303"/>
      <c r="M54" s="54"/>
      <c r="N54" s="54"/>
      <c r="O54" s="54"/>
    </row>
    <row r="55" spans="1:15" x14ac:dyDescent="0.25">
      <c r="A55" s="52">
        <v>42</v>
      </c>
      <c r="B55" s="239"/>
      <c r="C55" s="253" t="s">
        <v>94</v>
      </c>
      <c r="D55" s="239" t="s">
        <v>57</v>
      </c>
      <c r="E55" s="57">
        <f t="shared" si="0"/>
        <v>0.4</v>
      </c>
      <c r="F55" s="57">
        <f t="shared" si="0"/>
        <v>0.4</v>
      </c>
      <c r="G55" s="57">
        <v>0.4</v>
      </c>
      <c r="H55" s="57">
        <v>0.4</v>
      </c>
      <c r="I55" s="57">
        <v>0.4</v>
      </c>
      <c r="J55" s="57">
        <v>0.4</v>
      </c>
      <c r="K55" s="57"/>
      <c r="L55" s="303"/>
      <c r="M55" s="54"/>
      <c r="N55" s="54"/>
      <c r="O55" s="54"/>
    </row>
    <row r="56" spans="1:15" x14ac:dyDescent="0.25">
      <c r="A56" s="52">
        <v>43</v>
      </c>
      <c r="B56" s="239"/>
      <c r="C56" s="253" t="s">
        <v>36</v>
      </c>
      <c r="D56" s="239" t="s">
        <v>57</v>
      </c>
      <c r="E56" s="57">
        <f t="shared" si="0"/>
        <v>0.3</v>
      </c>
      <c r="F56" s="57">
        <f t="shared" si="0"/>
        <v>0.3</v>
      </c>
      <c r="G56" s="57">
        <v>0.3</v>
      </c>
      <c r="H56" s="57">
        <v>0.3</v>
      </c>
      <c r="I56" s="57">
        <v>0.3</v>
      </c>
      <c r="J56" s="57">
        <v>0.3</v>
      </c>
      <c r="K56" s="57"/>
      <c r="L56" s="303"/>
      <c r="M56" s="54"/>
      <c r="N56" s="54"/>
      <c r="O56" s="54"/>
    </row>
    <row r="57" spans="1:15" x14ac:dyDescent="0.25">
      <c r="A57" s="52">
        <v>44</v>
      </c>
      <c r="B57" s="239"/>
      <c r="C57" s="251" t="s">
        <v>97</v>
      </c>
      <c r="D57" s="239" t="s">
        <v>57</v>
      </c>
      <c r="E57" s="57">
        <f t="shared" si="0"/>
        <v>0.2</v>
      </c>
      <c r="F57" s="57">
        <f t="shared" si="0"/>
        <v>0.2</v>
      </c>
      <c r="G57" s="57">
        <v>0.2</v>
      </c>
      <c r="H57" s="57">
        <v>0.2</v>
      </c>
      <c r="I57" s="57">
        <v>0.2</v>
      </c>
      <c r="J57" s="57">
        <v>0.2</v>
      </c>
      <c r="K57" s="57"/>
      <c r="L57" s="303"/>
      <c r="M57" s="54"/>
      <c r="N57" s="54"/>
      <c r="O57" s="54"/>
    </row>
    <row r="58" spans="1:15" ht="24" x14ac:dyDescent="0.25">
      <c r="A58" s="52">
        <v>45</v>
      </c>
      <c r="B58" s="239" t="s">
        <v>723</v>
      </c>
      <c r="C58" s="271" t="s">
        <v>724</v>
      </c>
      <c r="D58" s="239"/>
      <c r="E58" s="119">
        <f t="shared" si="0"/>
        <v>17.8</v>
      </c>
      <c r="F58" s="119">
        <f t="shared" si="0"/>
        <v>17.8</v>
      </c>
      <c r="G58" s="119">
        <f t="shared" ref="G58:L58" si="6">+G59+G60+G61+G62+G63+G64+G65+G66</f>
        <v>17.8</v>
      </c>
      <c r="H58" s="119">
        <f t="shared" si="6"/>
        <v>17.8</v>
      </c>
      <c r="I58" s="119">
        <f t="shared" si="6"/>
        <v>0</v>
      </c>
      <c r="J58" s="119">
        <f t="shared" si="6"/>
        <v>0</v>
      </c>
      <c r="K58" s="119">
        <f t="shared" si="6"/>
        <v>0</v>
      </c>
      <c r="L58" s="119">
        <f t="shared" si="6"/>
        <v>0</v>
      </c>
      <c r="M58" s="54"/>
      <c r="N58" s="54"/>
      <c r="O58" s="54"/>
    </row>
    <row r="59" spans="1:15" x14ac:dyDescent="0.25">
      <c r="A59" s="52">
        <v>46</v>
      </c>
      <c r="B59" s="239"/>
      <c r="C59" s="251" t="s">
        <v>123</v>
      </c>
      <c r="D59" s="239" t="s">
        <v>55</v>
      </c>
      <c r="E59" s="57">
        <f t="shared" si="0"/>
        <v>2</v>
      </c>
      <c r="F59" s="57">
        <f t="shared" si="0"/>
        <v>2</v>
      </c>
      <c r="G59" s="57">
        <v>2</v>
      </c>
      <c r="H59" s="57">
        <v>2</v>
      </c>
      <c r="I59" s="57"/>
      <c r="J59" s="57"/>
      <c r="K59" s="57"/>
      <c r="L59" s="303"/>
      <c r="M59" s="54"/>
      <c r="N59" s="54"/>
      <c r="O59" s="54"/>
    </row>
    <row r="60" spans="1:15" x14ac:dyDescent="0.25">
      <c r="A60" s="52">
        <v>47</v>
      </c>
      <c r="B60" s="239"/>
      <c r="C60" s="251" t="s">
        <v>120</v>
      </c>
      <c r="D60" s="239" t="s">
        <v>55</v>
      </c>
      <c r="E60" s="57">
        <f t="shared" si="0"/>
        <v>1.8</v>
      </c>
      <c r="F60" s="57">
        <f t="shared" si="0"/>
        <v>1.8</v>
      </c>
      <c r="G60" s="57">
        <v>1.8</v>
      </c>
      <c r="H60" s="57">
        <v>1.8</v>
      </c>
      <c r="I60" s="57"/>
      <c r="J60" s="57"/>
      <c r="K60" s="57"/>
      <c r="L60" s="303"/>
      <c r="M60" s="54"/>
      <c r="N60" s="54"/>
      <c r="O60" s="54"/>
    </row>
    <row r="61" spans="1:15" x14ac:dyDescent="0.25">
      <c r="A61" s="52">
        <v>48</v>
      </c>
      <c r="B61" s="239"/>
      <c r="C61" s="251" t="s">
        <v>121</v>
      </c>
      <c r="D61" s="239" t="s">
        <v>55</v>
      </c>
      <c r="E61" s="57">
        <f t="shared" si="0"/>
        <v>3.3</v>
      </c>
      <c r="F61" s="57">
        <f t="shared" si="0"/>
        <v>3.3</v>
      </c>
      <c r="G61" s="57">
        <v>3.3</v>
      </c>
      <c r="H61" s="57">
        <v>3.3</v>
      </c>
      <c r="I61" s="57"/>
      <c r="J61" s="57"/>
      <c r="K61" s="57"/>
      <c r="L61" s="303"/>
      <c r="M61" s="54"/>
      <c r="N61" s="54"/>
      <c r="O61" s="54"/>
    </row>
    <row r="62" spans="1:15" x14ac:dyDescent="0.25">
      <c r="A62" s="52">
        <v>49</v>
      </c>
      <c r="B62" s="239"/>
      <c r="C62" s="251" t="s">
        <v>122</v>
      </c>
      <c r="D62" s="239" t="s">
        <v>55</v>
      </c>
      <c r="E62" s="57">
        <f t="shared" si="0"/>
        <v>3.7</v>
      </c>
      <c r="F62" s="57">
        <f t="shared" si="0"/>
        <v>3.7</v>
      </c>
      <c r="G62" s="57">
        <v>3.7</v>
      </c>
      <c r="H62" s="57">
        <v>3.7</v>
      </c>
      <c r="I62" s="57"/>
      <c r="J62" s="57"/>
      <c r="K62" s="57"/>
      <c r="L62" s="303"/>
      <c r="M62" s="54"/>
      <c r="N62" s="54"/>
      <c r="O62" s="54"/>
    </row>
    <row r="63" spans="1:15" x14ac:dyDescent="0.25">
      <c r="A63" s="52">
        <v>50</v>
      </c>
      <c r="B63" s="239"/>
      <c r="C63" s="253" t="s">
        <v>144</v>
      </c>
      <c r="D63" s="239" t="s">
        <v>56</v>
      </c>
      <c r="E63" s="57">
        <f t="shared" si="0"/>
        <v>1.8</v>
      </c>
      <c r="F63" s="57">
        <f t="shared" si="0"/>
        <v>1.8</v>
      </c>
      <c r="G63" s="57">
        <v>1.8</v>
      </c>
      <c r="H63" s="57">
        <v>1.8</v>
      </c>
      <c r="I63" s="57"/>
      <c r="J63" s="57"/>
      <c r="K63" s="57"/>
      <c r="L63" s="303"/>
      <c r="M63" s="54"/>
      <c r="N63" s="54"/>
      <c r="O63" s="54"/>
    </row>
    <row r="64" spans="1:15" x14ac:dyDescent="0.25">
      <c r="A64" s="52">
        <v>51</v>
      </c>
      <c r="B64" s="239"/>
      <c r="C64" s="253" t="s">
        <v>93</v>
      </c>
      <c r="D64" s="239" t="s">
        <v>57</v>
      </c>
      <c r="E64" s="57">
        <f t="shared" si="0"/>
        <v>1.2</v>
      </c>
      <c r="F64" s="57">
        <f t="shared" si="0"/>
        <v>1.2</v>
      </c>
      <c r="G64" s="57">
        <v>1.2</v>
      </c>
      <c r="H64" s="57">
        <v>1.2</v>
      </c>
      <c r="I64" s="57"/>
      <c r="J64" s="57"/>
      <c r="K64" s="57"/>
      <c r="L64" s="303"/>
      <c r="M64" s="54"/>
      <c r="N64" s="54"/>
      <c r="O64" s="54"/>
    </row>
    <row r="65" spans="1:15" x14ac:dyDescent="0.25">
      <c r="A65" s="52">
        <v>52</v>
      </c>
      <c r="B65" s="239"/>
      <c r="C65" s="251" t="s">
        <v>125</v>
      </c>
      <c r="D65" s="55" t="s">
        <v>163</v>
      </c>
      <c r="E65" s="57">
        <f t="shared" si="0"/>
        <v>1.4</v>
      </c>
      <c r="F65" s="57">
        <f t="shared" si="0"/>
        <v>1.4</v>
      </c>
      <c r="G65" s="57">
        <v>1.4</v>
      </c>
      <c r="H65" s="57">
        <v>1.4</v>
      </c>
      <c r="I65" s="57"/>
      <c r="J65" s="57"/>
      <c r="K65" s="57"/>
      <c r="L65" s="303"/>
      <c r="M65" s="54"/>
      <c r="N65" s="54"/>
      <c r="O65" s="54"/>
    </row>
    <row r="66" spans="1:15" ht="26.4" x14ac:dyDescent="0.25">
      <c r="A66" s="52">
        <v>53</v>
      </c>
      <c r="B66" s="239"/>
      <c r="C66" s="253" t="s">
        <v>84</v>
      </c>
      <c r="D66" s="55" t="s">
        <v>182</v>
      </c>
      <c r="E66" s="57">
        <f t="shared" si="0"/>
        <v>2.6</v>
      </c>
      <c r="F66" s="57">
        <f t="shared" si="0"/>
        <v>2.6</v>
      </c>
      <c r="G66" s="57">
        <v>2.6</v>
      </c>
      <c r="H66" s="57">
        <v>2.6</v>
      </c>
      <c r="I66" s="57"/>
      <c r="J66" s="57"/>
      <c r="K66" s="57"/>
      <c r="L66" s="303"/>
      <c r="M66" s="54"/>
      <c r="N66" s="54"/>
      <c r="O66" s="54"/>
    </row>
    <row r="67" spans="1:15" ht="36" x14ac:dyDescent="0.25">
      <c r="A67" s="52">
        <v>54</v>
      </c>
      <c r="B67" s="239" t="s">
        <v>725</v>
      </c>
      <c r="C67" s="271" t="s">
        <v>726</v>
      </c>
      <c r="D67" s="55"/>
      <c r="E67" s="119">
        <f t="shared" ref="E67:L67" si="7">+E68</f>
        <v>1.5</v>
      </c>
      <c r="F67" s="119">
        <f t="shared" si="7"/>
        <v>1.5</v>
      </c>
      <c r="G67" s="119">
        <f t="shared" si="7"/>
        <v>1.5</v>
      </c>
      <c r="H67" s="119">
        <f t="shared" si="7"/>
        <v>1.5</v>
      </c>
      <c r="I67" s="119">
        <f t="shared" si="7"/>
        <v>0</v>
      </c>
      <c r="J67" s="119">
        <f t="shared" si="7"/>
        <v>0</v>
      </c>
      <c r="K67" s="119">
        <f t="shared" si="7"/>
        <v>0</v>
      </c>
      <c r="L67" s="119">
        <f t="shared" si="7"/>
        <v>0</v>
      </c>
      <c r="M67" s="54"/>
      <c r="N67" s="54"/>
      <c r="O67" s="54"/>
    </row>
    <row r="68" spans="1:15" x14ac:dyDescent="0.25">
      <c r="A68" s="52">
        <v>55</v>
      </c>
      <c r="B68" s="239"/>
      <c r="C68" s="251" t="s">
        <v>121</v>
      </c>
      <c r="D68" s="239" t="s">
        <v>55</v>
      </c>
      <c r="E68" s="57">
        <f t="shared" ref="E68:F83" si="8">+G68+K68</f>
        <v>1.5</v>
      </c>
      <c r="F68" s="57">
        <f t="shared" si="8"/>
        <v>1.5</v>
      </c>
      <c r="G68" s="57">
        <v>1.5</v>
      </c>
      <c r="H68" s="57">
        <v>1.5</v>
      </c>
      <c r="I68" s="57"/>
      <c r="J68" s="57"/>
      <c r="K68" s="57"/>
      <c r="L68" s="303"/>
      <c r="M68" s="54"/>
      <c r="N68" s="54"/>
      <c r="O68" s="54"/>
    </row>
    <row r="69" spans="1:15" ht="24" x14ac:dyDescent="0.25">
      <c r="A69" s="52">
        <v>56</v>
      </c>
      <c r="B69" s="239" t="s">
        <v>727</v>
      </c>
      <c r="C69" s="271" t="s">
        <v>728</v>
      </c>
      <c r="D69" s="239"/>
      <c r="E69" s="119">
        <f t="shared" si="8"/>
        <v>77.900000000000006</v>
      </c>
      <c r="F69" s="119">
        <f t="shared" si="8"/>
        <v>71.599999999999994</v>
      </c>
      <c r="G69" s="119">
        <f t="shared" ref="G69:L69" si="9">SUM(G70:G86)</f>
        <v>77.900000000000006</v>
      </c>
      <c r="H69" s="119">
        <f t="shared" si="9"/>
        <v>71.599999999999994</v>
      </c>
      <c r="I69" s="119">
        <f t="shared" si="9"/>
        <v>76.599999999999994</v>
      </c>
      <c r="J69" s="119">
        <f t="shared" si="9"/>
        <v>70.5</v>
      </c>
      <c r="K69" s="119">
        <f t="shared" si="9"/>
        <v>0</v>
      </c>
      <c r="L69" s="119">
        <f t="shared" si="9"/>
        <v>0</v>
      </c>
      <c r="M69" s="54"/>
      <c r="N69" s="54"/>
      <c r="O69" s="54"/>
    </row>
    <row r="70" spans="1:15" x14ac:dyDescent="0.25">
      <c r="A70" s="52">
        <v>57</v>
      </c>
      <c r="B70" s="239"/>
      <c r="C70" s="253" t="s">
        <v>144</v>
      </c>
      <c r="D70" s="239" t="s">
        <v>56</v>
      </c>
      <c r="E70" s="57">
        <f t="shared" si="8"/>
        <v>1.3</v>
      </c>
      <c r="F70" s="57">
        <f t="shared" si="8"/>
        <v>1.3</v>
      </c>
      <c r="G70" s="57">
        <v>1.3</v>
      </c>
      <c r="H70" s="57">
        <v>1.3</v>
      </c>
      <c r="I70" s="57">
        <v>1.3</v>
      </c>
      <c r="J70" s="57">
        <v>1.3</v>
      </c>
      <c r="K70" s="57"/>
      <c r="L70" s="303"/>
      <c r="M70" s="54"/>
      <c r="N70" s="54"/>
      <c r="O70" s="54"/>
    </row>
    <row r="71" spans="1:15" x14ac:dyDescent="0.25">
      <c r="A71" s="52">
        <v>58</v>
      </c>
      <c r="B71" s="239"/>
      <c r="C71" s="251" t="s">
        <v>126</v>
      </c>
      <c r="D71" s="239" t="s">
        <v>57</v>
      </c>
      <c r="E71" s="57">
        <f t="shared" si="8"/>
        <v>7.6</v>
      </c>
      <c r="F71" s="57">
        <f t="shared" si="8"/>
        <v>7.5</v>
      </c>
      <c r="G71" s="57">
        <v>7.6</v>
      </c>
      <c r="H71" s="176">
        <f>7.6-0.1</f>
        <v>7.5</v>
      </c>
      <c r="I71" s="57">
        <v>7.4</v>
      </c>
      <c r="J71" s="176">
        <f>7.4+0.1</f>
        <v>7.5</v>
      </c>
      <c r="K71" s="57"/>
      <c r="L71" s="303"/>
      <c r="M71" s="54"/>
      <c r="N71" s="54"/>
      <c r="O71" s="54"/>
    </row>
    <row r="72" spans="1:15" x14ac:dyDescent="0.25">
      <c r="A72" s="52">
        <v>59</v>
      </c>
      <c r="B72" s="239"/>
      <c r="C72" s="251" t="s">
        <v>42</v>
      </c>
      <c r="D72" s="239" t="s">
        <v>57</v>
      </c>
      <c r="E72" s="57">
        <f t="shared" si="8"/>
        <v>7.3</v>
      </c>
      <c r="F72" s="57">
        <f t="shared" si="8"/>
        <v>7.3</v>
      </c>
      <c r="G72" s="57">
        <v>7.3</v>
      </c>
      <c r="H72" s="57">
        <v>7.3</v>
      </c>
      <c r="I72" s="57">
        <v>7.2</v>
      </c>
      <c r="J72" s="57">
        <v>7.2</v>
      </c>
      <c r="K72" s="57"/>
      <c r="L72" s="303"/>
      <c r="M72" s="54"/>
      <c r="N72" s="54"/>
      <c r="O72" s="54"/>
    </row>
    <row r="73" spans="1:15" x14ac:dyDescent="0.25">
      <c r="A73" s="52">
        <v>60</v>
      </c>
      <c r="B73" s="239"/>
      <c r="C73" s="253" t="s">
        <v>93</v>
      </c>
      <c r="D73" s="239" t="s">
        <v>57</v>
      </c>
      <c r="E73" s="57">
        <f t="shared" si="8"/>
        <v>4.4000000000000004</v>
      </c>
      <c r="F73" s="57">
        <f t="shared" si="8"/>
        <v>4.4000000000000004</v>
      </c>
      <c r="G73" s="57">
        <v>4.4000000000000004</v>
      </c>
      <c r="H73" s="57">
        <v>4.4000000000000004</v>
      </c>
      <c r="I73" s="57">
        <v>4.3</v>
      </c>
      <c r="J73" s="57">
        <v>4.3</v>
      </c>
      <c r="K73" s="57"/>
      <c r="L73" s="303"/>
      <c r="M73" s="54"/>
      <c r="N73" s="54"/>
      <c r="O73" s="54"/>
    </row>
    <row r="74" spans="1:15" x14ac:dyDescent="0.25">
      <c r="A74" s="52">
        <v>61</v>
      </c>
      <c r="B74" s="239"/>
      <c r="C74" s="253" t="s">
        <v>94</v>
      </c>
      <c r="D74" s="239" t="s">
        <v>57</v>
      </c>
      <c r="E74" s="57">
        <f t="shared" si="8"/>
        <v>4.5</v>
      </c>
      <c r="F74" s="57">
        <f t="shared" si="8"/>
        <v>4.5</v>
      </c>
      <c r="G74" s="57">
        <v>4.5</v>
      </c>
      <c r="H74" s="57">
        <v>4.5</v>
      </c>
      <c r="I74" s="57">
        <v>4.4000000000000004</v>
      </c>
      <c r="J74" s="57">
        <v>4.4000000000000004</v>
      </c>
      <c r="K74" s="57"/>
      <c r="L74" s="303"/>
      <c r="M74" s="54"/>
      <c r="N74" s="54"/>
      <c r="O74" s="54"/>
    </row>
    <row r="75" spans="1:15" x14ac:dyDescent="0.25">
      <c r="A75" s="52">
        <v>62</v>
      </c>
      <c r="B75" s="239"/>
      <c r="C75" s="253" t="s">
        <v>36</v>
      </c>
      <c r="D75" s="239" t="s">
        <v>57</v>
      </c>
      <c r="E75" s="57">
        <f t="shared" si="8"/>
        <v>3.7</v>
      </c>
      <c r="F75" s="57">
        <f t="shared" si="8"/>
        <v>3.7</v>
      </c>
      <c r="G75" s="57">
        <v>3.7</v>
      </c>
      <c r="H75" s="57">
        <v>3.7</v>
      </c>
      <c r="I75" s="57">
        <v>3.6</v>
      </c>
      <c r="J75" s="176">
        <f>3.6+0.1</f>
        <v>3.7</v>
      </c>
      <c r="K75" s="57"/>
      <c r="L75" s="303"/>
      <c r="M75" s="54"/>
      <c r="N75" s="54"/>
      <c r="O75" s="54"/>
    </row>
    <row r="76" spans="1:15" x14ac:dyDescent="0.25">
      <c r="A76" s="52">
        <v>63</v>
      </c>
      <c r="B76" s="239"/>
      <c r="C76" s="251" t="s">
        <v>97</v>
      </c>
      <c r="D76" s="239" t="s">
        <v>57</v>
      </c>
      <c r="E76" s="57">
        <f t="shared" si="8"/>
        <v>3.6</v>
      </c>
      <c r="F76" s="57">
        <f t="shared" si="8"/>
        <v>3</v>
      </c>
      <c r="G76" s="57">
        <v>3.6</v>
      </c>
      <c r="H76" s="57">
        <v>3</v>
      </c>
      <c r="I76" s="57">
        <v>3.6</v>
      </c>
      <c r="J76" s="57">
        <v>2.9</v>
      </c>
      <c r="K76" s="57"/>
      <c r="L76" s="303"/>
      <c r="M76" s="54"/>
      <c r="N76" s="54"/>
      <c r="O76" s="54"/>
    </row>
    <row r="77" spans="1:15" x14ac:dyDescent="0.25">
      <c r="A77" s="52">
        <v>64</v>
      </c>
      <c r="B77" s="239"/>
      <c r="C77" s="251" t="s">
        <v>124</v>
      </c>
      <c r="D77" s="239" t="s">
        <v>58</v>
      </c>
      <c r="E77" s="57">
        <f t="shared" si="8"/>
        <v>12.6</v>
      </c>
      <c r="F77" s="57">
        <f t="shared" si="8"/>
        <v>12.6</v>
      </c>
      <c r="G77" s="57">
        <v>12.6</v>
      </c>
      <c r="H77" s="57">
        <v>12.6</v>
      </c>
      <c r="I77" s="57">
        <v>12.4</v>
      </c>
      <c r="J77" s="57">
        <v>12.4</v>
      </c>
      <c r="K77" s="57"/>
      <c r="L77" s="303"/>
      <c r="M77" s="54"/>
      <c r="N77" s="54"/>
      <c r="O77" s="54"/>
    </row>
    <row r="78" spans="1:15" x14ac:dyDescent="0.25">
      <c r="A78" s="52">
        <v>65</v>
      </c>
      <c r="B78" s="239"/>
      <c r="C78" s="251" t="s">
        <v>125</v>
      </c>
      <c r="D78" s="55" t="s">
        <v>163</v>
      </c>
      <c r="E78" s="57">
        <f t="shared" si="8"/>
        <v>13.7</v>
      </c>
      <c r="F78" s="57">
        <f t="shared" si="8"/>
        <v>13.7</v>
      </c>
      <c r="G78" s="57">
        <v>13.7</v>
      </c>
      <c r="H78" s="57">
        <v>13.7</v>
      </c>
      <c r="I78" s="57">
        <v>13.5</v>
      </c>
      <c r="J78" s="57">
        <v>13.5</v>
      </c>
      <c r="K78" s="57"/>
      <c r="L78" s="303"/>
      <c r="M78" s="54"/>
      <c r="N78" s="54"/>
      <c r="O78" s="54"/>
    </row>
    <row r="79" spans="1:15" x14ac:dyDescent="0.25">
      <c r="A79" s="52">
        <v>66</v>
      </c>
      <c r="B79" s="239"/>
      <c r="C79" s="253" t="s">
        <v>89</v>
      </c>
      <c r="D79" s="55" t="s">
        <v>163</v>
      </c>
      <c r="E79" s="57">
        <f t="shared" si="8"/>
        <v>8.1999999999999993</v>
      </c>
      <c r="F79" s="57">
        <f t="shared" si="8"/>
        <v>2.6</v>
      </c>
      <c r="G79" s="57">
        <v>8.1999999999999993</v>
      </c>
      <c r="H79" s="57">
        <v>2.6</v>
      </c>
      <c r="I79" s="57">
        <v>8.1</v>
      </c>
      <c r="J79" s="57">
        <v>2.5</v>
      </c>
      <c r="K79" s="57"/>
      <c r="L79" s="303"/>
      <c r="M79" s="54"/>
      <c r="N79" s="54"/>
      <c r="O79" s="54"/>
    </row>
    <row r="80" spans="1:15" x14ac:dyDescent="0.25">
      <c r="A80" s="52">
        <v>67</v>
      </c>
      <c r="B80" s="239"/>
      <c r="C80" s="253" t="s">
        <v>37</v>
      </c>
      <c r="D80" s="239" t="s">
        <v>58</v>
      </c>
      <c r="E80" s="57">
        <f t="shared" si="8"/>
        <v>1.4</v>
      </c>
      <c r="F80" s="57">
        <f t="shared" si="8"/>
        <v>1.4</v>
      </c>
      <c r="G80" s="57">
        <v>1.4</v>
      </c>
      <c r="H80" s="57">
        <v>1.4</v>
      </c>
      <c r="I80" s="57">
        <v>1.4</v>
      </c>
      <c r="J80" s="57">
        <v>1.4</v>
      </c>
      <c r="K80" s="57"/>
      <c r="L80" s="303"/>
      <c r="M80" s="54"/>
      <c r="N80" s="54"/>
      <c r="O80" s="54"/>
    </row>
    <row r="81" spans="1:15" x14ac:dyDescent="0.25">
      <c r="A81" s="52">
        <v>68</v>
      </c>
      <c r="B81" s="239"/>
      <c r="C81" s="253" t="s">
        <v>95</v>
      </c>
      <c r="D81" s="239" t="s">
        <v>58</v>
      </c>
      <c r="E81" s="57">
        <f t="shared" si="8"/>
        <v>2.2999999999999998</v>
      </c>
      <c r="F81" s="57">
        <f t="shared" si="8"/>
        <v>2.2999999999999998</v>
      </c>
      <c r="G81" s="57">
        <v>2.2999999999999998</v>
      </c>
      <c r="H81" s="57">
        <v>2.2999999999999998</v>
      </c>
      <c r="I81" s="57">
        <v>2.2999999999999998</v>
      </c>
      <c r="J81" s="57">
        <v>2.2999999999999998</v>
      </c>
      <c r="K81" s="57"/>
      <c r="L81" s="303"/>
      <c r="M81" s="54"/>
      <c r="N81" s="54"/>
      <c r="O81" s="54"/>
    </row>
    <row r="82" spans="1:15" x14ac:dyDescent="0.25">
      <c r="A82" s="52">
        <v>69</v>
      </c>
      <c r="B82" s="239"/>
      <c r="C82" s="253" t="s">
        <v>156</v>
      </c>
      <c r="D82" s="239" t="s">
        <v>58</v>
      </c>
      <c r="E82" s="57">
        <f t="shared" si="8"/>
        <v>1.1000000000000001</v>
      </c>
      <c r="F82" s="57">
        <f t="shared" si="8"/>
        <v>1.1000000000000001</v>
      </c>
      <c r="G82" s="57">
        <v>1.1000000000000001</v>
      </c>
      <c r="H82" s="57">
        <v>1.1000000000000001</v>
      </c>
      <c r="I82" s="57">
        <v>1.1000000000000001</v>
      </c>
      <c r="J82" s="57">
        <v>1.1000000000000001</v>
      </c>
      <c r="K82" s="57"/>
      <c r="L82" s="303"/>
      <c r="M82" s="54"/>
      <c r="N82" s="54"/>
      <c r="O82" s="54"/>
    </row>
    <row r="83" spans="1:15" x14ac:dyDescent="0.25">
      <c r="A83" s="52">
        <v>70</v>
      </c>
      <c r="B83" s="239"/>
      <c r="C83" s="253" t="s">
        <v>38</v>
      </c>
      <c r="D83" s="239" t="s">
        <v>58</v>
      </c>
      <c r="E83" s="57">
        <f t="shared" si="8"/>
        <v>1.5</v>
      </c>
      <c r="F83" s="57">
        <f t="shared" si="8"/>
        <v>1.5</v>
      </c>
      <c r="G83" s="57">
        <v>1.5</v>
      </c>
      <c r="H83" s="57">
        <v>1.5</v>
      </c>
      <c r="I83" s="57">
        <v>1.4</v>
      </c>
      <c r="J83" s="57">
        <v>1.4</v>
      </c>
      <c r="K83" s="57"/>
      <c r="L83" s="303"/>
      <c r="M83" s="54"/>
      <c r="N83" s="54"/>
      <c r="O83" s="54"/>
    </row>
    <row r="84" spans="1:15" x14ac:dyDescent="0.25">
      <c r="A84" s="52">
        <v>71</v>
      </c>
      <c r="B84" s="239"/>
      <c r="C84" s="253" t="s">
        <v>96</v>
      </c>
      <c r="D84" s="239" t="s">
        <v>58</v>
      </c>
      <c r="E84" s="57">
        <f t="shared" ref="E84:F93" si="10">+G84+K84</f>
        <v>1</v>
      </c>
      <c r="F84" s="57">
        <f t="shared" si="10"/>
        <v>1</v>
      </c>
      <c r="G84" s="57">
        <v>1</v>
      </c>
      <c r="H84" s="57">
        <v>1</v>
      </c>
      <c r="I84" s="57">
        <v>1</v>
      </c>
      <c r="J84" s="57">
        <v>1</v>
      </c>
      <c r="K84" s="57"/>
      <c r="L84" s="303"/>
      <c r="M84" s="54"/>
      <c r="N84" s="54"/>
      <c r="O84" s="54"/>
    </row>
    <row r="85" spans="1:15" ht="26.4" x14ac:dyDescent="0.25">
      <c r="A85" s="52">
        <v>72</v>
      </c>
      <c r="B85" s="239"/>
      <c r="C85" s="253" t="s">
        <v>84</v>
      </c>
      <c r="D85" s="55" t="s">
        <v>182</v>
      </c>
      <c r="E85" s="57">
        <f t="shared" si="10"/>
        <v>2.4</v>
      </c>
      <c r="F85" s="57">
        <f t="shared" si="10"/>
        <v>2.4</v>
      </c>
      <c r="G85" s="57">
        <v>2.4</v>
      </c>
      <c r="H85" s="57">
        <v>2.4</v>
      </c>
      <c r="I85" s="57">
        <v>2.2999999999999998</v>
      </c>
      <c r="J85" s="57">
        <v>2.2999999999999998</v>
      </c>
      <c r="K85" s="57"/>
      <c r="L85" s="303"/>
      <c r="M85" s="54"/>
      <c r="N85" s="54"/>
      <c r="O85" s="54"/>
    </row>
    <row r="86" spans="1:15" x14ac:dyDescent="0.25">
      <c r="A86" s="52">
        <v>73</v>
      </c>
      <c r="B86" s="239"/>
      <c r="C86" s="349" t="s">
        <v>276</v>
      </c>
      <c r="D86" s="55" t="s">
        <v>58</v>
      </c>
      <c r="E86" s="57">
        <f t="shared" si="10"/>
        <v>1.3</v>
      </c>
      <c r="F86" s="57">
        <f t="shared" si="10"/>
        <v>1.3</v>
      </c>
      <c r="G86" s="57">
        <v>1.3</v>
      </c>
      <c r="H86" s="57">
        <v>1.3</v>
      </c>
      <c r="I86" s="57">
        <v>1.3</v>
      </c>
      <c r="J86" s="57">
        <v>1.3</v>
      </c>
      <c r="K86" s="57"/>
      <c r="L86" s="303"/>
      <c r="M86" s="54"/>
      <c r="N86" s="54"/>
      <c r="O86" s="54"/>
    </row>
    <row r="87" spans="1:15" ht="24" x14ac:dyDescent="0.25">
      <c r="A87" s="52">
        <v>74</v>
      </c>
      <c r="B87" s="239" t="s">
        <v>729</v>
      </c>
      <c r="C87" s="347" t="s">
        <v>730</v>
      </c>
      <c r="D87" s="49"/>
      <c r="E87" s="119">
        <f t="shared" si="10"/>
        <v>535</v>
      </c>
      <c r="F87" s="119">
        <f t="shared" si="10"/>
        <v>535</v>
      </c>
      <c r="G87" s="119">
        <f t="shared" ref="G87:L88" si="11">+G88</f>
        <v>0</v>
      </c>
      <c r="H87" s="119">
        <f t="shared" si="11"/>
        <v>0</v>
      </c>
      <c r="I87" s="119">
        <f t="shared" si="11"/>
        <v>0</v>
      </c>
      <c r="J87" s="119">
        <f t="shared" si="11"/>
        <v>0</v>
      </c>
      <c r="K87" s="119">
        <f t="shared" si="11"/>
        <v>535</v>
      </c>
      <c r="L87" s="119">
        <f t="shared" si="11"/>
        <v>535</v>
      </c>
      <c r="M87" s="54"/>
      <c r="N87" s="54"/>
      <c r="O87" s="54"/>
    </row>
    <row r="88" spans="1:15" x14ac:dyDescent="0.25">
      <c r="A88" s="52">
        <v>75</v>
      </c>
      <c r="B88" s="239"/>
      <c r="C88" s="253" t="s">
        <v>716</v>
      </c>
      <c r="D88" s="239" t="s">
        <v>57</v>
      </c>
      <c r="E88" s="57">
        <f t="shared" si="10"/>
        <v>535</v>
      </c>
      <c r="F88" s="57">
        <f t="shared" si="10"/>
        <v>535</v>
      </c>
      <c r="G88" s="57">
        <f t="shared" si="11"/>
        <v>0</v>
      </c>
      <c r="H88" s="57">
        <f t="shared" si="11"/>
        <v>0</v>
      </c>
      <c r="I88" s="57">
        <f t="shared" si="11"/>
        <v>0</v>
      </c>
      <c r="J88" s="57">
        <f t="shared" si="11"/>
        <v>0</v>
      </c>
      <c r="K88" s="57">
        <f t="shared" si="11"/>
        <v>535</v>
      </c>
      <c r="L88" s="57">
        <f t="shared" si="11"/>
        <v>535</v>
      </c>
      <c r="M88" s="54"/>
      <c r="N88" s="54"/>
      <c r="O88" s="54"/>
    </row>
    <row r="89" spans="1:15" ht="24" x14ac:dyDescent="0.25">
      <c r="A89" s="52">
        <v>76</v>
      </c>
      <c r="B89" s="239"/>
      <c r="C89" s="348" t="s">
        <v>731</v>
      </c>
      <c r="D89" s="49"/>
      <c r="E89" s="57">
        <f t="shared" si="10"/>
        <v>535</v>
      </c>
      <c r="F89" s="57">
        <f t="shared" si="10"/>
        <v>535</v>
      </c>
      <c r="G89" s="57"/>
      <c r="H89" s="57"/>
      <c r="I89" s="57"/>
      <c r="J89" s="57"/>
      <c r="K89" s="57">
        <v>535</v>
      </c>
      <c r="L89" s="307">
        <v>535</v>
      </c>
      <c r="M89" s="54"/>
      <c r="N89" s="54"/>
      <c r="O89" s="54"/>
    </row>
    <row r="90" spans="1:15" x14ac:dyDescent="0.25">
      <c r="A90" s="52">
        <v>77</v>
      </c>
      <c r="B90" s="30" t="s">
        <v>60</v>
      </c>
      <c r="C90" s="35" t="s">
        <v>61</v>
      </c>
      <c r="D90" s="239"/>
      <c r="E90" s="61">
        <f t="shared" si="10"/>
        <v>756.60000000000014</v>
      </c>
      <c r="F90" s="61">
        <f t="shared" si="10"/>
        <v>756.5</v>
      </c>
      <c r="G90" s="61">
        <f>+G91</f>
        <v>756.60000000000014</v>
      </c>
      <c r="H90" s="61">
        <f>+H91</f>
        <v>756.5</v>
      </c>
      <c r="I90" s="61">
        <f t="shared" ref="G90:L91" si="12">+I91</f>
        <v>0</v>
      </c>
      <c r="J90" s="61">
        <f t="shared" si="12"/>
        <v>0</v>
      </c>
      <c r="K90" s="61">
        <f t="shared" si="12"/>
        <v>0</v>
      </c>
      <c r="L90" s="61">
        <f t="shared" si="12"/>
        <v>0</v>
      </c>
      <c r="M90" s="54"/>
      <c r="N90" s="54"/>
      <c r="O90" s="54"/>
    </row>
    <row r="91" spans="1:15" ht="24" x14ac:dyDescent="0.25">
      <c r="A91" s="52">
        <v>78</v>
      </c>
      <c r="B91" s="239"/>
      <c r="C91" s="351" t="s">
        <v>732</v>
      </c>
      <c r="D91" s="239"/>
      <c r="E91" s="119">
        <f t="shared" si="10"/>
        <v>756.60000000000014</v>
      </c>
      <c r="F91" s="119">
        <f t="shared" si="10"/>
        <v>756.5</v>
      </c>
      <c r="G91" s="119">
        <f t="shared" si="12"/>
        <v>756.60000000000014</v>
      </c>
      <c r="H91" s="119">
        <f t="shared" si="12"/>
        <v>756.5</v>
      </c>
      <c r="I91" s="119">
        <f t="shared" si="12"/>
        <v>0</v>
      </c>
      <c r="J91" s="119"/>
      <c r="K91" s="119">
        <f t="shared" si="12"/>
        <v>0</v>
      </c>
      <c r="L91" s="303"/>
      <c r="M91" s="54"/>
      <c r="N91" s="54"/>
      <c r="O91" s="54"/>
    </row>
    <row r="92" spans="1:15" x14ac:dyDescent="0.25">
      <c r="A92" s="52">
        <v>79</v>
      </c>
      <c r="B92" s="239"/>
      <c r="C92" s="352" t="s">
        <v>3</v>
      </c>
      <c r="D92" s="239" t="s">
        <v>343</v>
      </c>
      <c r="E92" s="57">
        <f t="shared" si="10"/>
        <v>756.60000000000014</v>
      </c>
      <c r="F92" s="57">
        <f t="shared" si="10"/>
        <v>756.5</v>
      </c>
      <c r="G92" s="57">
        <f>10.6+64.7+12+18.1+76.2+64.9+78.4+6.1+119.5+4.7+39.1+262.3</f>
        <v>756.60000000000014</v>
      </c>
      <c r="H92" s="57">
        <v>756.5</v>
      </c>
      <c r="I92" s="57"/>
      <c r="J92" s="57"/>
      <c r="K92" s="57"/>
      <c r="L92" s="303"/>
      <c r="M92" s="54"/>
      <c r="N92" s="54"/>
      <c r="O92" s="54"/>
    </row>
    <row r="93" spans="1:15" ht="18" customHeight="1" x14ac:dyDescent="0.25">
      <c r="A93" s="52">
        <v>80</v>
      </c>
      <c r="B93" s="30" t="s">
        <v>21</v>
      </c>
      <c r="C93" s="35" t="s">
        <v>22</v>
      </c>
      <c r="D93" s="55"/>
      <c r="E93" s="61">
        <f t="shared" si="10"/>
        <v>201.6</v>
      </c>
      <c r="F93" s="61">
        <f t="shared" si="10"/>
        <v>198.79999999999998</v>
      </c>
      <c r="G93" s="61">
        <f t="shared" ref="G93:L93" si="13">+G94+G98+G100</f>
        <v>201.6</v>
      </c>
      <c r="H93" s="61">
        <f t="shared" si="13"/>
        <v>198.79999999999998</v>
      </c>
      <c r="I93" s="61">
        <f t="shared" si="13"/>
        <v>82.399999999999991</v>
      </c>
      <c r="J93" s="61">
        <f t="shared" si="13"/>
        <v>81.3</v>
      </c>
      <c r="K93" s="61">
        <f t="shared" si="13"/>
        <v>0</v>
      </c>
      <c r="L93" s="61">
        <f t="shared" si="13"/>
        <v>0</v>
      </c>
      <c r="M93" s="54"/>
      <c r="N93" s="164"/>
      <c r="O93" s="54"/>
    </row>
    <row r="94" spans="1:15" ht="24" x14ac:dyDescent="0.25">
      <c r="A94" s="52">
        <v>81</v>
      </c>
      <c r="B94" s="239" t="s">
        <v>624</v>
      </c>
      <c r="C94" s="347" t="s">
        <v>733</v>
      </c>
      <c r="D94" s="55"/>
      <c r="E94" s="119">
        <f t="shared" si="0"/>
        <v>7.9999999999999991</v>
      </c>
      <c r="F94" s="119">
        <f t="shared" si="0"/>
        <v>6.6000000000000005</v>
      </c>
      <c r="G94" s="119">
        <f t="shared" ref="G94:L94" si="14">+G95+G96+G97</f>
        <v>7.9999999999999991</v>
      </c>
      <c r="H94" s="119">
        <f t="shared" si="14"/>
        <v>6.6000000000000005</v>
      </c>
      <c r="I94" s="119">
        <f t="shared" si="14"/>
        <v>7.7</v>
      </c>
      <c r="J94" s="119">
        <f t="shared" si="14"/>
        <v>6.6000000000000005</v>
      </c>
      <c r="K94" s="119">
        <f t="shared" si="14"/>
        <v>0</v>
      </c>
      <c r="L94" s="119">
        <f t="shared" si="14"/>
        <v>0</v>
      </c>
      <c r="M94" s="54"/>
      <c r="N94" s="54"/>
      <c r="O94" s="54"/>
    </row>
    <row r="95" spans="1:15" ht="39.6" x14ac:dyDescent="0.25">
      <c r="A95" s="52">
        <v>82</v>
      </c>
      <c r="B95" s="239"/>
      <c r="C95" s="258" t="s">
        <v>1</v>
      </c>
      <c r="D95" s="55" t="s">
        <v>352</v>
      </c>
      <c r="E95" s="57">
        <f t="shared" si="0"/>
        <v>4.1999999999999993</v>
      </c>
      <c r="F95" s="119">
        <f t="shared" si="0"/>
        <v>3.1</v>
      </c>
      <c r="G95" s="57">
        <f>12.6-8.4</f>
        <v>4.1999999999999993</v>
      </c>
      <c r="H95" s="57">
        <v>3.1</v>
      </c>
      <c r="I95" s="57">
        <f>12.4-8.4</f>
        <v>4</v>
      </c>
      <c r="J95" s="57">
        <v>3.1</v>
      </c>
      <c r="K95" s="57"/>
      <c r="L95" s="303"/>
      <c r="M95" s="54"/>
      <c r="N95" s="54"/>
      <c r="O95" s="54"/>
    </row>
    <row r="96" spans="1:15" x14ac:dyDescent="0.25">
      <c r="A96" s="52">
        <v>83</v>
      </c>
      <c r="B96" s="239"/>
      <c r="C96" s="263" t="s">
        <v>2</v>
      </c>
      <c r="D96" s="308" t="s">
        <v>62</v>
      </c>
      <c r="E96" s="57">
        <f t="shared" si="0"/>
        <v>2.8</v>
      </c>
      <c r="F96" s="119">
        <f t="shared" si="0"/>
        <v>2.7</v>
      </c>
      <c r="G96" s="57">
        <f>4.3-1.5</f>
        <v>2.8</v>
      </c>
      <c r="H96" s="57">
        <v>2.7</v>
      </c>
      <c r="I96" s="57">
        <f>4.2-1.5</f>
        <v>2.7</v>
      </c>
      <c r="J96" s="57">
        <v>2.7</v>
      </c>
      <c r="K96" s="57"/>
      <c r="L96" s="303"/>
      <c r="M96" s="54"/>
      <c r="N96" s="54"/>
      <c r="O96" s="54"/>
    </row>
    <row r="97" spans="1:15" x14ac:dyDescent="0.25">
      <c r="A97" s="52">
        <v>84</v>
      </c>
      <c r="B97" s="239"/>
      <c r="C97" s="263" t="s">
        <v>102</v>
      </c>
      <c r="D97" s="55" t="s">
        <v>23</v>
      </c>
      <c r="E97" s="57">
        <f t="shared" si="0"/>
        <v>1.0000000000000002</v>
      </c>
      <c r="F97" s="119">
        <f t="shared" si="0"/>
        <v>0.8</v>
      </c>
      <c r="G97" s="57">
        <f>2.2-1.2</f>
        <v>1.0000000000000002</v>
      </c>
      <c r="H97" s="176">
        <v>0.8</v>
      </c>
      <c r="I97" s="57">
        <f>2.2-1.2</f>
        <v>1.0000000000000002</v>
      </c>
      <c r="J97" s="57">
        <v>0.8</v>
      </c>
      <c r="K97" s="57"/>
      <c r="L97" s="303"/>
      <c r="M97" s="54"/>
      <c r="N97" s="54"/>
      <c r="O97" s="54"/>
    </row>
    <row r="98" spans="1:15" ht="24" x14ac:dyDescent="0.25">
      <c r="A98" s="52">
        <v>85</v>
      </c>
      <c r="B98" s="239" t="s">
        <v>627</v>
      </c>
      <c r="C98" s="347" t="s">
        <v>734</v>
      </c>
      <c r="D98" s="55"/>
      <c r="E98" s="119">
        <f t="shared" si="0"/>
        <v>122.5</v>
      </c>
      <c r="F98" s="119">
        <f t="shared" si="0"/>
        <v>121.1</v>
      </c>
      <c r="G98" s="119">
        <f>+G99</f>
        <v>122.5</v>
      </c>
      <c r="H98" s="119">
        <f>+H99</f>
        <v>121.1</v>
      </c>
      <c r="I98" s="119">
        <f>+I99</f>
        <v>4.6000000000000005</v>
      </c>
      <c r="J98" s="119">
        <f>+J99</f>
        <v>4.5999999999999996</v>
      </c>
      <c r="K98" s="119"/>
      <c r="L98" s="303"/>
      <c r="M98" s="54"/>
      <c r="N98" s="54"/>
      <c r="O98" s="54"/>
    </row>
    <row r="99" spans="1:15" x14ac:dyDescent="0.25">
      <c r="A99" s="52">
        <v>86</v>
      </c>
      <c r="B99" s="239"/>
      <c r="C99" s="352" t="s">
        <v>3</v>
      </c>
      <c r="D99" s="55" t="s">
        <v>23</v>
      </c>
      <c r="E99" s="57">
        <f t="shared" si="0"/>
        <v>122.5</v>
      </c>
      <c r="F99" s="57">
        <f t="shared" si="0"/>
        <v>121.1</v>
      </c>
      <c r="G99" s="57">
        <f>112.3+10.2</f>
        <v>122.5</v>
      </c>
      <c r="H99" s="57">
        <v>121.1</v>
      </c>
      <c r="I99" s="57">
        <f>4.2+0.5-0.1</f>
        <v>4.6000000000000005</v>
      </c>
      <c r="J99" s="57">
        <v>4.5999999999999996</v>
      </c>
      <c r="K99" s="57"/>
      <c r="L99" s="303"/>
      <c r="M99" s="54"/>
      <c r="N99" s="54"/>
      <c r="O99" s="54"/>
    </row>
    <row r="100" spans="1:15" ht="48" x14ac:dyDescent="0.25">
      <c r="A100" s="52">
        <v>87</v>
      </c>
      <c r="B100" s="239" t="s">
        <v>629</v>
      </c>
      <c r="C100" s="350" t="s">
        <v>735</v>
      </c>
      <c r="D100" s="55"/>
      <c r="E100" s="119">
        <f t="shared" si="0"/>
        <v>71.099999999999994</v>
      </c>
      <c r="F100" s="119">
        <f t="shared" si="0"/>
        <v>71.099999999999994</v>
      </c>
      <c r="G100" s="119">
        <f t="shared" ref="G100:L100" si="15">SUM(G101:G105)</f>
        <v>71.099999999999994</v>
      </c>
      <c r="H100" s="119">
        <f t="shared" si="15"/>
        <v>71.099999999999994</v>
      </c>
      <c r="I100" s="119">
        <f t="shared" si="15"/>
        <v>70.099999999999994</v>
      </c>
      <c r="J100" s="119">
        <f t="shared" si="15"/>
        <v>70.099999999999994</v>
      </c>
      <c r="K100" s="119">
        <f t="shared" si="15"/>
        <v>0</v>
      </c>
      <c r="L100" s="119">
        <f t="shared" si="15"/>
        <v>0</v>
      </c>
      <c r="M100" s="54"/>
      <c r="N100" s="54"/>
      <c r="O100" s="54"/>
    </row>
    <row r="101" spans="1:15" ht="39.6" x14ac:dyDescent="0.25">
      <c r="A101" s="52">
        <v>88</v>
      </c>
      <c r="B101" s="239"/>
      <c r="C101" s="251" t="s">
        <v>1</v>
      </c>
      <c r="D101" s="55" t="s">
        <v>352</v>
      </c>
      <c r="E101" s="57">
        <f t="shared" si="0"/>
        <v>20.3</v>
      </c>
      <c r="F101" s="57">
        <f t="shared" si="0"/>
        <v>20.3</v>
      </c>
      <c r="G101" s="57">
        <v>20.3</v>
      </c>
      <c r="H101" s="57">
        <v>20.3</v>
      </c>
      <c r="I101" s="57">
        <v>20</v>
      </c>
      <c r="J101" s="57">
        <v>20</v>
      </c>
      <c r="K101" s="57"/>
      <c r="L101" s="303"/>
      <c r="M101" s="54"/>
      <c r="N101" s="54"/>
      <c r="O101" s="54"/>
    </row>
    <row r="102" spans="1:15" x14ac:dyDescent="0.25">
      <c r="A102" s="52">
        <v>89</v>
      </c>
      <c r="B102" s="239"/>
      <c r="C102" s="272" t="s">
        <v>2</v>
      </c>
      <c r="D102" s="308" t="s">
        <v>62</v>
      </c>
      <c r="E102" s="57">
        <f t="shared" si="0"/>
        <v>7.9</v>
      </c>
      <c r="F102" s="57">
        <f t="shared" si="0"/>
        <v>7.9</v>
      </c>
      <c r="G102" s="57">
        <v>7.9</v>
      </c>
      <c r="H102" s="57">
        <v>7.9</v>
      </c>
      <c r="I102" s="57">
        <v>7.8</v>
      </c>
      <c r="J102" s="57">
        <v>7.8</v>
      </c>
      <c r="K102" s="57"/>
      <c r="L102" s="303"/>
      <c r="M102" s="54"/>
      <c r="N102" s="54"/>
      <c r="O102" s="54"/>
    </row>
    <row r="103" spans="1:15" x14ac:dyDescent="0.25">
      <c r="A103" s="52">
        <v>90</v>
      </c>
      <c r="B103" s="239"/>
      <c r="C103" s="257" t="s">
        <v>15</v>
      </c>
      <c r="D103" s="55" t="s">
        <v>354</v>
      </c>
      <c r="E103" s="57">
        <f t="shared" si="0"/>
        <v>8</v>
      </c>
      <c r="F103" s="57">
        <f t="shared" si="0"/>
        <v>8</v>
      </c>
      <c r="G103" s="57">
        <v>8</v>
      </c>
      <c r="H103" s="57">
        <v>8</v>
      </c>
      <c r="I103" s="57">
        <v>7.9</v>
      </c>
      <c r="J103" s="57">
        <v>7.9</v>
      </c>
      <c r="K103" s="57"/>
      <c r="L103" s="303"/>
      <c r="M103" s="54"/>
      <c r="N103" s="54"/>
      <c r="O103" s="54"/>
    </row>
    <row r="104" spans="1:15" x14ac:dyDescent="0.25">
      <c r="A104" s="52">
        <v>91</v>
      </c>
      <c r="B104" s="239"/>
      <c r="C104" s="257" t="s">
        <v>290</v>
      </c>
      <c r="D104" s="38" t="s">
        <v>62</v>
      </c>
      <c r="E104" s="57">
        <f t="shared" si="0"/>
        <v>7.4</v>
      </c>
      <c r="F104" s="57">
        <f t="shared" si="0"/>
        <v>7.4</v>
      </c>
      <c r="G104" s="57">
        <v>7.4</v>
      </c>
      <c r="H104" s="57">
        <v>7.4</v>
      </c>
      <c r="I104" s="57">
        <v>7.3</v>
      </c>
      <c r="J104" s="57">
        <v>7.3</v>
      </c>
      <c r="K104" s="57"/>
      <c r="L104" s="303"/>
      <c r="M104" s="54"/>
      <c r="N104" s="54"/>
      <c r="O104" s="54"/>
    </row>
    <row r="105" spans="1:15" x14ac:dyDescent="0.25">
      <c r="A105" s="52">
        <v>92</v>
      </c>
      <c r="B105" s="239"/>
      <c r="C105" s="251" t="s">
        <v>102</v>
      </c>
      <c r="D105" s="308" t="s">
        <v>23</v>
      </c>
      <c r="E105" s="57">
        <f t="shared" si="0"/>
        <v>27.5</v>
      </c>
      <c r="F105" s="57">
        <f t="shared" si="0"/>
        <v>27.5</v>
      </c>
      <c r="G105" s="57">
        <v>27.5</v>
      </c>
      <c r="H105" s="57">
        <v>27.5</v>
      </c>
      <c r="I105" s="57">
        <v>27.1</v>
      </c>
      <c r="J105" s="57">
        <v>27.1</v>
      </c>
      <c r="K105" s="57"/>
      <c r="L105" s="303"/>
      <c r="M105" s="54"/>
      <c r="N105" s="54"/>
      <c r="O105" s="54"/>
    </row>
    <row r="106" spans="1:15" x14ac:dyDescent="0.25">
      <c r="A106" s="52">
        <v>93</v>
      </c>
      <c r="B106" s="30" t="s">
        <v>63</v>
      </c>
      <c r="C106" s="35" t="s">
        <v>148</v>
      </c>
      <c r="D106" s="49"/>
      <c r="E106" s="61">
        <f t="shared" si="0"/>
        <v>611</v>
      </c>
      <c r="F106" s="61">
        <f t="shared" si="0"/>
        <v>608.6</v>
      </c>
      <c r="G106" s="61">
        <f t="shared" ref="G106:L108" si="16">+G107</f>
        <v>0</v>
      </c>
      <c r="H106" s="61">
        <f t="shared" si="16"/>
        <v>0</v>
      </c>
      <c r="I106" s="61">
        <f t="shared" si="16"/>
        <v>0</v>
      </c>
      <c r="J106" s="61">
        <f t="shared" si="16"/>
        <v>0</v>
      </c>
      <c r="K106" s="61">
        <f t="shared" si="16"/>
        <v>611</v>
      </c>
      <c r="L106" s="61">
        <f t="shared" si="16"/>
        <v>608.6</v>
      </c>
      <c r="M106" s="54"/>
      <c r="N106" s="54"/>
      <c r="O106" s="54"/>
    </row>
    <row r="107" spans="1:15" ht="24" x14ac:dyDescent="0.25">
      <c r="A107" s="52">
        <v>94</v>
      </c>
      <c r="B107" s="239" t="s">
        <v>736</v>
      </c>
      <c r="C107" s="347" t="s">
        <v>730</v>
      </c>
      <c r="D107" s="49"/>
      <c r="E107" s="119">
        <f t="shared" si="0"/>
        <v>611</v>
      </c>
      <c r="F107" s="119">
        <f t="shared" si="0"/>
        <v>608.6</v>
      </c>
      <c r="G107" s="119">
        <f t="shared" si="16"/>
        <v>0</v>
      </c>
      <c r="H107" s="119">
        <f t="shared" si="16"/>
        <v>0</v>
      </c>
      <c r="I107" s="119">
        <f t="shared" si="16"/>
        <v>0</v>
      </c>
      <c r="J107" s="119">
        <f t="shared" si="16"/>
        <v>0</v>
      </c>
      <c r="K107" s="119">
        <f t="shared" si="16"/>
        <v>611</v>
      </c>
      <c r="L107" s="119">
        <f t="shared" si="16"/>
        <v>608.6</v>
      </c>
      <c r="M107" s="54"/>
      <c r="N107" s="54"/>
      <c r="O107" s="54"/>
    </row>
    <row r="108" spans="1:15" x14ac:dyDescent="0.25">
      <c r="A108" s="52">
        <v>95</v>
      </c>
      <c r="B108" s="239"/>
      <c r="C108" s="253" t="s">
        <v>3</v>
      </c>
      <c r="D108" s="239" t="s">
        <v>64</v>
      </c>
      <c r="E108" s="57">
        <f t="shared" si="0"/>
        <v>611</v>
      </c>
      <c r="F108" s="57">
        <f t="shared" si="0"/>
        <v>608.6</v>
      </c>
      <c r="G108" s="57">
        <f t="shared" si="16"/>
        <v>0</v>
      </c>
      <c r="H108" s="57">
        <f t="shared" si="16"/>
        <v>0</v>
      </c>
      <c r="I108" s="57">
        <f t="shared" si="16"/>
        <v>0</v>
      </c>
      <c r="J108" s="57">
        <f t="shared" si="16"/>
        <v>0</v>
      </c>
      <c r="K108" s="57">
        <f t="shared" si="16"/>
        <v>611</v>
      </c>
      <c r="L108" s="57">
        <f t="shared" si="16"/>
        <v>608.6</v>
      </c>
      <c r="M108" s="54"/>
      <c r="N108" s="54"/>
      <c r="O108" s="54"/>
    </row>
    <row r="109" spans="1:15" ht="24" x14ac:dyDescent="0.25">
      <c r="A109" s="52">
        <v>96</v>
      </c>
      <c r="B109" s="239"/>
      <c r="C109" s="348" t="s">
        <v>737</v>
      </c>
      <c r="D109" s="49"/>
      <c r="E109" s="57">
        <f t="shared" si="0"/>
        <v>611</v>
      </c>
      <c r="F109" s="57">
        <f t="shared" si="0"/>
        <v>608.6</v>
      </c>
      <c r="G109" s="57"/>
      <c r="H109" s="57"/>
      <c r="I109" s="57"/>
      <c r="J109" s="57"/>
      <c r="K109" s="57">
        <v>611</v>
      </c>
      <c r="L109" s="307">
        <v>608.6</v>
      </c>
      <c r="M109" s="54"/>
      <c r="N109" s="54"/>
      <c r="O109" s="54"/>
    </row>
    <row r="110" spans="1:15" x14ac:dyDescent="0.25">
      <c r="A110" s="52">
        <v>97</v>
      </c>
      <c r="B110" s="30" t="s">
        <v>65</v>
      </c>
      <c r="C110" s="35" t="s">
        <v>66</v>
      </c>
      <c r="D110" s="49"/>
      <c r="E110" s="61">
        <f t="shared" si="0"/>
        <v>1077.8</v>
      </c>
      <c r="F110" s="61">
        <f t="shared" si="0"/>
        <v>1077.8</v>
      </c>
      <c r="G110" s="309">
        <f t="shared" ref="G110:L110" si="17">+G111+G113+G124+G127</f>
        <v>120.79999999999998</v>
      </c>
      <c r="H110" s="309">
        <f t="shared" si="17"/>
        <v>120.79999999999998</v>
      </c>
      <c r="I110" s="309">
        <f t="shared" si="17"/>
        <v>35.300000000000004</v>
      </c>
      <c r="J110" s="309">
        <f t="shared" si="17"/>
        <v>35.300000000000004</v>
      </c>
      <c r="K110" s="309">
        <f t="shared" si="17"/>
        <v>957</v>
      </c>
      <c r="L110" s="309">
        <f t="shared" si="17"/>
        <v>957</v>
      </c>
      <c r="M110" s="54"/>
      <c r="N110" s="54"/>
      <c r="O110" s="54"/>
    </row>
    <row r="111" spans="1:15" ht="24" x14ac:dyDescent="0.25">
      <c r="A111" s="52">
        <v>98</v>
      </c>
      <c r="B111" s="239" t="s">
        <v>738</v>
      </c>
      <c r="C111" s="347" t="s">
        <v>739</v>
      </c>
      <c r="D111" s="49"/>
      <c r="E111" s="57">
        <f t="shared" si="0"/>
        <v>52.8</v>
      </c>
      <c r="F111" s="57">
        <f t="shared" si="0"/>
        <v>52.8</v>
      </c>
      <c r="G111" s="57">
        <f t="shared" ref="G111:L111" si="18">+G112</f>
        <v>52.8</v>
      </c>
      <c r="H111" s="57">
        <f t="shared" si="18"/>
        <v>52.8</v>
      </c>
      <c r="I111" s="57">
        <f t="shared" si="18"/>
        <v>0</v>
      </c>
      <c r="J111" s="57">
        <f t="shared" si="18"/>
        <v>0</v>
      </c>
      <c r="K111" s="57">
        <f t="shared" si="18"/>
        <v>0</v>
      </c>
      <c r="L111" s="57">
        <f t="shared" si="18"/>
        <v>0</v>
      </c>
      <c r="M111" s="54"/>
      <c r="N111" s="54"/>
      <c r="O111" s="54"/>
    </row>
    <row r="112" spans="1:15" ht="24" x14ac:dyDescent="0.25">
      <c r="A112" s="52">
        <v>99</v>
      </c>
      <c r="B112" s="239"/>
      <c r="C112" s="253" t="s">
        <v>49</v>
      </c>
      <c r="D112" s="239" t="s">
        <v>68</v>
      </c>
      <c r="E112" s="57">
        <f t="shared" si="0"/>
        <v>52.8</v>
      </c>
      <c r="F112" s="57">
        <f t="shared" si="0"/>
        <v>52.8</v>
      </c>
      <c r="G112" s="57">
        <v>52.8</v>
      </c>
      <c r="H112" s="57">
        <v>52.8</v>
      </c>
      <c r="I112" s="57"/>
      <c r="J112" s="57"/>
      <c r="K112" s="57"/>
      <c r="L112" s="303"/>
      <c r="M112" s="54"/>
      <c r="N112" s="54"/>
      <c r="O112" s="54"/>
    </row>
    <row r="113" spans="1:15" ht="24" x14ac:dyDescent="0.25">
      <c r="A113" s="52">
        <v>100</v>
      </c>
      <c r="B113" s="239" t="s">
        <v>740</v>
      </c>
      <c r="C113" s="347" t="s">
        <v>741</v>
      </c>
      <c r="D113" s="49"/>
      <c r="E113" s="57">
        <f t="shared" si="0"/>
        <v>34.999999999999993</v>
      </c>
      <c r="F113" s="57">
        <f t="shared" si="0"/>
        <v>34.999999999999993</v>
      </c>
      <c r="G113" s="57">
        <f t="shared" ref="G113:L113" si="19">SUM(G114:G123)</f>
        <v>34.999999999999993</v>
      </c>
      <c r="H113" s="57">
        <f t="shared" si="19"/>
        <v>34.999999999999993</v>
      </c>
      <c r="I113" s="57">
        <f t="shared" si="19"/>
        <v>34.6</v>
      </c>
      <c r="J113" s="57">
        <f t="shared" si="19"/>
        <v>34.6</v>
      </c>
      <c r="K113" s="57">
        <f t="shared" si="19"/>
        <v>0</v>
      </c>
      <c r="L113" s="57">
        <f t="shared" si="19"/>
        <v>0</v>
      </c>
      <c r="M113" s="54"/>
      <c r="N113" s="54"/>
      <c r="O113" s="54"/>
    </row>
    <row r="114" spans="1:15" x14ac:dyDescent="0.25">
      <c r="A114" s="52">
        <v>101</v>
      </c>
      <c r="B114" s="239"/>
      <c r="C114" s="251" t="s">
        <v>40</v>
      </c>
      <c r="D114" s="239" t="s">
        <v>67</v>
      </c>
      <c r="E114" s="57">
        <f t="shared" si="0"/>
        <v>7.5</v>
      </c>
      <c r="F114" s="57">
        <f t="shared" si="0"/>
        <v>7.5</v>
      </c>
      <c r="G114" s="57">
        <v>7.5</v>
      </c>
      <c r="H114" s="57">
        <v>7.5</v>
      </c>
      <c r="I114" s="57">
        <v>7.4</v>
      </c>
      <c r="J114" s="57">
        <v>7.4</v>
      </c>
      <c r="K114" s="57"/>
      <c r="L114" s="303"/>
      <c r="M114" s="54"/>
      <c r="N114" s="54"/>
      <c r="O114" s="54"/>
    </row>
    <row r="115" spans="1:15" x14ac:dyDescent="0.25">
      <c r="A115" s="52">
        <v>102</v>
      </c>
      <c r="B115" s="239"/>
      <c r="C115" s="272" t="s">
        <v>45</v>
      </c>
      <c r="D115" s="239" t="s">
        <v>67</v>
      </c>
      <c r="E115" s="57">
        <f t="shared" si="0"/>
        <v>2.7</v>
      </c>
      <c r="F115" s="57">
        <f t="shared" si="0"/>
        <v>2.7</v>
      </c>
      <c r="G115" s="57">
        <v>2.7</v>
      </c>
      <c r="H115" s="57">
        <v>2.7</v>
      </c>
      <c r="I115" s="57">
        <v>2.7</v>
      </c>
      <c r="J115" s="57">
        <v>2.7</v>
      </c>
      <c r="K115" s="57"/>
      <c r="L115" s="303"/>
      <c r="M115" s="54"/>
      <c r="N115" s="54"/>
      <c r="O115" s="54"/>
    </row>
    <row r="116" spans="1:15" x14ac:dyDescent="0.25">
      <c r="A116" s="52">
        <v>103</v>
      </c>
      <c r="B116" s="239"/>
      <c r="C116" s="272" t="s">
        <v>46</v>
      </c>
      <c r="D116" s="239" t="s">
        <v>67</v>
      </c>
      <c r="E116" s="57">
        <f t="shared" si="0"/>
        <v>1.7</v>
      </c>
      <c r="F116" s="57">
        <f t="shared" si="0"/>
        <v>1.7</v>
      </c>
      <c r="G116" s="57">
        <v>1.7</v>
      </c>
      <c r="H116" s="57">
        <v>1.7</v>
      </c>
      <c r="I116" s="57">
        <v>1.7</v>
      </c>
      <c r="J116" s="57">
        <v>1.7</v>
      </c>
      <c r="K116" s="57"/>
      <c r="L116" s="303"/>
      <c r="M116" s="54"/>
      <c r="N116" s="54"/>
      <c r="O116" s="54"/>
    </row>
    <row r="117" spans="1:15" x14ac:dyDescent="0.25">
      <c r="A117" s="52">
        <v>104</v>
      </c>
      <c r="B117" s="239"/>
      <c r="C117" s="272" t="s">
        <v>41</v>
      </c>
      <c r="D117" s="239" t="s">
        <v>67</v>
      </c>
      <c r="E117" s="57">
        <f t="shared" si="0"/>
        <v>1.5</v>
      </c>
      <c r="F117" s="57">
        <f t="shared" si="0"/>
        <v>1.5</v>
      </c>
      <c r="G117" s="57">
        <v>1.5</v>
      </c>
      <c r="H117" s="57">
        <v>1.5</v>
      </c>
      <c r="I117" s="57">
        <v>1.5</v>
      </c>
      <c r="J117" s="57">
        <v>1.5</v>
      </c>
      <c r="K117" s="57"/>
      <c r="L117" s="303"/>
      <c r="M117" s="54"/>
      <c r="N117" s="54"/>
      <c r="O117" s="54"/>
    </row>
    <row r="118" spans="1:15" x14ac:dyDescent="0.25">
      <c r="A118" s="52">
        <v>105</v>
      </c>
      <c r="B118" s="239"/>
      <c r="C118" s="272" t="s">
        <v>47</v>
      </c>
      <c r="D118" s="239" t="s">
        <v>67</v>
      </c>
      <c r="E118" s="57">
        <f t="shared" si="0"/>
        <v>1.2</v>
      </c>
      <c r="F118" s="57">
        <f t="shared" si="0"/>
        <v>1.2</v>
      </c>
      <c r="G118" s="57">
        <v>1.2</v>
      </c>
      <c r="H118" s="57">
        <v>1.2</v>
      </c>
      <c r="I118" s="57">
        <v>1.2</v>
      </c>
      <c r="J118" s="57">
        <v>1.2</v>
      </c>
      <c r="K118" s="57"/>
      <c r="L118" s="303"/>
      <c r="M118" s="54"/>
      <c r="N118" s="54"/>
      <c r="O118" s="54"/>
    </row>
    <row r="119" spans="1:15" x14ac:dyDescent="0.25">
      <c r="A119" s="52">
        <v>106</v>
      </c>
      <c r="B119" s="239"/>
      <c r="C119" s="272" t="s">
        <v>48</v>
      </c>
      <c r="D119" s="239" t="s">
        <v>67</v>
      </c>
      <c r="E119" s="57">
        <f t="shared" si="0"/>
        <v>1</v>
      </c>
      <c r="F119" s="57">
        <f t="shared" si="0"/>
        <v>1</v>
      </c>
      <c r="G119" s="57">
        <v>1</v>
      </c>
      <c r="H119" s="57">
        <v>1</v>
      </c>
      <c r="I119" s="57">
        <v>1</v>
      </c>
      <c r="J119" s="57">
        <v>1</v>
      </c>
      <c r="K119" s="57"/>
      <c r="L119" s="303"/>
      <c r="M119" s="54"/>
      <c r="N119" s="54"/>
      <c r="O119" s="54"/>
    </row>
    <row r="120" spans="1:15" ht="24" x14ac:dyDescent="0.25">
      <c r="A120" s="52">
        <v>107</v>
      </c>
      <c r="B120" s="239"/>
      <c r="C120" s="253" t="s">
        <v>49</v>
      </c>
      <c r="D120" s="239" t="s">
        <v>68</v>
      </c>
      <c r="E120" s="57">
        <f t="shared" si="0"/>
        <v>14</v>
      </c>
      <c r="F120" s="57">
        <f t="shared" si="0"/>
        <v>14</v>
      </c>
      <c r="G120" s="57">
        <v>14</v>
      </c>
      <c r="H120" s="57">
        <v>14</v>
      </c>
      <c r="I120" s="57">
        <v>13.8</v>
      </c>
      <c r="J120" s="57">
        <v>13.8</v>
      </c>
      <c r="K120" s="57"/>
      <c r="L120" s="303"/>
      <c r="M120" s="54"/>
      <c r="N120" s="54"/>
      <c r="O120" s="54"/>
    </row>
    <row r="121" spans="1:15" x14ac:dyDescent="0.25">
      <c r="A121" s="52">
        <v>108</v>
      </c>
      <c r="B121" s="239"/>
      <c r="C121" s="272" t="s">
        <v>39</v>
      </c>
      <c r="D121" s="239" t="s">
        <v>69</v>
      </c>
      <c r="E121" s="57">
        <f t="shared" si="0"/>
        <v>5</v>
      </c>
      <c r="F121" s="57">
        <f t="shared" si="0"/>
        <v>5</v>
      </c>
      <c r="G121" s="57">
        <v>5</v>
      </c>
      <c r="H121" s="57">
        <v>5</v>
      </c>
      <c r="I121" s="57">
        <v>4.9000000000000004</v>
      </c>
      <c r="J121" s="57">
        <v>4.9000000000000004</v>
      </c>
      <c r="K121" s="57"/>
      <c r="L121" s="303"/>
      <c r="M121" s="54"/>
      <c r="N121" s="54"/>
      <c r="O121" s="54"/>
    </row>
    <row r="122" spans="1:15" x14ac:dyDescent="0.25">
      <c r="A122" s="52">
        <v>109</v>
      </c>
      <c r="B122" s="239"/>
      <c r="C122" s="251" t="s">
        <v>6</v>
      </c>
      <c r="D122" s="239" t="s">
        <v>69</v>
      </c>
      <c r="E122" s="57">
        <f t="shared" si="0"/>
        <v>0.1</v>
      </c>
      <c r="F122" s="57">
        <f t="shared" si="0"/>
        <v>0.1</v>
      </c>
      <c r="G122" s="57">
        <v>0.1</v>
      </c>
      <c r="H122" s="57">
        <v>0.1</v>
      </c>
      <c r="I122" s="57">
        <v>0.1</v>
      </c>
      <c r="J122" s="57">
        <v>0.1</v>
      </c>
      <c r="K122" s="57"/>
      <c r="L122" s="303"/>
      <c r="M122" s="54"/>
      <c r="N122" s="54"/>
      <c r="O122" s="54"/>
    </row>
    <row r="123" spans="1:15" x14ac:dyDescent="0.25">
      <c r="A123" s="52">
        <v>110</v>
      </c>
      <c r="B123" s="239"/>
      <c r="C123" s="251" t="s">
        <v>44</v>
      </c>
      <c r="D123" s="239" t="s">
        <v>59</v>
      </c>
      <c r="E123" s="57">
        <f t="shared" si="0"/>
        <v>0.3</v>
      </c>
      <c r="F123" s="57">
        <f t="shared" si="0"/>
        <v>0.3</v>
      </c>
      <c r="G123" s="57">
        <v>0.3</v>
      </c>
      <c r="H123" s="57">
        <v>0.3</v>
      </c>
      <c r="I123" s="57">
        <v>0.3</v>
      </c>
      <c r="J123" s="57">
        <v>0.3</v>
      </c>
      <c r="K123" s="57"/>
      <c r="L123" s="303"/>
      <c r="M123" s="54"/>
      <c r="N123" s="54"/>
      <c r="O123" s="54"/>
    </row>
    <row r="124" spans="1:15" ht="24" x14ac:dyDescent="0.25">
      <c r="A124" s="52">
        <v>111</v>
      </c>
      <c r="B124" s="239" t="s">
        <v>742</v>
      </c>
      <c r="C124" s="347" t="s">
        <v>730</v>
      </c>
      <c r="D124" s="49"/>
      <c r="E124" s="119">
        <f>+G124+K124</f>
        <v>957</v>
      </c>
      <c r="F124" s="119">
        <f>+H124+L124</f>
        <v>957</v>
      </c>
      <c r="G124" s="119">
        <f t="shared" ref="G124:L125" si="20">+G125</f>
        <v>0</v>
      </c>
      <c r="H124" s="119">
        <f t="shared" si="20"/>
        <v>0</v>
      </c>
      <c r="I124" s="119">
        <f t="shared" si="20"/>
        <v>0</v>
      </c>
      <c r="J124" s="119">
        <f t="shared" si="20"/>
        <v>0</v>
      </c>
      <c r="K124" s="119">
        <f t="shared" si="20"/>
        <v>957</v>
      </c>
      <c r="L124" s="119">
        <f t="shared" si="20"/>
        <v>957</v>
      </c>
      <c r="M124" s="54"/>
      <c r="N124" s="54"/>
      <c r="O124" s="54"/>
    </row>
    <row r="125" spans="1:15" x14ac:dyDescent="0.25">
      <c r="A125" s="52">
        <v>112</v>
      </c>
      <c r="B125" s="239"/>
      <c r="C125" s="253" t="s">
        <v>3</v>
      </c>
      <c r="D125" s="49" t="s">
        <v>67</v>
      </c>
      <c r="E125" s="57">
        <f t="shared" si="0"/>
        <v>957</v>
      </c>
      <c r="F125" s="57">
        <f t="shared" si="0"/>
        <v>957</v>
      </c>
      <c r="G125" s="57">
        <f t="shared" si="20"/>
        <v>0</v>
      </c>
      <c r="H125" s="57">
        <f t="shared" si="20"/>
        <v>0</v>
      </c>
      <c r="I125" s="57">
        <f t="shared" si="20"/>
        <v>0</v>
      </c>
      <c r="J125" s="57">
        <f t="shared" si="20"/>
        <v>0</v>
      </c>
      <c r="K125" s="57">
        <f t="shared" si="20"/>
        <v>957</v>
      </c>
      <c r="L125" s="57">
        <f t="shared" si="20"/>
        <v>957</v>
      </c>
      <c r="M125" s="54"/>
      <c r="N125" s="54"/>
      <c r="O125" s="54"/>
    </row>
    <row r="126" spans="1:15" ht="24" x14ac:dyDescent="0.25">
      <c r="A126" s="52">
        <v>113</v>
      </c>
      <c r="B126" s="239"/>
      <c r="C126" s="348" t="s">
        <v>743</v>
      </c>
      <c r="D126" s="310"/>
      <c r="E126" s="57">
        <f t="shared" si="0"/>
        <v>957</v>
      </c>
      <c r="F126" s="57">
        <f t="shared" si="0"/>
        <v>957</v>
      </c>
      <c r="G126" s="57"/>
      <c r="H126" s="57"/>
      <c r="I126" s="57"/>
      <c r="J126" s="57"/>
      <c r="K126" s="57">
        <v>957</v>
      </c>
      <c r="L126" s="307">
        <v>957</v>
      </c>
      <c r="M126" s="54"/>
      <c r="N126" s="54"/>
      <c r="O126" s="54"/>
    </row>
    <row r="127" spans="1:15" ht="24" x14ac:dyDescent="0.25">
      <c r="A127" s="52">
        <v>114</v>
      </c>
      <c r="B127" s="239"/>
      <c r="C127" s="348" t="s">
        <v>744</v>
      </c>
      <c r="D127" s="310"/>
      <c r="E127" s="57">
        <f t="shared" si="0"/>
        <v>33</v>
      </c>
      <c r="F127" s="57">
        <f t="shared" si="0"/>
        <v>33</v>
      </c>
      <c r="G127" s="57">
        <f t="shared" ref="G127:L127" si="21">+G128</f>
        <v>33</v>
      </c>
      <c r="H127" s="57">
        <f t="shared" si="21"/>
        <v>33</v>
      </c>
      <c r="I127" s="57">
        <f t="shared" si="21"/>
        <v>0.7</v>
      </c>
      <c r="J127" s="57">
        <f t="shared" si="21"/>
        <v>0.7</v>
      </c>
      <c r="K127" s="57">
        <f t="shared" si="21"/>
        <v>0</v>
      </c>
      <c r="L127" s="57">
        <f t="shared" si="21"/>
        <v>0</v>
      </c>
      <c r="M127" s="54"/>
      <c r="N127" s="54"/>
      <c r="O127" s="54"/>
    </row>
    <row r="128" spans="1:15" x14ac:dyDescent="0.25">
      <c r="A128" s="52">
        <v>115</v>
      </c>
      <c r="B128" s="239"/>
      <c r="C128" s="253" t="s">
        <v>3</v>
      </c>
      <c r="D128" s="310" t="s">
        <v>745</v>
      </c>
      <c r="E128" s="57">
        <f t="shared" si="0"/>
        <v>33</v>
      </c>
      <c r="F128" s="57">
        <f t="shared" si="0"/>
        <v>33</v>
      </c>
      <c r="G128" s="57">
        <f>20.7+12.3</f>
        <v>33</v>
      </c>
      <c r="H128" s="57">
        <v>33</v>
      </c>
      <c r="I128" s="57">
        <f>0.3+0.4</f>
        <v>0.7</v>
      </c>
      <c r="J128" s="57">
        <v>0.7</v>
      </c>
      <c r="K128" s="57"/>
      <c r="L128" s="303"/>
      <c r="M128" s="54"/>
      <c r="N128" s="54"/>
      <c r="O128" s="54"/>
    </row>
    <row r="129" spans="1:15" ht="22.8" x14ac:dyDescent="0.25">
      <c r="A129" s="52">
        <v>116</v>
      </c>
      <c r="B129" s="30" t="s">
        <v>70</v>
      </c>
      <c r="C129" s="281" t="s">
        <v>71</v>
      </c>
      <c r="D129" s="239"/>
      <c r="E129" s="61">
        <f>+G129+K129</f>
        <v>2321.6</v>
      </c>
      <c r="F129" s="61">
        <f>+H129+L129</f>
        <v>2318.1000000000004</v>
      </c>
      <c r="G129" s="61">
        <f t="shared" ref="G129:L130" si="22">+G130</f>
        <v>840.9</v>
      </c>
      <c r="H129" s="61">
        <f t="shared" si="22"/>
        <v>838.2</v>
      </c>
      <c r="I129" s="61">
        <f t="shared" si="22"/>
        <v>0</v>
      </c>
      <c r="J129" s="61">
        <f t="shared" si="22"/>
        <v>0</v>
      </c>
      <c r="K129" s="61">
        <f t="shared" si="22"/>
        <v>1480.6999999999998</v>
      </c>
      <c r="L129" s="61">
        <f t="shared" si="22"/>
        <v>1479.9</v>
      </c>
      <c r="M129" s="54"/>
      <c r="N129" s="54"/>
      <c r="O129" s="54"/>
    </row>
    <row r="130" spans="1:15" ht="24" x14ac:dyDescent="0.25">
      <c r="A130" s="52">
        <v>117</v>
      </c>
      <c r="B130" s="239" t="s">
        <v>746</v>
      </c>
      <c r="C130" s="271" t="s">
        <v>747</v>
      </c>
      <c r="D130" s="239"/>
      <c r="E130" s="119">
        <f t="shared" si="0"/>
        <v>2321.6</v>
      </c>
      <c r="F130" s="119">
        <f t="shared" si="0"/>
        <v>2318.1000000000004</v>
      </c>
      <c r="G130" s="119">
        <f t="shared" si="22"/>
        <v>840.9</v>
      </c>
      <c r="H130" s="119">
        <f t="shared" si="22"/>
        <v>838.2</v>
      </c>
      <c r="I130" s="119">
        <f t="shared" si="22"/>
        <v>0</v>
      </c>
      <c r="J130" s="119">
        <f t="shared" si="22"/>
        <v>0</v>
      </c>
      <c r="K130" s="119">
        <f t="shared" si="22"/>
        <v>1480.6999999999998</v>
      </c>
      <c r="L130" s="119">
        <f t="shared" si="22"/>
        <v>1479.9</v>
      </c>
      <c r="M130" s="54"/>
      <c r="N130" s="54"/>
      <c r="O130" s="54"/>
    </row>
    <row r="131" spans="1:15" x14ac:dyDescent="0.25">
      <c r="A131" s="52">
        <v>118</v>
      </c>
      <c r="B131" s="30"/>
      <c r="C131" s="253" t="s">
        <v>3</v>
      </c>
      <c r="D131" s="239" t="s">
        <v>87</v>
      </c>
      <c r="E131" s="57">
        <f>+G131+K131</f>
        <v>2321.6</v>
      </c>
      <c r="F131" s="57">
        <f>+H131+L131</f>
        <v>2318.1000000000004</v>
      </c>
      <c r="G131" s="57">
        <f>725.2+138.3+2.5-25.1</f>
        <v>840.9</v>
      </c>
      <c r="H131" s="57">
        <v>838.2</v>
      </c>
      <c r="I131" s="57"/>
      <c r="J131" s="57"/>
      <c r="K131" s="57">
        <f>1223.1+235-2.5+25.1</f>
        <v>1480.6999999999998</v>
      </c>
      <c r="L131" s="57">
        <v>1479.9</v>
      </c>
      <c r="M131" s="164"/>
      <c r="N131" s="54"/>
      <c r="O131" s="54"/>
    </row>
    <row r="132" spans="1:15" x14ac:dyDescent="0.25">
      <c r="A132" s="52">
        <v>119</v>
      </c>
      <c r="B132" s="30" t="s">
        <v>74</v>
      </c>
      <c r="C132" s="35" t="s">
        <v>75</v>
      </c>
      <c r="D132" s="239"/>
      <c r="E132" s="61">
        <f t="shared" si="0"/>
        <v>33.700000000000003</v>
      </c>
      <c r="F132" s="61">
        <f t="shared" si="0"/>
        <v>8.6999999999999993</v>
      </c>
      <c r="G132" s="61">
        <f t="shared" ref="G132:L132" si="23">+G133+G135</f>
        <v>8.6999999999999993</v>
      </c>
      <c r="H132" s="61">
        <f t="shared" si="23"/>
        <v>8.6999999999999993</v>
      </c>
      <c r="I132" s="61">
        <f t="shared" si="23"/>
        <v>0</v>
      </c>
      <c r="J132" s="61">
        <f t="shared" si="23"/>
        <v>0</v>
      </c>
      <c r="K132" s="61">
        <f t="shared" si="23"/>
        <v>25</v>
      </c>
      <c r="L132" s="61">
        <f t="shared" si="23"/>
        <v>0</v>
      </c>
      <c r="M132" s="54"/>
      <c r="N132" s="54"/>
      <c r="O132" s="54"/>
    </row>
    <row r="133" spans="1:15" ht="24" x14ac:dyDescent="0.25">
      <c r="A133" s="52">
        <v>120</v>
      </c>
      <c r="B133" s="239" t="s">
        <v>748</v>
      </c>
      <c r="C133" s="271" t="s">
        <v>749</v>
      </c>
      <c r="D133" s="239"/>
      <c r="E133" s="119">
        <f t="shared" si="0"/>
        <v>8.6999999999999993</v>
      </c>
      <c r="F133" s="119">
        <f t="shared" si="0"/>
        <v>8.6999999999999993</v>
      </c>
      <c r="G133" s="119">
        <f t="shared" ref="G133:L133" si="24">+G134</f>
        <v>8.6999999999999993</v>
      </c>
      <c r="H133" s="119">
        <f t="shared" si="24"/>
        <v>8.6999999999999993</v>
      </c>
      <c r="I133" s="119">
        <f t="shared" si="24"/>
        <v>0</v>
      </c>
      <c r="J133" s="119">
        <f t="shared" si="24"/>
        <v>0</v>
      </c>
      <c r="K133" s="119">
        <f t="shared" si="24"/>
        <v>0</v>
      </c>
      <c r="L133" s="119">
        <f t="shared" si="24"/>
        <v>0</v>
      </c>
      <c r="M133" s="54"/>
      <c r="N133" s="54"/>
      <c r="O133" s="54"/>
    </row>
    <row r="134" spans="1:15" x14ac:dyDescent="0.25">
      <c r="A134" s="52">
        <v>121</v>
      </c>
      <c r="B134" s="239"/>
      <c r="C134" s="352" t="s">
        <v>3</v>
      </c>
      <c r="D134" s="239" t="s">
        <v>555</v>
      </c>
      <c r="E134" s="57">
        <f t="shared" si="0"/>
        <v>8.6999999999999993</v>
      </c>
      <c r="F134" s="57">
        <f t="shared" si="0"/>
        <v>8.6999999999999993</v>
      </c>
      <c r="G134" s="57">
        <f>31-22.3</f>
        <v>8.6999999999999993</v>
      </c>
      <c r="H134" s="57">
        <v>8.6999999999999993</v>
      </c>
      <c r="I134" s="57"/>
      <c r="J134" s="57"/>
      <c r="K134" s="57"/>
      <c r="L134" s="303"/>
      <c r="M134" s="54"/>
      <c r="N134" s="54"/>
      <c r="O134" s="54"/>
    </row>
    <row r="135" spans="1:15" ht="24" x14ac:dyDescent="0.25">
      <c r="A135" s="52">
        <v>122</v>
      </c>
      <c r="B135" s="239"/>
      <c r="C135" s="350" t="s">
        <v>750</v>
      </c>
      <c r="D135" s="239"/>
      <c r="E135" s="119">
        <f t="shared" si="0"/>
        <v>25</v>
      </c>
      <c r="F135" s="119">
        <f>+H135+L135</f>
        <v>0</v>
      </c>
      <c r="G135" s="119">
        <f>+G136</f>
        <v>0</v>
      </c>
      <c r="H135" s="119">
        <f>+H136</f>
        <v>0</v>
      </c>
      <c r="I135" s="119">
        <f>+I136</f>
        <v>0</v>
      </c>
      <c r="J135" s="119">
        <f>+J136</f>
        <v>0</v>
      </c>
      <c r="K135" s="119">
        <f>+K136</f>
        <v>25</v>
      </c>
      <c r="L135" s="307">
        <v>0</v>
      </c>
      <c r="M135" s="54"/>
      <c r="N135" s="54"/>
      <c r="O135" s="54"/>
    </row>
    <row r="136" spans="1:15" x14ac:dyDescent="0.25">
      <c r="A136" s="52">
        <v>123</v>
      </c>
      <c r="B136" s="239"/>
      <c r="C136" s="352" t="s">
        <v>3</v>
      </c>
      <c r="D136" s="55" t="s">
        <v>99</v>
      </c>
      <c r="E136" s="57">
        <f t="shared" si="0"/>
        <v>25</v>
      </c>
      <c r="F136" s="57">
        <f t="shared" si="0"/>
        <v>0</v>
      </c>
      <c r="G136" s="57"/>
      <c r="H136" s="57"/>
      <c r="I136" s="57"/>
      <c r="J136" s="57"/>
      <c r="K136" s="57">
        <v>25</v>
      </c>
      <c r="L136" s="57">
        <v>0</v>
      </c>
      <c r="M136" s="54"/>
      <c r="N136" s="54"/>
      <c r="O136" s="54"/>
    </row>
    <row r="137" spans="1:15" x14ac:dyDescent="0.25">
      <c r="A137" s="52">
        <v>124</v>
      </c>
      <c r="B137" s="30" t="s">
        <v>563</v>
      </c>
      <c r="C137" s="35" t="s">
        <v>564</v>
      </c>
      <c r="D137" s="29"/>
      <c r="E137" s="61">
        <f t="shared" si="0"/>
        <v>53</v>
      </c>
      <c r="F137" s="61">
        <f t="shared" si="0"/>
        <v>53</v>
      </c>
      <c r="G137" s="61">
        <f t="shared" ref="G137:L138" si="25">+G138</f>
        <v>53</v>
      </c>
      <c r="H137" s="61">
        <f t="shared" si="25"/>
        <v>53</v>
      </c>
      <c r="I137" s="61">
        <f t="shared" si="25"/>
        <v>0</v>
      </c>
      <c r="J137" s="61">
        <f t="shared" si="25"/>
        <v>0</v>
      </c>
      <c r="K137" s="61">
        <f t="shared" si="25"/>
        <v>0</v>
      </c>
      <c r="L137" s="61">
        <f t="shared" si="25"/>
        <v>0</v>
      </c>
      <c r="M137" s="54"/>
      <c r="N137" s="54"/>
      <c r="O137" s="54"/>
    </row>
    <row r="138" spans="1:15" ht="36" x14ac:dyDescent="0.25">
      <c r="A138" s="52">
        <v>125</v>
      </c>
      <c r="B138" s="239"/>
      <c r="C138" s="271" t="s">
        <v>751</v>
      </c>
      <c r="D138" s="55"/>
      <c r="E138" s="119">
        <f t="shared" si="0"/>
        <v>53</v>
      </c>
      <c r="F138" s="119">
        <f t="shared" si="0"/>
        <v>53</v>
      </c>
      <c r="G138" s="119">
        <f t="shared" si="25"/>
        <v>53</v>
      </c>
      <c r="H138" s="119">
        <f t="shared" si="25"/>
        <v>53</v>
      </c>
      <c r="I138" s="119">
        <f t="shared" si="25"/>
        <v>0</v>
      </c>
      <c r="J138" s="119">
        <f t="shared" si="25"/>
        <v>0</v>
      </c>
      <c r="K138" s="119">
        <f t="shared" si="25"/>
        <v>0</v>
      </c>
      <c r="L138" s="119">
        <f t="shared" si="25"/>
        <v>0</v>
      </c>
      <c r="M138" s="54"/>
      <c r="N138" s="54"/>
      <c r="O138" s="54"/>
    </row>
    <row r="139" spans="1:15" x14ac:dyDescent="0.25">
      <c r="A139" s="52">
        <v>126</v>
      </c>
      <c r="B139" s="239"/>
      <c r="C139" s="352" t="s">
        <v>3</v>
      </c>
      <c r="D139" s="55" t="s">
        <v>752</v>
      </c>
      <c r="E139" s="57">
        <f t="shared" si="0"/>
        <v>53</v>
      </c>
      <c r="F139" s="57">
        <f t="shared" si="0"/>
        <v>53</v>
      </c>
      <c r="G139" s="57">
        <v>53</v>
      </c>
      <c r="H139" s="57">
        <v>53</v>
      </c>
      <c r="I139" s="57"/>
      <c r="J139" s="57"/>
      <c r="K139" s="57"/>
      <c r="L139" s="303"/>
      <c r="M139" s="54"/>
      <c r="N139" s="54"/>
      <c r="O139" s="54"/>
    </row>
    <row r="140" spans="1:15" x14ac:dyDescent="0.25">
      <c r="A140" s="52">
        <v>127</v>
      </c>
      <c r="B140" s="30" t="s">
        <v>77</v>
      </c>
      <c r="C140" s="35" t="s">
        <v>571</v>
      </c>
      <c r="D140" s="55"/>
      <c r="E140" s="61">
        <f t="shared" si="0"/>
        <v>150</v>
      </c>
      <c r="F140" s="61">
        <f t="shared" si="0"/>
        <v>101.3</v>
      </c>
      <c r="G140" s="61">
        <f t="shared" ref="G140:L141" si="26">+G141</f>
        <v>0</v>
      </c>
      <c r="H140" s="61">
        <f t="shared" si="26"/>
        <v>0</v>
      </c>
      <c r="I140" s="61">
        <f t="shared" si="26"/>
        <v>0</v>
      </c>
      <c r="J140" s="61">
        <f t="shared" si="26"/>
        <v>0</v>
      </c>
      <c r="K140" s="61">
        <f t="shared" si="26"/>
        <v>150</v>
      </c>
      <c r="L140" s="61">
        <f t="shared" si="26"/>
        <v>101.3</v>
      </c>
      <c r="M140" s="54"/>
      <c r="N140" s="54"/>
      <c r="O140" s="54"/>
    </row>
    <row r="141" spans="1:15" ht="55.5" customHeight="1" x14ac:dyDescent="0.25">
      <c r="A141" s="52">
        <v>128</v>
      </c>
      <c r="B141" s="239"/>
      <c r="C141" s="350" t="s">
        <v>753</v>
      </c>
      <c r="D141" s="55"/>
      <c r="E141" s="119">
        <f t="shared" si="0"/>
        <v>150</v>
      </c>
      <c r="F141" s="119">
        <f t="shared" si="0"/>
        <v>101.3</v>
      </c>
      <c r="G141" s="119">
        <f t="shared" si="26"/>
        <v>0</v>
      </c>
      <c r="H141" s="119">
        <f t="shared" si="26"/>
        <v>0</v>
      </c>
      <c r="I141" s="119">
        <f t="shared" si="26"/>
        <v>0</v>
      </c>
      <c r="J141" s="119">
        <f t="shared" si="26"/>
        <v>0</v>
      </c>
      <c r="K141" s="119">
        <f t="shared" si="26"/>
        <v>150</v>
      </c>
      <c r="L141" s="119">
        <f t="shared" si="26"/>
        <v>101.3</v>
      </c>
      <c r="M141" s="54"/>
      <c r="N141" s="54"/>
      <c r="O141" s="54"/>
    </row>
    <row r="142" spans="1:15" x14ac:dyDescent="0.25">
      <c r="A142" s="52">
        <v>129</v>
      </c>
      <c r="B142" s="239"/>
      <c r="C142" s="352" t="s">
        <v>3</v>
      </c>
      <c r="D142" s="239" t="s">
        <v>754</v>
      </c>
      <c r="E142" s="57">
        <f t="shared" si="0"/>
        <v>150</v>
      </c>
      <c r="F142" s="57">
        <f t="shared" si="0"/>
        <v>101.3</v>
      </c>
      <c r="G142" s="57"/>
      <c r="H142" s="57"/>
      <c r="I142" s="57"/>
      <c r="J142" s="57"/>
      <c r="K142" s="57">
        <v>150</v>
      </c>
      <c r="L142" s="303">
        <v>101.3</v>
      </c>
      <c r="M142" s="54"/>
      <c r="N142" s="54"/>
      <c r="O142" s="54"/>
    </row>
    <row r="143" spans="1:15" x14ac:dyDescent="0.25">
      <c r="A143" s="52">
        <v>130</v>
      </c>
      <c r="B143" s="30" t="s">
        <v>25</v>
      </c>
      <c r="C143" s="35" t="s">
        <v>26</v>
      </c>
      <c r="D143" s="239"/>
      <c r="E143" s="61">
        <f t="shared" si="0"/>
        <v>381.4</v>
      </c>
      <c r="F143" s="61">
        <f t="shared" si="0"/>
        <v>381.3</v>
      </c>
      <c r="G143" s="61">
        <f t="shared" ref="G143:L143" si="27">+G144+G146</f>
        <v>381.4</v>
      </c>
      <c r="H143" s="61">
        <f t="shared" si="27"/>
        <v>381.3</v>
      </c>
      <c r="I143" s="61">
        <f t="shared" si="27"/>
        <v>0</v>
      </c>
      <c r="J143" s="61">
        <f t="shared" si="27"/>
        <v>0</v>
      </c>
      <c r="K143" s="61">
        <f t="shared" si="27"/>
        <v>0</v>
      </c>
      <c r="L143" s="61">
        <f t="shared" si="27"/>
        <v>0</v>
      </c>
      <c r="M143" s="54"/>
      <c r="N143" s="54"/>
      <c r="O143" s="54"/>
    </row>
    <row r="144" spans="1:15" ht="48" x14ac:dyDescent="0.25">
      <c r="A144" s="52">
        <v>131</v>
      </c>
      <c r="B144" s="239" t="s">
        <v>647</v>
      </c>
      <c r="C144" s="347" t="s">
        <v>755</v>
      </c>
      <c r="D144" s="49"/>
      <c r="E144" s="119">
        <f>+G144+K144</f>
        <v>234.29999999999998</v>
      </c>
      <c r="F144" s="119">
        <f>+H144+L144</f>
        <v>234.20000000000002</v>
      </c>
      <c r="G144" s="119">
        <f>+G145</f>
        <v>234.29999999999998</v>
      </c>
      <c r="H144" s="119">
        <f>+H145</f>
        <v>234.20000000000002</v>
      </c>
      <c r="I144" s="119">
        <f>+I145</f>
        <v>0</v>
      </c>
      <c r="J144" s="119">
        <f>+J145</f>
        <v>0</v>
      </c>
      <c r="K144" s="119"/>
      <c r="L144" s="303"/>
      <c r="M144" s="54"/>
      <c r="N144" s="54"/>
      <c r="O144" s="54"/>
    </row>
    <row r="145" spans="1:15" x14ac:dyDescent="0.25">
      <c r="A145" s="52">
        <v>132</v>
      </c>
      <c r="B145" s="239"/>
      <c r="C145" s="348" t="s">
        <v>3</v>
      </c>
      <c r="D145" s="49" t="s">
        <v>584</v>
      </c>
      <c r="E145" s="57">
        <f t="shared" si="0"/>
        <v>234.29999999999998</v>
      </c>
      <c r="F145" s="57">
        <f t="shared" si="0"/>
        <v>234.20000000000002</v>
      </c>
      <c r="G145" s="57">
        <f>89.3+86.9+37.5+20.6</f>
        <v>234.29999999999998</v>
      </c>
      <c r="H145" s="176">
        <f>234.3-0.1</f>
        <v>234.20000000000002</v>
      </c>
      <c r="I145" s="57"/>
      <c r="J145" s="57"/>
      <c r="K145" s="57"/>
      <c r="L145" s="303"/>
      <c r="M145" s="54"/>
      <c r="N145" s="54"/>
      <c r="O145" s="54"/>
    </row>
    <row r="146" spans="1:15" ht="60" x14ac:dyDescent="0.25">
      <c r="A146" s="52">
        <v>133</v>
      </c>
      <c r="B146" s="239"/>
      <c r="C146" s="347" t="s">
        <v>756</v>
      </c>
      <c r="D146" s="49"/>
      <c r="E146" s="57">
        <f t="shared" ref="E146:F149" si="28">+G146+K146</f>
        <v>147.1</v>
      </c>
      <c r="F146" s="57">
        <f t="shared" si="28"/>
        <v>147.1</v>
      </c>
      <c r="G146" s="57">
        <f t="shared" ref="G146:L147" si="29">+G147</f>
        <v>147.1</v>
      </c>
      <c r="H146" s="57">
        <f t="shared" si="29"/>
        <v>147.1</v>
      </c>
      <c r="I146" s="57">
        <f t="shared" si="29"/>
        <v>0</v>
      </c>
      <c r="J146" s="57">
        <f t="shared" si="29"/>
        <v>0</v>
      </c>
      <c r="K146" s="57">
        <f t="shared" si="29"/>
        <v>0</v>
      </c>
      <c r="L146" s="57">
        <f t="shared" si="29"/>
        <v>0</v>
      </c>
      <c r="M146" s="54"/>
      <c r="N146" s="54"/>
      <c r="O146" s="54"/>
    </row>
    <row r="147" spans="1:15" x14ac:dyDescent="0.25">
      <c r="A147" s="52">
        <v>134</v>
      </c>
      <c r="B147" s="239"/>
      <c r="C147" s="347" t="s">
        <v>291</v>
      </c>
      <c r="D147" s="49" t="s">
        <v>588</v>
      </c>
      <c r="E147" s="57">
        <f t="shared" si="28"/>
        <v>147.1</v>
      </c>
      <c r="F147" s="57">
        <f t="shared" si="28"/>
        <v>147.1</v>
      </c>
      <c r="G147" s="57">
        <f t="shared" si="29"/>
        <v>147.1</v>
      </c>
      <c r="H147" s="57">
        <f t="shared" si="29"/>
        <v>147.1</v>
      </c>
      <c r="I147" s="57">
        <f t="shared" si="29"/>
        <v>0</v>
      </c>
      <c r="J147" s="57">
        <f t="shared" si="29"/>
        <v>0</v>
      </c>
      <c r="K147" s="57">
        <f t="shared" si="29"/>
        <v>0</v>
      </c>
      <c r="L147" s="57">
        <f t="shared" si="29"/>
        <v>0</v>
      </c>
      <c r="M147" s="54"/>
      <c r="N147" s="54"/>
      <c r="O147" s="54"/>
    </row>
    <row r="148" spans="1:15" x14ac:dyDescent="0.25">
      <c r="A148" s="52">
        <v>135</v>
      </c>
      <c r="B148" s="239"/>
      <c r="C148" s="348" t="s">
        <v>587</v>
      </c>
      <c r="D148" s="49"/>
      <c r="E148" s="57">
        <f t="shared" si="28"/>
        <v>147.1</v>
      </c>
      <c r="F148" s="57">
        <f t="shared" si="28"/>
        <v>147.1</v>
      </c>
      <c r="G148" s="57">
        <v>147.1</v>
      </c>
      <c r="H148" s="57">
        <v>147.1</v>
      </c>
      <c r="I148" s="57"/>
      <c r="J148" s="57"/>
      <c r="K148" s="57"/>
      <c r="L148" s="303"/>
      <c r="M148" s="54"/>
      <c r="N148" s="54"/>
      <c r="O148" s="54"/>
    </row>
    <row r="149" spans="1:15" x14ac:dyDescent="0.25">
      <c r="A149" s="52">
        <v>136</v>
      </c>
      <c r="B149" s="30"/>
      <c r="C149" s="78" t="s">
        <v>20</v>
      </c>
      <c r="D149" s="239"/>
      <c r="E149" s="61">
        <f t="shared" si="28"/>
        <v>6620.7</v>
      </c>
      <c r="F149" s="61">
        <f t="shared" si="28"/>
        <v>6508.3</v>
      </c>
      <c r="G149" s="61">
        <f t="shared" ref="G149:L149" si="30">+G13+G106+G90+G110+G93+G129+G132+G137+G140+G143</f>
        <v>2862</v>
      </c>
      <c r="H149" s="61">
        <f t="shared" si="30"/>
        <v>2826.5</v>
      </c>
      <c r="I149" s="61">
        <f t="shared" si="30"/>
        <v>327.60000000000002</v>
      </c>
      <c r="J149" s="61">
        <f t="shared" si="30"/>
        <v>313.3</v>
      </c>
      <c r="K149" s="61">
        <f t="shared" si="30"/>
        <v>3758.7</v>
      </c>
      <c r="L149" s="61">
        <f t="shared" si="30"/>
        <v>3681.8</v>
      </c>
      <c r="M149" s="54"/>
      <c r="N149" s="54"/>
      <c r="O149" s="54"/>
    </row>
    <row r="150" spans="1:15" x14ac:dyDescent="0.25">
      <c r="C150" s="40" t="s">
        <v>86</v>
      </c>
      <c r="D150" s="27"/>
      <c r="E150" s="65"/>
      <c r="F150" s="65"/>
      <c r="G150" s="65"/>
      <c r="H150" s="65"/>
      <c r="I150" s="65"/>
      <c r="J150" s="65"/>
      <c r="K150" s="65"/>
    </row>
    <row r="151" spans="1:15" ht="13.5" customHeight="1" x14ac:dyDescent="0.25">
      <c r="C151" s="311"/>
      <c r="E151" s="66"/>
      <c r="F151" s="66"/>
      <c r="G151" s="65"/>
      <c r="H151" s="65"/>
      <c r="I151" s="65"/>
      <c r="J151" s="65"/>
      <c r="K151" s="65"/>
    </row>
    <row r="152" spans="1:15" x14ac:dyDescent="0.25">
      <c r="C152" s="311"/>
      <c r="D152" s="26"/>
      <c r="E152" s="66"/>
      <c r="F152" s="66"/>
      <c r="G152" s="65"/>
      <c r="H152" s="65"/>
      <c r="I152" s="65"/>
      <c r="J152" s="65"/>
      <c r="K152" s="65"/>
    </row>
    <row r="153" spans="1:15" x14ac:dyDescent="0.25">
      <c r="D153" s="151"/>
      <c r="E153" s="66"/>
      <c r="F153" s="66"/>
      <c r="G153" s="71"/>
      <c r="H153" s="71"/>
      <c r="I153" s="71"/>
      <c r="J153" s="71"/>
      <c r="K153" s="71"/>
    </row>
  </sheetData>
  <mergeCells count="19">
    <mergeCell ref="C1:L1"/>
    <mergeCell ref="C2:L2"/>
    <mergeCell ref="E3:L3"/>
    <mergeCell ref="G8:L8"/>
    <mergeCell ref="G9:J9"/>
    <mergeCell ref="K9:L9"/>
    <mergeCell ref="L10:L11"/>
    <mergeCell ref="A5:K5"/>
    <mergeCell ref="J7:L7"/>
    <mergeCell ref="A8:A11"/>
    <mergeCell ref="B8:B11"/>
    <mergeCell ref="C8:C11"/>
    <mergeCell ref="D8:D11"/>
    <mergeCell ref="E8:F9"/>
    <mergeCell ref="E10:E11"/>
    <mergeCell ref="F10:F11"/>
    <mergeCell ref="G10:H10"/>
    <mergeCell ref="I10:J10"/>
    <mergeCell ref="K10:K11"/>
  </mergeCells>
  <pageMargins left="0.70866141732283472" right="0.70866141732283472" top="0.6692913385826772" bottom="0.35433070866141736" header="0.31496062992125984" footer="0.31496062992125984"/>
  <pageSetup paperSize="9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selection activeCell="C2" sqref="C2:L2"/>
    </sheetView>
  </sheetViews>
  <sheetFormatPr defaultColWidth="9.109375" defaultRowHeight="13.2" x14ac:dyDescent="0.25"/>
  <cols>
    <col min="1" max="1" width="4.6640625" style="48" customWidth="1"/>
    <col min="2" max="2" width="6" style="27" customWidth="1"/>
    <col min="3" max="3" width="41.44140625" style="40" customWidth="1"/>
    <col min="4" max="4" width="10.33203125" style="41" bestFit="1" customWidth="1"/>
    <col min="5" max="5" width="9.44140625" style="48" customWidth="1"/>
    <col min="6" max="6" width="9.44140625" style="151" customWidth="1"/>
    <col min="7" max="7" width="9.44140625" style="48" customWidth="1"/>
    <col min="8" max="8" width="9.44140625" style="151" customWidth="1"/>
    <col min="9" max="9" width="9" style="48" customWidth="1"/>
    <col min="10" max="10" width="9" style="151" customWidth="1"/>
    <col min="11" max="11" width="7.6640625" style="48" customWidth="1"/>
    <col min="12" max="13" width="9.33203125" style="26" customWidth="1"/>
    <col min="14" max="15" width="9.109375" style="26" customWidth="1"/>
    <col min="16" max="16384" width="9.109375" style="26"/>
  </cols>
  <sheetData>
    <row r="1" spans="1:22" ht="15.75" customHeight="1" x14ac:dyDescent="0.3">
      <c r="A1" s="240"/>
      <c r="B1" s="41"/>
      <c r="C1" s="391" t="s">
        <v>281</v>
      </c>
      <c r="D1" s="391"/>
      <c r="E1" s="391"/>
      <c r="F1" s="391"/>
      <c r="G1" s="391"/>
      <c r="H1" s="391"/>
      <c r="I1" s="391"/>
      <c r="J1" s="391"/>
      <c r="K1" s="391"/>
      <c r="L1" s="391"/>
    </row>
    <row r="2" spans="1:22" ht="15.6" x14ac:dyDescent="0.3">
      <c r="A2" s="240"/>
      <c r="B2" s="41"/>
      <c r="C2" s="391" t="s">
        <v>762</v>
      </c>
      <c r="D2" s="391"/>
      <c r="E2" s="391"/>
      <c r="F2" s="391"/>
      <c r="G2" s="391"/>
      <c r="H2" s="391"/>
      <c r="I2" s="391"/>
      <c r="J2" s="391"/>
      <c r="K2" s="391"/>
      <c r="L2" s="391"/>
    </row>
    <row r="3" spans="1:22" ht="14.25" customHeight="1" x14ac:dyDescent="0.25">
      <c r="A3" s="240"/>
      <c r="C3" s="118"/>
      <c r="D3" s="241"/>
      <c r="E3" s="392" t="s">
        <v>765</v>
      </c>
      <c r="F3" s="392"/>
      <c r="G3" s="392"/>
      <c r="H3" s="392"/>
      <c r="I3" s="392"/>
      <c r="J3" s="392"/>
      <c r="K3" s="392"/>
      <c r="L3" s="392"/>
    </row>
    <row r="4" spans="1:22" ht="15.6" x14ac:dyDescent="0.25">
      <c r="E4" s="42"/>
      <c r="F4" s="145"/>
      <c r="G4" s="42"/>
      <c r="H4" s="145"/>
      <c r="I4" s="42"/>
      <c r="J4" s="145"/>
      <c r="K4" s="42"/>
    </row>
    <row r="5" spans="1:22" ht="31.5" customHeight="1" x14ac:dyDescent="0.25">
      <c r="A5" s="405" t="s">
        <v>192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</row>
    <row r="6" spans="1:22" x14ac:dyDescent="0.25">
      <c r="A6" s="43"/>
      <c r="B6" s="43"/>
      <c r="C6" s="43"/>
      <c r="D6" s="43"/>
      <c r="E6" s="43"/>
      <c r="F6" s="143"/>
      <c r="G6" s="43"/>
      <c r="H6" s="143"/>
      <c r="I6" s="43"/>
      <c r="J6" s="143"/>
      <c r="K6" s="43"/>
    </row>
    <row r="7" spans="1:22" x14ac:dyDescent="0.25">
      <c r="A7" s="47"/>
      <c r="B7" s="44"/>
      <c r="C7" s="45"/>
      <c r="D7" s="46"/>
      <c r="E7" s="47"/>
      <c r="F7" s="47"/>
      <c r="G7" s="47"/>
      <c r="H7" s="47"/>
      <c r="I7" s="47"/>
      <c r="J7" s="357" t="s">
        <v>91</v>
      </c>
      <c r="K7" s="357"/>
      <c r="L7" s="357"/>
    </row>
    <row r="8" spans="1:22" ht="12.75" customHeight="1" x14ac:dyDescent="0.25">
      <c r="A8" s="377" t="s">
        <v>0</v>
      </c>
      <c r="B8" s="411" t="s">
        <v>29</v>
      </c>
      <c r="C8" s="411" t="s">
        <v>16</v>
      </c>
      <c r="D8" s="377" t="s">
        <v>52</v>
      </c>
      <c r="E8" s="367" t="s">
        <v>17</v>
      </c>
      <c r="F8" s="368"/>
      <c r="G8" s="381" t="s">
        <v>78</v>
      </c>
      <c r="H8" s="406"/>
      <c r="I8" s="406"/>
      <c r="J8" s="406"/>
      <c r="K8" s="406"/>
      <c r="L8" s="382"/>
      <c r="M8" s="32"/>
      <c r="N8" s="32"/>
      <c r="O8" s="32"/>
    </row>
    <row r="9" spans="1:22" ht="12.75" customHeight="1" x14ac:dyDescent="0.25">
      <c r="A9" s="407"/>
      <c r="B9" s="412"/>
      <c r="C9" s="412"/>
      <c r="D9" s="407"/>
      <c r="E9" s="369"/>
      <c r="F9" s="370"/>
      <c r="G9" s="381" t="s">
        <v>162</v>
      </c>
      <c r="H9" s="406"/>
      <c r="I9" s="406"/>
      <c r="J9" s="382"/>
      <c r="K9" s="367" t="s">
        <v>30</v>
      </c>
      <c r="L9" s="368"/>
      <c r="M9" s="32"/>
      <c r="N9" s="32"/>
      <c r="O9" s="32"/>
    </row>
    <row r="10" spans="1:22" ht="27" customHeight="1" x14ac:dyDescent="0.25">
      <c r="A10" s="407"/>
      <c r="B10" s="412"/>
      <c r="C10" s="412"/>
      <c r="D10" s="407"/>
      <c r="E10" s="377" t="s">
        <v>277</v>
      </c>
      <c r="F10" s="377" t="s">
        <v>278</v>
      </c>
      <c r="G10" s="381" t="s">
        <v>31</v>
      </c>
      <c r="H10" s="382"/>
      <c r="I10" s="381" t="s">
        <v>32</v>
      </c>
      <c r="J10" s="382"/>
      <c r="K10" s="369"/>
      <c r="L10" s="370"/>
      <c r="M10" s="32"/>
      <c r="N10" s="32"/>
      <c r="O10" s="32"/>
      <c r="V10" s="51"/>
    </row>
    <row r="11" spans="1:22" ht="18.600000000000001" customHeight="1" x14ac:dyDescent="0.25">
      <c r="A11" s="378"/>
      <c r="B11" s="413"/>
      <c r="C11" s="413"/>
      <c r="D11" s="378"/>
      <c r="E11" s="378"/>
      <c r="F11" s="378"/>
      <c r="G11" s="149" t="s">
        <v>277</v>
      </c>
      <c r="H11" s="149" t="s">
        <v>278</v>
      </c>
      <c r="I11" s="149" t="s">
        <v>277</v>
      </c>
      <c r="J11" s="149" t="s">
        <v>278</v>
      </c>
      <c r="K11" s="149" t="s">
        <v>277</v>
      </c>
      <c r="L11" s="186" t="s">
        <v>278</v>
      </c>
      <c r="M11" s="32"/>
      <c r="N11" s="32"/>
      <c r="O11" s="32"/>
      <c r="V11" s="142"/>
    </row>
    <row r="12" spans="1:22" s="51" customFormat="1" ht="12.75" customHeight="1" x14ac:dyDescent="0.25">
      <c r="A12" s="52">
        <v>1</v>
      </c>
      <c r="B12" s="29" t="s">
        <v>19</v>
      </c>
      <c r="C12" s="29" t="s">
        <v>79</v>
      </c>
      <c r="D12" s="28">
        <v>4</v>
      </c>
      <c r="E12" s="28">
        <v>5</v>
      </c>
      <c r="F12" s="149">
        <v>6</v>
      </c>
      <c r="G12" s="28">
        <v>7</v>
      </c>
      <c r="H12" s="149">
        <v>8</v>
      </c>
      <c r="I12" s="28">
        <v>9</v>
      </c>
      <c r="J12" s="149">
        <v>10</v>
      </c>
      <c r="K12" s="50">
        <v>11</v>
      </c>
      <c r="L12" s="185">
        <v>12</v>
      </c>
      <c r="M12" s="32"/>
      <c r="N12" s="32"/>
      <c r="O12" s="32"/>
    </row>
    <row r="13" spans="1:22" s="51" customFormat="1" ht="12" customHeight="1" x14ac:dyDescent="0.25">
      <c r="A13" s="52">
        <v>1</v>
      </c>
      <c r="B13" s="30" t="s">
        <v>53</v>
      </c>
      <c r="C13" s="31" t="s">
        <v>54</v>
      </c>
      <c r="D13" s="28"/>
      <c r="E13" s="61">
        <f t="shared" ref="E13:F41" si="0">+G13+K13</f>
        <v>31.200000000000003</v>
      </c>
      <c r="F13" s="61">
        <f t="shared" si="0"/>
        <v>25.9</v>
      </c>
      <c r="G13" s="53">
        <f t="shared" ref="G13:L13" si="1">+G14+G18</f>
        <v>6.5</v>
      </c>
      <c r="H13" s="53">
        <f t="shared" si="1"/>
        <v>5.0999999999999996</v>
      </c>
      <c r="I13" s="53">
        <f t="shared" si="1"/>
        <v>2.4</v>
      </c>
      <c r="J13" s="53">
        <f t="shared" si="1"/>
        <v>1.9</v>
      </c>
      <c r="K13" s="53">
        <f t="shared" si="1"/>
        <v>24.700000000000003</v>
      </c>
      <c r="L13" s="53">
        <f t="shared" si="1"/>
        <v>20.8</v>
      </c>
      <c r="M13" s="32"/>
      <c r="N13" s="32"/>
      <c r="O13" s="32"/>
      <c r="P13" s="72"/>
      <c r="Q13" s="54"/>
      <c r="R13" s="54"/>
      <c r="S13" s="54"/>
    </row>
    <row r="14" spans="1:22" s="165" customFormat="1" ht="24" customHeight="1" x14ac:dyDescent="0.25">
      <c r="A14" s="156">
        <v>2</v>
      </c>
      <c r="B14" s="157"/>
      <c r="C14" s="182" t="s">
        <v>233</v>
      </c>
      <c r="D14" s="171"/>
      <c r="E14" s="176">
        <f t="shared" ref="E14:F17" si="2">+G14+K14</f>
        <v>4.5</v>
      </c>
      <c r="F14" s="176">
        <f t="shared" si="2"/>
        <v>3.8</v>
      </c>
      <c r="G14" s="180">
        <f t="shared" ref="G14:L14" si="3">+G15+G16+G17</f>
        <v>4.2</v>
      </c>
      <c r="H14" s="180">
        <f t="shared" si="3"/>
        <v>3.5999999999999996</v>
      </c>
      <c r="I14" s="180">
        <f t="shared" si="3"/>
        <v>2.4</v>
      </c>
      <c r="J14" s="180">
        <f t="shared" si="3"/>
        <v>1.9</v>
      </c>
      <c r="K14" s="180">
        <f t="shared" si="3"/>
        <v>0.3</v>
      </c>
      <c r="L14" s="180">
        <f t="shared" si="3"/>
        <v>0.2</v>
      </c>
      <c r="M14" s="162"/>
      <c r="N14" s="162"/>
      <c r="O14" s="162"/>
      <c r="P14" s="163"/>
      <c r="Q14" s="164"/>
      <c r="R14" s="164"/>
      <c r="S14" s="164"/>
    </row>
    <row r="15" spans="1:22" s="165" customFormat="1" ht="12.75" customHeight="1" x14ac:dyDescent="0.25">
      <c r="A15" s="156" t="s">
        <v>208</v>
      </c>
      <c r="B15" s="157"/>
      <c r="C15" s="183" t="s">
        <v>234</v>
      </c>
      <c r="D15" s="171" t="s">
        <v>57</v>
      </c>
      <c r="E15" s="176">
        <f t="shared" si="2"/>
        <v>1</v>
      </c>
      <c r="F15" s="176">
        <f t="shared" si="2"/>
        <v>1</v>
      </c>
      <c r="G15" s="180">
        <v>1</v>
      </c>
      <c r="H15" s="180">
        <v>1</v>
      </c>
      <c r="I15" s="180">
        <v>0.2</v>
      </c>
      <c r="J15" s="180">
        <v>0.2</v>
      </c>
      <c r="K15" s="180"/>
      <c r="L15" s="161"/>
      <c r="M15" s="162"/>
      <c r="N15" s="162"/>
      <c r="O15" s="162"/>
      <c r="P15" s="163"/>
      <c r="Q15" s="164"/>
      <c r="R15" s="164"/>
      <c r="S15" s="164"/>
    </row>
    <row r="16" spans="1:22" s="165" customFormat="1" ht="12.75" customHeight="1" x14ac:dyDescent="0.25">
      <c r="A16" s="156" t="s">
        <v>138</v>
      </c>
      <c r="B16" s="157"/>
      <c r="C16" s="183" t="s">
        <v>225</v>
      </c>
      <c r="D16" s="184" t="s">
        <v>59</v>
      </c>
      <c r="E16" s="176">
        <f t="shared" si="2"/>
        <v>1.1000000000000001</v>
      </c>
      <c r="F16" s="176">
        <f t="shared" si="2"/>
        <v>0.9</v>
      </c>
      <c r="G16" s="180">
        <v>1.1000000000000001</v>
      </c>
      <c r="H16" s="180">
        <v>0.9</v>
      </c>
      <c r="I16" s="180">
        <v>0.2</v>
      </c>
      <c r="J16" s="180">
        <v>0.2</v>
      </c>
      <c r="K16" s="180"/>
      <c r="L16" s="161"/>
      <c r="M16" s="162"/>
      <c r="N16" s="162"/>
      <c r="O16" s="162"/>
      <c r="P16" s="163"/>
      <c r="Q16" s="164"/>
      <c r="R16" s="164"/>
      <c r="S16" s="164"/>
    </row>
    <row r="17" spans="1:24" s="165" customFormat="1" ht="12.75" customHeight="1" x14ac:dyDescent="0.25">
      <c r="A17" s="156" t="s">
        <v>209</v>
      </c>
      <c r="B17" s="157"/>
      <c r="C17" s="183" t="s">
        <v>226</v>
      </c>
      <c r="D17" s="184" t="s">
        <v>227</v>
      </c>
      <c r="E17" s="176">
        <f t="shared" si="2"/>
        <v>2.4</v>
      </c>
      <c r="F17" s="176">
        <f t="shared" si="2"/>
        <v>1.9</v>
      </c>
      <c r="G17" s="180">
        <v>2.1</v>
      </c>
      <c r="H17" s="180">
        <v>1.7</v>
      </c>
      <c r="I17" s="180">
        <v>2</v>
      </c>
      <c r="J17" s="180">
        <f>1.6-0.1</f>
        <v>1.5</v>
      </c>
      <c r="K17" s="180">
        <v>0.3</v>
      </c>
      <c r="L17" s="161">
        <v>0.2</v>
      </c>
      <c r="M17" s="162"/>
      <c r="N17" s="162"/>
      <c r="O17" s="162"/>
      <c r="P17" s="163"/>
      <c r="Q17" s="164"/>
      <c r="R17" s="164"/>
      <c r="S17" s="164"/>
    </row>
    <row r="18" spans="1:24" s="51" customFormat="1" ht="12.75" customHeight="1" x14ac:dyDescent="0.25">
      <c r="A18" s="52">
        <v>3</v>
      </c>
      <c r="B18" s="29"/>
      <c r="C18" s="60" t="s">
        <v>143</v>
      </c>
      <c r="D18" s="28"/>
      <c r="E18" s="73">
        <f t="shared" si="0"/>
        <v>26.700000000000003</v>
      </c>
      <c r="F18" s="73">
        <f t="shared" si="0"/>
        <v>22.1</v>
      </c>
      <c r="G18" s="73">
        <f t="shared" ref="G18:L18" si="4">+G19+G20+G21</f>
        <v>2.2999999999999998</v>
      </c>
      <c r="H18" s="73">
        <f>+H19+H20+H21</f>
        <v>1.5</v>
      </c>
      <c r="I18" s="73">
        <f t="shared" si="4"/>
        <v>0</v>
      </c>
      <c r="J18" s="73">
        <f t="shared" si="4"/>
        <v>0</v>
      </c>
      <c r="K18" s="73">
        <f t="shared" si="4"/>
        <v>24.400000000000002</v>
      </c>
      <c r="L18" s="73">
        <f t="shared" si="4"/>
        <v>20.6</v>
      </c>
      <c r="M18" s="32"/>
      <c r="N18" s="32"/>
      <c r="O18" s="32"/>
      <c r="P18" s="72"/>
      <c r="Q18" s="54"/>
      <c r="R18" s="54"/>
      <c r="S18" s="54"/>
    </row>
    <row r="19" spans="1:24" s="51" customFormat="1" ht="26.4" x14ac:dyDescent="0.25">
      <c r="A19" s="52" t="s">
        <v>100</v>
      </c>
      <c r="B19" s="29"/>
      <c r="C19" s="34" t="s">
        <v>135</v>
      </c>
      <c r="D19" s="38" t="s">
        <v>55</v>
      </c>
      <c r="E19" s="73">
        <f t="shared" si="0"/>
        <v>3.2</v>
      </c>
      <c r="F19" s="73">
        <f t="shared" si="0"/>
        <v>1.9000000000000001</v>
      </c>
      <c r="G19" s="73">
        <v>0.5</v>
      </c>
      <c r="H19" s="73">
        <v>0.1</v>
      </c>
      <c r="I19" s="73"/>
      <c r="J19" s="73"/>
      <c r="K19" s="57">
        <v>2.7</v>
      </c>
      <c r="L19" s="90">
        <v>1.8</v>
      </c>
      <c r="M19" s="32"/>
      <c r="N19" s="32"/>
      <c r="O19" s="32"/>
      <c r="P19" s="72"/>
      <c r="Q19" s="54"/>
      <c r="R19" s="54"/>
      <c r="S19" s="54"/>
    </row>
    <row r="20" spans="1:24" s="51" customFormat="1" ht="26.4" x14ac:dyDescent="0.25">
      <c r="A20" s="52" t="s">
        <v>115</v>
      </c>
      <c r="B20" s="29"/>
      <c r="C20" s="60" t="s">
        <v>136</v>
      </c>
      <c r="D20" s="38" t="s">
        <v>55</v>
      </c>
      <c r="E20" s="73">
        <f t="shared" si="0"/>
        <v>10.200000000000001</v>
      </c>
      <c r="F20" s="73">
        <f t="shared" si="0"/>
        <v>9.9</v>
      </c>
      <c r="G20" s="73">
        <v>0.9</v>
      </c>
      <c r="H20" s="73">
        <v>0.6</v>
      </c>
      <c r="I20" s="73"/>
      <c r="J20" s="73"/>
      <c r="K20" s="57">
        <v>9.3000000000000007</v>
      </c>
      <c r="L20" s="90">
        <v>9.3000000000000007</v>
      </c>
      <c r="M20" s="32"/>
      <c r="N20" s="32"/>
      <c r="O20" s="32"/>
      <c r="P20" s="72"/>
      <c r="Q20" s="54"/>
      <c r="R20" s="54"/>
      <c r="S20" s="54"/>
    </row>
    <row r="21" spans="1:24" s="165" customFormat="1" ht="36.75" customHeight="1" x14ac:dyDescent="0.25">
      <c r="A21" s="156" t="s">
        <v>137</v>
      </c>
      <c r="B21" s="169"/>
      <c r="C21" s="179" t="s">
        <v>103</v>
      </c>
      <c r="D21" s="171" t="s">
        <v>58</v>
      </c>
      <c r="E21" s="180">
        <f t="shared" si="0"/>
        <v>13.300000000000002</v>
      </c>
      <c r="F21" s="73">
        <f t="shared" si="0"/>
        <v>10.3</v>
      </c>
      <c r="G21" s="172">
        <f>0.2+0.7</f>
        <v>0.89999999999999991</v>
      </c>
      <c r="H21" s="172">
        <v>0.8</v>
      </c>
      <c r="I21" s="176"/>
      <c r="J21" s="176"/>
      <c r="K21" s="176">
        <f>10.8-0.7+2.3</f>
        <v>12.400000000000002</v>
      </c>
      <c r="L21" s="206">
        <v>9.5</v>
      </c>
      <c r="M21" s="162"/>
      <c r="N21" s="162"/>
      <c r="O21" s="162"/>
      <c r="P21" s="163"/>
      <c r="Q21" s="181"/>
      <c r="R21" s="164"/>
      <c r="S21" s="164"/>
    </row>
    <row r="22" spans="1:24" s="51" customFormat="1" x14ac:dyDescent="0.25">
      <c r="A22" s="52">
        <v>4</v>
      </c>
      <c r="B22" s="30" t="s">
        <v>60</v>
      </c>
      <c r="C22" s="59" t="s">
        <v>61</v>
      </c>
      <c r="D22" s="33"/>
      <c r="E22" s="74">
        <f t="shared" si="0"/>
        <v>11.2</v>
      </c>
      <c r="F22" s="74">
        <f t="shared" si="0"/>
        <v>4.3999999999999995</v>
      </c>
      <c r="G22" s="74">
        <f t="shared" ref="G22:L22" si="5">+G23</f>
        <v>9.1999999999999993</v>
      </c>
      <c r="H22" s="74">
        <f t="shared" si="5"/>
        <v>4.3</v>
      </c>
      <c r="I22" s="74">
        <f t="shared" si="5"/>
        <v>0</v>
      </c>
      <c r="J22" s="74">
        <f t="shared" si="5"/>
        <v>0</v>
      </c>
      <c r="K22" s="74">
        <f t="shared" si="5"/>
        <v>2</v>
      </c>
      <c r="L22" s="74">
        <f t="shared" si="5"/>
        <v>0.1</v>
      </c>
      <c r="M22" s="32"/>
      <c r="N22" s="32"/>
      <c r="O22" s="32"/>
      <c r="P22" s="72"/>
      <c r="Q22" s="54"/>
      <c r="R22" s="54"/>
      <c r="S22" s="54"/>
    </row>
    <row r="23" spans="1:24" s="51" customFormat="1" x14ac:dyDescent="0.25">
      <c r="A23" s="52">
        <v>5</v>
      </c>
      <c r="B23" s="30"/>
      <c r="C23" s="60" t="s">
        <v>143</v>
      </c>
      <c r="D23" s="33"/>
      <c r="E23" s="67">
        <f>+G23+K23</f>
        <v>11.2</v>
      </c>
      <c r="F23" s="172">
        <f>+H23+L23</f>
        <v>4.3999999999999995</v>
      </c>
      <c r="G23" s="67">
        <f t="shared" ref="G23:L23" si="6">+G24+G25</f>
        <v>9.1999999999999993</v>
      </c>
      <c r="H23" s="67">
        <f t="shared" si="6"/>
        <v>4.3</v>
      </c>
      <c r="I23" s="67">
        <f t="shared" si="6"/>
        <v>0</v>
      </c>
      <c r="J23" s="67">
        <f t="shared" si="6"/>
        <v>0</v>
      </c>
      <c r="K23" s="67">
        <f t="shared" si="6"/>
        <v>2</v>
      </c>
      <c r="L23" s="67">
        <f t="shared" si="6"/>
        <v>0.1</v>
      </c>
      <c r="M23" s="32"/>
      <c r="N23" s="32"/>
      <c r="O23" s="32"/>
      <c r="P23" s="72"/>
      <c r="Q23" s="54"/>
      <c r="R23" s="54"/>
      <c r="S23" s="54"/>
    </row>
    <row r="24" spans="1:24" s="51" customFormat="1" ht="36.75" customHeight="1" x14ac:dyDescent="0.25">
      <c r="A24" s="52" t="s">
        <v>101</v>
      </c>
      <c r="B24" s="30"/>
      <c r="C24" s="64" t="s">
        <v>104</v>
      </c>
      <c r="D24" s="33" t="s">
        <v>140</v>
      </c>
      <c r="E24" s="67">
        <f t="shared" si="0"/>
        <v>6.8</v>
      </c>
      <c r="F24" s="67">
        <f t="shared" ref="F24:F25" si="7">+H24+L24</f>
        <v>1</v>
      </c>
      <c r="G24" s="67">
        <v>4.8</v>
      </c>
      <c r="H24" s="67">
        <v>0.9</v>
      </c>
      <c r="I24" s="57"/>
      <c r="J24" s="57"/>
      <c r="K24" s="57">
        <v>2</v>
      </c>
      <c r="L24" s="90">
        <v>0.1</v>
      </c>
      <c r="M24" s="32"/>
      <c r="N24" s="32"/>
      <c r="O24" s="32"/>
      <c r="P24" s="72"/>
      <c r="Q24" s="54"/>
      <c r="R24" s="54"/>
      <c r="S24" s="54"/>
    </row>
    <row r="25" spans="1:24" s="51" customFormat="1" ht="36.75" customHeight="1" x14ac:dyDescent="0.25">
      <c r="A25" s="52" t="s">
        <v>151</v>
      </c>
      <c r="B25" s="30"/>
      <c r="C25" s="64" t="s">
        <v>149</v>
      </c>
      <c r="D25" s="33" t="s">
        <v>150</v>
      </c>
      <c r="E25" s="67">
        <f t="shared" si="0"/>
        <v>4.4000000000000004</v>
      </c>
      <c r="F25" s="67">
        <f t="shared" si="7"/>
        <v>3.4</v>
      </c>
      <c r="G25" s="67">
        <f>3+1.4</f>
        <v>4.4000000000000004</v>
      </c>
      <c r="H25" s="67">
        <v>3.4</v>
      </c>
      <c r="I25" s="57"/>
      <c r="J25" s="57"/>
      <c r="K25" s="57"/>
      <c r="L25" s="155"/>
      <c r="M25" s="32"/>
      <c r="N25" s="32"/>
      <c r="O25" s="32"/>
      <c r="P25" s="72"/>
      <c r="Q25" s="54"/>
      <c r="R25" s="54"/>
      <c r="S25" s="54"/>
    </row>
    <row r="26" spans="1:24" s="51" customFormat="1" x14ac:dyDescent="0.25">
      <c r="A26" s="52">
        <v>6</v>
      </c>
      <c r="B26" s="30" t="s">
        <v>65</v>
      </c>
      <c r="C26" s="59" t="s">
        <v>66</v>
      </c>
      <c r="D26" s="33"/>
      <c r="E26" s="74">
        <f t="shared" si="0"/>
        <v>35.199999999999996</v>
      </c>
      <c r="F26" s="74">
        <f t="shared" si="0"/>
        <v>29.6</v>
      </c>
      <c r="G26" s="74">
        <f t="shared" ref="G26:L26" si="8">+G27+G29</f>
        <v>1.3</v>
      </c>
      <c r="H26" s="74">
        <f t="shared" si="8"/>
        <v>1.1000000000000001</v>
      </c>
      <c r="I26" s="74">
        <f t="shared" si="8"/>
        <v>0</v>
      </c>
      <c r="J26" s="74">
        <f t="shared" si="8"/>
        <v>0</v>
      </c>
      <c r="K26" s="74">
        <f t="shared" si="8"/>
        <v>33.9</v>
      </c>
      <c r="L26" s="74">
        <f t="shared" si="8"/>
        <v>28.5</v>
      </c>
      <c r="M26" s="32"/>
      <c r="N26" s="32"/>
      <c r="O26" s="32"/>
      <c r="P26" s="72"/>
      <c r="Q26" s="54"/>
      <c r="R26" s="54"/>
      <c r="S26" s="54"/>
      <c r="X26" s="75">
        <f>+Y26+AA26</f>
        <v>0</v>
      </c>
    </row>
    <row r="27" spans="1:24" s="165" customFormat="1" x14ac:dyDescent="0.25">
      <c r="A27" s="156">
        <v>7</v>
      </c>
      <c r="B27" s="157"/>
      <c r="C27" s="158" t="s">
        <v>230</v>
      </c>
      <c r="D27" s="159"/>
      <c r="E27" s="160">
        <f t="shared" ref="E27:F30" si="9">+G27+K27</f>
        <v>1.3</v>
      </c>
      <c r="F27" s="160">
        <f t="shared" si="9"/>
        <v>1.1000000000000001</v>
      </c>
      <c r="G27" s="160">
        <f t="shared" ref="G27:L27" si="10">+G28</f>
        <v>1.3</v>
      </c>
      <c r="H27" s="160">
        <f t="shared" si="10"/>
        <v>1.1000000000000001</v>
      </c>
      <c r="I27" s="160">
        <f t="shared" si="10"/>
        <v>0</v>
      </c>
      <c r="J27" s="160">
        <f t="shared" si="10"/>
        <v>0</v>
      </c>
      <c r="K27" s="160">
        <f t="shared" si="10"/>
        <v>0</v>
      </c>
      <c r="L27" s="226">
        <f t="shared" si="10"/>
        <v>0</v>
      </c>
      <c r="M27" s="162"/>
      <c r="N27" s="162"/>
      <c r="O27" s="162"/>
      <c r="P27" s="163"/>
      <c r="Q27" s="164"/>
      <c r="R27" s="164"/>
      <c r="S27" s="164"/>
      <c r="X27" s="166"/>
    </row>
    <row r="28" spans="1:24" s="165" customFormat="1" x14ac:dyDescent="0.25">
      <c r="A28" s="156" t="s">
        <v>198</v>
      </c>
      <c r="B28" s="157"/>
      <c r="C28" s="167" t="s">
        <v>231</v>
      </c>
      <c r="D28" s="168" t="s">
        <v>67</v>
      </c>
      <c r="E28" s="160">
        <f t="shared" si="9"/>
        <v>1.3</v>
      </c>
      <c r="F28" s="160">
        <f t="shared" si="9"/>
        <v>1.1000000000000001</v>
      </c>
      <c r="G28" s="160">
        <v>1.3</v>
      </c>
      <c r="H28" s="160">
        <v>1.1000000000000001</v>
      </c>
      <c r="I28" s="160"/>
      <c r="J28" s="160"/>
      <c r="K28" s="160"/>
      <c r="L28" s="227"/>
      <c r="M28" s="162"/>
      <c r="N28" s="162"/>
      <c r="O28" s="162"/>
      <c r="P28" s="163"/>
      <c r="Q28" s="164"/>
      <c r="R28" s="164"/>
      <c r="S28" s="164"/>
      <c r="X28" s="166"/>
    </row>
    <row r="29" spans="1:24" s="165" customFormat="1" x14ac:dyDescent="0.25">
      <c r="A29" s="156">
        <v>8</v>
      </c>
      <c r="B29" s="169"/>
      <c r="C29" s="170" t="s">
        <v>143</v>
      </c>
      <c r="D29" s="171"/>
      <c r="E29" s="172">
        <f t="shared" si="9"/>
        <v>33.9</v>
      </c>
      <c r="F29" s="172">
        <f t="shared" si="9"/>
        <v>28.5</v>
      </c>
      <c r="G29" s="172">
        <f t="shared" ref="G29:L29" si="11">+G30+G31</f>
        <v>0</v>
      </c>
      <c r="H29" s="172">
        <f t="shared" si="11"/>
        <v>0</v>
      </c>
      <c r="I29" s="172">
        <f t="shared" si="11"/>
        <v>0</v>
      </c>
      <c r="J29" s="172">
        <f t="shared" si="11"/>
        <v>0</v>
      </c>
      <c r="K29" s="172">
        <f t="shared" si="11"/>
        <v>33.9</v>
      </c>
      <c r="L29" s="228">
        <f t="shared" si="11"/>
        <v>28.5</v>
      </c>
      <c r="M29" s="173"/>
      <c r="N29" s="173"/>
      <c r="O29" s="173"/>
      <c r="P29" s="163"/>
      <c r="Q29" s="164"/>
      <c r="R29" s="164"/>
      <c r="S29" s="164"/>
    </row>
    <row r="30" spans="1:24" s="51" customFormat="1" ht="26.4" x14ac:dyDescent="0.25">
      <c r="A30" s="52" t="s">
        <v>210</v>
      </c>
      <c r="B30" s="29"/>
      <c r="C30" s="60" t="s">
        <v>106</v>
      </c>
      <c r="D30" s="33" t="s">
        <v>67</v>
      </c>
      <c r="E30" s="67">
        <f t="shared" si="9"/>
        <v>3.9</v>
      </c>
      <c r="F30" s="67">
        <f t="shared" si="9"/>
        <v>3.9</v>
      </c>
      <c r="G30" s="67"/>
      <c r="H30" s="67"/>
      <c r="I30" s="57"/>
      <c r="J30" s="57"/>
      <c r="K30" s="57">
        <v>3.9</v>
      </c>
      <c r="L30" s="90">
        <v>3.9</v>
      </c>
      <c r="M30" s="32"/>
      <c r="N30" s="32"/>
      <c r="O30" s="32"/>
      <c r="P30" s="72"/>
      <c r="Q30" s="54"/>
      <c r="R30" s="54"/>
      <c r="S30" s="54"/>
    </row>
    <row r="31" spans="1:24" s="51" customFormat="1" ht="39.6" x14ac:dyDescent="0.25">
      <c r="A31" s="52" t="s">
        <v>275</v>
      </c>
      <c r="B31" s="29"/>
      <c r="C31" s="60" t="s">
        <v>146</v>
      </c>
      <c r="D31" s="33" t="s">
        <v>67</v>
      </c>
      <c r="E31" s="67">
        <f t="shared" si="0"/>
        <v>30</v>
      </c>
      <c r="F31" s="67">
        <f t="shared" si="0"/>
        <v>24.6</v>
      </c>
      <c r="G31" s="67"/>
      <c r="H31" s="67"/>
      <c r="I31" s="57"/>
      <c r="J31" s="57"/>
      <c r="K31" s="57">
        <v>30</v>
      </c>
      <c r="L31" s="90">
        <v>24.6</v>
      </c>
      <c r="M31" s="32"/>
      <c r="N31" s="32"/>
      <c r="O31" s="32"/>
      <c r="P31" s="72"/>
      <c r="Q31" s="54"/>
      <c r="R31" s="54"/>
      <c r="S31" s="54"/>
    </row>
    <row r="32" spans="1:24" ht="26.4" x14ac:dyDescent="0.25">
      <c r="A32" s="52">
        <v>9</v>
      </c>
      <c r="B32" s="30" t="s">
        <v>80</v>
      </c>
      <c r="C32" s="62" t="s">
        <v>81</v>
      </c>
      <c r="D32" s="33"/>
      <c r="E32" s="61">
        <f>+G32+K32</f>
        <v>14.799999999999999</v>
      </c>
      <c r="F32" s="61">
        <f>+H32+L32</f>
        <v>0.7</v>
      </c>
      <c r="G32" s="61">
        <f t="shared" ref="G32:L32" si="12">+G33</f>
        <v>0.1</v>
      </c>
      <c r="H32" s="61">
        <f t="shared" si="12"/>
        <v>0</v>
      </c>
      <c r="I32" s="61">
        <f t="shared" si="12"/>
        <v>0</v>
      </c>
      <c r="J32" s="61">
        <f t="shared" si="12"/>
        <v>0</v>
      </c>
      <c r="K32" s="61">
        <f t="shared" si="12"/>
        <v>14.7</v>
      </c>
      <c r="L32" s="61">
        <f t="shared" si="12"/>
        <v>0.7</v>
      </c>
      <c r="M32" s="32"/>
      <c r="N32" s="32"/>
      <c r="O32" s="32"/>
      <c r="P32" s="72"/>
      <c r="Q32" s="54"/>
      <c r="R32" s="54"/>
      <c r="S32" s="54"/>
    </row>
    <row r="33" spans="1:20" ht="18" customHeight="1" x14ac:dyDescent="0.25">
      <c r="A33" s="52">
        <v>10</v>
      </c>
      <c r="B33" s="30"/>
      <c r="C33" s="60" t="s">
        <v>143</v>
      </c>
      <c r="D33" s="33"/>
      <c r="E33" s="57">
        <f t="shared" si="0"/>
        <v>14.799999999999999</v>
      </c>
      <c r="F33" s="57">
        <f t="shared" si="0"/>
        <v>0.7</v>
      </c>
      <c r="G33" s="57">
        <f>+G34</f>
        <v>0.1</v>
      </c>
      <c r="H33" s="57">
        <f>+H34</f>
        <v>0</v>
      </c>
      <c r="I33" s="57">
        <f t="shared" ref="I33:L33" si="13">+I34</f>
        <v>0</v>
      </c>
      <c r="J33" s="57">
        <f t="shared" si="13"/>
        <v>0</v>
      </c>
      <c r="K33" s="57">
        <f t="shared" si="13"/>
        <v>14.7</v>
      </c>
      <c r="L33" s="57">
        <f t="shared" si="13"/>
        <v>0.7</v>
      </c>
      <c r="M33" s="32"/>
      <c r="N33" s="32"/>
      <c r="O33" s="32"/>
      <c r="P33" s="72"/>
      <c r="Q33" s="54"/>
      <c r="R33" s="54"/>
      <c r="S33" s="54"/>
    </row>
    <row r="34" spans="1:20" ht="55.5" customHeight="1" x14ac:dyDescent="0.25">
      <c r="A34" s="423" t="s">
        <v>132</v>
      </c>
      <c r="B34" s="30"/>
      <c r="C34" s="58" t="s">
        <v>116</v>
      </c>
      <c r="D34" s="386" t="s">
        <v>82</v>
      </c>
      <c r="E34" s="57">
        <f>+G34+K34</f>
        <v>14.799999999999999</v>
      </c>
      <c r="F34" s="57">
        <f>+H34+L34</f>
        <v>0.7</v>
      </c>
      <c r="G34" s="57">
        <v>0.1</v>
      </c>
      <c r="H34" s="57">
        <v>0</v>
      </c>
      <c r="I34" s="57"/>
      <c r="J34" s="57"/>
      <c r="K34" s="57">
        <v>14.7</v>
      </c>
      <c r="L34" s="90">
        <v>0.7</v>
      </c>
      <c r="M34" s="32"/>
      <c r="N34" s="32"/>
      <c r="O34" s="32"/>
      <c r="P34" s="72"/>
      <c r="Q34" s="54"/>
      <c r="R34" s="54"/>
      <c r="S34" s="54"/>
      <c r="T34" s="77"/>
    </row>
    <row r="35" spans="1:20" ht="26.4" x14ac:dyDescent="0.25">
      <c r="A35" s="423"/>
      <c r="B35" s="30"/>
      <c r="C35" s="63" t="s">
        <v>129</v>
      </c>
      <c r="D35" s="386"/>
      <c r="E35" s="57">
        <f t="shared" si="0"/>
        <v>2.5</v>
      </c>
      <c r="F35" s="57">
        <f t="shared" si="0"/>
        <v>0.7</v>
      </c>
      <c r="G35" s="57"/>
      <c r="H35" s="57"/>
      <c r="I35" s="57"/>
      <c r="J35" s="57"/>
      <c r="K35" s="57">
        <v>2.5</v>
      </c>
      <c r="L35" s="90">
        <v>0.7</v>
      </c>
      <c r="M35" s="98"/>
      <c r="N35" s="98"/>
      <c r="O35" s="98"/>
      <c r="P35" s="72"/>
      <c r="Q35" s="54"/>
      <c r="R35" s="54"/>
      <c r="S35" s="54"/>
      <c r="T35" s="77"/>
    </row>
    <row r="36" spans="1:20" ht="22.8" x14ac:dyDescent="0.25">
      <c r="A36" s="76" t="s">
        <v>25</v>
      </c>
      <c r="B36" s="30" t="s">
        <v>70</v>
      </c>
      <c r="C36" s="35" t="s">
        <v>71</v>
      </c>
      <c r="D36" s="33"/>
      <c r="E36" s="61">
        <f t="shared" si="0"/>
        <v>121.9</v>
      </c>
      <c r="F36" s="61">
        <f t="shared" si="0"/>
        <v>76.3</v>
      </c>
      <c r="G36" s="61">
        <f t="shared" ref="G36:L36" si="14">+G37</f>
        <v>1.9</v>
      </c>
      <c r="H36" s="61">
        <f>+H37</f>
        <v>1.6</v>
      </c>
      <c r="I36" s="61">
        <f t="shared" si="14"/>
        <v>0</v>
      </c>
      <c r="J36" s="61">
        <f t="shared" si="14"/>
        <v>0</v>
      </c>
      <c r="K36" s="61">
        <f t="shared" si="14"/>
        <v>120</v>
      </c>
      <c r="L36" s="61">
        <f t="shared" si="14"/>
        <v>74.7</v>
      </c>
      <c r="M36" s="32"/>
      <c r="N36" s="32"/>
      <c r="O36" s="32"/>
      <c r="P36" s="72"/>
      <c r="Q36" s="54"/>
      <c r="R36" s="54"/>
      <c r="S36" s="54"/>
      <c r="T36" s="77"/>
    </row>
    <row r="37" spans="1:20" x14ac:dyDescent="0.25">
      <c r="A37" s="76" t="s">
        <v>240</v>
      </c>
      <c r="B37" s="30"/>
      <c r="C37" s="60" t="s">
        <v>143</v>
      </c>
      <c r="D37" s="33"/>
      <c r="E37" s="57">
        <f>+G37+K37</f>
        <v>121.9</v>
      </c>
      <c r="F37" s="57">
        <f>+H37+L37</f>
        <v>76.3</v>
      </c>
      <c r="G37" s="57">
        <f t="shared" ref="G37:L37" si="15">+G38+G39+G40+G41+G42</f>
        <v>1.9</v>
      </c>
      <c r="H37" s="57">
        <f>+H38+H39+H40+H41+H42</f>
        <v>1.6</v>
      </c>
      <c r="I37" s="57">
        <f t="shared" si="15"/>
        <v>0</v>
      </c>
      <c r="J37" s="57">
        <f t="shared" si="15"/>
        <v>0</v>
      </c>
      <c r="K37" s="57">
        <f t="shared" si="15"/>
        <v>120</v>
      </c>
      <c r="L37" s="57">
        <f t="shared" si="15"/>
        <v>74.7</v>
      </c>
      <c r="M37" s="32"/>
      <c r="N37" s="32"/>
      <c r="O37" s="32"/>
      <c r="P37" s="72"/>
      <c r="Q37" s="54"/>
      <c r="R37" s="54"/>
      <c r="S37" s="54"/>
      <c r="T37" s="77"/>
    </row>
    <row r="38" spans="1:20" ht="26.4" x14ac:dyDescent="0.25">
      <c r="A38" s="52" t="s">
        <v>217</v>
      </c>
      <c r="B38" s="30"/>
      <c r="C38" s="60" t="s">
        <v>175</v>
      </c>
      <c r="D38" s="55" t="s">
        <v>87</v>
      </c>
      <c r="E38" s="57">
        <f t="shared" si="0"/>
        <v>4.8</v>
      </c>
      <c r="F38" s="57">
        <f t="shared" ref="F38:F42" si="16">+H38+L38</f>
        <v>4.2</v>
      </c>
      <c r="G38" s="57">
        <v>0.1</v>
      </c>
      <c r="H38" s="57">
        <v>0</v>
      </c>
      <c r="I38" s="57"/>
      <c r="J38" s="57"/>
      <c r="K38" s="57">
        <v>4.7</v>
      </c>
      <c r="L38" s="90">
        <v>4.2</v>
      </c>
      <c r="M38" s="32"/>
      <c r="N38" s="32"/>
      <c r="O38" s="32"/>
      <c r="P38" s="72"/>
      <c r="Q38" s="54"/>
      <c r="R38" s="54"/>
      <c r="S38" s="54"/>
      <c r="T38" s="77"/>
    </row>
    <row r="39" spans="1:20" ht="26.4" x14ac:dyDescent="0.25">
      <c r="A39" s="52" t="s">
        <v>218</v>
      </c>
      <c r="B39" s="30"/>
      <c r="C39" s="60" t="s">
        <v>176</v>
      </c>
      <c r="D39" s="55" t="s">
        <v>87</v>
      </c>
      <c r="E39" s="57">
        <f t="shared" si="0"/>
        <v>1.6</v>
      </c>
      <c r="F39" s="57">
        <f t="shared" si="16"/>
        <v>1.4</v>
      </c>
      <c r="G39" s="57"/>
      <c r="H39" s="57"/>
      <c r="I39" s="57"/>
      <c r="J39" s="57"/>
      <c r="K39" s="57">
        <v>1.6</v>
      </c>
      <c r="L39" s="90">
        <v>1.4</v>
      </c>
      <c r="M39" s="32"/>
      <c r="N39" s="32"/>
      <c r="O39" s="32"/>
      <c r="P39" s="72"/>
      <c r="Q39" s="54"/>
      <c r="R39" s="54"/>
      <c r="S39" s="54"/>
      <c r="T39" s="77"/>
    </row>
    <row r="40" spans="1:20" ht="26.4" x14ac:dyDescent="0.25">
      <c r="A40" s="52" t="s">
        <v>219</v>
      </c>
      <c r="B40" s="30"/>
      <c r="C40" s="60" t="s">
        <v>177</v>
      </c>
      <c r="D40" s="55" t="s">
        <v>87</v>
      </c>
      <c r="E40" s="57">
        <f t="shared" si="0"/>
        <v>11</v>
      </c>
      <c r="F40" s="57">
        <f t="shared" si="16"/>
        <v>10.3</v>
      </c>
      <c r="G40" s="57"/>
      <c r="H40" s="57"/>
      <c r="I40" s="57"/>
      <c r="J40" s="57"/>
      <c r="K40" s="57">
        <v>11</v>
      </c>
      <c r="L40" s="90">
        <v>10.3</v>
      </c>
      <c r="M40" s="32"/>
      <c r="N40" s="32"/>
      <c r="O40" s="32"/>
      <c r="P40" s="72"/>
      <c r="Q40" s="54"/>
      <c r="R40" s="54"/>
      <c r="S40" s="54"/>
      <c r="T40" s="77"/>
    </row>
    <row r="41" spans="1:20" ht="26.4" x14ac:dyDescent="0.25">
      <c r="A41" s="56" t="s">
        <v>220</v>
      </c>
      <c r="B41" s="30"/>
      <c r="C41" s="58" t="s">
        <v>109</v>
      </c>
      <c r="D41" s="55" t="s">
        <v>113</v>
      </c>
      <c r="E41" s="57">
        <f t="shared" si="0"/>
        <v>16.400000000000002</v>
      </c>
      <c r="F41" s="57">
        <f t="shared" si="16"/>
        <v>0</v>
      </c>
      <c r="G41" s="57">
        <v>0.1</v>
      </c>
      <c r="H41" s="57">
        <v>0</v>
      </c>
      <c r="I41" s="57"/>
      <c r="J41" s="57"/>
      <c r="K41" s="57">
        <v>16.3</v>
      </c>
      <c r="L41" s="90">
        <v>0</v>
      </c>
      <c r="M41" s="32"/>
      <c r="N41" s="32"/>
      <c r="O41" s="32"/>
      <c r="P41" s="72"/>
      <c r="Q41" s="54"/>
      <c r="R41" s="54"/>
      <c r="S41" s="54"/>
      <c r="T41" s="77"/>
    </row>
    <row r="42" spans="1:20" s="178" customFormat="1" ht="26.4" x14ac:dyDescent="0.25">
      <c r="A42" s="174" t="s">
        <v>221</v>
      </c>
      <c r="B42" s="157"/>
      <c r="C42" s="175" t="s">
        <v>110</v>
      </c>
      <c r="D42" s="168" t="s">
        <v>113</v>
      </c>
      <c r="E42" s="176">
        <f>+G42+K42</f>
        <v>88.100000000000009</v>
      </c>
      <c r="F42" s="57">
        <f t="shared" si="16"/>
        <v>60.4</v>
      </c>
      <c r="G42" s="176">
        <f>1.4+0.3</f>
        <v>1.7</v>
      </c>
      <c r="H42" s="176">
        <f>1.5+0.1</f>
        <v>1.6</v>
      </c>
      <c r="I42" s="176"/>
      <c r="J42" s="176"/>
      <c r="K42" s="176">
        <f>86.7-0.3</f>
        <v>86.4</v>
      </c>
      <c r="L42" s="206">
        <v>58.8</v>
      </c>
      <c r="M42" s="162"/>
      <c r="N42" s="162"/>
      <c r="O42" s="162"/>
      <c r="P42" s="163"/>
      <c r="Q42" s="164"/>
      <c r="R42" s="164"/>
      <c r="S42" s="164"/>
      <c r="T42" s="177"/>
    </row>
    <row r="43" spans="1:20" ht="12.75" customHeight="1" x14ac:dyDescent="0.25">
      <c r="A43" s="52">
        <v>13</v>
      </c>
      <c r="B43" s="30"/>
      <c r="C43" s="78" t="s">
        <v>20</v>
      </c>
      <c r="D43" s="33"/>
      <c r="E43" s="61">
        <f>+G43+K43</f>
        <v>214.3</v>
      </c>
      <c r="F43" s="61">
        <f>+H43+L43</f>
        <v>136.9</v>
      </c>
      <c r="G43" s="61">
        <f t="shared" ref="G43:L43" si="17">+G13+G22+G26+G32+G36</f>
        <v>19</v>
      </c>
      <c r="H43" s="216">
        <f t="shared" si="17"/>
        <v>12.099999999999998</v>
      </c>
      <c r="I43" s="61">
        <f t="shared" si="17"/>
        <v>2.4</v>
      </c>
      <c r="J43" s="61">
        <f t="shared" si="17"/>
        <v>1.9</v>
      </c>
      <c r="K43" s="61">
        <f t="shared" si="17"/>
        <v>195.3</v>
      </c>
      <c r="L43" s="61">
        <f t="shared" si="17"/>
        <v>124.80000000000001</v>
      </c>
      <c r="M43" s="32"/>
      <c r="N43" s="32"/>
      <c r="O43" s="32"/>
      <c r="P43" s="32"/>
      <c r="Q43" s="32"/>
      <c r="R43" s="32"/>
      <c r="S43" s="32"/>
    </row>
    <row r="44" spans="1:20" x14ac:dyDescent="0.25">
      <c r="A44" s="79"/>
      <c r="C44" s="40" t="s">
        <v>86</v>
      </c>
      <c r="D44" s="27"/>
      <c r="E44" s="65"/>
      <c r="F44" s="65"/>
      <c r="G44" s="65"/>
      <c r="H44" s="65"/>
      <c r="I44" s="65"/>
      <c r="J44" s="65"/>
      <c r="K44" s="65"/>
    </row>
    <row r="45" spans="1:20" x14ac:dyDescent="0.25">
      <c r="C45" s="80"/>
      <c r="D45" s="27"/>
      <c r="E45" s="65"/>
      <c r="F45" s="65"/>
      <c r="G45" s="65"/>
      <c r="H45" s="65"/>
      <c r="I45" s="65"/>
      <c r="J45" s="65"/>
      <c r="K45" s="65"/>
    </row>
    <row r="46" spans="1:20" x14ac:dyDescent="0.25">
      <c r="C46" s="48"/>
      <c r="E46" s="65"/>
      <c r="F46" s="65"/>
      <c r="G46" s="65"/>
      <c r="H46" s="65"/>
      <c r="I46" s="65"/>
      <c r="J46" s="65"/>
      <c r="K46" s="65"/>
      <c r="R46" s="32"/>
    </row>
    <row r="47" spans="1:20" x14ac:dyDescent="0.25">
      <c r="C47" s="48"/>
      <c r="E47" s="65"/>
      <c r="F47" s="65"/>
      <c r="G47" s="70"/>
      <c r="H47" s="70"/>
      <c r="I47" s="70"/>
      <c r="J47" s="70"/>
      <c r="K47" s="39"/>
    </row>
    <row r="48" spans="1:20" x14ac:dyDescent="0.25">
      <c r="E48" s="65"/>
      <c r="F48" s="65"/>
      <c r="G48" s="70"/>
      <c r="H48" s="70"/>
      <c r="I48" s="70"/>
      <c r="J48" s="70"/>
      <c r="K48" s="70"/>
    </row>
    <row r="49" spans="3:12" x14ac:dyDescent="0.25">
      <c r="C49" s="81"/>
      <c r="E49" s="65"/>
      <c r="F49" s="65"/>
      <c r="G49" s="70"/>
      <c r="H49" s="70"/>
      <c r="I49" s="70"/>
      <c r="J49" s="70"/>
      <c r="K49" s="70"/>
    </row>
    <row r="50" spans="3:12" x14ac:dyDescent="0.25">
      <c r="C50" s="82"/>
      <c r="E50" s="65"/>
      <c r="F50" s="65"/>
      <c r="G50" s="70"/>
      <c r="H50" s="70"/>
      <c r="I50" s="70"/>
      <c r="J50" s="70"/>
      <c r="K50" s="70"/>
      <c r="L50" s="32"/>
    </row>
    <row r="51" spans="3:12" x14ac:dyDescent="0.25">
      <c r="C51" s="79"/>
      <c r="E51" s="65"/>
      <c r="F51" s="65"/>
      <c r="G51" s="70"/>
      <c r="H51" s="70"/>
      <c r="I51" s="70"/>
      <c r="J51" s="70"/>
      <c r="K51" s="70"/>
    </row>
    <row r="52" spans="3:12" x14ac:dyDescent="0.25">
      <c r="C52" s="79"/>
      <c r="E52" s="65"/>
      <c r="F52" s="65"/>
      <c r="G52" s="65"/>
      <c r="H52" s="65"/>
      <c r="I52" s="65"/>
      <c r="J52" s="65"/>
      <c r="K52" s="65"/>
    </row>
    <row r="53" spans="3:12" x14ac:dyDescent="0.25">
      <c r="C53" s="79"/>
      <c r="E53" s="65"/>
      <c r="F53" s="65"/>
      <c r="G53" s="70"/>
      <c r="H53" s="70"/>
      <c r="I53" s="70"/>
      <c r="J53" s="70"/>
      <c r="K53" s="70"/>
    </row>
    <row r="54" spans="3:12" x14ac:dyDescent="0.25">
      <c r="E54" s="65"/>
      <c r="F54" s="65"/>
      <c r="G54" s="70"/>
      <c r="H54" s="70"/>
      <c r="I54" s="70"/>
      <c r="J54" s="70"/>
      <c r="K54" s="70"/>
    </row>
    <row r="55" spans="3:12" x14ac:dyDescent="0.25">
      <c r="E55" s="70"/>
      <c r="F55" s="70"/>
      <c r="G55" s="70"/>
      <c r="H55" s="70"/>
      <c r="I55" s="70"/>
      <c r="J55" s="70"/>
      <c r="K55" s="70"/>
    </row>
    <row r="56" spans="3:12" x14ac:dyDescent="0.25">
      <c r="C56" s="79"/>
      <c r="E56" s="70"/>
      <c r="F56" s="70"/>
      <c r="G56" s="70"/>
      <c r="H56" s="70"/>
      <c r="I56" s="70"/>
      <c r="J56" s="70"/>
      <c r="K56" s="70"/>
    </row>
    <row r="57" spans="3:12" x14ac:dyDescent="0.25">
      <c r="C57" s="79"/>
      <c r="E57" s="39"/>
      <c r="F57" s="39"/>
      <c r="G57" s="70"/>
      <c r="H57" s="70"/>
      <c r="I57" s="70"/>
      <c r="J57" s="70"/>
      <c r="K57" s="70"/>
    </row>
    <row r="58" spans="3:12" x14ac:dyDescent="0.25">
      <c r="C58" s="79"/>
      <c r="E58" s="70"/>
      <c r="F58" s="70"/>
      <c r="G58" s="39"/>
      <c r="H58" s="39"/>
      <c r="I58" s="39"/>
      <c r="J58" s="39"/>
      <c r="K58" s="39"/>
    </row>
    <row r="59" spans="3:12" x14ac:dyDescent="0.25">
      <c r="C59" s="79"/>
      <c r="E59" s="70"/>
      <c r="F59" s="70"/>
      <c r="G59" s="39"/>
      <c r="H59" s="39"/>
      <c r="I59" s="39"/>
      <c r="J59" s="39"/>
      <c r="K59" s="39"/>
    </row>
    <row r="60" spans="3:12" x14ac:dyDescent="0.25">
      <c r="C60" s="83"/>
      <c r="D60" s="66"/>
    </row>
    <row r="61" spans="3:12" x14ac:dyDescent="0.25">
      <c r="C61" s="84"/>
      <c r="D61" s="66"/>
    </row>
    <row r="62" spans="3:12" x14ac:dyDescent="0.25">
      <c r="C62" s="79"/>
    </row>
    <row r="63" spans="3:12" x14ac:dyDescent="0.25">
      <c r="C63" s="81"/>
      <c r="D63" s="85"/>
    </row>
    <row r="64" spans="3:12" x14ac:dyDescent="0.25">
      <c r="D64" s="85"/>
    </row>
    <row r="65" spans="3:11" x14ac:dyDescent="0.25">
      <c r="C65" s="79"/>
      <c r="D65" s="69"/>
    </row>
    <row r="66" spans="3:11" x14ac:dyDescent="0.25">
      <c r="E66" s="71"/>
      <c r="F66" s="71"/>
    </row>
    <row r="69" spans="3:11" x14ac:dyDescent="0.25">
      <c r="K69" s="86"/>
    </row>
  </sheetData>
  <mergeCells count="19">
    <mergeCell ref="C1:L1"/>
    <mergeCell ref="C2:L2"/>
    <mergeCell ref="E3:L3"/>
    <mergeCell ref="A34:A35"/>
    <mergeCell ref="D34:D35"/>
    <mergeCell ref="A5:K5"/>
    <mergeCell ref="E8:F9"/>
    <mergeCell ref="E10:E11"/>
    <mergeCell ref="F10:F11"/>
    <mergeCell ref="C8:C11"/>
    <mergeCell ref="B8:B11"/>
    <mergeCell ref="A8:A11"/>
    <mergeCell ref="D8:D11"/>
    <mergeCell ref="J7:L7"/>
    <mergeCell ref="G8:L8"/>
    <mergeCell ref="K9:L10"/>
    <mergeCell ref="G9:J9"/>
    <mergeCell ref="G10:H10"/>
    <mergeCell ref="I10:J10"/>
  </mergeCells>
  <phoneticPr fontId="10" type="noConversion"/>
  <pageMargins left="0.31496062992125984" right="0" top="0.55118110236220474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Įvardinti diapazonai</vt:lpstr>
      </vt:variant>
      <vt:variant>
        <vt:i4>19</vt:i4>
      </vt:variant>
    </vt:vector>
  </HeadingPairs>
  <TitlesOfParts>
    <vt:vector size="29" baseType="lpstr">
      <vt:lpstr>1 priedas</vt:lpstr>
      <vt:lpstr>2 priedas</vt:lpstr>
      <vt:lpstr>3 priedas</vt:lpstr>
      <vt:lpstr>4 priedas</vt:lpstr>
      <vt:lpstr>5 priedas</vt:lpstr>
      <vt:lpstr>6 priedas</vt:lpstr>
      <vt:lpstr>7 priedas</vt:lpstr>
      <vt:lpstr>8 priedas</vt:lpstr>
      <vt:lpstr>9 priedas</vt:lpstr>
      <vt:lpstr>10 priedas</vt:lpstr>
      <vt:lpstr>'1 priedas'!Print_Area</vt:lpstr>
      <vt:lpstr>'10 priedas'!Print_Area</vt:lpstr>
      <vt:lpstr>'2 priedas'!Print_Area</vt:lpstr>
      <vt:lpstr>'3 priedas'!Print_Area</vt:lpstr>
      <vt:lpstr>'4 priedas'!Print_Area</vt:lpstr>
      <vt:lpstr>'5 priedas'!Print_Area</vt:lpstr>
      <vt:lpstr>'6 priedas'!Print_Area</vt:lpstr>
      <vt:lpstr>'7 priedas'!Print_Area</vt:lpstr>
      <vt:lpstr>'8 priedas'!Print_Area</vt:lpstr>
      <vt:lpstr>'9 priedas'!Print_Area</vt:lpstr>
      <vt:lpstr>'1 priedas'!Print_Titles</vt:lpstr>
      <vt:lpstr>'2 priedas'!Print_Titles</vt:lpstr>
      <vt:lpstr>'3 priedas'!Print_Titles</vt:lpstr>
      <vt:lpstr>'4 priedas'!Print_Titles</vt:lpstr>
      <vt:lpstr>'5 priedas'!Print_Titles</vt:lpstr>
      <vt:lpstr>'6 priedas'!Print_Titles</vt:lpstr>
      <vt:lpstr>'7 priedas'!Print_Titles</vt:lpstr>
      <vt:lpstr>'8 priedas'!Print_Titles</vt:lpstr>
      <vt:lpstr>'9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Vartotoja</cp:lastModifiedBy>
  <cp:lastPrinted>2022-09-13T08:47:45Z</cp:lastPrinted>
  <dcterms:created xsi:type="dcterms:W3CDTF">1996-10-14T23:33:28Z</dcterms:created>
  <dcterms:modified xsi:type="dcterms:W3CDTF">2022-09-13T10:29:43Z</dcterms:modified>
</cp:coreProperties>
</file>