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rtotoja\Desktop\41 POSĖDIS\SP\J. Sakavičienė\"/>
    </mc:Choice>
  </mc:AlternateContent>
  <bookViews>
    <workbookView xWindow="0" yWindow="0" windowWidth="19200" windowHeight="7248" activeTab="1"/>
  </bookViews>
  <sheets>
    <sheet name="lentelė Nr.1" sheetId="1" r:id="rId1"/>
    <sheet name="lentelė Nr.2" sheetId="2" r:id="rId2"/>
    <sheet name="lentelė Nr.3" sheetId="3" r:id="rId3"/>
  </sheets>
  <externalReferences>
    <externalReference r:id="rId4"/>
  </externalReferences>
  <definedNames>
    <definedName name="_xlnm.Print_Area" localSheetId="0">'lentelė Nr.1'!$A$1:$I$48</definedName>
    <definedName name="_xlnm.Print_Area" localSheetId="1">'lentelė Nr.2'!$A$1:$AD$139</definedName>
    <definedName name="_xlnm.Print_Area" localSheetId="2">'lentelė Nr.3'!$A$1:$J$50</definedName>
    <definedName name="_xlnm.Print_Titles" localSheetId="0">'lentelė Nr.1'!$6:$8</definedName>
    <definedName name="_xlnm.Print_Titles" localSheetId="1">'lentelė Nr.2'!$8:$8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9" i="3" l="1"/>
  <c r="I49" i="3"/>
  <c r="H49" i="3"/>
  <c r="G49" i="3"/>
  <c r="F49" i="3"/>
  <c r="D49" i="3"/>
  <c r="C49" i="3"/>
  <c r="J48" i="3"/>
  <c r="J50" i="3" s="1"/>
  <c r="I48" i="3"/>
  <c r="I50" i="3" s="1"/>
  <c r="H48" i="3"/>
  <c r="H50" i="3" s="1"/>
  <c r="G48" i="3"/>
  <c r="G50" i="3" s="1"/>
  <c r="F48" i="3"/>
  <c r="F50" i="3" s="1"/>
  <c r="E48" i="3"/>
  <c r="D48" i="3"/>
  <c r="D50" i="3" s="1"/>
  <c r="C48" i="3"/>
  <c r="C50" i="3" s="1"/>
  <c r="J46" i="3"/>
  <c r="G46" i="3"/>
  <c r="F46" i="3"/>
  <c r="D46" i="3"/>
  <c r="C46" i="3"/>
  <c r="B45" i="3"/>
  <c r="B44" i="3"/>
  <c r="B46" i="3" s="1"/>
  <c r="J42" i="3"/>
  <c r="G42" i="3"/>
  <c r="F42" i="3"/>
  <c r="D42" i="3"/>
  <c r="C42" i="3"/>
  <c r="B41" i="3"/>
  <c r="B49" i="3" s="1"/>
  <c r="B40" i="3"/>
  <c r="B42" i="3" s="1"/>
  <c r="J38" i="3"/>
  <c r="G38" i="3"/>
  <c r="F38" i="3"/>
  <c r="D38" i="3"/>
  <c r="C38" i="3"/>
  <c r="B37" i="3"/>
  <c r="B36" i="3"/>
  <c r="B38" i="3" s="1"/>
  <c r="J34" i="3"/>
  <c r="G34" i="3"/>
  <c r="F34" i="3"/>
  <c r="D34" i="3"/>
  <c r="C34" i="3"/>
  <c r="B33" i="3"/>
  <c r="B32" i="3"/>
  <c r="B34" i="3" s="1"/>
  <c r="J30" i="3"/>
  <c r="F30" i="3"/>
  <c r="D30" i="3"/>
  <c r="C30" i="3"/>
  <c r="B29" i="3"/>
  <c r="B28" i="3"/>
  <c r="B30" i="3" s="1"/>
  <c r="J26" i="3"/>
  <c r="G26" i="3"/>
  <c r="F26" i="3"/>
  <c r="D26" i="3"/>
  <c r="C26" i="3"/>
  <c r="B25" i="3"/>
  <c r="B24" i="3"/>
  <c r="B26" i="3" s="1"/>
  <c r="J22" i="3"/>
  <c r="G22" i="3"/>
  <c r="F22" i="3"/>
  <c r="D22" i="3"/>
  <c r="C22" i="3"/>
  <c r="B21" i="3"/>
  <c r="B20" i="3"/>
  <c r="B22" i="3" s="1"/>
  <c r="F18" i="3"/>
  <c r="D18" i="3"/>
  <c r="C18" i="3"/>
  <c r="B17" i="3"/>
  <c r="G16" i="3"/>
  <c r="G18" i="3" s="1"/>
  <c r="B16" i="3"/>
  <c r="B18" i="3" s="1"/>
  <c r="D14" i="3"/>
  <c r="C14" i="3"/>
  <c r="B13" i="3"/>
  <c r="B14" i="3" s="1"/>
  <c r="B12" i="3"/>
  <c r="B48" i="3" s="1"/>
  <c r="J10" i="3"/>
  <c r="I10" i="3"/>
  <c r="H10" i="3"/>
  <c r="G10" i="3"/>
  <c r="F10" i="3"/>
  <c r="D10" i="3"/>
  <c r="C10" i="3"/>
  <c r="B10" i="3"/>
  <c r="B8" i="3"/>
  <c r="G243" i="2"/>
  <c r="R137" i="2"/>
  <c r="D137" i="2"/>
  <c r="C137" i="2"/>
  <c r="J136" i="2"/>
  <c r="I136" i="2"/>
  <c r="D136" i="2"/>
  <c r="C136" i="2"/>
  <c r="J135" i="2"/>
  <c r="I135" i="2"/>
  <c r="D135" i="2"/>
  <c r="C135" i="2"/>
  <c r="J134" i="2"/>
  <c r="C134" i="2"/>
  <c r="F134" i="2" s="1"/>
  <c r="R133" i="2"/>
  <c r="D133" i="2"/>
  <c r="C133" i="2"/>
  <c r="R132" i="2"/>
  <c r="D132" i="2"/>
  <c r="C132" i="2"/>
  <c r="R131" i="2"/>
  <c r="D131" i="2"/>
  <c r="C131" i="2"/>
  <c r="R130" i="2"/>
  <c r="D130" i="2"/>
  <c r="C130" i="2"/>
  <c r="R129" i="2"/>
  <c r="C129" i="2"/>
  <c r="F129" i="2" s="1"/>
  <c r="R128" i="2"/>
  <c r="C128" i="2"/>
  <c r="F128" i="2" s="1"/>
  <c r="R127" i="2"/>
  <c r="C127" i="2"/>
  <c r="F127" i="2" s="1"/>
  <c r="R126" i="2"/>
  <c r="D126" i="2"/>
  <c r="C126" i="2"/>
  <c r="R125" i="2"/>
  <c r="D125" i="2"/>
  <c r="C125" i="2"/>
  <c r="R124" i="2"/>
  <c r="D124" i="2"/>
  <c r="C124" i="2"/>
  <c r="J123" i="2"/>
  <c r="I123" i="2"/>
  <c r="D123" i="2"/>
  <c r="C123" i="2"/>
  <c r="J122" i="2"/>
  <c r="I122" i="2"/>
  <c r="D122" i="2"/>
  <c r="C122" i="2"/>
  <c r="G121" i="2"/>
  <c r="J121" i="2" s="1"/>
  <c r="D121" i="2"/>
  <c r="J120" i="2"/>
  <c r="I120" i="2"/>
  <c r="D120" i="2"/>
  <c r="C120" i="2"/>
  <c r="J119" i="2"/>
  <c r="I119" i="2"/>
  <c r="D119" i="2"/>
  <c r="C119" i="2"/>
  <c r="R118" i="2"/>
  <c r="Q118" i="2"/>
  <c r="D118" i="2"/>
  <c r="C118" i="2"/>
  <c r="J117" i="2"/>
  <c r="I117" i="2"/>
  <c r="D117" i="2"/>
  <c r="C117" i="2"/>
  <c r="G116" i="2"/>
  <c r="I116" i="2" s="1"/>
  <c r="D116" i="2"/>
  <c r="J115" i="2"/>
  <c r="I115" i="2"/>
  <c r="D115" i="2"/>
  <c r="C115" i="2"/>
  <c r="J114" i="2"/>
  <c r="C114" i="2"/>
  <c r="F114" i="2" s="1"/>
  <c r="J113" i="2"/>
  <c r="I113" i="2"/>
  <c r="D113" i="2"/>
  <c r="C113" i="2"/>
  <c r="R112" i="2"/>
  <c r="Q112" i="2"/>
  <c r="D112" i="2"/>
  <c r="C112" i="2"/>
  <c r="R111" i="2"/>
  <c r="Q111" i="2"/>
  <c r="D111" i="2"/>
  <c r="C111" i="2"/>
  <c r="R110" i="2"/>
  <c r="Q110" i="2"/>
  <c r="D110" i="2"/>
  <c r="C110" i="2"/>
  <c r="R109" i="2"/>
  <c r="Q109" i="2"/>
  <c r="D109" i="2"/>
  <c r="C109" i="2"/>
  <c r="J108" i="2"/>
  <c r="D108" i="2"/>
  <c r="C108" i="2"/>
  <c r="H107" i="2"/>
  <c r="J107" i="2" s="1"/>
  <c r="C107" i="2"/>
  <c r="J106" i="2"/>
  <c r="I106" i="2"/>
  <c r="D106" i="2"/>
  <c r="C106" i="2"/>
  <c r="J105" i="2"/>
  <c r="I105" i="2"/>
  <c r="D105" i="2"/>
  <c r="C105" i="2"/>
  <c r="J104" i="2"/>
  <c r="I104" i="2"/>
  <c r="D104" i="2"/>
  <c r="C104" i="2"/>
  <c r="J103" i="2"/>
  <c r="I103" i="2"/>
  <c r="D103" i="2"/>
  <c r="C103" i="2"/>
  <c r="J102" i="2"/>
  <c r="I102" i="2"/>
  <c r="D102" i="2"/>
  <c r="C102" i="2"/>
  <c r="J101" i="2"/>
  <c r="I101" i="2"/>
  <c r="D101" i="2"/>
  <c r="C101" i="2"/>
  <c r="J100" i="2"/>
  <c r="C100" i="2"/>
  <c r="F100" i="2" s="1"/>
  <c r="J99" i="2"/>
  <c r="I99" i="2"/>
  <c r="D99" i="2"/>
  <c r="C99" i="2"/>
  <c r="J98" i="2"/>
  <c r="I98" i="2"/>
  <c r="D98" i="2"/>
  <c r="C98" i="2"/>
  <c r="J97" i="2"/>
  <c r="I97" i="2"/>
  <c r="D97" i="2"/>
  <c r="C97" i="2"/>
  <c r="J96" i="2"/>
  <c r="I96" i="2"/>
  <c r="D96" i="2"/>
  <c r="C96" i="2"/>
  <c r="J95" i="2"/>
  <c r="I95" i="2"/>
  <c r="D95" i="2"/>
  <c r="C95" i="2"/>
  <c r="J94" i="2"/>
  <c r="I94" i="2"/>
  <c r="D94" i="2"/>
  <c r="C94" i="2"/>
  <c r="J93" i="2"/>
  <c r="I93" i="2"/>
  <c r="D93" i="2"/>
  <c r="C93" i="2"/>
  <c r="R92" i="2"/>
  <c r="Q92" i="2"/>
  <c r="J92" i="2"/>
  <c r="D92" i="2"/>
  <c r="C92" i="2"/>
  <c r="R91" i="2"/>
  <c r="Q91" i="2"/>
  <c r="J91" i="2"/>
  <c r="D91" i="2"/>
  <c r="C91" i="2"/>
  <c r="J90" i="2"/>
  <c r="I90" i="2"/>
  <c r="D90" i="2"/>
  <c r="C90" i="2"/>
  <c r="J89" i="2"/>
  <c r="I89" i="2"/>
  <c r="D89" i="2"/>
  <c r="C89" i="2"/>
  <c r="J88" i="2"/>
  <c r="I88" i="2"/>
  <c r="D88" i="2"/>
  <c r="C88" i="2"/>
  <c r="J87" i="2"/>
  <c r="I87" i="2"/>
  <c r="D87" i="2"/>
  <c r="C87" i="2"/>
  <c r="J86" i="2"/>
  <c r="I86" i="2"/>
  <c r="D86" i="2"/>
  <c r="C86" i="2"/>
  <c r="J85" i="2"/>
  <c r="I85" i="2"/>
  <c r="D85" i="2"/>
  <c r="C85" i="2"/>
  <c r="J84" i="2"/>
  <c r="I84" i="2"/>
  <c r="D84" i="2"/>
  <c r="C84" i="2"/>
  <c r="J83" i="2"/>
  <c r="I83" i="2"/>
  <c r="D83" i="2"/>
  <c r="C83" i="2"/>
  <c r="J82" i="2"/>
  <c r="I82" i="2"/>
  <c r="D82" i="2"/>
  <c r="C82" i="2"/>
  <c r="J81" i="2"/>
  <c r="I81" i="2"/>
  <c r="D81" i="2"/>
  <c r="C81" i="2"/>
  <c r="G80" i="2"/>
  <c r="I80" i="2" s="1"/>
  <c r="D80" i="2"/>
  <c r="J79" i="2"/>
  <c r="I79" i="2"/>
  <c r="D79" i="2"/>
  <c r="C79" i="2"/>
  <c r="J78" i="2"/>
  <c r="D78" i="2"/>
  <c r="J77" i="2"/>
  <c r="I77" i="2"/>
  <c r="D77" i="2"/>
  <c r="C77" i="2"/>
  <c r="J76" i="2"/>
  <c r="I76" i="2"/>
  <c r="D76" i="2"/>
  <c r="C76" i="2"/>
  <c r="J75" i="2"/>
  <c r="I75" i="2"/>
  <c r="D75" i="2"/>
  <c r="C75" i="2"/>
  <c r="J74" i="2"/>
  <c r="I74" i="2"/>
  <c r="D74" i="2"/>
  <c r="C74" i="2"/>
  <c r="J73" i="2"/>
  <c r="D73" i="2"/>
  <c r="C73" i="2"/>
  <c r="D72" i="2"/>
  <c r="C72" i="2"/>
  <c r="Z70" i="2"/>
  <c r="V70" i="2"/>
  <c r="U70" i="2"/>
  <c r="P70" i="2"/>
  <c r="O70" i="2"/>
  <c r="H70" i="2"/>
  <c r="G70" i="2"/>
  <c r="J69" i="2"/>
  <c r="I69" i="2"/>
  <c r="D69" i="2"/>
  <c r="C69" i="2"/>
  <c r="Z68" i="2"/>
  <c r="Y68" i="2"/>
  <c r="P68" i="2"/>
  <c r="R68" i="2" s="1"/>
  <c r="J68" i="2"/>
  <c r="I68" i="2"/>
  <c r="C68" i="2"/>
  <c r="X67" i="2"/>
  <c r="W67" i="2"/>
  <c r="T67" i="2"/>
  <c r="S67" i="2"/>
  <c r="N67" i="2"/>
  <c r="M67" i="2"/>
  <c r="L67" i="2"/>
  <c r="K67" i="2"/>
  <c r="H67" i="2"/>
  <c r="G67" i="2"/>
  <c r="V66" i="2"/>
  <c r="O66" i="2"/>
  <c r="C66" i="2" s="1"/>
  <c r="J66" i="2"/>
  <c r="I66" i="2"/>
  <c r="D66" i="2"/>
  <c r="Z65" i="2"/>
  <c r="Y65" i="2"/>
  <c r="V65" i="2"/>
  <c r="U65" i="2"/>
  <c r="R65" i="2"/>
  <c r="Q65" i="2"/>
  <c r="J65" i="2"/>
  <c r="I65" i="2"/>
  <c r="D65" i="2"/>
  <c r="C65" i="2"/>
  <c r="Z64" i="2"/>
  <c r="Y64" i="2"/>
  <c r="V64" i="2"/>
  <c r="U64" i="2"/>
  <c r="P64" i="2"/>
  <c r="R64" i="2" s="1"/>
  <c r="J64" i="2"/>
  <c r="I64" i="2"/>
  <c r="C64" i="2"/>
  <c r="Z63" i="2"/>
  <c r="Y63" i="2"/>
  <c r="V63" i="2"/>
  <c r="U63" i="2"/>
  <c r="R63" i="2"/>
  <c r="Q63" i="2"/>
  <c r="J63" i="2"/>
  <c r="I63" i="2"/>
  <c r="D63" i="2"/>
  <c r="C63" i="2"/>
  <c r="V62" i="2"/>
  <c r="U62" i="2"/>
  <c r="R62" i="2"/>
  <c r="Q62" i="2"/>
  <c r="J62" i="2"/>
  <c r="I62" i="2"/>
  <c r="D62" i="2"/>
  <c r="C62" i="2"/>
  <c r="Z61" i="2"/>
  <c r="Y61" i="2"/>
  <c r="V61" i="2"/>
  <c r="U61" i="2"/>
  <c r="R61" i="2"/>
  <c r="Q61" i="2"/>
  <c r="J61" i="2"/>
  <c r="I61" i="2"/>
  <c r="D61" i="2"/>
  <c r="C61" i="2"/>
  <c r="Z60" i="2"/>
  <c r="Y60" i="2"/>
  <c r="V60" i="2"/>
  <c r="U60" i="2"/>
  <c r="O60" i="2"/>
  <c r="R60" i="2" s="1"/>
  <c r="J60" i="2"/>
  <c r="I60" i="2"/>
  <c r="D60" i="2"/>
  <c r="Z59" i="2"/>
  <c r="Y59" i="2"/>
  <c r="V59" i="2"/>
  <c r="U59" i="2"/>
  <c r="P59" i="2"/>
  <c r="Q59" i="2" s="1"/>
  <c r="J59" i="2"/>
  <c r="I59" i="2"/>
  <c r="C59" i="2"/>
  <c r="Z58" i="2"/>
  <c r="Y58" i="2"/>
  <c r="V58" i="2"/>
  <c r="U58" i="2"/>
  <c r="O58" i="2"/>
  <c r="R58" i="2" s="1"/>
  <c r="J58" i="2"/>
  <c r="I58" i="2"/>
  <c r="D58" i="2"/>
  <c r="Z57" i="2"/>
  <c r="Y57" i="2"/>
  <c r="V57" i="2"/>
  <c r="U57" i="2"/>
  <c r="R57" i="2"/>
  <c r="Q57" i="2"/>
  <c r="J57" i="2"/>
  <c r="I57" i="2"/>
  <c r="D57" i="2"/>
  <c r="C57" i="2"/>
  <c r="Z56" i="2"/>
  <c r="Y56" i="2"/>
  <c r="V56" i="2"/>
  <c r="U56" i="2"/>
  <c r="R56" i="2"/>
  <c r="Q56" i="2"/>
  <c r="J56" i="2"/>
  <c r="I56" i="2"/>
  <c r="D56" i="2"/>
  <c r="C56" i="2"/>
  <c r="AB55" i="2"/>
  <c r="AA55" i="2"/>
  <c r="X55" i="2"/>
  <c r="W55" i="2"/>
  <c r="T55" i="2"/>
  <c r="S55" i="2"/>
  <c r="P55" i="2"/>
  <c r="K55" i="2"/>
  <c r="Z54" i="2"/>
  <c r="Y54" i="2"/>
  <c r="R54" i="2"/>
  <c r="Q54" i="2"/>
  <c r="G54" i="2"/>
  <c r="D54" i="2"/>
  <c r="AD53" i="2"/>
  <c r="AC53" i="2"/>
  <c r="O53" i="2"/>
  <c r="O55" i="2" s="1"/>
  <c r="J53" i="2"/>
  <c r="I53" i="2"/>
  <c r="D53" i="2"/>
  <c r="AD52" i="2"/>
  <c r="AC52" i="2"/>
  <c r="R52" i="2"/>
  <c r="Q52" i="2"/>
  <c r="N52" i="2"/>
  <c r="M52" i="2"/>
  <c r="H52" i="2"/>
  <c r="D52" i="2" s="1"/>
  <c r="C52" i="2"/>
  <c r="AD51" i="2"/>
  <c r="AC51" i="2"/>
  <c r="V51" i="2"/>
  <c r="V55" i="2" s="1"/>
  <c r="R51" i="2"/>
  <c r="Q51" i="2"/>
  <c r="L51" i="2"/>
  <c r="M51" i="2" s="1"/>
  <c r="J51" i="2"/>
  <c r="I51" i="2"/>
  <c r="C51" i="2"/>
  <c r="AD50" i="2"/>
  <c r="AC50" i="2"/>
  <c r="R50" i="2"/>
  <c r="Q50" i="2"/>
  <c r="J50" i="2"/>
  <c r="I50" i="2"/>
  <c r="D50" i="2"/>
  <c r="C50" i="2"/>
  <c r="Z49" i="2"/>
  <c r="Y49" i="2"/>
  <c r="R49" i="2"/>
  <c r="Q49" i="2"/>
  <c r="H49" i="2"/>
  <c r="C49" i="2"/>
  <c r="X48" i="2"/>
  <c r="W48" i="2"/>
  <c r="T48" i="2"/>
  <c r="P48" i="2"/>
  <c r="O48" i="2"/>
  <c r="N48" i="2"/>
  <c r="M48" i="2"/>
  <c r="L48" i="2"/>
  <c r="K48" i="2"/>
  <c r="G48" i="2"/>
  <c r="Z47" i="2"/>
  <c r="Y47" i="2"/>
  <c r="V47" i="2"/>
  <c r="R47" i="2"/>
  <c r="Q47" i="2"/>
  <c r="J47" i="2"/>
  <c r="I47" i="2"/>
  <c r="D47" i="2"/>
  <c r="C47" i="2"/>
  <c r="Z46" i="2"/>
  <c r="Y46" i="2"/>
  <c r="V46" i="2"/>
  <c r="U46" i="2"/>
  <c r="R46" i="2"/>
  <c r="H46" i="2"/>
  <c r="H48" i="2" s="1"/>
  <c r="C46" i="2"/>
  <c r="Z45" i="2"/>
  <c r="Y45" i="2"/>
  <c r="V45" i="2"/>
  <c r="R45" i="2"/>
  <c r="J45" i="2"/>
  <c r="I45" i="2"/>
  <c r="D45" i="2"/>
  <c r="C45" i="2"/>
  <c r="Z44" i="2"/>
  <c r="R44" i="2"/>
  <c r="J44" i="2"/>
  <c r="I44" i="2"/>
  <c r="D44" i="2"/>
  <c r="C44" i="2"/>
  <c r="Z43" i="2"/>
  <c r="Y43" i="2"/>
  <c r="V43" i="2"/>
  <c r="R43" i="2"/>
  <c r="J43" i="2"/>
  <c r="I43" i="2"/>
  <c r="D43" i="2"/>
  <c r="C43" i="2"/>
  <c r="Z42" i="2"/>
  <c r="V42" i="2"/>
  <c r="U42" i="2"/>
  <c r="R42" i="2"/>
  <c r="J42" i="2"/>
  <c r="I42" i="2"/>
  <c r="D42" i="2"/>
  <c r="C42" i="2"/>
  <c r="Z41" i="2"/>
  <c r="Y41" i="2"/>
  <c r="V41" i="2"/>
  <c r="U41" i="2"/>
  <c r="R41" i="2"/>
  <c r="J41" i="2"/>
  <c r="I41" i="2"/>
  <c r="D41" i="2"/>
  <c r="C41" i="2"/>
  <c r="Z40" i="2"/>
  <c r="Y40" i="2"/>
  <c r="S40" i="2"/>
  <c r="S48" i="2" s="1"/>
  <c r="R40" i="2"/>
  <c r="Q40" i="2"/>
  <c r="J40" i="2"/>
  <c r="I40" i="2"/>
  <c r="D40" i="2"/>
  <c r="AB39" i="2"/>
  <c r="X39" i="2"/>
  <c r="W39" i="2"/>
  <c r="T39" i="2"/>
  <c r="S39" i="2"/>
  <c r="K39" i="2"/>
  <c r="H39" i="2"/>
  <c r="G39" i="2"/>
  <c r="Z38" i="2"/>
  <c r="Y38" i="2"/>
  <c r="V38" i="2"/>
  <c r="U38" i="2"/>
  <c r="R38" i="2"/>
  <c r="Q38" i="2"/>
  <c r="N38" i="2"/>
  <c r="M38" i="2"/>
  <c r="J38" i="2"/>
  <c r="I38" i="2"/>
  <c r="D38" i="2"/>
  <c r="C38" i="2"/>
  <c r="AD37" i="2"/>
  <c r="AC37" i="2"/>
  <c r="Z37" i="2"/>
  <c r="Y37" i="2"/>
  <c r="V37" i="2"/>
  <c r="U37" i="2"/>
  <c r="R37" i="2"/>
  <c r="N37" i="2"/>
  <c r="M37" i="2"/>
  <c r="J37" i="2"/>
  <c r="I37" i="2"/>
  <c r="D37" i="2"/>
  <c r="C37" i="2"/>
  <c r="AD36" i="2"/>
  <c r="AC36" i="2"/>
  <c r="Z36" i="2"/>
  <c r="Y36" i="2"/>
  <c r="V36" i="2"/>
  <c r="R36" i="2"/>
  <c r="N36" i="2"/>
  <c r="M36" i="2"/>
  <c r="J36" i="2"/>
  <c r="I36" i="2"/>
  <c r="D36" i="2"/>
  <c r="C36" i="2"/>
  <c r="AD35" i="2"/>
  <c r="AC35" i="2"/>
  <c r="Z35" i="2"/>
  <c r="Y35" i="2"/>
  <c r="V35" i="2"/>
  <c r="U35" i="2"/>
  <c r="R35" i="2"/>
  <c r="N35" i="2"/>
  <c r="J35" i="2"/>
  <c r="I35" i="2"/>
  <c r="D35" i="2"/>
  <c r="C35" i="2"/>
  <c r="AD34" i="2"/>
  <c r="AC34" i="2"/>
  <c r="R34" i="2"/>
  <c r="N34" i="2"/>
  <c r="M34" i="2"/>
  <c r="J34" i="2"/>
  <c r="I34" i="2"/>
  <c r="D34" i="2"/>
  <c r="C34" i="2"/>
  <c r="AD33" i="2"/>
  <c r="AC33" i="2"/>
  <c r="Z33" i="2"/>
  <c r="Y33" i="2"/>
  <c r="R33" i="2"/>
  <c r="Q33" i="2"/>
  <c r="N33" i="2"/>
  <c r="M33" i="2"/>
  <c r="J33" i="2"/>
  <c r="I33" i="2"/>
  <c r="D33" i="2"/>
  <c r="C33" i="2"/>
  <c r="AD32" i="2"/>
  <c r="AC32" i="2"/>
  <c r="Z32" i="2"/>
  <c r="Y32" i="2"/>
  <c r="R32" i="2"/>
  <c r="Q32" i="2"/>
  <c r="N32" i="2"/>
  <c r="M32" i="2"/>
  <c r="J32" i="2"/>
  <c r="I32" i="2"/>
  <c r="D32" i="2"/>
  <c r="C32" i="2"/>
  <c r="Z31" i="2"/>
  <c r="Y31" i="2"/>
  <c r="R31" i="2"/>
  <c r="N31" i="2"/>
  <c r="M31" i="2"/>
  <c r="J31" i="2"/>
  <c r="I31" i="2"/>
  <c r="D31" i="2"/>
  <c r="C31" i="2"/>
  <c r="AD30" i="2"/>
  <c r="AC30" i="2"/>
  <c r="Z30" i="2"/>
  <c r="Y30" i="2"/>
  <c r="V30" i="2"/>
  <c r="R30" i="2"/>
  <c r="N30" i="2"/>
  <c r="M30" i="2"/>
  <c r="J30" i="2"/>
  <c r="I30" i="2"/>
  <c r="D30" i="2"/>
  <c r="C30" i="2"/>
  <c r="Z29" i="2"/>
  <c r="Y29" i="2"/>
  <c r="V29" i="2"/>
  <c r="R29" i="2"/>
  <c r="N29" i="2"/>
  <c r="M29" i="2"/>
  <c r="J29" i="2"/>
  <c r="I29" i="2"/>
  <c r="D29" i="2"/>
  <c r="C29" i="2"/>
  <c r="AD28" i="2"/>
  <c r="AC28" i="2"/>
  <c r="V28" i="2"/>
  <c r="U28" i="2"/>
  <c r="P28" i="2"/>
  <c r="Q28" i="2" s="1"/>
  <c r="N28" i="2"/>
  <c r="M28" i="2"/>
  <c r="J28" i="2"/>
  <c r="I28" i="2"/>
  <c r="C28" i="2"/>
  <c r="AD27" i="2"/>
  <c r="AC27" i="2"/>
  <c r="Z27" i="2"/>
  <c r="Y27" i="2"/>
  <c r="V27" i="2"/>
  <c r="R27" i="2"/>
  <c r="N27" i="2"/>
  <c r="M27" i="2"/>
  <c r="J27" i="2"/>
  <c r="I27" i="2"/>
  <c r="D27" i="2"/>
  <c r="C27" i="2"/>
  <c r="AD26" i="2"/>
  <c r="AC26" i="2"/>
  <c r="V26" i="2"/>
  <c r="U26" i="2"/>
  <c r="R26" i="2"/>
  <c r="Q26" i="2"/>
  <c r="N26" i="2"/>
  <c r="M26" i="2"/>
  <c r="J26" i="2"/>
  <c r="I26" i="2"/>
  <c r="D26" i="2"/>
  <c r="C26" i="2"/>
  <c r="AA25" i="2"/>
  <c r="AA39" i="2" s="1"/>
  <c r="Z25" i="2"/>
  <c r="Y25" i="2"/>
  <c r="P25" i="2"/>
  <c r="L25" i="2"/>
  <c r="N25" i="2" s="1"/>
  <c r="J25" i="2"/>
  <c r="I25" i="2"/>
  <c r="AD24" i="2"/>
  <c r="AC24" i="2"/>
  <c r="Z24" i="2"/>
  <c r="Y24" i="2"/>
  <c r="V24" i="2"/>
  <c r="U24" i="2"/>
  <c r="R24" i="2"/>
  <c r="Q24" i="2"/>
  <c r="N24" i="2"/>
  <c r="M24" i="2"/>
  <c r="J24" i="2"/>
  <c r="I24" i="2"/>
  <c r="D24" i="2"/>
  <c r="C24" i="2"/>
  <c r="AD23" i="2"/>
  <c r="AC23" i="2"/>
  <c r="Z23" i="2"/>
  <c r="Y23" i="2"/>
  <c r="V23" i="2"/>
  <c r="R23" i="2"/>
  <c r="Q23" i="2"/>
  <c r="N23" i="2"/>
  <c r="M23" i="2"/>
  <c r="J23" i="2"/>
  <c r="I23" i="2"/>
  <c r="D23" i="2"/>
  <c r="C23" i="2"/>
  <c r="AD22" i="2"/>
  <c r="AC22" i="2"/>
  <c r="Z22" i="2"/>
  <c r="Y22" i="2"/>
  <c r="V22" i="2"/>
  <c r="R22" i="2"/>
  <c r="Q22" i="2"/>
  <c r="N22" i="2"/>
  <c r="M22" i="2"/>
  <c r="J22" i="2"/>
  <c r="I22" i="2"/>
  <c r="D22" i="2"/>
  <c r="C22" i="2"/>
  <c r="AD21" i="2"/>
  <c r="AC21" i="2"/>
  <c r="Z21" i="2"/>
  <c r="V21" i="2"/>
  <c r="R21" i="2"/>
  <c r="Q21" i="2"/>
  <c r="N21" i="2"/>
  <c r="M21" i="2"/>
  <c r="J21" i="2"/>
  <c r="I21" i="2"/>
  <c r="D21" i="2"/>
  <c r="C21" i="2"/>
  <c r="AD20" i="2"/>
  <c r="AC20" i="2"/>
  <c r="Z20" i="2"/>
  <c r="Y20" i="2"/>
  <c r="V20" i="2"/>
  <c r="U20" i="2"/>
  <c r="R20" i="2"/>
  <c r="Q20" i="2"/>
  <c r="N20" i="2"/>
  <c r="M20" i="2"/>
  <c r="J20" i="2"/>
  <c r="I20" i="2"/>
  <c r="D20" i="2"/>
  <c r="C20" i="2"/>
  <c r="AD19" i="2"/>
  <c r="AC19" i="2"/>
  <c r="Z19" i="2"/>
  <c r="Y19" i="2"/>
  <c r="V19" i="2"/>
  <c r="O19" i="2"/>
  <c r="O39" i="2" s="1"/>
  <c r="N19" i="2"/>
  <c r="M19" i="2"/>
  <c r="J19" i="2"/>
  <c r="I19" i="2"/>
  <c r="D19" i="2"/>
  <c r="Z18" i="2"/>
  <c r="Y18" i="2"/>
  <c r="V18" i="2"/>
  <c r="U18" i="2"/>
  <c r="R18" i="2"/>
  <c r="Q18" i="2"/>
  <c r="N18" i="2"/>
  <c r="M18" i="2"/>
  <c r="J18" i="2"/>
  <c r="I18" i="2"/>
  <c r="D18" i="2"/>
  <c r="C18" i="2"/>
  <c r="AB17" i="2"/>
  <c r="X17" i="2"/>
  <c r="W17" i="2"/>
  <c r="T17" i="2"/>
  <c r="S17" i="2"/>
  <c r="P17" i="2"/>
  <c r="O17" i="2"/>
  <c r="L17" i="2"/>
  <c r="K17" i="2"/>
  <c r="H17" i="2"/>
  <c r="AD16" i="2"/>
  <c r="AC16" i="2"/>
  <c r="V16" i="2"/>
  <c r="U16" i="2"/>
  <c r="R16" i="2"/>
  <c r="Q16" i="2"/>
  <c r="N16" i="2"/>
  <c r="M16" i="2"/>
  <c r="J16" i="2"/>
  <c r="I16" i="2"/>
  <c r="D16" i="2"/>
  <c r="C16" i="2"/>
  <c r="AD15" i="2"/>
  <c r="AC15" i="2"/>
  <c r="V15" i="2"/>
  <c r="U15" i="2"/>
  <c r="R15" i="2"/>
  <c r="Q15" i="2"/>
  <c r="N15" i="2"/>
  <c r="M15" i="2"/>
  <c r="J15" i="2"/>
  <c r="I15" i="2"/>
  <c r="D15" i="2"/>
  <c r="C15" i="2"/>
  <c r="AD14" i="2"/>
  <c r="AC14" i="2"/>
  <c r="V14" i="2"/>
  <c r="U14" i="2"/>
  <c r="R14" i="2"/>
  <c r="Q14" i="2"/>
  <c r="N14" i="2"/>
  <c r="M14" i="2"/>
  <c r="J14" i="2"/>
  <c r="I14" i="2"/>
  <c r="D14" i="2"/>
  <c r="C14" i="2"/>
  <c r="AD13" i="2"/>
  <c r="AC13" i="2"/>
  <c r="V13" i="2"/>
  <c r="U13" i="2"/>
  <c r="R13" i="2"/>
  <c r="Q13" i="2"/>
  <c r="N13" i="2"/>
  <c r="M13" i="2"/>
  <c r="G13" i="2"/>
  <c r="C13" i="2" s="1"/>
  <c r="D13" i="2"/>
  <c r="AD12" i="2"/>
  <c r="AC12" i="2"/>
  <c r="Z12" i="2"/>
  <c r="Z17" i="2" s="1"/>
  <c r="Y12" i="2"/>
  <c r="V12" i="2"/>
  <c r="U12" i="2"/>
  <c r="R12" i="2"/>
  <c r="N12" i="2"/>
  <c r="M12" i="2"/>
  <c r="J12" i="2"/>
  <c r="I12" i="2"/>
  <c r="D12" i="2"/>
  <c r="C12" i="2"/>
  <c r="AA11" i="2"/>
  <c r="AA17" i="2" s="1"/>
  <c r="V11" i="2"/>
  <c r="U11" i="2"/>
  <c r="R11" i="2"/>
  <c r="Q11" i="2"/>
  <c r="N11" i="2"/>
  <c r="M11" i="2"/>
  <c r="J11" i="2"/>
  <c r="I11" i="2"/>
  <c r="D11" i="2"/>
  <c r="AD10" i="2"/>
  <c r="AC10" i="2"/>
  <c r="V10" i="2"/>
  <c r="U10" i="2"/>
  <c r="R10" i="2"/>
  <c r="Q10" i="2"/>
  <c r="N10" i="2"/>
  <c r="M10" i="2"/>
  <c r="G10" i="2"/>
  <c r="D10" i="2"/>
  <c r="AD9" i="2"/>
  <c r="AC9" i="2"/>
  <c r="V9" i="2"/>
  <c r="U9" i="2"/>
  <c r="R9" i="2"/>
  <c r="N9" i="2"/>
  <c r="M9" i="2"/>
  <c r="J9" i="2"/>
  <c r="I9" i="2"/>
  <c r="D9" i="2"/>
  <c r="C9" i="2"/>
  <c r="D43" i="1"/>
  <c r="D35" i="1" s="1"/>
  <c r="H35" i="1" s="1"/>
  <c r="C43" i="1"/>
  <c r="D42" i="1"/>
  <c r="D36" i="1"/>
  <c r="G35" i="1"/>
  <c r="C35" i="1"/>
  <c r="G33" i="1"/>
  <c r="D33" i="1"/>
  <c r="F33" i="1" s="1"/>
  <c r="C33" i="1"/>
  <c r="I32" i="1"/>
  <c r="H32" i="1"/>
  <c r="F32" i="1"/>
  <c r="E32" i="1"/>
  <c r="I31" i="1"/>
  <c r="H31" i="1"/>
  <c r="F31" i="1"/>
  <c r="E31" i="1"/>
  <c r="I30" i="1"/>
  <c r="H30" i="1"/>
  <c r="F30" i="1"/>
  <c r="F29" i="1" s="1"/>
  <c r="E30" i="1"/>
  <c r="I29" i="1"/>
  <c r="G29" i="1"/>
  <c r="G24" i="1" s="1"/>
  <c r="D29" i="1"/>
  <c r="E29" i="1" s="1"/>
  <c r="C29" i="1"/>
  <c r="C24" i="1" s="1"/>
  <c r="I28" i="1"/>
  <c r="H28" i="1"/>
  <c r="F28" i="1"/>
  <c r="E28" i="1"/>
  <c r="I27" i="1"/>
  <c r="H27" i="1"/>
  <c r="F27" i="1"/>
  <c r="E27" i="1"/>
  <c r="E26" i="1"/>
  <c r="D26" i="1"/>
  <c r="I26" i="1" s="1"/>
  <c r="C26" i="1"/>
  <c r="I25" i="1"/>
  <c r="H25" i="1"/>
  <c r="F25" i="1"/>
  <c r="E25" i="1"/>
  <c r="D24" i="1"/>
  <c r="F23" i="1"/>
  <c r="D23" i="1"/>
  <c r="E23" i="1" s="1"/>
  <c r="C23" i="1"/>
  <c r="I22" i="1"/>
  <c r="G22" i="1"/>
  <c r="E22" i="1"/>
  <c r="D22" i="1"/>
  <c r="H22" i="1" s="1"/>
  <c r="C22" i="1"/>
  <c r="H21" i="1"/>
  <c r="D21" i="1"/>
  <c r="I21" i="1" s="1"/>
  <c r="I18" i="1" s="1"/>
  <c r="C21" i="1"/>
  <c r="F21" i="1" s="1"/>
  <c r="I20" i="1"/>
  <c r="H20" i="1"/>
  <c r="G20" i="1"/>
  <c r="F20" i="1"/>
  <c r="E20" i="1"/>
  <c r="I19" i="1"/>
  <c r="H19" i="1"/>
  <c r="F19" i="1"/>
  <c r="E19" i="1"/>
  <c r="G18" i="1"/>
  <c r="G17" i="1" s="1"/>
  <c r="D18" i="1"/>
  <c r="H18" i="1" s="1"/>
  <c r="C18" i="1"/>
  <c r="F18" i="1" s="1"/>
  <c r="D17" i="1"/>
  <c r="I16" i="1"/>
  <c r="H16" i="1"/>
  <c r="F16" i="1"/>
  <c r="E16" i="1"/>
  <c r="I15" i="1"/>
  <c r="H15" i="1"/>
  <c r="F15" i="1"/>
  <c r="E15" i="1"/>
  <c r="I14" i="1"/>
  <c r="H14" i="1"/>
  <c r="F14" i="1"/>
  <c r="E14" i="1"/>
  <c r="I13" i="1"/>
  <c r="I12" i="1" s="1"/>
  <c r="H13" i="1"/>
  <c r="F13" i="1"/>
  <c r="E13" i="1"/>
  <c r="G12" i="1"/>
  <c r="E12" i="1"/>
  <c r="D12" i="1"/>
  <c r="H12" i="1" s="1"/>
  <c r="C12" i="1"/>
  <c r="I11" i="1"/>
  <c r="H11" i="1"/>
  <c r="F11" i="1"/>
  <c r="E11" i="1"/>
  <c r="G10" i="1"/>
  <c r="D10" i="1"/>
  <c r="D34" i="1" s="1"/>
  <c r="C10" i="1"/>
  <c r="G9" i="1"/>
  <c r="I9" i="1" s="1"/>
  <c r="D9" i="1"/>
  <c r="H9" i="1" s="1"/>
  <c r="C9" i="1"/>
  <c r="F9" i="1" s="1"/>
  <c r="B50" i="3" l="1"/>
  <c r="E130" i="2"/>
  <c r="C53" i="2"/>
  <c r="E53" i="2" s="1"/>
  <c r="C58" i="2"/>
  <c r="E58" i="2" s="1"/>
  <c r="C19" i="2"/>
  <c r="E19" i="2" s="1"/>
  <c r="K71" i="2"/>
  <c r="K138" i="2" s="1"/>
  <c r="E29" i="2"/>
  <c r="E31" i="2"/>
  <c r="E101" i="2"/>
  <c r="E99" i="2"/>
  <c r="F88" i="2"/>
  <c r="Q55" i="2"/>
  <c r="E102" i="2"/>
  <c r="D25" i="2"/>
  <c r="E38" i="2"/>
  <c r="U48" i="2"/>
  <c r="C80" i="2"/>
  <c r="F80" i="2" s="1"/>
  <c r="E18" i="2"/>
  <c r="F93" i="2"/>
  <c r="F95" i="2"/>
  <c r="F97" i="2"/>
  <c r="F99" i="2"/>
  <c r="AD11" i="2"/>
  <c r="AD17" i="2" s="1"/>
  <c r="E9" i="2"/>
  <c r="C11" i="2"/>
  <c r="E11" i="2" s="1"/>
  <c r="F66" i="2"/>
  <c r="I67" i="2"/>
  <c r="F77" i="2"/>
  <c r="F92" i="2"/>
  <c r="W71" i="2"/>
  <c r="W138" i="2" s="1"/>
  <c r="AC39" i="2"/>
  <c r="E45" i="2"/>
  <c r="I46" i="2"/>
  <c r="U67" i="2"/>
  <c r="F69" i="2"/>
  <c r="C116" i="2"/>
  <c r="E116" i="2" s="1"/>
  <c r="F119" i="2"/>
  <c r="R19" i="2"/>
  <c r="F21" i="2"/>
  <c r="Q25" i="2"/>
  <c r="Q53" i="2"/>
  <c r="F79" i="2"/>
  <c r="E84" i="2"/>
  <c r="F14" i="2"/>
  <c r="R25" i="2"/>
  <c r="R48" i="2"/>
  <c r="N51" i="2"/>
  <c r="N55" i="2" s="1"/>
  <c r="AC55" i="2"/>
  <c r="Q64" i="2"/>
  <c r="D68" i="2"/>
  <c r="E68" i="2" s="1"/>
  <c r="F101" i="2"/>
  <c r="F132" i="2"/>
  <c r="J70" i="2"/>
  <c r="E77" i="2"/>
  <c r="J80" i="2"/>
  <c r="F115" i="2"/>
  <c r="E120" i="2"/>
  <c r="G17" i="2"/>
  <c r="I17" i="2" s="1"/>
  <c r="I13" i="2"/>
  <c r="E24" i="2"/>
  <c r="C25" i="2"/>
  <c r="P39" i="2"/>
  <c r="Q39" i="2" s="1"/>
  <c r="AD25" i="2"/>
  <c r="AD39" i="2" s="1"/>
  <c r="E27" i="2"/>
  <c r="R28" i="2"/>
  <c r="F30" i="2"/>
  <c r="F34" i="2"/>
  <c r="C40" i="2"/>
  <c r="E40" i="2" s="1"/>
  <c r="U40" i="2"/>
  <c r="D46" i="2"/>
  <c r="D48" i="2" s="1"/>
  <c r="J46" i="2"/>
  <c r="J48" i="2" s="1"/>
  <c r="F47" i="2"/>
  <c r="F50" i="2"/>
  <c r="D51" i="2"/>
  <c r="E51" i="2" s="1"/>
  <c r="R53" i="2"/>
  <c r="R55" i="2" s="1"/>
  <c r="R59" i="2"/>
  <c r="E87" i="2"/>
  <c r="F109" i="2"/>
  <c r="F111" i="2"/>
  <c r="F112" i="2"/>
  <c r="F123" i="2"/>
  <c r="F124" i="2"/>
  <c r="F125" i="2"/>
  <c r="F126" i="2"/>
  <c r="F135" i="2"/>
  <c r="F137" i="2"/>
  <c r="X71" i="2"/>
  <c r="X138" i="2" s="1"/>
  <c r="E23" i="2"/>
  <c r="F26" i="2"/>
  <c r="D28" i="2"/>
  <c r="F28" i="2" s="1"/>
  <c r="E33" i="2"/>
  <c r="E37" i="2"/>
  <c r="D59" i="2"/>
  <c r="F59" i="2" s="1"/>
  <c r="F61" i="2"/>
  <c r="V17" i="2"/>
  <c r="Y55" i="2"/>
  <c r="Q68" i="2"/>
  <c r="D70" i="2"/>
  <c r="F73" i="2"/>
  <c r="F84" i="2"/>
  <c r="F103" i="2"/>
  <c r="F105" i="2"/>
  <c r="F108" i="2"/>
  <c r="F118" i="2"/>
  <c r="F120" i="2"/>
  <c r="E124" i="2"/>
  <c r="E132" i="2"/>
  <c r="E13" i="2"/>
  <c r="F13" i="2"/>
  <c r="I10" i="2"/>
  <c r="E12" i="2"/>
  <c r="F12" i="2"/>
  <c r="J13" i="2"/>
  <c r="R17" i="2"/>
  <c r="F15" i="2"/>
  <c r="E16" i="2"/>
  <c r="F16" i="2"/>
  <c r="T71" i="2"/>
  <c r="T138" i="2" s="1"/>
  <c r="F35" i="2"/>
  <c r="V40" i="2"/>
  <c r="V48" i="2" s="1"/>
  <c r="F42" i="2"/>
  <c r="F43" i="2"/>
  <c r="F44" i="2"/>
  <c r="Z55" i="2"/>
  <c r="E57" i="2"/>
  <c r="F57" i="2"/>
  <c r="O67" i="2"/>
  <c r="J67" i="2"/>
  <c r="Q60" i="2"/>
  <c r="D64" i="2"/>
  <c r="F64" i="2" s="1"/>
  <c r="E75" i="2"/>
  <c r="F81" i="2"/>
  <c r="F83" i="2"/>
  <c r="F89" i="2"/>
  <c r="F91" i="2"/>
  <c r="F96" i="2"/>
  <c r="F106" i="2"/>
  <c r="F113" i="2"/>
  <c r="F117" i="2"/>
  <c r="E118" i="2"/>
  <c r="I121" i="2"/>
  <c r="F130" i="2"/>
  <c r="E26" i="2"/>
  <c r="D17" i="2"/>
  <c r="N17" i="2"/>
  <c r="F20" i="2"/>
  <c r="E20" i="2"/>
  <c r="F22" i="2"/>
  <c r="F24" i="2"/>
  <c r="AC25" i="2"/>
  <c r="F36" i="2"/>
  <c r="F38" i="2"/>
  <c r="I39" i="2"/>
  <c r="U39" i="2"/>
  <c r="Y39" i="2"/>
  <c r="Y48" i="2"/>
  <c r="AD55" i="2"/>
  <c r="V67" i="2"/>
  <c r="Q58" i="2"/>
  <c r="F62" i="2"/>
  <c r="E62" i="2"/>
  <c r="F63" i="2"/>
  <c r="F65" i="2"/>
  <c r="E65" i="2"/>
  <c r="I70" i="2"/>
  <c r="E88" i="2"/>
  <c r="E95" i="2"/>
  <c r="E105" i="2"/>
  <c r="E112" i="2"/>
  <c r="C121" i="2"/>
  <c r="F121" i="2" s="1"/>
  <c r="E137" i="2"/>
  <c r="F9" i="2"/>
  <c r="S71" i="2"/>
  <c r="F23" i="2"/>
  <c r="E30" i="2"/>
  <c r="F56" i="2"/>
  <c r="E61" i="2"/>
  <c r="E66" i="2"/>
  <c r="C10" i="2"/>
  <c r="AB71" i="2"/>
  <c r="AB138" i="2" s="1"/>
  <c r="J39" i="2"/>
  <c r="N39" i="2"/>
  <c r="V39" i="2"/>
  <c r="Z39" i="2"/>
  <c r="F45" i="2"/>
  <c r="E50" i="2"/>
  <c r="F58" i="2"/>
  <c r="C60" i="2"/>
  <c r="F75" i="2"/>
  <c r="E76" i="2"/>
  <c r="E79" i="2"/>
  <c r="E83" i="2"/>
  <c r="F85" i="2"/>
  <c r="F87" i="2"/>
  <c r="E91" i="2"/>
  <c r="E96" i="2"/>
  <c r="F102" i="2"/>
  <c r="E106" i="2"/>
  <c r="J116" i="2"/>
  <c r="AA71" i="2"/>
  <c r="AC17" i="2"/>
  <c r="J10" i="2"/>
  <c r="M17" i="2"/>
  <c r="Q17" i="2"/>
  <c r="Y17" i="2"/>
  <c r="F18" i="2"/>
  <c r="M25" i="2"/>
  <c r="L39" i="2"/>
  <c r="M39" i="2" s="1"/>
  <c r="F29" i="2"/>
  <c r="F33" i="2"/>
  <c r="E34" i="2"/>
  <c r="F37" i="2"/>
  <c r="E41" i="2"/>
  <c r="I48" i="2"/>
  <c r="F52" i="2"/>
  <c r="E52" i="2"/>
  <c r="E14" i="2"/>
  <c r="E15" i="2"/>
  <c r="E21" i="2"/>
  <c r="F41" i="2"/>
  <c r="I49" i="2"/>
  <c r="D49" i="2"/>
  <c r="H55" i="2"/>
  <c r="H71" i="2" s="1"/>
  <c r="J49" i="2"/>
  <c r="G55" i="2"/>
  <c r="J54" i="2"/>
  <c r="I54" i="2"/>
  <c r="F32" i="2"/>
  <c r="I52" i="2"/>
  <c r="J52" i="2"/>
  <c r="AC11" i="2"/>
  <c r="U17" i="2"/>
  <c r="E22" i="2"/>
  <c r="F27" i="2"/>
  <c r="F31" i="2"/>
  <c r="E32" i="2"/>
  <c r="E35" i="2"/>
  <c r="E36" i="2"/>
  <c r="C54" i="2"/>
  <c r="F90" i="2"/>
  <c r="E90" i="2"/>
  <c r="F122" i="2"/>
  <c r="E122" i="2"/>
  <c r="E42" i="2"/>
  <c r="E43" i="2"/>
  <c r="E44" i="2"/>
  <c r="E47" i="2"/>
  <c r="Q48" i="2"/>
  <c r="R70" i="2"/>
  <c r="Q70" i="2"/>
  <c r="C70" i="2"/>
  <c r="E74" i="2"/>
  <c r="F74" i="2"/>
  <c r="F110" i="2"/>
  <c r="E110" i="2"/>
  <c r="L55" i="2"/>
  <c r="R66" i="2"/>
  <c r="Q66" i="2"/>
  <c r="Y67" i="2"/>
  <c r="F133" i="2"/>
  <c r="E133" i="2"/>
  <c r="Z48" i="2"/>
  <c r="Z67" i="2"/>
  <c r="E78" i="2"/>
  <c r="F78" i="2"/>
  <c r="F82" i="2"/>
  <c r="E82" i="2"/>
  <c r="F86" i="2"/>
  <c r="E86" i="2"/>
  <c r="F94" i="2"/>
  <c r="E94" i="2"/>
  <c r="F98" i="2"/>
  <c r="E98" i="2"/>
  <c r="F104" i="2"/>
  <c r="E104" i="2"/>
  <c r="F131" i="2"/>
  <c r="E131" i="2"/>
  <c r="F136" i="2"/>
  <c r="E136" i="2"/>
  <c r="E56" i="2"/>
  <c r="P67" i="2"/>
  <c r="E81" i="2"/>
  <c r="E85" i="2"/>
  <c r="E89" i="2"/>
  <c r="E93" i="2"/>
  <c r="E97" i="2"/>
  <c r="E103" i="2"/>
  <c r="I107" i="2"/>
  <c r="D107" i="2"/>
  <c r="E107" i="2" s="1"/>
  <c r="E109" i="2"/>
  <c r="E113" i="2"/>
  <c r="E115" i="2"/>
  <c r="E117" i="2"/>
  <c r="E126" i="2"/>
  <c r="E135" i="2"/>
  <c r="E63" i="2"/>
  <c r="E69" i="2"/>
  <c r="F76" i="2"/>
  <c r="E92" i="2"/>
  <c r="E108" i="2"/>
  <c r="E111" i="2"/>
  <c r="E119" i="2"/>
  <c r="E123" i="2"/>
  <c r="D46" i="1"/>
  <c r="G34" i="1"/>
  <c r="G46" i="1" s="1"/>
  <c r="I17" i="1"/>
  <c r="H24" i="1"/>
  <c r="H10" i="1"/>
  <c r="H33" i="1"/>
  <c r="E10" i="1"/>
  <c r="I10" i="1"/>
  <c r="F12" i="1"/>
  <c r="C17" i="1"/>
  <c r="F17" i="1" s="1"/>
  <c r="F22" i="1"/>
  <c r="H23" i="1"/>
  <c r="E24" i="1"/>
  <c r="I24" i="1"/>
  <c r="F26" i="1"/>
  <c r="H29" i="1"/>
  <c r="E33" i="1"/>
  <c r="I33" i="1"/>
  <c r="E9" i="1"/>
  <c r="F10" i="1"/>
  <c r="H17" i="1"/>
  <c r="E18" i="1"/>
  <c r="E21" i="1"/>
  <c r="I23" i="1"/>
  <c r="F24" i="1"/>
  <c r="H26" i="1"/>
  <c r="F19" i="2" l="1"/>
  <c r="F53" i="2"/>
  <c r="E80" i="2"/>
  <c r="C55" i="2"/>
  <c r="C39" i="2"/>
  <c r="F116" i="2"/>
  <c r="F46" i="2"/>
  <c r="U71" i="2"/>
  <c r="E59" i="2"/>
  <c r="R67" i="2"/>
  <c r="O71" i="2"/>
  <c r="P71" i="2"/>
  <c r="P138" i="2" s="1"/>
  <c r="F25" i="2"/>
  <c r="F39" i="2" s="1"/>
  <c r="E25" i="2"/>
  <c r="C48" i="2"/>
  <c r="E48" i="2" s="1"/>
  <c r="F40" i="2"/>
  <c r="F11" i="2"/>
  <c r="V71" i="2"/>
  <c r="V138" i="2" s="1"/>
  <c r="R39" i="2"/>
  <c r="C17" i="2"/>
  <c r="E17" i="2" s="1"/>
  <c r="F51" i="2"/>
  <c r="E46" i="2"/>
  <c r="F107" i="2"/>
  <c r="E121" i="2"/>
  <c r="Z71" i="2"/>
  <c r="Z138" i="2" s="1"/>
  <c r="AD71" i="2"/>
  <c r="AD138" i="2" s="1"/>
  <c r="D67" i="2"/>
  <c r="F68" i="2"/>
  <c r="D39" i="2"/>
  <c r="Y71" i="2"/>
  <c r="J17" i="2"/>
  <c r="E64" i="2"/>
  <c r="E28" i="2"/>
  <c r="N71" i="2"/>
  <c r="N138" i="2" s="1"/>
  <c r="Q67" i="2"/>
  <c r="E10" i="2"/>
  <c r="F10" i="2"/>
  <c r="S138" i="2"/>
  <c r="E60" i="2"/>
  <c r="F60" i="2"/>
  <c r="F67" i="2" s="1"/>
  <c r="L71" i="2"/>
  <c r="L138" i="2" s="1"/>
  <c r="C67" i="2"/>
  <c r="D55" i="2"/>
  <c r="E49" i="2"/>
  <c r="Y138" i="2"/>
  <c r="M55" i="2"/>
  <c r="I55" i="2"/>
  <c r="F49" i="2"/>
  <c r="F70" i="2"/>
  <c r="E70" i="2"/>
  <c r="F54" i="2"/>
  <c r="E54" i="2"/>
  <c r="J55" i="2"/>
  <c r="H138" i="2"/>
  <c r="AC71" i="2"/>
  <c r="AA138" i="2"/>
  <c r="G71" i="2"/>
  <c r="H34" i="1"/>
  <c r="I34" i="1"/>
  <c r="E17" i="1"/>
  <c r="C34" i="1"/>
  <c r="E39" i="2" l="1"/>
  <c r="F17" i="2"/>
  <c r="F48" i="2"/>
  <c r="Q71" i="2"/>
  <c r="O138" i="2"/>
  <c r="Q138" i="2" s="1"/>
  <c r="R71" i="2"/>
  <c r="R138" i="2" s="1"/>
  <c r="M71" i="2"/>
  <c r="J71" i="2"/>
  <c r="J138" i="2" s="1"/>
  <c r="E67" i="2"/>
  <c r="D71" i="2"/>
  <c r="D138" i="2" s="1"/>
  <c r="E55" i="2"/>
  <c r="U138" i="2"/>
  <c r="M138" i="2"/>
  <c r="F55" i="2"/>
  <c r="I71" i="2"/>
  <c r="G138" i="2"/>
  <c r="C71" i="2"/>
  <c r="AC138" i="2"/>
  <c r="C46" i="1"/>
  <c r="F34" i="1"/>
  <c r="E34" i="1"/>
  <c r="F71" i="2" l="1"/>
  <c r="F138" i="2" s="1"/>
  <c r="C138" i="2"/>
  <c r="E71" i="2"/>
  <c r="I138" i="2"/>
  <c r="E138" i="2" l="1"/>
</calcChain>
</file>

<file path=xl/sharedStrings.xml><?xml version="1.0" encoding="utf-8"?>
<sst xmlns="http://schemas.openxmlformats.org/spreadsheetml/2006/main" count="272" uniqueCount="222">
  <si>
    <t>Aiškinamojo rašto lentelė Nr.1</t>
  </si>
  <si>
    <t>2021-2020 M. KĖDAINIŲ RAJONO SAVIVALDYBĖS BIUDŽETO PAJAMŲ PALYGINIMAS</t>
  </si>
  <si>
    <t>Eil. Nr.</t>
  </si>
  <si>
    <t>Pajamų pavadinimas</t>
  </si>
  <si>
    <t>2021 m.</t>
  </si>
  <si>
    <t xml:space="preserve">      palyginimas (3 stp su 2 stp)</t>
  </si>
  <si>
    <r>
      <t>2020 m. įvykdyta</t>
    </r>
    <r>
      <rPr>
        <i/>
        <sz val="10"/>
        <color indexed="8"/>
        <rFont val="Times New Roman"/>
        <family val="1"/>
        <charset val="186"/>
      </rPr>
      <t xml:space="preserve"> </t>
    </r>
    <r>
      <rPr>
        <sz val="10"/>
        <color indexed="8"/>
        <rFont val="Times New Roman"/>
        <family val="1"/>
        <charset val="186"/>
      </rPr>
      <t xml:space="preserve"> (tūkst. Eur)</t>
    </r>
  </si>
  <si>
    <t xml:space="preserve">      palyginimas (3 stp su 6 stp)</t>
  </si>
  <si>
    <t>planas        (tūkst. Eur)</t>
  </si>
  <si>
    <t>įvykdyta (tūkst. Eur)</t>
  </si>
  <si>
    <t>proc.</t>
  </si>
  <si>
    <t>suma           (tūkst. Eur)</t>
  </si>
  <si>
    <t>suma             (tūkst. Eur)</t>
  </si>
  <si>
    <t>Pajamos savarankiškoms funkcijoms vykdyti</t>
  </si>
  <si>
    <t>MOKESČIAI (3+4+8)</t>
  </si>
  <si>
    <t xml:space="preserve">Gyventojų  pajamų mokestis </t>
  </si>
  <si>
    <t>Turto mokesčiai (5+6+7)</t>
  </si>
  <si>
    <t xml:space="preserve">    žemės mokestis</t>
  </si>
  <si>
    <t xml:space="preserve">    nekilnojamojo turto mokestis</t>
  </si>
  <si>
    <t xml:space="preserve">   paveldimo turto mokestis</t>
  </si>
  <si>
    <t>Mokestis už aplinkos teršimą</t>
  </si>
  <si>
    <t>DOTACIJOS (10+14+15)</t>
  </si>
  <si>
    <t>`</t>
  </si>
  <si>
    <t>Specialioji tikslinė dotacija (11+12+13)</t>
  </si>
  <si>
    <t xml:space="preserve">   Mokymo reikmėms finansuoti</t>
  </si>
  <si>
    <t xml:space="preserve"> Valstybinėms (perduotoms savivaldybėms) funkcijoms atlikti</t>
  </si>
  <si>
    <t xml:space="preserve">   Kėdainių specialioji mokykla</t>
  </si>
  <si>
    <t>Dotacija savivaldybėms iš Europos Sąjungos, kitos tarptautinės finansinės paramos ir bendrojo finansavimo lėšų</t>
  </si>
  <si>
    <t>Kitos dotacijos</t>
  </si>
  <si>
    <t>KITOS PAJAMOS (17+18+19+20+21+25)</t>
  </si>
  <si>
    <t>Valstybinės žemės nuomos mokestis</t>
  </si>
  <si>
    <t>Mokestis už valstybinius gamtos išteklius</t>
  </si>
  <si>
    <t>Vietinė rinkliava už atliekų tvarkymą</t>
  </si>
  <si>
    <t>Dividendai</t>
  </si>
  <si>
    <t>Biudžetinių įstaigų gautos pajamos (22+23+34)</t>
  </si>
  <si>
    <t xml:space="preserve">   Pajamos už ilgalaikio ir trumpalaikio materialiojo turto nuomą</t>
  </si>
  <si>
    <t xml:space="preserve">   Pajamos už prekes ir paslaugas</t>
  </si>
  <si>
    <t xml:space="preserve">   Pajamos iš  įmokų</t>
  </si>
  <si>
    <t>Kitos pajamos ir rinkliavos</t>
  </si>
  <si>
    <t xml:space="preserve">                                                   Iš viso pajamų:</t>
  </si>
  <si>
    <t>2020 metų nepanaudotos biudžeto pajamos, iš jo:</t>
  </si>
  <si>
    <t>Lėšų likutis 2019-12-31, iš jo:</t>
  </si>
  <si>
    <t>Biudžeto apyvartos lėšos</t>
  </si>
  <si>
    <t>Prekių ir paslaugų</t>
  </si>
  <si>
    <t>Ilgalaikio ir trumpalaikio materialiojo turto nuomos</t>
  </si>
  <si>
    <t>Įmokų už išlaikymą švietimo, socialinės apsaugos ir kitose įstaigose</t>
  </si>
  <si>
    <t>Aplinkos apsaugos rėmimo programos apyvartos lėšos</t>
  </si>
  <si>
    <t>Pajamų už vietinę rinkliavą</t>
  </si>
  <si>
    <t>Pajamų už parduotą turtą</t>
  </si>
  <si>
    <t>Europos sąjungos finansinės paramos lėšos</t>
  </si>
  <si>
    <t>Valstybės biudžeto lėšos (ES projektams)</t>
  </si>
  <si>
    <t xml:space="preserve">Skolintos lėšos </t>
  </si>
  <si>
    <t>Iš viso pajamos su likučiu ir skolintomis lėšomis:</t>
  </si>
  <si>
    <t>2021 -2020 METŲ  KĖDAINIŲ RAJONO SAVIVALDYBĖS KASINIŲ IŠLAIDŲ  PALYGINIMAI</t>
  </si>
  <si>
    <t>Lentelė Nr.2</t>
  </si>
  <si>
    <t>Tūkst. Eur</t>
  </si>
  <si>
    <t>Iš viso asignavimai</t>
  </si>
  <si>
    <t>savarankiškom funkcijom</t>
  </si>
  <si>
    <t>spec. dotacija (ugdymo reikmėms finansuoti)</t>
  </si>
  <si>
    <t>ES lėšos, speciali tikslinė dotacija ( valstybės deleguotos f-jos,  iš apskrities  perduotai įstaigai išlaikyti)</t>
  </si>
  <si>
    <t>spec. ( nuoma)</t>
  </si>
  <si>
    <t>spec. (atsitiktinės)</t>
  </si>
  <si>
    <t>spec. (įmokos)</t>
  </si>
  <si>
    <t xml:space="preserve">Iš viso </t>
  </si>
  <si>
    <t>palyginimas</t>
  </si>
  <si>
    <t>%</t>
  </si>
  <si>
    <t>(+,-)</t>
  </si>
  <si>
    <t>Kėdainių lopšelis-darželis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</si>
  <si>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</si>
  <si>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</si>
  <si>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</si>
  <si>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</si>
  <si>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</si>
  <si>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</si>
  <si>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</si>
  <si>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 xml:space="preserve">                  viso darželiai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</si>
  <si>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</si>
  <si>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</si>
  <si>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</si>
  <si>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</si>
  <si>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</si>
  <si>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 gimnazija</t>
  </si>
  <si>
    <t>Lietuvos sporto universiteto Kėdainių „Aušros“ progimnazija</t>
  </si>
  <si>
    <t>Kėdainių „Ryto“ progimnazija</t>
  </si>
  <si>
    <t>Kėdainių Juozo Paukštelio progimnazija</t>
  </si>
  <si>
    <t>Kėdainių r. Dotnuvos pagrindinė mokykla</t>
  </si>
  <si>
    <t>Kėdainių r. Labūnavos pagrindinė mokykla</t>
  </si>
  <si>
    <t>Kėdainių r. Miegenų pagrindinė mokykla</t>
  </si>
  <si>
    <t>Kėdainių r. Surviliškio Vinco Svirskio pagrindinė mokykla</t>
  </si>
  <si>
    <t>Kėdainių r. Truskavos pagrindinė mokykla</t>
  </si>
  <si>
    <t>Kėdainių suaugusiųjų ir jaunimo mokymo centras</t>
  </si>
  <si>
    <t>Kėdainių "Spindulio" mokykla</t>
  </si>
  <si>
    <t>Kėdainių dailės mokykla</t>
  </si>
  <si>
    <t>Kėdainių kalbų mokykla</t>
  </si>
  <si>
    <t>Kėdainių muzikos  mokykla</t>
  </si>
  <si>
    <t>Kėdainių sporto centras</t>
  </si>
  <si>
    <t>Kėdainių švietimo pagalbos tarnyba</t>
  </si>
  <si>
    <t xml:space="preserve">               viso mokyklos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</si>
  <si>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</si>
  <si>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</si>
  <si>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</si>
  <si>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</si>
  <si>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</si>
  <si>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</si>
  <si>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</si>
  <si>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</si>
  <si>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 xml:space="preserve">        viso kultūros įstaigos</t>
  </si>
  <si>
    <t>Kėdainių bendruomenės socialinis centras</t>
  </si>
  <si>
    <t>Dotnuvos slaugos namai</t>
  </si>
  <si>
    <t>Josvainių socialinis ir ugdymo centras</t>
  </si>
  <si>
    <t>Šėtos socialinis ir ugdymo  centras</t>
  </si>
  <si>
    <t>Kėdainių pagalbos šeimai centras</t>
  </si>
  <si>
    <t>Kėdainių rajono savivaldybės visuomenės sveikatos biuras</t>
  </si>
  <si>
    <t xml:space="preserve">        viso socialinės  įstaigos</t>
  </si>
  <si>
    <t>Krakių sen</t>
  </si>
  <si>
    <t>Pelėdnagių sen</t>
  </si>
  <si>
    <t>Pernaravos sen</t>
  </si>
  <si>
    <t>Surviliškio sen</t>
  </si>
  <si>
    <t>Šėtos sen</t>
  </si>
  <si>
    <t>Truskavos sen</t>
  </si>
  <si>
    <t>Vilainių sen.</t>
  </si>
  <si>
    <t xml:space="preserve">        viso seniūnijos</t>
  </si>
  <si>
    <t>Priešgaisrinė tarnyba</t>
  </si>
  <si>
    <t xml:space="preserve"> Kontrolės ir audito tarnyba</t>
  </si>
  <si>
    <t>Savivaldybės administracija</t>
  </si>
  <si>
    <t xml:space="preserve">Iš viso įstaigos </t>
  </si>
  <si>
    <t>Finansuoti vaikų vasaros stovyklų ir kitų neformaliojo vaikų švietimo veiklų programas</t>
  </si>
  <si>
    <t>Įgyvendinti  Kėdainių rajono savivaldybės mokytojų motyvacijos programą</t>
  </si>
  <si>
    <t>Skatinti savivaldybės gabius mokinius</t>
  </si>
  <si>
    <t>Vykdyti VšĮ Kėdainių ligoninės dantų protezavimo programą</t>
  </si>
  <si>
    <t>Vykdyti VšĮ Kėdainių ligoninės vaikų slaugos programą</t>
  </si>
  <si>
    <t>Vykdyti  E sveikatos informacinės sistemos diegimo, palaikymo ir tobulinimo VšĮ Kėdainių PSPC ir VšĮ Kėdainių ligoninėje 2016-2021 m. programą</t>
  </si>
  <si>
    <t>Vykdyti odontologinės priežiūros/pagalbos kokybės gerinimo Kėdainių rajono savivaldybės gyventojams 2011-2021 m. programą</t>
  </si>
  <si>
    <t>Vykdyti traumatologinės  pagalbos kokybės gerinimo Kėdainių rajono savivaldybės gyventojams 2016-2021 m. programą</t>
  </si>
  <si>
    <t xml:space="preserve">Vykdyti Kėdainių rajono tuberkuliozės prevencijos, ankstyvosios diagnostikos, gydymo ir kontrolės                          2017-2022 m. programą </t>
  </si>
  <si>
    <t>Vykdyti ultragarsinių diagnostinių paslaugų teikimo efektyvumo gerinimo Kėdainių rajono savivaldybėje 2017-2022 m. programą</t>
  </si>
  <si>
    <t>Vykdyti pirminės asmens sveikatos priežiūros paslaugų prieinamumo ir kokybės užtikrinimo Kėdainių rajono kaimiškųjų vietovių gyventojams 2017-2023 m. programą</t>
  </si>
  <si>
    <t>Gerinti pirminės asmens sveikatos priežiūros paslaugų teikimo prieinamumą tuberkuliozės srityje</t>
  </si>
  <si>
    <t xml:space="preserve">Vykdyti priėmimo-skubiosios pagalbos  skyriuje teikiamos pagalbos kokybės gerinimo Kėdainių rajono savivaldybės gyventojams 2019-2020 m. programą </t>
  </si>
  <si>
    <t xml:space="preserve">Vykdyti ambulatorinės akušerinės ir ginekologinės pagalbos kokybės gerinimo Kėdainių rajono savivaldybės moterims 2019-2024 m. programą </t>
  </si>
  <si>
    <t xml:space="preserve">Vykdyti akušerinės pagalbos kokybės gerinimo Kėdainių rajono savivaldybės moterims 2020-2021 m. programą </t>
  </si>
  <si>
    <t>Vykdyti endoskopinių paslaugų prieinamumo ir kokybės gerinimo Kėdainių rajono savivaldybėje 2020-2025 m. programą</t>
  </si>
  <si>
    <t>Vykdyti mamografijos paslaugų tęstinumo, kokybės gerinimo Kėdainių rajono savivaldybėje 2020-2025 m. programą</t>
  </si>
  <si>
    <t>Organizuoti nemokamą socialiai remtinų vaikų maitinimą ikimokyklinėse įstaigose</t>
  </si>
  <si>
    <t xml:space="preserve">Kompensuoti nemokamo mokinių maitinimo kainą bendrojo lavinimo mokyklose </t>
  </si>
  <si>
    <t>Socialinė parama mokiniams išlaidoms už įsigytus produktus</t>
  </si>
  <si>
    <t>Socialinė parama mokiniams išlaidoms už įsigytus mokinio reikmenis</t>
  </si>
  <si>
    <t xml:space="preserve">Dengti kainų skirtumą gyventojams už šildymą </t>
  </si>
  <si>
    <t>Kompensuoti karšto ir šalto vandens pardavimo kainą socialiai remtiniems asmenims</t>
  </si>
  <si>
    <t>Kompensacijos  už šildymą ir vandenį</t>
  </si>
  <si>
    <t xml:space="preserve">Kompensuoti kelionės išlaidas už lengvatinį keleivių vežimą </t>
  </si>
  <si>
    <t xml:space="preserve">Užtikrinti paslaugų teikimą VšĮ „Gyvenimo namai  sutrikusio intelekto asmenims“   </t>
  </si>
  <si>
    <t>Organizuoti socialinės reabilitacijos paslaugų neįgaliesiems bendruomenėje projektų konkursus</t>
  </si>
  <si>
    <t>Finansuoti vaikų dienos centrų veiklosprogramas</t>
  </si>
  <si>
    <t>Teikti vienkartinę išmoką gimus vaikui Lietuvos respublikos teritorijoje ir gyvenančiam Kėdainių rajono savivaldybėje</t>
  </si>
  <si>
    <t>Finansuoti strateginių sporto šakų programas</t>
  </si>
  <si>
    <t>Finansuoti fizinio aktyvumoir sporto veiklos projektus</t>
  </si>
  <si>
    <t>Finansuoti ir administruoti Neįgaliųjų socialinės integracijos per kūno kultūrą ir sportą projektus</t>
  </si>
  <si>
    <t>Užtikrinti rajono nevyriausybinių organizacijų (įskaitant bendruomenines organizacijas) plėtrą, finansuojant projektus socialinio, pilietinio, kultūros paveldo pažinimo, etninės kultūros puoselėjimo, užimtumo bei verslumo srityse</t>
  </si>
  <si>
    <t xml:space="preserve">Sudaryti sąlygas bendruomeninių organizacijų veiklai </t>
  </si>
  <si>
    <t>Finansuoti VšĮ Kėdainių turizmo ir verslo informacijos centro turizmo veiklos programą</t>
  </si>
  <si>
    <t>Kėdainių rajono savivaldybės kapitalo investicijų programai</t>
  </si>
  <si>
    <t>Kėdainių rajono savivaldybės investicijų programa (skolintos lėšos)</t>
  </si>
  <si>
    <t xml:space="preserve">Valstybės  investicijų programai </t>
  </si>
  <si>
    <t>Valstybės lėšos (Kelių fondo)</t>
  </si>
  <si>
    <t>Biudžeto asignavimai projektams finansuoti ES lėšomis</t>
  </si>
  <si>
    <t>Biudžeto asignavimai  projektams finansuoti VB lėšomis</t>
  </si>
  <si>
    <t>Įgyvendinti Kėdainių rajono savivaldybės bažnyčių rėmimo programą</t>
  </si>
  <si>
    <t>Vystiti piligriminį/religinį turizmą</t>
  </si>
  <si>
    <t>Aplinkos apsaugos rėmimo specialiajai programai</t>
  </si>
  <si>
    <t>Vykdyti atliekų tvarkymo sistemos organizavimo funkciją</t>
  </si>
  <si>
    <t>Vykdyti savivaldybės viešųjų teritorijų tvarkymą</t>
  </si>
  <si>
    <t>Melioracijos statinių priežiūrai ir remonto darbams įskaitant priešprojektinius tyrinėjimus, techninės sąmatinės dokumentacijos sudarymą, ekspertizę, darbų techninę priežiūrą bei kitus susijusius darbus</t>
  </si>
  <si>
    <t xml:space="preserve">Finansuoti prevencinę programą „Saugios aplinkos kūrimas ir bendruomenės teisėtvarkos kūrimas" </t>
  </si>
  <si>
    <t>Įgyvendinti priemones, finansuojamas iš Savivaldybės administracijos direktoriaus rezervo</t>
  </si>
  <si>
    <t>Įgyvendinti priemones, finansuojamas iš Savivaldybės mero fondo</t>
  </si>
  <si>
    <t xml:space="preserve">Kompensuoti UAB "Kėdbusas“ nuostolingus maršrutus </t>
  </si>
  <si>
    <t>Dalyvauti Kauno regiono plėtros agentūros veikloje</t>
  </si>
  <si>
    <t>Kita dotacija vaikų vasaros stovykloms ir kitoms neformaliojo vaikų švietimo veikloms finansuoti</t>
  </si>
  <si>
    <t>Kita dotacija kompensuoti patirtas išlaidas už skiepijimo nuo COVID-19 ligos (koronaviruso infekcijos) paslaugas</t>
  </si>
  <si>
    <t xml:space="preserve"> Kita dotacija kompensuoti savivaldybės patirtas išlaidas, esant valstybės lygio ekstremaliajai situacijai, siekiant šalinti COVID-19 ligos (koronaviruso infekcijos) padarinius</t>
  </si>
  <si>
    <t>Kita dotacija  stumbrų daromos žalos apskaičiavimui, naudojant pažangius dirbtinio intelekto pagrindu sukurtus algoritmus ir palydovinių vaizdų informaciją</t>
  </si>
  <si>
    <t>Kita dotacija investicinių žemės sklypų, iki kurių ribos ir (ar) kurių ribose įrengiama ir (ar) sutvarkoma infrastruktūra, projektui "Kėdainių miesto viešosios infrastruktūros, svarbios verslui, atnaujinimas ir plėtra" įgyvendinti</t>
  </si>
  <si>
    <t>Kita dotacija „Sosnovskio barsčio naikinimas Kėdainių rajone“</t>
  </si>
  <si>
    <t>Kita dotacija  kelių priežiūros ir plėtros 2020 m. programos finansavimo lėšų rezervas valstybės reikmėms, susijusioms su keliais</t>
  </si>
  <si>
    <t>Kita dotacja vietinės reikšmės keliams su žvyro danga asfaltuoti</t>
  </si>
  <si>
    <t>Kita dotacja ekonomikos skatinimo ir koronaviruso (COVID-19) plitimo sukeltų pasekmių mažinimo priemonių plano lėšų panaudojimo keliams taisyti (remontuoti)</t>
  </si>
  <si>
    <t xml:space="preserve">Aprūpinti pakuočių atliekų surinkimo konteineriais individualias namų valdas </t>
  </si>
  <si>
    <t>Dotacijos</t>
  </si>
  <si>
    <t>Palūkanos bankui</t>
  </si>
  <si>
    <t>Paskolos  grąžinimui</t>
  </si>
  <si>
    <t>Kitos išlaidos kitiems einamiesiems tikslams</t>
  </si>
  <si>
    <t>iš viso</t>
  </si>
  <si>
    <t xml:space="preserve">KĖDAINIŲ  RAJONO  SAVIVALDYBĖS </t>
  </si>
  <si>
    <t>2021 -   2020 M  KASINIŲ  IŠLAIDŲ  PALYINIMAS   PAGAL VALSTYBĖS  FUNKCIJAS</t>
  </si>
  <si>
    <t>Tūkst.Eur</t>
  </si>
  <si>
    <t xml:space="preserve"> Valstybės funkcija</t>
  </si>
  <si>
    <t>VISO</t>
  </si>
  <si>
    <t>Darbo užmokestis ir socialinis draudimas</t>
  </si>
  <si>
    <t>Prekių ir paslaugų naudojimo išlaidos</t>
  </si>
  <si>
    <t>Pašalpos ir darbdavių socialinė parama</t>
  </si>
  <si>
    <t>Programų vykdymui</t>
  </si>
  <si>
    <t>Palūkanos</t>
  </si>
  <si>
    <t>Paskolos</t>
  </si>
  <si>
    <t>Pagrin- dinės priemonės</t>
  </si>
  <si>
    <t>Bendrosios valstybės paslaugos (1)</t>
  </si>
  <si>
    <t xml:space="preserve"> Palyginimo  %</t>
  </si>
  <si>
    <t>Gynyba (2)</t>
  </si>
  <si>
    <t>Viešoji tvarka ir visuomenės apsauga (3)</t>
  </si>
  <si>
    <t>Ekonomika (4)</t>
  </si>
  <si>
    <t>Aplinkos apsauga (5)</t>
  </si>
  <si>
    <t>Būstas ir komunalinis ūkis (6)</t>
  </si>
  <si>
    <t>Sveikatos apsauga (7)</t>
  </si>
  <si>
    <t>Poilsis kultūra ir religija (8)</t>
  </si>
  <si>
    <t>Švietimas (9)</t>
  </si>
  <si>
    <t>Socialinė apsauga (10)</t>
  </si>
  <si>
    <t>IŠ VISO IŠLAIDŲ</t>
  </si>
  <si>
    <t>Lentelė Nr. 3</t>
  </si>
  <si>
    <t>Kėdainių miesto seniūnija</t>
  </si>
  <si>
    <t>Dotnuvos seniūnija</t>
  </si>
  <si>
    <t>Gudžiūnų seniūnija</t>
  </si>
  <si>
    <t>Josvainių seniūnija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</si>
</sst>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[$-10427]#,##0.0;\-#,##0.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rgb="FF000000"/>
      <name val="Calibri"/>
      <family val="2"/>
      <scheme val="minor"/>
    </font>
    <font>
      <b/>
      <sz val="7"/>
      <name val="Times New Roman"/>
      <family val="1"/>
      <charset val="186"/>
    </font>
    <font>
      <sz val="7"/>
      <name val="Times New Roman"/>
      <family val="1"/>
      <charset val="186"/>
    </font>
    <font>
      <i/>
      <sz val="9"/>
      <name val="Times New Roman"/>
      <family val="1"/>
      <charset val="186"/>
    </font>
    <font>
      <b/>
      <i/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1" fillId="0" borderId="0"/>
  </cellStyleXfs>
  <cellXfs count="1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4" fillId="0" borderId="2" xfId="0" applyFont="1" applyBorder="1"/>
    <xf numFmtId="164" fontId="4" fillId="0" borderId="2" xfId="0" applyNumberFormat="1" applyFont="1" applyBorder="1"/>
    <xf numFmtId="164" fontId="1" fillId="0" borderId="0" xfId="0" applyNumberFormat="1" applyFont="1"/>
    <xf numFmtId="0" fontId="8" fillId="0" borderId="2" xfId="0" applyFont="1" applyBorder="1"/>
    <xf numFmtId="164" fontId="4" fillId="2" borderId="2" xfId="0" applyNumberFormat="1" applyFont="1" applyFill="1" applyBorder="1"/>
    <xf numFmtId="0" fontId="8" fillId="0" borderId="2" xfId="0" applyFont="1" applyBorder="1" applyAlignment="1">
      <alignment vertical="center"/>
    </xf>
    <xf numFmtId="164" fontId="5" fillId="2" borderId="2" xfId="0" applyNumberFormat="1" applyFont="1" applyFill="1" applyBorder="1"/>
    <xf numFmtId="164" fontId="5" fillId="0" borderId="2" xfId="0" applyNumberFormat="1" applyFont="1" applyBorder="1"/>
    <xf numFmtId="0" fontId="1" fillId="0" borderId="0" xfId="0" applyFont="1" applyAlignment="1">
      <alignment horizontal="left"/>
    </xf>
    <xf numFmtId="0" fontId="1" fillId="2" borderId="2" xfId="0" applyFont="1" applyFill="1" applyBorder="1"/>
    <xf numFmtId="0" fontId="8" fillId="0" borderId="0" xfId="0" applyFont="1"/>
    <xf numFmtId="0" fontId="8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8" fillId="0" borderId="2" xfId="0" applyFont="1" applyBorder="1" applyAlignment="1">
      <alignment wrapText="1"/>
    </xf>
    <xf numFmtId="164" fontId="5" fillId="2" borderId="2" xfId="0" applyNumberFormat="1" applyFont="1" applyFill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wrapText="1"/>
    </xf>
    <xf numFmtId="164" fontId="5" fillId="0" borderId="0" xfId="0" applyNumberFormat="1" applyFont="1"/>
    <xf numFmtId="0" fontId="1" fillId="0" borderId="2" xfId="0" applyFont="1" applyBorder="1" applyAlignment="1">
      <alignment wrapText="1"/>
    </xf>
    <xf numFmtId="0" fontId="4" fillId="0" borderId="2" xfId="0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9" fillId="0" borderId="2" xfId="0" applyFont="1" applyBorder="1"/>
    <xf numFmtId="165" fontId="5" fillId="0" borderId="2" xfId="0" applyNumberFormat="1" applyFont="1" applyBorder="1" applyAlignment="1">
      <alignment vertical="center"/>
    </xf>
    <xf numFmtId="164" fontId="10" fillId="0" borderId="2" xfId="0" applyNumberFormat="1" applyFont="1" applyBorder="1"/>
    <xf numFmtId="164" fontId="10" fillId="0" borderId="2" xfId="0" applyNumberFormat="1" applyFont="1" applyBorder="1" applyAlignment="1">
      <alignment horizontal="right"/>
    </xf>
    <xf numFmtId="164" fontId="9" fillId="0" borderId="2" xfId="0" applyNumberFormat="1" applyFont="1" applyBorder="1"/>
    <xf numFmtId="164" fontId="5" fillId="0" borderId="2" xfId="0" quotePrefix="1" applyNumberFormat="1" applyFont="1" applyBorder="1"/>
    <xf numFmtId="0" fontId="5" fillId="0" borderId="2" xfId="0" applyFont="1" applyBorder="1"/>
    <xf numFmtId="164" fontId="8" fillId="0" borderId="0" xfId="0" applyNumberFormat="1" applyFont="1"/>
    <xf numFmtId="0" fontId="8" fillId="0" borderId="2" xfId="0" applyFont="1" applyBorder="1" applyAlignment="1">
      <alignment horizontal="right"/>
    </xf>
    <xf numFmtId="0" fontId="11" fillId="0" borderId="0" xfId="0" applyFont="1"/>
    <xf numFmtId="0" fontId="12" fillId="0" borderId="0" xfId="0" applyFont="1"/>
    <xf numFmtId="164" fontId="11" fillId="0" borderId="2" xfId="0" applyNumberFormat="1" applyFont="1" applyBorder="1" applyAlignment="1">
      <alignment horizontal="right"/>
    </xf>
    <xf numFmtId="164" fontId="12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vertical="center" wrapText="1"/>
    </xf>
    <xf numFmtId="164" fontId="11" fillId="0" borderId="0" xfId="0" applyNumberFormat="1" applyFont="1"/>
    <xf numFmtId="2" fontId="11" fillId="0" borderId="2" xfId="0" applyNumberFormat="1" applyFont="1" applyBorder="1" applyAlignment="1">
      <alignment horizontal="right"/>
    </xf>
    <xf numFmtId="2" fontId="11" fillId="0" borderId="0" xfId="0" applyNumberFormat="1" applyFont="1"/>
    <xf numFmtId="164" fontId="14" fillId="0" borderId="2" xfId="0" applyNumberFormat="1" applyFont="1" applyFill="1" applyBorder="1" applyAlignment="1">
      <alignment horizontal="right"/>
    </xf>
    <xf numFmtId="0" fontId="15" fillId="0" borderId="0" xfId="0" applyFont="1" applyFill="1"/>
    <xf numFmtId="0" fontId="14" fillId="0" borderId="0" xfId="0" applyFont="1" applyFill="1"/>
    <xf numFmtId="0" fontId="15" fillId="0" borderId="0" xfId="0" applyFont="1" applyFill="1" applyAlignment="1">
      <alignment horizontal="right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15" fillId="0" borderId="2" xfId="1" applyFont="1" applyFill="1" applyBorder="1"/>
    <xf numFmtId="164" fontId="15" fillId="0" borderId="9" xfId="0" applyNumberFormat="1" applyFont="1" applyFill="1" applyBorder="1" applyAlignment="1">
      <alignment vertical="center"/>
    </xf>
    <xf numFmtId="164" fontId="15" fillId="0" borderId="2" xfId="0" applyNumberFormat="1" applyFont="1" applyFill="1" applyBorder="1" applyAlignment="1">
      <alignment horizontal="right"/>
    </xf>
    <xf numFmtId="164" fontId="15" fillId="0" borderId="2" xfId="0" applyNumberFormat="1" applyFont="1" applyFill="1" applyBorder="1" applyAlignment="1">
      <alignment vertical="center" wrapText="1"/>
    </xf>
    <xf numFmtId="164" fontId="14" fillId="0" borderId="2" xfId="0" applyNumberFormat="1" applyFont="1" applyFill="1" applyBorder="1"/>
    <xf numFmtId="164" fontId="15" fillId="0" borderId="9" xfId="0" applyNumberFormat="1" applyFont="1" applyFill="1" applyBorder="1" applyAlignment="1">
      <alignment vertical="center" wrapText="1"/>
    </xf>
    <xf numFmtId="164" fontId="15" fillId="0" borderId="2" xfId="1" applyNumberFormat="1" applyFont="1" applyFill="1" applyBorder="1" applyAlignment="1">
      <alignment horizontal="left"/>
    </xf>
    <xf numFmtId="0" fontId="14" fillId="0" borderId="2" xfId="0" applyFont="1" applyFill="1" applyBorder="1" applyAlignment="1">
      <alignment horizontal="right"/>
    </xf>
    <xf numFmtId="164" fontId="15" fillId="0" borderId="2" xfId="1" applyNumberFormat="1" applyFont="1" applyFill="1" applyBorder="1" applyAlignment="1">
      <alignment horizontal="left" wrapText="1"/>
    </xf>
    <xf numFmtId="164" fontId="15" fillId="0" borderId="2" xfId="0" applyNumberFormat="1" applyFont="1" applyFill="1" applyBorder="1"/>
    <xf numFmtId="166" fontId="15" fillId="0" borderId="10" xfId="2" applyNumberFormat="1" applyFont="1" applyFill="1" applyBorder="1" applyAlignment="1">
      <alignment horizontal="right" vertical="top" wrapText="1" readingOrder="1"/>
    </xf>
    <xf numFmtId="164" fontId="15" fillId="0" borderId="0" xfId="0" applyNumberFormat="1" applyFont="1" applyFill="1"/>
    <xf numFmtId="0" fontId="15" fillId="0" borderId="2" xfId="0" applyFont="1" applyFill="1" applyBorder="1" applyAlignment="1">
      <alignment horizontal="left" wrapText="1"/>
    </xf>
    <xf numFmtId="164" fontId="15" fillId="0" borderId="2" xfId="3" applyNumberFormat="1" applyFont="1" applyFill="1" applyBorder="1" applyAlignment="1">
      <alignment horizontal="left" vertical="center" wrapText="1"/>
    </xf>
    <xf numFmtId="0" fontId="15" fillId="0" borderId="2" xfId="4" applyFont="1" applyFill="1" applyBorder="1" applyAlignment="1">
      <alignment horizontal="left" wrapText="1"/>
    </xf>
    <xf numFmtId="0" fontId="15" fillId="0" borderId="2" xfId="5" applyFont="1" applyFill="1" applyBorder="1" applyAlignment="1">
      <alignment vertical="center" wrapText="1"/>
    </xf>
    <xf numFmtId="0" fontId="15" fillId="0" borderId="2" xfId="4" applyFont="1" applyFill="1" applyBorder="1" applyAlignment="1">
      <alignment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8" xfId="4" applyFont="1" applyFill="1" applyBorder="1" applyAlignment="1">
      <alignment wrapText="1"/>
    </xf>
    <xf numFmtId="0" fontId="15" fillId="0" borderId="8" xfId="4" applyFont="1" applyFill="1" applyBorder="1" applyAlignment="1">
      <alignment horizontal="left" vertical="top" wrapText="1"/>
    </xf>
    <xf numFmtId="0" fontId="14" fillId="0" borderId="2" xfId="4" applyFont="1" applyFill="1" applyBorder="1" applyAlignment="1">
      <alignment horizontal="left"/>
    </xf>
    <xf numFmtId="164" fontId="15" fillId="0" borderId="0" xfId="0" applyNumberFormat="1" applyFont="1" applyFill="1" applyAlignment="1">
      <alignment horizontal="right"/>
    </xf>
    <xf numFmtId="2" fontId="14" fillId="0" borderId="0" xfId="0" applyNumberFormat="1" applyFont="1" applyFill="1"/>
    <xf numFmtId="2" fontId="15" fillId="0" borderId="0" xfId="0" applyNumberFormat="1" applyFont="1" applyFill="1" applyAlignment="1">
      <alignment horizontal="right"/>
    </xf>
    <xf numFmtId="0" fontId="15" fillId="0" borderId="0" xfId="0" applyFont="1" applyFill="1" applyAlignment="1">
      <alignment horizontal="left"/>
    </xf>
    <xf numFmtId="164" fontId="14" fillId="0" borderId="11" xfId="7" applyNumberFormat="1" applyFont="1" applyFill="1" applyBorder="1" applyAlignment="1" applyProtection="1">
      <alignment horizontal="center" vertical="center"/>
      <protection hidden="1"/>
    </xf>
    <xf numFmtId="2" fontId="14" fillId="0" borderId="0" xfId="0" applyNumberFormat="1" applyFont="1" applyFill="1" applyAlignment="1">
      <alignment horizontal="right"/>
    </xf>
    <xf numFmtId="0" fontId="16" fillId="0" borderId="0" xfId="0" applyFont="1"/>
    <xf numFmtId="0" fontId="12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7" fillId="0" borderId="2" xfId="0" applyFont="1" applyBorder="1" applyAlignment="1">
      <alignment wrapText="1"/>
    </xf>
    <xf numFmtId="0" fontId="11" fillId="0" borderId="2" xfId="0" applyFont="1" applyBorder="1"/>
    <xf numFmtId="0" fontId="17" fillId="0" borderId="2" xfId="0" applyFont="1" applyBorder="1"/>
    <xf numFmtId="2" fontId="11" fillId="0" borderId="2" xfId="0" applyNumberFormat="1" applyFont="1" applyBorder="1" applyAlignment="1">
      <alignment horizontal="right" wrapText="1"/>
    </xf>
    <xf numFmtId="0" fontId="11" fillId="0" borderId="0" xfId="0" applyFont="1" applyAlignment="1">
      <alignment wrapText="1"/>
    </xf>
    <xf numFmtId="2" fontId="12" fillId="0" borderId="2" xfId="0" applyNumberFormat="1" applyFont="1" applyBorder="1" applyAlignment="1">
      <alignment horizontal="right"/>
    </xf>
    <xf numFmtId="0" fontId="12" fillId="0" borderId="2" xfId="0" applyFont="1" applyBorder="1"/>
    <xf numFmtId="0" fontId="15" fillId="0" borderId="2" xfId="1" applyFont="1" applyFill="1" applyBorder="1" applyAlignment="1"/>
    <xf numFmtId="0" fontId="15" fillId="0" borderId="2" xfId="5" applyFont="1" applyFill="1" applyBorder="1" applyAlignment="1">
      <alignment vertical="center"/>
    </xf>
    <xf numFmtId="164" fontId="15" fillId="0" borderId="0" xfId="0" applyNumberFormat="1" applyFont="1" applyFill="1" applyAlignment="1"/>
    <xf numFmtId="0" fontId="15" fillId="0" borderId="0" xfId="0" applyFont="1" applyFill="1" applyAlignment="1"/>
    <xf numFmtId="164" fontId="15" fillId="0" borderId="2" xfId="0" applyNumberFormat="1" applyFont="1" applyFill="1" applyBorder="1" applyAlignment="1">
      <alignment vertical="center"/>
    </xf>
    <xf numFmtId="164" fontId="4" fillId="0" borderId="2" xfId="0" applyNumberFormat="1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wrapText="1"/>
    </xf>
    <xf numFmtId="0" fontId="11" fillId="0" borderId="0" xfId="0" applyFont="1" applyAlignment="1">
      <alignment horizontal="right"/>
    </xf>
    <xf numFmtId="0" fontId="16" fillId="0" borderId="0" xfId="0" applyFont="1" applyAlignment="1">
      <alignment horizontal="center"/>
    </xf>
  </cellXfs>
  <cellStyles count="8">
    <cellStyle name="Įprastas" xfId="0" builtinId="0"/>
    <cellStyle name="Normal" xfId="2"/>
    <cellStyle name="Normal 5" xfId="7"/>
    <cellStyle name="Normal_biudžetas 6" xfId="4"/>
    <cellStyle name="Normal_biudžetas 6_2009 m 02 men biudzetas." xfId="5"/>
    <cellStyle name="Normal_Sheet1" xfId="1"/>
    <cellStyle name="Normal_Sheet1_2009 m 02 men biudzetas." xfId="3"/>
    <cellStyle name="Paprastas_2008 m biudžetas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rtotoja/AppData/Local/Microsoft/Windows/INetCache/Content.Outlook/IE07EBBP/2021%20-%202020%20pagal%20funkcij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-2019 pagal funk"/>
      <sheetName val="Lapas1"/>
      <sheetName val="Lapas2"/>
      <sheetName val="Lapas3"/>
      <sheetName val="Lapas4"/>
    </sheetNames>
    <sheetDataSet>
      <sheetData sheetId="0" refreshError="1">
        <row r="18">
          <cell r="X18">
            <v>12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5"/>
  <sheetViews>
    <sheetView topLeftCell="A13" workbookViewId="0">
      <selection activeCell="M26" sqref="M26"/>
    </sheetView>
  </sheetViews>
  <sheetFormatPr defaultColWidth="9.109375" defaultRowHeight="13.2" x14ac:dyDescent="0.25"/>
  <cols>
    <col min="1" max="1" width="4.33203125" style="1" customWidth="1"/>
    <col min="2" max="2" width="42" style="1" customWidth="1"/>
    <col min="3" max="3" width="11" style="1" customWidth="1"/>
    <col min="4" max="4" width="9.6640625" style="1" customWidth="1"/>
    <col min="5" max="5" width="11.6640625" style="1" customWidth="1"/>
    <col min="6" max="6" width="11.44140625" style="1" customWidth="1"/>
    <col min="7" max="7" width="14.88671875" style="1" customWidth="1"/>
    <col min="8" max="8" width="11.109375" style="1" customWidth="1"/>
    <col min="9" max="9" width="13.44140625" style="1" customWidth="1"/>
    <col min="10" max="10" width="9.109375" style="1"/>
    <col min="11" max="11" width="12.6640625" style="1" customWidth="1"/>
    <col min="12" max="12" width="11.6640625" style="1" customWidth="1"/>
    <col min="13" max="16384" width="9.109375" style="1"/>
  </cols>
  <sheetData>
    <row r="1" spans="1:12" ht="12.75" customHeight="1" x14ac:dyDescent="0.3">
      <c r="H1" s="104" t="s">
        <v>0</v>
      </c>
      <c r="I1" s="105"/>
    </row>
    <row r="2" spans="1:12" ht="12.75" customHeight="1" x14ac:dyDescent="0.3">
      <c r="H2" s="2"/>
      <c r="I2" s="3"/>
    </row>
    <row r="3" spans="1:12" ht="14.25" customHeight="1" x14ac:dyDescent="0.3">
      <c r="B3" s="106" t="s">
        <v>1</v>
      </c>
      <c r="C3" s="106"/>
      <c r="D3" s="106"/>
      <c r="E3" s="106"/>
      <c r="F3" s="106"/>
      <c r="G3" s="106"/>
      <c r="H3" s="106"/>
      <c r="I3" s="106"/>
    </row>
    <row r="4" spans="1:12" ht="14.25" customHeight="1" x14ac:dyDescent="0.3">
      <c r="B4" s="4"/>
      <c r="C4" s="4"/>
      <c r="D4" s="4"/>
      <c r="E4" s="4"/>
      <c r="F4" s="4"/>
      <c r="G4" s="4"/>
      <c r="H4" s="4"/>
      <c r="I4" s="4"/>
    </row>
    <row r="5" spans="1:12" ht="9" customHeight="1" x14ac:dyDescent="0.25">
      <c r="B5" s="5"/>
      <c r="C5" s="5"/>
      <c r="D5" s="5"/>
      <c r="F5" s="6"/>
    </row>
    <row r="6" spans="1:12" x14ac:dyDescent="0.25">
      <c r="A6" s="107" t="s">
        <v>2</v>
      </c>
      <c r="B6" s="109" t="s">
        <v>3</v>
      </c>
      <c r="C6" s="110" t="s">
        <v>4</v>
      </c>
      <c r="D6" s="110"/>
      <c r="E6" s="111" t="s">
        <v>5</v>
      </c>
      <c r="F6" s="111"/>
      <c r="G6" s="112" t="s">
        <v>6</v>
      </c>
      <c r="H6" s="111" t="s">
        <v>7</v>
      </c>
      <c r="I6" s="111"/>
    </row>
    <row r="7" spans="1:12" ht="25.95" customHeight="1" x14ac:dyDescent="0.25">
      <c r="A7" s="108"/>
      <c r="B7" s="109"/>
      <c r="C7" s="7" t="s">
        <v>8</v>
      </c>
      <c r="D7" s="7" t="s">
        <v>9</v>
      </c>
      <c r="E7" s="8" t="s">
        <v>10</v>
      </c>
      <c r="F7" s="7" t="s">
        <v>11</v>
      </c>
      <c r="G7" s="112"/>
      <c r="H7" s="8" t="s">
        <v>10</v>
      </c>
      <c r="I7" s="7" t="s">
        <v>12</v>
      </c>
    </row>
    <row r="8" spans="1:12" ht="12" customHeight="1" x14ac:dyDescent="0.25">
      <c r="A8" s="9"/>
      <c r="B8" s="10">
        <v>1</v>
      </c>
      <c r="C8" s="11">
        <v>2</v>
      </c>
      <c r="D8" s="11">
        <v>3</v>
      </c>
      <c r="E8" s="10">
        <v>4</v>
      </c>
      <c r="F8" s="11">
        <v>5</v>
      </c>
      <c r="G8" s="11">
        <v>6</v>
      </c>
      <c r="H8" s="10">
        <v>7</v>
      </c>
      <c r="I8" s="11">
        <v>8</v>
      </c>
    </row>
    <row r="9" spans="1:12" x14ac:dyDescent="0.25">
      <c r="A9" s="9">
        <v>1</v>
      </c>
      <c r="B9" s="12" t="s">
        <v>13</v>
      </c>
      <c r="C9" s="13">
        <f>+C11+C12+C25+C28+35+30+9</f>
        <v>31841</v>
      </c>
      <c r="D9" s="13">
        <f>+D11+D12+D25+D28+44.8+52.3+0.3+7.4</f>
        <v>34664.700000000012</v>
      </c>
      <c r="E9" s="13">
        <f>+D9/C9*100-100</f>
        <v>8.8681260010678358</v>
      </c>
      <c r="F9" s="13">
        <f>+D9-C9</f>
        <v>2823.7000000000116</v>
      </c>
      <c r="G9" s="13">
        <f>+G11+G12+G25+G28+44.8+52.3+0.3+7.4</f>
        <v>28539.200000000001</v>
      </c>
      <c r="H9" s="13">
        <f>+D9*100/G9-100</f>
        <v>21.46346078376412</v>
      </c>
      <c r="I9" s="13">
        <f>+D9-G9</f>
        <v>6125.5000000000109</v>
      </c>
      <c r="J9" s="14"/>
    </row>
    <row r="10" spans="1:12" x14ac:dyDescent="0.25">
      <c r="A10" s="9">
        <v>2</v>
      </c>
      <c r="B10" s="15" t="s">
        <v>14</v>
      </c>
      <c r="C10" s="16">
        <f>C11+C12+C16</f>
        <v>31642</v>
      </c>
      <c r="D10" s="16">
        <f>D11+D12+D16</f>
        <v>34028.200000000004</v>
      </c>
      <c r="E10" s="13">
        <f>+D10/C10*100-100</f>
        <v>7.541242652171178</v>
      </c>
      <c r="F10" s="13">
        <f t="shared" ref="F10:F21" si="0">+D10-C10</f>
        <v>2386.2000000000044</v>
      </c>
      <c r="G10" s="16">
        <f>G11+G12+G16</f>
        <v>28114.600000000002</v>
      </c>
      <c r="H10" s="13">
        <f>+D10*100/G10-100</f>
        <v>21.033911206277168</v>
      </c>
      <c r="I10" s="13">
        <f>+D10-G10</f>
        <v>5913.6000000000022</v>
      </c>
      <c r="J10" s="14"/>
    </row>
    <row r="11" spans="1:12" x14ac:dyDescent="0.25">
      <c r="A11" s="9">
        <v>3</v>
      </c>
      <c r="B11" s="17" t="s">
        <v>15</v>
      </c>
      <c r="C11" s="18">
        <v>29097</v>
      </c>
      <c r="D11" s="18">
        <v>31028.2</v>
      </c>
      <c r="E11" s="19">
        <f>+D11/C11*100-100</f>
        <v>6.6371103550194164</v>
      </c>
      <c r="F11" s="19">
        <f t="shared" si="0"/>
        <v>1931.2000000000007</v>
      </c>
      <c r="G11" s="18">
        <v>25381</v>
      </c>
      <c r="H11" s="19">
        <f>+D11*100/G11-100</f>
        <v>22.24971435325638</v>
      </c>
      <c r="I11" s="19">
        <f>+D11-G11</f>
        <v>5647.2000000000007</v>
      </c>
      <c r="J11" s="14"/>
      <c r="K11" s="20"/>
    </row>
    <row r="12" spans="1:12" x14ac:dyDescent="0.25">
      <c r="A12" s="9">
        <v>4</v>
      </c>
      <c r="B12" s="15" t="s">
        <v>16</v>
      </c>
      <c r="C12" s="18">
        <f>+C13+C14+C15</f>
        <v>2350</v>
      </c>
      <c r="D12" s="18">
        <f>+D13+D14+D15</f>
        <v>2771.7000000000003</v>
      </c>
      <c r="E12" s="19">
        <f t="shared" ref="E12:E32" si="1">+D12/C12*100-100</f>
        <v>17.94468085106385</v>
      </c>
      <c r="F12" s="19">
        <f t="shared" si="0"/>
        <v>421.70000000000027</v>
      </c>
      <c r="G12" s="18">
        <f>+G13+G14+G15</f>
        <v>2536.6999999999998</v>
      </c>
      <c r="H12" s="19">
        <f t="shared" ref="H12:H35" si="2">+D12*100/G12-100</f>
        <v>9.2640044151850844</v>
      </c>
      <c r="I12" s="19">
        <f>+I13+I14+I15</f>
        <v>234.99999999999991</v>
      </c>
      <c r="J12" s="14"/>
    </row>
    <row r="13" spans="1:12" x14ac:dyDescent="0.25">
      <c r="A13" s="9">
        <v>5</v>
      </c>
      <c r="B13" s="9" t="s">
        <v>17</v>
      </c>
      <c r="C13" s="18">
        <v>650</v>
      </c>
      <c r="D13" s="18">
        <v>1033.2</v>
      </c>
      <c r="E13" s="19">
        <f t="shared" si="1"/>
        <v>58.953846153846143</v>
      </c>
      <c r="F13" s="19">
        <f t="shared" si="0"/>
        <v>383.20000000000005</v>
      </c>
      <c r="G13" s="18">
        <v>955.3</v>
      </c>
      <c r="H13" s="19">
        <f t="shared" si="2"/>
        <v>8.1545064377682479</v>
      </c>
      <c r="I13" s="19">
        <f>+D13-G13</f>
        <v>77.900000000000091</v>
      </c>
      <c r="J13" s="14"/>
    </row>
    <row r="14" spans="1:12" x14ac:dyDescent="0.25">
      <c r="A14" s="9">
        <v>6</v>
      </c>
      <c r="B14" s="21" t="s">
        <v>18</v>
      </c>
      <c r="C14" s="18">
        <v>1690</v>
      </c>
      <c r="D14" s="18">
        <v>1710.6</v>
      </c>
      <c r="E14" s="19">
        <f t="shared" si="1"/>
        <v>1.2189349112426129</v>
      </c>
      <c r="F14" s="19">
        <f t="shared" si="0"/>
        <v>20.599999999999909</v>
      </c>
      <c r="G14" s="18">
        <v>1567.4</v>
      </c>
      <c r="H14" s="19">
        <f t="shared" si="2"/>
        <v>9.1361490366211484</v>
      </c>
      <c r="I14" s="19">
        <f t="shared" ref="I14:I34" si="3">+D14-G14</f>
        <v>143.19999999999982</v>
      </c>
      <c r="J14" s="14"/>
    </row>
    <row r="15" spans="1:12" x14ac:dyDescent="0.25">
      <c r="A15" s="9">
        <v>7</v>
      </c>
      <c r="B15" s="9" t="s">
        <v>19</v>
      </c>
      <c r="C15" s="18">
        <v>10</v>
      </c>
      <c r="D15" s="18">
        <v>27.9</v>
      </c>
      <c r="E15" s="19">
        <f t="shared" si="1"/>
        <v>179</v>
      </c>
      <c r="F15" s="19">
        <f t="shared" si="0"/>
        <v>17.899999999999999</v>
      </c>
      <c r="G15" s="18">
        <v>14</v>
      </c>
      <c r="H15" s="19">
        <f t="shared" si="2"/>
        <v>99.285714285714278</v>
      </c>
      <c r="I15" s="19">
        <f t="shared" si="3"/>
        <v>13.899999999999999</v>
      </c>
      <c r="J15" s="14"/>
      <c r="K15" s="14"/>
      <c r="L15" s="22"/>
    </row>
    <row r="16" spans="1:12" x14ac:dyDescent="0.25">
      <c r="A16" s="9">
        <v>8</v>
      </c>
      <c r="B16" s="15" t="s">
        <v>20</v>
      </c>
      <c r="C16" s="18">
        <v>195</v>
      </c>
      <c r="D16" s="18">
        <v>228.3</v>
      </c>
      <c r="E16" s="19">
        <f>+D16/C16*100-100</f>
        <v>17.07692307692308</v>
      </c>
      <c r="F16" s="19">
        <f t="shared" si="0"/>
        <v>33.300000000000011</v>
      </c>
      <c r="G16" s="18">
        <v>196.9</v>
      </c>
      <c r="H16" s="19">
        <f>+D16*100/G16-100</f>
        <v>15.947181310309801</v>
      </c>
      <c r="I16" s="19">
        <f>+D16-G16</f>
        <v>31.400000000000006</v>
      </c>
      <c r="J16" s="14"/>
      <c r="K16" s="14"/>
      <c r="L16" s="22"/>
    </row>
    <row r="17" spans="1:256" x14ac:dyDescent="0.25">
      <c r="A17" s="9">
        <v>9</v>
      </c>
      <c r="B17" s="23" t="s">
        <v>21</v>
      </c>
      <c r="C17" s="16">
        <f>C18+C22+C23</f>
        <v>31125.200000000001</v>
      </c>
      <c r="D17" s="16">
        <f>D18+D22+D23</f>
        <v>29537.199999999997</v>
      </c>
      <c r="E17" s="13">
        <f>+D17/C17*100-100</f>
        <v>-5.1019752483518346</v>
      </c>
      <c r="F17" s="19">
        <f t="shared" si="0"/>
        <v>-1588.0000000000036</v>
      </c>
      <c r="G17" s="16">
        <f>G18+G22+G23</f>
        <v>35831.699999999997</v>
      </c>
      <c r="H17" s="13">
        <f>+D17*100/G17-100</f>
        <v>-17.566847233036668</v>
      </c>
      <c r="I17" s="13">
        <f>+I18+I22+I23</f>
        <v>-6294.5000000000009</v>
      </c>
      <c r="J17" s="14"/>
      <c r="N17" s="1" t="s">
        <v>22</v>
      </c>
    </row>
    <row r="18" spans="1:256" x14ac:dyDescent="0.25">
      <c r="A18" s="9">
        <v>10</v>
      </c>
      <c r="B18" s="12" t="s">
        <v>23</v>
      </c>
      <c r="C18" s="18">
        <f>+C19+C20+C21</f>
        <v>20479</v>
      </c>
      <c r="D18" s="18">
        <f>+D19+D20+D21</f>
        <v>20335.599999999999</v>
      </c>
      <c r="E18" s="19">
        <f t="shared" si="1"/>
        <v>-0.70022950339372869</v>
      </c>
      <c r="F18" s="19">
        <f t="shared" si="0"/>
        <v>-143.40000000000146</v>
      </c>
      <c r="G18" s="18">
        <f>+G19+G20+G21</f>
        <v>18098.3</v>
      </c>
      <c r="H18" s="19">
        <f t="shared" si="2"/>
        <v>12.361934546338603</v>
      </c>
      <c r="I18" s="19">
        <f>+I19+I20+I21</f>
        <v>2237.2999999999993</v>
      </c>
      <c r="J18" s="1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</row>
    <row r="19" spans="1:256" x14ac:dyDescent="0.25">
      <c r="A19" s="9">
        <v>11</v>
      </c>
      <c r="B19" s="9" t="s">
        <v>24</v>
      </c>
      <c r="C19" s="18">
        <v>14484.2</v>
      </c>
      <c r="D19" s="18">
        <v>14460.8</v>
      </c>
      <c r="E19" s="19">
        <f t="shared" si="1"/>
        <v>-0.16155534996755705</v>
      </c>
      <c r="F19" s="19">
        <f t="shared" si="0"/>
        <v>-23.400000000001455</v>
      </c>
      <c r="G19" s="18">
        <v>13052.7</v>
      </c>
      <c r="H19" s="19">
        <f t="shared" si="2"/>
        <v>10.787806354240885</v>
      </c>
      <c r="I19" s="19">
        <f t="shared" si="3"/>
        <v>1408.0999999999985</v>
      </c>
      <c r="J19" s="14"/>
    </row>
    <row r="20" spans="1:256" ht="26.4" customHeight="1" x14ac:dyDescent="0.25">
      <c r="A20" s="9">
        <v>12</v>
      </c>
      <c r="B20" s="24" t="s">
        <v>25</v>
      </c>
      <c r="C20" s="18">
        <v>5284.3</v>
      </c>
      <c r="D20" s="18">
        <v>5164.3</v>
      </c>
      <c r="E20" s="19">
        <f t="shared" si="1"/>
        <v>-2.2708778835418144</v>
      </c>
      <c r="F20" s="19">
        <f t="shared" si="0"/>
        <v>-120</v>
      </c>
      <c r="G20" s="18">
        <f>4513.2-0.1</f>
        <v>4513.0999999999995</v>
      </c>
      <c r="H20" s="19">
        <f t="shared" si="2"/>
        <v>14.429106379207212</v>
      </c>
      <c r="I20" s="19">
        <f t="shared" si="3"/>
        <v>651.20000000000073</v>
      </c>
      <c r="J20" s="14"/>
    </row>
    <row r="21" spans="1:256" x14ac:dyDescent="0.25">
      <c r="A21" s="9">
        <v>13</v>
      </c>
      <c r="B21" s="9" t="s">
        <v>26</v>
      </c>
      <c r="C21" s="18">
        <f>554.4+156.1</f>
        <v>710.5</v>
      </c>
      <c r="D21" s="18">
        <f>554.4+156.1</f>
        <v>710.5</v>
      </c>
      <c r="E21" s="19">
        <f t="shared" si="1"/>
        <v>0</v>
      </c>
      <c r="F21" s="19">
        <f t="shared" si="0"/>
        <v>0</v>
      </c>
      <c r="G21" s="18">
        <v>532.5</v>
      </c>
      <c r="H21" s="19">
        <f t="shared" si="2"/>
        <v>33.427230046948353</v>
      </c>
      <c r="I21" s="19">
        <f t="shared" si="3"/>
        <v>178</v>
      </c>
      <c r="J21" s="14"/>
    </row>
    <row r="22" spans="1:256" ht="40.200000000000003" customHeight="1" x14ac:dyDescent="0.25">
      <c r="A22" s="9">
        <v>14</v>
      </c>
      <c r="B22" s="25" t="s">
        <v>27</v>
      </c>
      <c r="C22" s="26">
        <f>3468.8+330.2</f>
        <v>3799</v>
      </c>
      <c r="D22" s="26">
        <f>2163.6+305.1</f>
        <v>2468.6999999999998</v>
      </c>
      <c r="E22" s="27">
        <f>+D22/C22*100-100</f>
        <v>-35.017109765727824</v>
      </c>
      <c r="F22" s="27">
        <f>+D22-C22</f>
        <v>-1330.3000000000002</v>
      </c>
      <c r="G22" s="26">
        <f>7155.5+544</f>
        <v>7699.5</v>
      </c>
      <c r="H22" s="27">
        <f>+D22*100/G22-100</f>
        <v>-67.936879018118063</v>
      </c>
      <c r="I22" s="27">
        <f>+D22-G22</f>
        <v>-5230.8</v>
      </c>
      <c r="J22" s="14"/>
    </row>
    <row r="23" spans="1:256" x14ac:dyDescent="0.25">
      <c r="A23" s="9">
        <v>15</v>
      </c>
      <c r="B23" s="28" t="s">
        <v>28</v>
      </c>
      <c r="C23" s="18">
        <f>3109.3+3737.9</f>
        <v>6847.2000000000007</v>
      </c>
      <c r="D23" s="18">
        <f>3051.2+3681.7</f>
        <v>6732.9</v>
      </c>
      <c r="E23" s="19">
        <f>+D23/C23*100-100</f>
        <v>-1.6692954784437575</v>
      </c>
      <c r="F23" s="19">
        <f t="shared" ref="F23:F28" si="4">+D23-C23</f>
        <v>-114.30000000000109</v>
      </c>
      <c r="G23" s="18">
        <v>10033.9</v>
      </c>
      <c r="H23" s="27">
        <f>+D23*100/G23-100</f>
        <v>-32.898474172555041</v>
      </c>
      <c r="I23" s="19">
        <f>+D23-G23</f>
        <v>-3301</v>
      </c>
      <c r="J23" s="14"/>
      <c r="K23" s="29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 x14ac:dyDescent="0.25">
      <c r="A24" s="9">
        <v>16</v>
      </c>
      <c r="B24" s="28" t="s">
        <v>29</v>
      </c>
      <c r="C24" s="16">
        <f>C25+C26+C27+C28+C29+C33</f>
        <v>3625.3</v>
      </c>
      <c r="D24" s="16">
        <f>D25+D26+D27+D28+D29+D33</f>
        <v>4375.8</v>
      </c>
      <c r="E24" s="13">
        <f>+D24/C24*100-100</f>
        <v>20.701735028825198</v>
      </c>
      <c r="F24" s="13">
        <f t="shared" si="4"/>
        <v>750.5</v>
      </c>
      <c r="G24" s="16">
        <f>G25+G26+G27+G28+G29+G33</f>
        <v>3860.3999999999996</v>
      </c>
      <c r="H24" s="13">
        <f t="shared" si="2"/>
        <v>13.350948088281015</v>
      </c>
      <c r="I24" s="13">
        <f>+D24-G24</f>
        <v>515.40000000000055</v>
      </c>
      <c r="J24" s="1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pans="1:256" x14ac:dyDescent="0.25">
      <c r="A25" s="9">
        <v>17</v>
      </c>
      <c r="B25" s="23" t="s">
        <v>30</v>
      </c>
      <c r="C25" s="18">
        <v>300</v>
      </c>
      <c r="D25" s="18">
        <v>690.1</v>
      </c>
      <c r="E25" s="19">
        <f>+D25/C25*100-100</f>
        <v>130.03333333333336</v>
      </c>
      <c r="F25" s="19">
        <f t="shared" si="4"/>
        <v>390.1</v>
      </c>
      <c r="G25" s="18">
        <v>485.5</v>
      </c>
      <c r="H25" s="19">
        <f>+D25*100/G25-100</f>
        <v>42.142121524201855</v>
      </c>
      <c r="I25" s="19">
        <f>+D25-G25</f>
        <v>204.60000000000002</v>
      </c>
      <c r="J25" s="14"/>
    </row>
    <row r="26" spans="1:256" x14ac:dyDescent="0.25">
      <c r="A26" s="9">
        <v>18</v>
      </c>
      <c r="B26" s="15" t="s">
        <v>31</v>
      </c>
      <c r="C26" s="18">
        <f>35+34.5</f>
        <v>69.5</v>
      </c>
      <c r="D26" s="18">
        <f>58.4+59.1</f>
        <v>117.5</v>
      </c>
      <c r="E26" s="19">
        <f t="shared" si="1"/>
        <v>69.064748201438846</v>
      </c>
      <c r="F26" s="19">
        <f t="shared" si="4"/>
        <v>48</v>
      </c>
      <c r="G26" s="18">
        <v>120.2</v>
      </c>
      <c r="H26" s="19">
        <f t="shared" si="2"/>
        <v>-2.2462562396006689</v>
      </c>
      <c r="I26" s="19">
        <f t="shared" si="3"/>
        <v>-2.7000000000000028</v>
      </c>
      <c r="J26" s="14"/>
    </row>
    <row r="27" spans="1:256" x14ac:dyDescent="0.25">
      <c r="A27" s="9">
        <v>19</v>
      </c>
      <c r="B27" s="15" t="s">
        <v>32</v>
      </c>
      <c r="C27" s="18">
        <v>1500</v>
      </c>
      <c r="D27" s="18">
        <v>1652.8</v>
      </c>
      <c r="E27" s="19">
        <f t="shared" si="1"/>
        <v>10.186666666666653</v>
      </c>
      <c r="F27" s="19">
        <f t="shared" si="4"/>
        <v>152.79999999999995</v>
      </c>
      <c r="G27" s="18">
        <v>1458.3</v>
      </c>
      <c r="H27" s="19">
        <f t="shared" si="2"/>
        <v>13.337447713090583</v>
      </c>
      <c r="I27" s="19">
        <f t="shared" si="3"/>
        <v>194.5</v>
      </c>
      <c r="J27" s="14"/>
    </row>
    <row r="28" spans="1:256" x14ac:dyDescent="0.25">
      <c r="A28" s="9">
        <v>20</v>
      </c>
      <c r="B28" s="15" t="s">
        <v>33</v>
      </c>
      <c r="C28" s="18">
        <v>20</v>
      </c>
      <c r="D28" s="18">
        <v>69.900000000000006</v>
      </c>
      <c r="E28" s="19">
        <f t="shared" si="1"/>
        <v>249.5</v>
      </c>
      <c r="F28" s="19">
        <f t="shared" si="4"/>
        <v>49.900000000000006</v>
      </c>
      <c r="G28" s="18">
        <v>31.2</v>
      </c>
      <c r="H28" s="19">
        <f t="shared" si="2"/>
        <v>124.03846153846158</v>
      </c>
      <c r="I28" s="19">
        <f t="shared" si="3"/>
        <v>38.700000000000003</v>
      </c>
      <c r="J28" s="14"/>
    </row>
    <row r="29" spans="1:256" x14ac:dyDescent="0.25">
      <c r="A29" s="9">
        <v>21</v>
      </c>
      <c r="B29" s="12" t="s">
        <v>34</v>
      </c>
      <c r="C29" s="18">
        <f>+C30+C31+C32</f>
        <v>1596.8000000000002</v>
      </c>
      <c r="D29" s="18">
        <f>+D30+D31+D32</f>
        <v>1511.4</v>
      </c>
      <c r="E29" s="19">
        <f t="shared" si="1"/>
        <v>-5.3481963927855816</v>
      </c>
      <c r="F29" s="19">
        <f>+F30+F31+F32</f>
        <v>-85.400000000000034</v>
      </c>
      <c r="G29" s="18">
        <f>+G30+G31+G32</f>
        <v>1476.5</v>
      </c>
      <c r="H29" s="19">
        <f t="shared" si="2"/>
        <v>2.3636979343040991</v>
      </c>
      <c r="I29" s="19">
        <f>+I30+I31+I32</f>
        <v>34.900000000000063</v>
      </c>
      <c r="J29" s="14"/>
      <c r="K29" s="6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</row>
    <row r="30" spans="1:256" ht="26.4" x14ac:dyDescent="0.25">
      <c r="A30" s="9">
        <v>22</v>
      </c>
      <c r="B30" s="30" t="s">
        <v>35</v>
      </c>
      <c r="C30" s="18">
        <v>125</v>
      </c>
      <c r="D30" s="18">
        <v>194.6</v>
      </c>
      <c r="E30" s="19">
        <f t="shared" si="1"/>
        <v>55.680000000000007</v>
      </c>
      <c r="F30" s="19">
        <f>+D30-C30</f>
        <v>69.599999999999994</v>
      </c>
      <c r="G30" s="18">
        <v>141.1</v>
      </c>
      <c r="H30" s="19">
        <f t="shared" si="2"/>
        <v>37.91637136782424</v>
      </c>
      <c r="I30" s="19">
        <f t="shared" si="3"/>
        <v>53.5</v>
      </c>
      <c r="J30" s="14"/>
    </row>
    <row r="31" spans="1:256" x14ac:dyDescent="0.25">
      <c r="A31" s="9">
        <v>23</v>
      </c>
      <c r="B31" s="9" t="s">
        <v>36</v>
      </c>
      <c r="C31" s="18">
        <v>191.6</v>
      </c>
      <c r="D31" s="18">
        <v>139.30000000000001</v>
      </c>
      <c r="E31" s="19">
        <f t="shared" si="1"/>
        <v>-27.296450939457202</v>
      </c>
      <c r="F31" s="19">
        <f>+D31-C31</f>
        <v>-52.299999999999983</v>
      </c>
      <c r="G31" s="18">
        <v>140.6</v>
      </c>
      <c r="H31" s="19">
        <f t="shared" si="2"/>
        <v>-0.92460881934565009</v>
      </c>
      <c r="I31" s="19">
        <f t="shared" si="3"/>
        <v>-1.2999999999999829</v>
      </c>
      <c r="J31" s="14"/>
    </row>
    <row r="32" spans="1:256" x14ac:dyDescent="0.25">
      <c r="A32" s="9">
        <v>24</v>
      </c>
      <c r="B32" s="9" t="s">
        <v>37</v>
      </c>
      <c r="C32" s="18">
        <v>1280.2</v>
      </c>
      <c r="D32" s="18">
        <v>1177.5</v>
      </c>
      <c r="E32" s="19">
        <f t="shared" si="1"/>
        <v>-8.0221840337447219</v>
      </c>
      <c r="F32" s="19">
        <f>+D32-C32</f>
        <v>-102.70000000000005</v>
      </c>
      <c r="G32" s="18">
        <v>1194.8</v>
      </c>
      <c r="H32" s="19">
        <f t="shared" si="2"/>
        <v>-1.4479410780046891</v>
      </c>
      <c r="I32" s="19">
        <f t="shared" si="3"/>
        <v>-17.299999999999955</v>
      </c>
      <c r="J32" s="14"/>
    </row>
    <row r="33" spans="1:256" x14ac:dyDescent="0.25">
      <c r="A33" s="9">
        <v>25</v>
      </c>
      <c r="B33" s="12" t="s">
        <v>38</v>
      </c>
      <c r="C33" s="18">
        <f>35+45+9+50</f>
        <v>139</v>
      </c>
      <c r="D33" s="18">
        <f>1+73.1+51.9+5.6+202.5</f>
        <v>334.1</v>
      </c>
      <c r="E33" s="19">
        <f>+D33/C33*100-100</f>
        <v>140.35971223021585</v>
      </c>
      <c r="F33" s="19">
        <f>+D33-C33</f>
        <v>195.10000000000002</v>
      </c>
      <c r="G33" s="18">
        <f>0.3+44.8+52.3+7.4+183.9</f>
        <v>288.7</v>
      </c>
      <c r="H33" s="19">
        <f>+D33*100/G33-100</f>
        <v>15.72566678212678</v>
      </c>
      <c r="I33" s="19">
        <f>+D33-G33</f>
        <v>45.400000000000034</v>
      </c>
      <c r="J33" s="14"/>
    </row>
    <row r="34" spans="1:256" x14ac:dyDescent="0.25">
      <c r="A34" s="9">
        <v>26</v>
      </c>
      <c r="B34" s="31" t="s">
        <v>39</v>
      </c>
      <c r="C34" s="32">
        <f>+C10+C17+C24</f>
        <v>66392.5</v>
      </c>
      <c r="D34" s="32">
        <f>+D10+D17+D24</f>
        <v>67941.2</v>
      </c>
      <c r="E34" s="13">
        <f>+D34/C34*100-100</f>
        <v>2.3326429943140994</v>
      </c>
      <c r="F34" s="13">
        <f>+D34-C34</f>
        <v>1548.6999999999971</v>
      </c>
      <c r="G34" s="32">
        <f>+G10+G17+G24</f>
        <v>67806.7</v>
      </c>
      <c r="H34" s="13">
        <f t="shared" si="2"/>
        <v>0.1983579793737249</v>
      </c>
      <c r="I34" s="19">
        <f t="shared" si="3"/>
        <v>134.5</v>
      </c>
      <c r="J34" s="14"/>
      <c r="K34" s="29"/>
      <c r="L34" s="6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</row>
    <row r="35" spans="1:256" x14ac:dyDescent="0.25">
      <c r="A35" s="9">
        <v>27</v>
      </c>
      <c r="B35" s="15" t="s">
        <v>40</v>
      </c>
      <c r="C35" s="13">
        <f>+C36+C37+C38+C39+C40+C41+C42+C43+C44</f>
        <v>3883.4999999999995</v>
      </c>
      <c r="D35" s="13">
        <f>+D36+D37+D38+D39+D40+D41+D42+D43+D44</f>
        <v>4562.5</v>
      </c>
      <c r="E35" s="103" t="s">
        <v>41</v>
      </c>
      <c r="F35" s="103"/>
      <c r="G35" s="13">
        <f>+G36+G37+G38+G39+G40+G41+G42+G43+G44</f>
        <v>7184.9</v>
      </c>
      <c r="H35" s="13">
        <f t="shared" si="2"/>
        <v>-36.498768250080026</v>
      </c>
      <c r="I35" s="33"/>
      <c r="K35" s="14"/>
      <c r="L35" s="14"/>
    </row>
    <row r="36" spans="1:256" x14ac:dyDescent="0.25">
      <c r="A36" s="9">
        <v>28</v>
      </c>
      <c r="B36" s="9" t="s">
        <v>42</v>
      </c>
      <c r="C36" s="19">
        <v>2020.7</v>
      </c>
      <c r="D36" s="34">
        <f>2859.7-709-130+733.3+105.7</f>
        <v>2859.7</v>
      </c>
      <c r="E36" s="35"/>
      <c r="F36" s="36"/>
      <c r="G36" s="19">
        <v>4853.8</v>
      </c>
      <c r="H36" s="37"/>
      <c r="I36" s="37"/>
      <c r="L36" s="29"/>
    </row>
    <row r="37" spans="1:256" x14ac:dyDescent="0.25">
      <c r="A37" s="9">
        <v>29</v>
      </c>
      <c r="B37" s="9" t="s">
        <v>43</v>
      </c>
      <c r="C37" s="38">
        <v>46.3</v>
      </c>
      <c r="D37" s="34">
        <v>46.3</v>
      </c>
      <c r="E37" s="35"/>
      <c r="F37" s="36"/>
      <c r="G37" s="19">
        <v>45.3</v>
      </c>
      <c r="H37" s="37"/>
      <c r="I37" s="37"/>
      <c r="L37" s="29"/>
    </row>
    <row r="38" spans="1:256" x14ac:dyDescent="0.25">
      <c r="A38" s="9">
        <v>30</v>
      </c>
      <c r="B38" s="9" t="s">
        <v>44</v>
      </c>
      <c r="C38" s="19">
        <v>20.2</v>
      </c>
      <c r="D38" s="34">
        <v>20.2</v>
      </c>
      <c r="E38" s="35"/>
      <c r="F38" s="36"/>
      <c r="G38" s="19">
        <v>27.2</v>
      </c>
      <c r="H38" s="37"/>
      <c r="I38" s="37"/>
      <c r="L38" s="29"/>
    </row>
    <row r="39" spans="1:256" ht="26.4" x14ac:dyDescent="0.25">
      <c r="A39" s="9">
        <v>31</v>
      </c>
      <c r="B39" s="30" t="s">
        <v>45</v>
      </c>
      <c r="C39" s="19">
        <v>95.7</v>
      </c>
      <c r="D39" s="34">
        <v>95.7</v>
      </c>
      <c r="E39" s="35"/>
      <c r="F39" s="36"/>
      <c r="G39" s="19">
        <v>71.099999999999994</v>
      </c>
      <c r="H39" s="37"/>
      <c r="I39" s="37"/>
      <c r="L39" s="29"/>
    </row>
    <row r="40" spans="1:256" x14ac:dyDescent="0.25">
      <c r="A40" s="9">
        <v>32</v>
      </c>
      <c r="B40" s="39" t="s">
        <v>46</v>
      </c>
      <c r="C40" s="19">
        <v>129.69999999999999</v>
      </c>
      <c r="D40" s="34">
        <v>129.69999999999999</v>
      </c>
      <c r="E40" s="35"/>
      <c r="F40" s="36"/>
      <c r="G40" s="19">
        <v>164.4</v>
      </c>
      <c r="H40" s="37"/>
      <c r="I40" s="37"/>
      <c r="L40" s="29"/>
    </row>
    <row r="41" spans="1:256" x14ac:dyDescent="0.25">
      <c r="A41" s="9">
        <v>33</v>
      </c>
      <c r="B41" s="39" t="s">
        <v>47</v>
      </c>
      <c r="C41" s="19">
        <v>110.8</v>
      </c>
      <c r="D41" s="34">
        <v>110.8</v>
      </c>
      <c r="E41" s="35"/>
      <c r="F41" s="36"/>
      <c r="G41" s="19">
        <v>45</v>
      </c>
      <c r="H41" s="37"/>
      <c r="I41" s="37"/>
      <c r="L41" s="29"/>
    </row>
    <row r="42" spans="1:256" x14ac:dyDescent="0.25">
      <c r="A42" s="9">
        <v>34</v>
      </c>
      <c r="B42" s="39" t="s">
        <v>48</v>
      </c>
      <c r="C42" s="19">
        <v>390.7</v>
      </c>
      <c r="D42" s="34">
        <f>(76.6+26.2-8.6)+(250.1-60.1)+106.5-160</f>
        <v>230.7</v>
      </c>
      <c r="E42" s="35"/>
      <c r="F42" s="36"/>
      <c r="G42" s="19">
        <v>235</v>
      </c>
      <c r="H42" s="35"/>
      <c r="I42" s="35"/>
      <c r="L42" s="29"/>
    </row>
    <row r="43" spans="1:256" x14ac:dyDescent="0.25">
      <c r="A43" s="9">
        <v>35</v>
      </c>
      <c r="B43" s="39" t="s">
        <v>49</v>
      </c>
      <c r="C43" s="19">
        <f>981.7+87.7</f>
        <v>1069.4000000000001</v>
      </c>
      <c r="D43" s="34">
        <f>981.7+87.7</f>
        <v>1069.4000000000001</v>
      </c>
      <c r="E43" s="35"/>
      <c r="F43" s="36"/>
      <c r="G43" s="19">
        <v>1611.1</v>
      </c>
      <c r="H43" s="35"/>
      <c r="I43" s="35"/>
      <c r="L43" s="40"/>
    </row>
    <row r="44" spans="1:256" x14ac:dyDescent="0.25">
      <c r="A44" s="9">
        <v>36</v>
      </c>
      <c r="B44" s="39" t="s">
        <v>50</v>
      </c>
      <c r="C44" s="19">
        <v>0</v>
      </c>
      <c r="D44" s="34">
        <v>0</v>
      </c>
      <c r="E44" s="35"/>
      <c r="F44" s="36"/>
      <c r="G44" s="19">
        <v>132</v>
      </c>
      <c r="H44" s="35"/>
      <c r="I44" s="35"/>
      <c r="L44" s="40"/>
    </row>
    <row r="45" spans="1:256" x14ac:dyDescent="0.25">
      <c r="A45" s="9">
        <v>37</v>
      </c>
      <c r="B45" s="15" t="s">
        <v>51</v>
      </c>
      <c r="C45" s="13">
        <v>2421.1999999999998</v>
      </c>
      <c r="D45" s="32">
        <v>2378.8000000000002</v>
      </c>
      <c r="E45" s="35"/>
      <c r="F45" s="36"/>
      <c r="G45" s="32">
        <v>3000.6</v>
      </c>
      <c r="H45" s="32"/>
      <c r="I45" s="13"/>
    </row>
    <row r="46" spans="1:256" x14ac:dyDescent="0.25">
      <c r="A46" s="9">
        <v>38</v>
      </c>
      <c r="B46" s="41" t="s">
        <v>52</v>
      </c>
      <c r="C46" s="13">
        <f>+C34+C35+C45</f>
        <v>72697.2</v>
      </c>
      <c r="D46" s="13">
        <f>+D34+D35+D45</f>
        <v>74882.5</v>
      </c>
      <c r="E46" s="35"/>
      <c r="F46" s="36"/>
      <c r="G46" s="13">
        <f>+G34+G35+G45</f>
        <v>77992.2</v>
      </c>
      <c r="H46" s="37"/>
      <c r="I46" s="37"/>
    </row>
    <row r="48" spans="1:256" x14ac:dyDescent="0.25">
      <c r="C48" s="14"/>
    </row>
    <row r="50" spans="3:7" x14ac:dyDescent="0.25">
      <c r="C50" s="14"/>
      <c r="D50" s="14"/>
    </row>
    <row r="53" spans="3:7" x14ac:dyDescent="0.25">
      <c r="C53" s="14"/>
      <c r="G53" s="14"/>
    </row>
    <row r="54" spans="3:7" x14ac:dyDescent="0.25">
      <c r="C54" s="14"/>
      <c r="G54" s="14"/>
    </row>
    <row r="55" spans="3:7" x14ac:dyDescent="0.25">
      <c r="C55" s="14"/>
      <c r="G55" s="14"/>
    </row>
  </sheetData>
  <mergeCells count="9">
    <mergeCell ref="E35:F35"/>
    <mergeCell ref="H1:I1"/>
    <mergeCell ref="B3:I3"/>
    <mergeCell ref="A6:A7"/>
    <mergeCell ref="B6:B7"/>
    <mergeCell ref="C6:D6"/>
    <mergeCell ref="E6:F6"/>
    <mergeCell ref="G6:G7"/>
    <mergeCell ref="H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43"/>
  <sheetViews>
    <sheetView tabSelected="1" zoomScale="130" zoomScaleNormal="130" workbookViewId="0">
      <selection activeCell="G21" sqref="G21"/>
    </sheetView>
  </sheetViews>
  <sheetFormatPr defaultColWidth="9.33203125" defaultRowHeight="9.6" x14ac:dyDescent="0.2"/>
  <cols>
    <col min="1" max="1" width="3.33203125" style="51" customWidth="1"/>
    <col min="2" max="2" width="32.33203125" style="84" customWidth="1"/>
    <col min="3" max="30" width="6.6640625" style="51" customWidth="1"/>
    <col min="31" max="223" width="9.33203125" style="51"/>
    <col min="224" max="224" width="3.33203125" style="51" customWidth="1"/>
    <col min="225" max="225" width="32.33203125" style="51" customWidth="1"/>
    <col min="226" max="226" width="9.6640625" style="51" customWidth="1"/>
    <col min="227" max="227" width="10.109375" style="51" customWidth="1"/>
    <col min="228" max="232" width="0" style="51" hidden="1" customWidth="1"/>
    <col min="233" max="233" width="9.33203125" style="51"/>
    <col min="234" max="234" width="8.6640625" style="51" customWidth="1"/>
    <col min="235" max="235" width="6.6640625" style="51" customWidth="1"/>
    <col min="236" max="236" width="9.5546875" style="51" customWidth="1"/>
    <col min="237" max="237" width="6.6640625" style="51" customWidth="1"/>
    <col min="238" max="238" width="6.88671875" style="51" customWidth="1"/>
    <col min="239" max="239" width="9" style="51" customWidth="1"/>
    <col min="240" max="240" width="8.109375" style="51" customWidth="1"/>
    <col min="241" max="241" width="8" style="51" customWidth="1"/>
    <col min="242" max="242" width="9.109375" style="51" customWidth="1"/>
    <col min="243" max="243" width="7.6640625" style="51" customWidth="1"/>
    <col min="244" max="244" width="9.109375" style="51" customWidth="1"/>
    <col min="245" max="245" width="7.33203125" style="51" customWidth="1"/>
    <col min="246" max="246" width="7.109375" style="51" customWidth="1"/>
    <col min="247" max="247" width="8.6640625" style="51" customWidth="1"/>
    <col min="248" max="249" width="9.33203125" style="51"/>
    <col min="250" max="250" width="9.6640625" style="51" customWidth="1"/>
    <col min="251" max="251" width="6.6640625" style="51" customWidth="1"/>
    <col min="252" max="252" width="7" style="51" customWidth="1"/>
    <col min="253" max="253" width="5.33203125" style="51" customWidth="1"/>
    <col min="254" max="254" width="6.5546875" style="51" bestFit="1" customWidth="1"/>
    <col min="255" max="255" width="8.33203125" style="51" customWidth="1"/>
    <col min="256" max="256" width="8" style="51" customWidth="1"/>
    <col min="257" max="257" width="6.5546875" style="51" customWidth="1"/>
    <col min="258" max="258" width="8.33203125" style="51" customWidth="1"/>
    <col min="259" max="259" width="7.33203125" style="51" customWidth="1"/>
    <col min="260" max="260" width="8.109375" style="51" customWidth="1"/>
    <col min="261" max="261" width="5.44140625" style="51" customWidth="1"/>
    <col min="262" max="262" width="7.5546875" style="51" customWidth="1"/>
    <col min="263" max="263" width="6.5546875" style="51" customWidth="1"/>
    <col min="264" max="264" width="6.33203125" style="51" customWidth="1"/>
    <col min="265" max="265" width="7.6640625" style="51" customWidth="1"/>
    <col min="266" max="266" width="6.109375" style="51" customWidth="1"/>
    <col min="267" max="267" width="5.6640625" style="51" customWidth="1"/>
    <col min="268" max="268" width="6.6640625" style="51" customWidth="1"/>
    <col min="269" max="269" width="5.44140625" style="51" customWidth="1"/>
    <col min="270" max="270" width="6.5546875" style="51" customWidth="1"/>
    <col min="271" max="271" width="7.6640625" style="51" customWidth="1"/>
    <col min="272" max="272" width="5.6640625" style="51" customWidth="1"/>
    <col min="273" max="273" width="5.88671875" style="51" customWidth="1"/>
    <col min="274" max="274" width="6.6640625" style="51" customWidth="1"/>
    <col min="275" max="275" width="5.33203125" style="51" customWidth="1"/>
    <col min="276" max="276" width="7.5546875" style="51" customWidth="1"/>
    <col min="277" max="277" width="5.33203125" style="51" customWidth="1"/>
    <col min="278" max="278" width="6.109375" style="51" customWidth="1"/>
    <col min="279" max="280" width="6.33203125" style="51" customWidth="1"/>
    <col min="281" max="281" width="6.5546875" style="51" bestFit="1" customWidth="1"/>
    <col min="282" max="282" width="6.44140625" style="51" customWidth="1"/>
    <col min="283" max="285" width="5.5546875" style="51" customWidth="1"/>
    <col min="286" max="286" width="5.6640625" style="51" customWidth="1"/>
    <col min="287" max="479" width="9.33203125" style="51"/>
    <col min="480" max="480" width="3.33203125" style="51" customWidth="1"/>
    <col min="481" max="481" width="32.33203125" style="51" customWidth="1"/>
    <col min="482" max="482" width="9.6640625" style="51" customWidth="1"/>
    <col min="483" max="483" width="10.109375" style="51" customWidth="1"/>
    <col min="484" max="488" width="0" style="51" hidden="1" customWidth="1"/>
    <col min="489" max="489" width="9.33203125" style="51"/>
    <col min="490" max="490" width="8.6640625" style="51" customWidth="1"/>
    <col min="491" max="491" width="6.6640625" style="51" customWidth="1"/>
    <col min="492" max="492" width="9.5546875" style="51" customWidth="1"/>
    <col min="493" max="493" width="6.6640625" style="51" customWidth="1"/>
    <col min="494" max="494" width="6.88671875" style="51" customWidth="1"/>
    <col min="495" max="495" width="9" style="51" customWidth="1"/>
    <col min="496" max="496" width="8.109375" style="51" customWidth="1"/>
    <col min="497" max="497" width="8" style="51" customWidth="1"/>
    <col min="498" max="498" width="9.109375" style="51" customWidth="1"/>
    <col min="499" max="499" width="7.6640625" style="51" customWidth="1"/>
    <col min="500" max="500" width="9.109375" style="51" customWidth="1"/>
    <col min="501" max="501" width="7.33203125" style="51" customWidth="1"/>
    <col min="502" max="502" width="7.109375" style="51" customWidth="1"/>
    <col min="503" max="503" width="8.6640625" style="51" customWidth="1"/>
    <col min="504" max="505" width="9.33203125" style="51"/>
    <col min="506" max="506" width="9.6640625" style="51" customWidth="1"/>
    <col min="507" max="507" width="6.6640625" style="51" customWidth="1"/>
    <col min="508" max="508" width="7" style="51" customWidth="1"/>
    <col min="509" max="509" width="5.33203125" style="51" customWidth="1"/>
    <col min="510" max="510" width="6.5546875" style="51" bestFit="1" customWidth="1"/>
    <col min="511" max="511" width="8.33203125" style="51" customWidth="1"/>
    <col min="512" max="512" width="8" style="51" customWidth="1"/>
    <col min="513" max="513" width="6.5546875" style="51" customWidth="1"/>
    <col min="514" max="514" width="8.33203125" style="51" customWidth="1"/>
    <col min="515" max="515" width="7.33203125" style="51" customWidth="1"/>
    <col min="516" max="516" width="8.109375" style="51" customWidth="1"/>
    <col min="517" max="517" width="5.44140625" style="51" customWidth="1"/>
    <col min="518" max="518" width="7.5546875" style="51" customWidth="1"/>
    <col min="519" max="519" width="6.5546875" style="51" customWidth="1"/>
    <col min="520" max="520" width="6.33203125" style="51" customWidth="1"/>
    <col min="521" max="521" width="7.6640625" style="51" customWidth="1"/>
    <col min="522" max="522" width="6.109375" style="51" customWidth="1"/>
    <col min="523" max="523" width="5.6640625" style="51" customWidth="1"/>
    <col min="524" max="524" width="6.6640625" style="51" customWidth="1"/>
    <col min="525" max="525" width="5.44140625" style="51" customWidth="1"/>
    <col min="526" max="526" width="6.5546875" style="51" customWidth="1"/>
    <col min="527" max="527" width="7.6640625" style="51" customWidth="1"/>
    <col min="528" max="528" width="5.6640625" style="51" customWidth="1"/>
    <col min="529" max="529" width="5.88671875" style="51" customWidth="1"/>
    <col min="530" max="530" width="6.6640625" style="51" customWidth="1"/>
    <col min="531" max="531" width="5.33203125" style="51" customWidth="1"/>
    <col min="532" max="532" width="7.5546875" style="51" customWidth="1"/>
    <col min="533" max="533" width="5.33203125" style="51" customWidth="1"/>
    <col min="534" max="534" width="6.109375" style="51" customWidth="1"/>
    <col min="535" max="536" width="6.33203125" style="51" customWidth="1"/>
    <col min="537" max="537" width="6.5546875" style="51" bestFit="1" customWidth="1"/>
    <col min="538" max="538" width="6.44140625" style="51" customWidth="1"/>
    <col min="539" max="541" width="5.5546875" style="51" customWidth="1"/>
    <col min="542" max="542" width="5.6640625" style="51" customWidth="1"/>
    <col min="543" max="735" width="9.33203125" style="51"/>
    <col min="736" max="736" width="3.33203125" style="51" customWidth="1"/>
    <col min="737" max="737" width="32.33203125" style="51" customWidth="1"/>
    <col min="738" max="738" width="9.6640625" style="51" customWidth="1"/>
    <col min="739" max="739" width="10.109375" style="51" customWidth="1"/>
    <col min="740" max="744" width="0" style="51" hidden="1" customWidth="1"/>
    <col min="745" max="745" width="9.33203125" style="51"/>
    <col min="746" max="746" width="8.6640625" style="51" customWidth="1"/>
    <col min="747" max="747" width="6.6640625" style="51" customWidth="1"/>
    <col min="748" max="748" width="9.5546875" style="51" customWidth="1"/>
    <col min="749" max="749" width="6.6640625" style="51" customWidth="1"/>
    <col min="750" max="750" width="6.88671875" style="51" customWidth="1"/>
    <col min="751" max="751" width="9" style="51" customWidth="1"/>
    <col min="752" max="752" width="8.109375" style="51" customWidth="1"/>
    <col min="753" max="753" width="8" style="51" customWidth="1"/>
    <col min="754" max="754" width="9.109375" style="51" customWidth="1"/>
    <col min="755" max="755" width="7.6640625" style="51" customWidth="1"/>
    <col min="756" max="756" width="9.109375" style="51" customWidth="1"/>
    <col min="757" max="757" width="7.33203125" style="51" customWidth="1"/>
    <col min="758" max="758" width="7.109375" style="51" customWidth="1"/>
    <col min="759" max="759" width="8.6640625" style="51" customWidth="1"/>
    <col min="760" max="761" width="9.33203125" style="51"/>
    <col min="762" max="762" width="9.6640625" style="51" customWidth="1"/>
    <col min="763" max="763" width="6.6640625" style="51" customWidth="1"/>
    <col min="764" max="764" width="7" style="51" customWidth="1"/>
    <col min="765" max="765" width="5.33203125" style="51" customWidth="1"/>
    <col min="766" max="766" width="6.5546875" style="51" bestFit="1" customWidth="1"/>
    <col min="767" max="767" width="8.33203125" style="51" customWidth="1"/>
    <col min="768" max="768" width="8" style="51" customWidth="1"/>
    <col min="769" max="769" width="6.5546875" style="51" customWidth="1"/>
    <col min="770" max="770" width="8.33203125" style="51" customWidth="1"/>
    <col min="771" max="771" width="7.33203125" style="51" customWidth="1"/>
    <col min="772" max="772" width="8.109375" style="51" customWidth="1"/>
    <col min="773" max="773" width="5.44140625" style="51" customWidth="1"/>
    <col min="774" max="774" width="7.5546875" style="51" customWidth="1"/>
    <col min="775" max="775" width="6.5546875" style="51" customWidth="1"/>
    <col min="776" max="776" width="6.33203125" style="51" customWidth="1"/>
    <col min="777" max="777" width="7.6640625" style="51" customWidth="1"/>
    <col min="778" max="778" width="6.109375" style="51" customWidth="1"/>
    <col min="779" max="779" width="5.6640625" style="51" customWidth="1"/>
    <col min="780" max="780" width="6.6640625" style="51" customWidth="1"/>
    <col min="781" max="781" width="5.44140625" style="51" customWidth="1"/>
    <col min="782" max="782" width="6.5546875" style="51" customWidth="1"/>
    <col min="783" max="783" width="7.6640625" style="51" customWidth="1"/>
    <col min="784" max="784" width="5.6640625" style="51" customWidth="1"/>
    <col min="785" max="785" width="5.88671875" style="51" customWidth="1"/>
    <col min="786" max="786" width="6.6640625" style="51" customWidth="1"/>
    <col min="787" max="787" width="5.33203125" style="51" customWidth="1"/>
    <col min="788" max="788" width="7.5546875" style="51" customWidth="1"/>
    <col min="789" max="789" width="5.33203125" style="51" customWidth="1"/>
    <col min="790" max="790" width="6.109375" style="51" customWidth="1"/>
    <col min="791" max="792" width="6.33203125" style="51" customWidth="1"/>
    <col min="793" max="793" width="6.5546875" style="51" bestFit="1" customWidth="1"/>
    <col min="794" max="794" width="6.44140625" style="51" customWidth="1"/>
    <col min="795" max="797" width="5.5546875" style="51" customWidth="1"/>
    <col min="798" max="798" width="5.6640625" style="51" customWidth="1"/>
    <col min="799" max="991" width="9.33203125" style="51"/>
    <col min="992" max="992" width="3.33203125" style="51" customWidth="1"/>
    <col min="993" max="993" width="32.33203125" style="51" customWidth="1"/>
    <col min="994" max="994" width="9.6640625" style="51" customWidth="1"/>
    <col min="995" max="995" width="10.109375" style="51" customWidth="1"/>
    <col min="996" max="1000" width="0" style="51" hidden="1" customWidth="1"/>
    <col min="1001" max="1001" width="9.33203125" style="51"/>
    <col min="1002" max="1002" width="8.6640625" style="51" customWidth="1"/>
    <col min="1003" max="1003" width="6.6640625" style="51" customWidth="1"/>
    <col min="1004" max="1004" width="9.5546875" style="51" customWidth="1"/>
    <col min="1005" max="1005" width="6.6640625" style="51" customWidth="1"/>
    <col min="1006" max="1006" width="6.88671875" style="51" customWidth="1"/>
    <col min="1007" max="1007" width="9" style="51" customWidth="1"/>
    <col min="1008" max="1008" width="8.109375" style="51" customWidth="1"/>
    <col min="1009" max="1009" width="8" style="51" customWidth="1"/>
    <col min="1010" max="1010" width="9.109375" style="51" customWidth="1"/>
    <col min="1011" max="1011" width="7.6640625" style="51" customWidth="1"/>
    <col min="1012" max="1012" width="9.109375" style="51" customWidth="1"/>
    <col min="1013" max="1013" width="7.33203125" style="51" customWidth="1"/>
    <col min="1014" max="1014" width="7.109375" style="51" customWidth="1"/>
    <col min="1015" max="1015" width="8.6640625" style="51" customWidth="1"/>
    <col min="1016" max="1017" width="9.33203125" style="51"/>
    <col min="1018" max="1018" width="9.6640625" style="51" customWidth="1"/>
    <col min="1019" max="1019" width="6.6640625" style="51" customWidth="1"/>
    <col min="1020" max="1020" width="7" style="51" customWidth="1"/>
    <col min="1021" max="1021" width="5.33203125" style="51" customWidth="1"/>
    <col min="1022" max="1022" width="6.5546875" style="51" bestFit="1" customWidth="1"/>
    <col min="1023" max="1023" width="8.33203125" style="51" customWidth="1"/>
    <col min="1024" max="1024" width="8" style="51" customWidth="1"/>
    <col min="1025" max="1025" width="6.5546875" style="51" customWidth="1"/>
    <col min="1026" max="1026" width="8.33203125" style="51" customWidth="1"/>
    <col min="1027" max="1027" width="7.33203125" style="51" customWidth="1"/>
    <col min="1028" max="1028" width="8.109375" style="51" customWidth="1"/>
    <col min="1029" max="1029" width="5.44140625" style="51" customWidth="1"/>
    <col min="1030" max="1030" width="7.5546875" style="51" customWidth="1"/>
    <col min="1031" max="1031" width="6.5546875" style="51" customWidth="1"/>
    <col min="1032" max="1032" width="6.33203125" style="51" customWidth="1"/>
    <col min="1033" max="1033" width="7.6640625" style="51" customWidth="1"/>
    <col min="1034" max="1034" width="6.109375" style="51" customWidth="1"/>
    <col min="1035" max="1035" width="5.6640625" style="51" customWidth="1"/>
    <col min="1036" max="1036" width="6.6640625" style="51" customWidth="1"/>
    <col min="1037" max="1037" width="5.44140625" style="51" customWidth="1"/>
    <col min="1038" max="1038" width="6.5546875" style="51" customWidth="1"/>
    <col min="1039" max="1039" width="7.6640625" style="51" customWidth="1"/>
    <col min="1040" max="1040" width="5.6640625" style="51" customWidth="1"/>
    <col min="1041" max="1041" width="5.88671875" style="51" customWidth="1"/>
    <col min="1042" max="1042" width="6.6640625" style="51" customWidth="1"/>
    <col min="1043" max="1043" width="5.33203125" style="51" customWidth="1"/>
    <col min="1044" max="1044" width="7.5546875" style="51" customWidth="1"/>
    <col min="1045" max="1045" width="5.33203125" style="51" customWidth="1"/>
    <col min="1046" max="1046" width="6.109375" style="51" customWidth="1"/>
    <col min="1047" max="1048" width="6.33203125" style="51" customWidth="1"/>
    <col min="1049" max="1049" width="6.5546875" style="51" bestFit="1" customWidth="1"/>
    <col min="1050" max="1050" width="6.44140625" style="51" customWidth="1"/>
    <col min="1051" max="1053" width="5.5546875" style="51" customWidth="1"/>
    <col min="1054" max="1054" width="5.6640625" style="51" customWidth="1"/>
    <col min="1055" max="1247" width="9.33203125" style="51"/>
    <col min="1248" max="1248" width="3.33203125" style="51" customWidth="1"/>
    <col min="1249" max="1249" width="32.33203125" style="51" customWidth="1"/>
    <col min="1250" max="1250" width="9.6640625" style="51" customWidth="1"/>
    <col min="1251" max="1251" width="10.109375" style="51" customWidth="1"/>
    <col min="1252" max="1256" width="0" style="51" hidden="1" customWidth="1"/>
    <col min="1257" max="1257" width="9.33203125" style="51"/>
    <col min="1258" max="1258" width="8.6640625" style="51" customWidth="1"/>
    <col min="1259" max="1259" width="6.6640625" style="51" customWidth="1"/>
    <col min="1260" max="1260" width="9.5546875" style="51" customWidth="1"/>
    <col min="1261" max="1261" width="6.6640625" style="51" customWidth="1"/>
    <col min="1262" max="1262" width="6.88671875" style="51" customWidth="1"/>
    <col min="1263" max="1263" width="9" style="51" customWidth="1"/>
    <col min="1264" max="1264" width="8.109375" style="51" customWidth="1"/>
    <col min="1265" max="1265" width="8" style="51" customWidth="1"/>
    <col min="1266" max="1266" width="9.109375" style="51" customWidth="1"/>
    <col min="1267" max="1267" width="7.6640625" style="51" customWidth="1"/>
    <col min="1268" max="1268" width="9.109375" style="51" customWidth="1"/>
    <col min="1269" max="1269" width="7.33203125" style="51" customWidth="1"/>
    <col min="1270" max="1270" width="7.109375" style="51" customWidth="1"/>
    <col min="1271" max="1271" width="8.6640625" style="51" customWidth="1"/>
    <col min="1272" max="1273" width="9.33203125" style="51"/>
    <col min="1274" max="1274" width="9.6640625" style="51" customWidth="1"/>
    <col min="1275" max="1275" width="6.6640625" style="51" customWidth="1"/>
    <col min="1276" max="1276" width="7" style="51" customWidth="1"/>
    <col min="1277" max="1277" width="5.33203125" style="51" customWidth="1"/>
    <col min="1278" max="1278" width="6.5546875" style="51" bestFit="1" customWidth="1"/>
    <col min="1279" max="1279" width="8.33203125" style="51" customWidth="1"/>
    <col min="1280" max="1280" width="8" style="51" customWidth="1"/>
    <col min="1281" max="1281" width="6.5546875" style="51" customWidth="1"/>
    <col min="1282" max="1282" width="8.33203125" style="51" customWidth="1"/>
    <col min="1283" max="1283" width="7.33203125" style="51" customWidth="1"/>
    <col min="1284" max="1284" width="8.109375" style="51" customWidth="1"/>
    <col min="1285" max="1285" width="5.44140625" style="51" customWidth="1"/>
    <col min="1286" max="1286" width="7.5546875" style="51" customWidth="1"/>
    <col min="1287" max="1287" width="6.5546875" style="51" customWidth="1"/>
    <col min="1288" max="1288" width="6.33203125" style="51" customWidth="1"/>
    <col min="1289" max="1289" width="7.6640625" style="51" customWidth="1"/>
    <col min="1290" max="1290" width="6.109375" style="51" customWidth="1"/>
    <col min="1291" max="1291" width="5.6640625" style="51" customWidth="1"/>
    <col min="1292" max="1292" width="6.6640625" style="51" customWidth="1"/>
    <col min="1293" max="1293" width="5.44140625" style="51" customWidth="1"/>
    <col min="1294" max="1294" width="6.5546875" style="51" customWidth="1"/>
    <col min="1295" max="1295" width="7.6640625" style="51" customWidth="1"/>
    <col min="1296" max="1296" width="5.6640625" style="51" customWidth="1"/>
    <col min="1297" max="1297" width="5.88671875" style="51" customWidth="1"/>
    <col min="1298" max="1298" width="6.6640625" style="51" customWidth="1"/>
    <col min="1299" max="1299" width="5.33203125" style="51" customWidth="1"/>
    <col min="1300" max="1300" width="7.5546875" style="51" customWidth="1"/>
    <col min="1301" max="1301" width="5.33203125" style="51" customWidth="1"/>
    <col min="1302" max="1302" width="6.109375" style="51" customWidth="1"/>
    <col min="1303" max="1304" width="6.33203125" style="51" customWidth="1"/>
    <col min="1305" max="1305" width="6.5546875" style="51" bestFit="1" customWidth="1"/>
    <col min="1306" max="1306" width="6.44140625" style="51" customWidth="1"/>
    <col min="1307" max="1309" width="5.5546875" style="51" customWidth="1"/>
    <col min="1310" max="1310" width="5.6640625" style="51" customWidth="1"/>
    <col min="1311" max="1503" width="9.33203125" style="51"/>
    <col min="1504" max="1504" width="3.33203125" style="51" customWidth="1"/>
    <col min="1505" max="1505" width="32.33203125" style="51" customWidth="1"/>
    <col min="1506" max="1506" width="9.6640625" style="51" customWidth="1"/>
    <col min="1507" max="1507" width="10.109375" style="51" customWidth="1"/>
    <col min="1508" max="1512" width="0" style="51" hidden="1" customWidth="1"/>
    <col min="1513" max="1513" width="9.33203125" style="51"/>
    <col min="1514" max="1514" width="8.6640625" style="51" customWidth="1"/>
    <col min="1515" max="1515" width="6.6640625" style="51" customWidth="1"/>
    <col min="1516" max="1516" width="9.5546875" style="51" customWidth="1"/>
    <col min="1517" max="1517" width="6.6640625" style="51" customWidth="1"/>
    <col min="1518" max="1518" width="6.88671875" style="51" customWidth="1"/>
    <col min="1519" max="1519" width="9" style="51" customWidth="1"/>
    <col min="1520" max="1520" width="8.109375" style="51" customWidth="1"/>
    <col min="1521" max="1521" width="8" style="51" customWidth="1"/>
    <col min="1522" max="1522" width="9.109375" style="51" customWidth="1"/>
    <col min="1523" max="1523" width="7.6640625" style="51" customWidth="1"/>
    <col min="1524" max="1524" width="9.109375" style="51" customWidth="1"/>
    <col min="1525" max="1525" width="7.33203125" style="51" customWidth="1"/>
    <col min="1526" max="1526" width="7.109375" style="51" customWidth="1"/>
    <col min="1527" max="1527" width="8.6640625" style="51" customWidth="1"/>
    <col min="1528" max="1529" width="9.33203125" style="51"/>
    <col min="1530" max="1530" width="9.6640625" style="51" customWidth="1"/>
    <col min="1531" max="1531" width="6.6640625" style="51" customWidth="1"/>
    <col min="1532" max="1532" width="7" style="51" customWidth="1"/>
    <col min="1533" max="1533" width="5.33203125" style="51" customWidth="1"/>
    <col min="1534" max="1534" width="6.5546875" style="51" bestFit="1" customWidth="1"/>
    <col min="1535" max="1535" width="8.33203125" style="51" customWidth="1"/>
    <col min="1536" max="1536" width="8" style="51" customWidth="1"/>
    <col min="1537" max="1537" width="6.5546875" style="51" customWidth="1"/>
    <col min="1538" max="1538" width="8.33203125" style="51" customWidth="1"/>
    <col min="1539" max="1539" width="7.33203125" style="51" customWidth="1"/>
    <col min="1540" max="1540" width="8.109375" style="51" customWidth="1"/>
    <col min="1541" max="1541" width="5.44140625" style="51" customWidth="1"/>
    <col min="1542" max="1542" width="7.5546875" style="51" customWidth="1"/>
    <col min="1543" max="1543" width="6.5546875" style="51" customWidth="1"/>
    <col min="1544" max="1544" width="6.33203125" style="51" customWidth="1"/>
    <col min="1545" max="1545" width="7.6640625" style="51" customWidth="1"/>
    <col min="1546" max="1546" width="6.109375" style="51" customWidth="1"/>
    <col min="1547" max="1547" width="5.6640625" style="51" customWidth="1"/>
    <col min="1548" max="1548" width="6.6640625" style="51" customWidth="1"/>
    <col min="1549" max="1549" width="5.44140625" style="51" customWidth="1"/>
    <col min="1550" max="1550" width="6.5546875" style="51" customWidth="1"/>
    <col min="1551" max="1551" width="7.6640625" style="51" customWidth="1"/>
    <col min="1552" max="1552" width="5.6640625" style="51" customWidth="1"/>
    <col min="1553" max="1553" width="5.88671875" style="51" customWidth="1"/>
    <col min="1554" max="1554" width="6.6640625" style="51" customWidth="1"/>
    <col min="1555" max="1555" width="5.33203125" style="51" customWidth="1"/>
    <col min="1556" max="1556" width="7.5546875" style="51" customWidth="1"/>
    <col min="1557" max="1557" width="5.33203125" style="51" customWidth="1"/>
    <col min="1558" max="1558" width="6.109375" style="51" customWidth="1"/>
    <col min="1559" max="1560" width="6.33203125" style="51" customWidth="1"/>
    <col min="1561" max="1561" width="6.5546875" style="51" bestFit="1" customWidth="1"/>
    <col min="1562" max="1562" width="6.44140625" style="51" customWidth="1"/>
    <col min="1563" max="1565" width="5.5546875" style="51" customWidth="1"/>
    <col min="1566" max="1566" width="5.6640625" style="51" customWidth="1"/>
    <col min="1567" max="1759" width="9.33203125" style="51"/>
    <col min="1760" max="1760" width="3.33203125" style="51" customWidth="1"/>
    <col min="1761" max="1761" width="32.33203125" style="51" customWidth="1"/>
    <col min="1762" max="1762" width="9.6640625" style="51" customWidth="1"/>
    <col min="1763" max="1763" width="10.109375" style="51" customWidth="1"/>
    <col min="1764" max="1768" width="0" style="51" hidden="1" customWidth="1"/>
    <col min="1769" max="1769" width="9.33203125" style="51"/>
    <col min="1770" max="1770" width="8.6640625" style="51" customWidth="1"/>
    <col min="1771" max="1771" width="6.6640625" style="51" customWidth="1"/>
    <col min="1772" max="1772" width="9.5546875" style="51" customWidth="1"/>
    <col min="1773" max="1773" width="6.6640625" style="51" customWidth="1"/>
    <col min="1774" max="1774" width="6.88671875" style="51" customWidth="1"/>
    <col min="1775" max="1775" width="9" style="51" customWidth="1"/>
    <col min="1776" max="1776" width="8.109375" style="51" customWidth="1"/>
    <col min="1777" max="1777" width="8" style="51" customWidth="1"/>
    <col min="1778" max="1778" width="9.109375" style="51" customWidth="1"/>
    <col min="1779" max="1779" width="7.6640625" style="51" customWidth="1"/>
    <col min="1780" max="1780" width="9.109375" style="51" customWidth="1"/>
    <col min="1781" max="1781" width="7.33203125" style="51" customWidth="1"/>
    <col min="1782" max="1782" width="7.109375" style="51" customWidth="1"/>
    <col min="1783" max="1783" width="8.6640625" style="51" customWidth="1"/>
    <col min="1784" max="1785" width="9.33203125" style="51"/>
    <col min="1786" max="1786" width="9.6640625" style="51" customWidth="1"/>
    <col min="1787" max="1787" width="6.6640625" style="51" customWidth="1"/>
    <col min="1788" max="1788" width="7" style="51" customWidth="1"/>
    <col min="1789" max="1789" width="5.33203125" style="51" customWidth="1"/>
    <col min="1790" max="1790" width="6.5546875" style="51" bestFit="1" customWidth="1"/>
    <col min="1791" max="1791" width="8.33203125" style="51" customWidth="1"/>
    <col min="1792" max="1792" width="8" style="51" customWidth="1"/>
    <col min="1793" max="1793" width="6.5546875" style="51" customWidth="1"/>
    <col min="1794" max="1794" width="8.33203125" style="51" customWidth="1"/>
    <col min="1795" max="1795" width="7.33203125" style="51" customWidth="1"/>
    <col min="1796" max="1796" width="8.109375" style="51" customWidth="1"/>
    <col min="1797" max="1797" width="5.44140625" style="51" customWidth="1"/>
    <col min="1798" max="1798" width="7.5546875" style="51" customWidth="1"/>
    <col min="1799" max="1799" width="6.5546875" style="51" customWidth="1"/>
    <col min="1800" max="1800" width="6.33203125" style="51" customWidth="1"/>
    <col min="1801" max="1801" width="7.6640625" style="51" customWidth="1"/>
    <col min="1802" max="1802" width="6.109375" style="51" customWidth="1"/>
    <col min="1803" max="1803" width="5.6640625" style="51" customWidth="1"/>
    <col min="1804" max="1804" width="6.6640625" style="51" customWidth="1"/>
    <col min="1805" max="1805" width="5.44140625" style="51" customWidth="1"/>
    <col min="1806" max="1806" width="6.5546875" style="51" customWidth="1"/>
    <col min="1807" max="1807" width="7.6640625" style="51" customWidth="1"/>
    <col min="1808" max="1808" width="5.6640625" style="51" customWidth="1"/>
    <col min="1809" max="1809" width="5.88671875" style="51" customWidth="1"/>
    <col min="1810" max="1810" width="6.6640625" style="51" customWidth="1"/>
    <col min="1811" max="1811" width="5.33203125" style="51" customWidth="1"/>
    <col min="1812" max="1812" width="7.5546875" style="51" customWidth="1"/>
    <col min="1813" max="1813" width="5.33203125" style="51" customWidth="1"/>
    <col min="1814" max="1814" width="6.109375" style="51" customWidth="1"/>
    <col min="1815" max="1816" width="6.33203125" style="51" customWidth="1"/>
    <col min="1817" max="1817" width="6.5546875" style="51" bestFit="1" customWidth="1"/>
    <col min="1818" max="1818" width="6.44140625" style="51" customWidth="1"/>
    <col min="1819" max="1821" width="5.5546875" style="51" customWidth="1"/>
    <col min="1822" max="1822" width="5.6640625" style="51" customWidth="1"/>
    <col min="1823" max="2015" width="9.33203125" style="51"/>
    <col min="2016" max="2016" width="3.33203125" style="51" customWidth="1"/>
    <col min="2017" max="2017" width="32.33203125" style="51" customWidth="1"/>
    <col min="2018" max="2018" width="9.6640625" style="51" customWidth="1"/>
    <col min="2019" max="2019" width="10.109375" style="51" customWidth="1"/>
    <col min="2020" max="2024" width="0" style="51" hidden="1" customWidth="1"/>
    <col min="2025" max="2025" width="9.33203125" style="51"/>
    <col min="2026" max="2026" width="8.6640625" style="51" customWidth="1"/>
    <col min="2027" max="2027" width="6.6640625" style="51" customWidth="1"/>
    <col min="2028" max="2028" width="9.5546875" style="51" customWidth="1"/>
    <col min="2029" max="2029" width="6.6640625" style="51" customWidth="1"/>
    <col min="2030" max="2030" width="6.88671875" style="51" customWidth="1"/>
    <col min="2031" max="2031" width="9" style="51" customWidth="1"/>
    <col min="2032" max="2032" width="8.109375" style="51" customWidth="1"/>
    <col min="2033" max="2033" width="8" style="51" customWidth="1"/>
    <col min="2034" max="2034" width="9.109375" style="51" customWidth="1"/>
    <col min="2035" max="2035" width="7.6640625" style="51" customWidth="1"/>
    <col min="2036" max="2036" width="9.109375" style="51" customWidth="1"/>
    <col min="2037" max="2037" width="7.33203125" style="51" customWidth="1"/>
    <col min="2038" max="2038" width="7.109375" style="51" customWidth="1"/>
    <col min="2039" max="2039" width="8.6640625" style="51" customWidth="1"/>
    <col min="2040" max="2041" width="9.33203125" style="51"/>
    <col min="2042" max="2042" width="9.6640625" style="51" customWidth="1"/>
    <col min="2043" max="2043" width="6.6640625" style="51" customWidth="1"/>
    <col min="2044" max="2044" width="7" style="51" customWidth="1"/>
    <col min="2045" max="2045" width="5.33203125" style="51" customWidth="1"/>
    <col min="2046" max="2046" width="6.5546875" style="51" bestFit="1" customWidth="1"/>
    <col min="2047" max="2047" width="8.33203125" style="51" customWidth="1"/>
    <col min="2048" max="2048" width="8" style="51" customWidth="1"/>
    <col min="2049" max="2049" width="6.5546875" style="51" customWidth="1"/>
    <col min="2050" max="2050" width="8.33203125" style="51" customWidth="1"/>
    <col min="2051" max="2051" width="7.33203125" style="51" customWidth="1"/>
    <col min="2052" max="2052" width="8.109375" style="51" customWidth="1"/>
    <col min="2053" max="2053" width="5.44140625" style="51" customWidth="1"/>
    <col min="2054" max="2054" width="7.5546875" style="51" customWidth="1"/>
    <col min="2055" max="2055" width="6.5546875" style="51" customWidth="1"/>
    <col min="2056" max="2056" width="6.33203125" style="51" customWidth="1"/>
    <col min="2057" max="2057" width="7.6640625" style="51" customWidth="1"/>
    <col min="2058" max="2058" width="6.109375" style="51" customWidth="1"/>
    <col min="2059" max="2059" width="5.6640625" style="51" customWidth="1"/>
    <col min="2060" max="2060" width="6.6640625" style="51" customWidth="1"/>
    <col min="2061" max="2061" width="5.44140625" style="51" customWidth="1"/>
    <col min="2062" max="2062" width="6.5546875" style="51" customWidth="1"/>
    <col min="2063" max="2063" width="7.6640625" style="51" customWidth="1"/>
    <col min="2064" max="2064" width="5.6640625" style="51" customWidth="1"/>
    <col min="2065" max="2065" width="5.88671875" style="51" customWidth="1"/>
    <col min="2066" max="2066" width="6.6640625" style="51" customWidth="1"/>
    <col min="2067" max="2067" width="5.33203125" style="51" customWidth="1"/>
    <col min="2068" max="2068" width="7.5546875" style="51" customWidth="1"/>
    <col min="2069" max="2069" width="5.33203125" style="51" customWidth="1"/>
    <col min="2070" max="2070" width="6.109375" style="51" customWidth="1"/>
    <col min="2071" max="2072" width="6.33203125" style="51" customWidth="1"/>
    <col min="2073" max="2073" width="6.5546875" style="51" bestFit="1" customWidth="1"/>
    <col min="2074" max="2074" width="6.44140625" style="51" customWidth="1"/>
    <col min="2075" max="2077" width="5.5546875" style="51" customWidth="1"/>
    <col min="2078" max="2078" width="5.6640625" style="51" customWidth="1"/>
    <col min="2079" max="2271" width="9.33203125" style="51"/>
    <col min="2272" max="2272" width="3.33203125" style="51" customWidth="1"/>
    <col min="2273" max="2273" width="32.33203125" style="51" customWidth="1"/>
    <col min="2274" max="2274" width="9.6640625" style="51" customWidth="1"/>
    <col min="2275" max="2275" width="10.109375" style="51" customWidth="1"/>
    <col min="2276" max="2280" width="0" style="51" hidden="1" customWidth="1"/>
    <col min="2281" max="2281" width="9.33203125" style="51"/>
    <col min="2282" max="2282" width="8.6640625" style="51" customWidth="1"/>
    <col min="2283" max="2283" width="6.6640625" style="51" customWidth="1"/>
    <col min="2284" max="2284" width="9.5546875" style="51" customWidth="1"/>
    <col min="2285" max="2285" width="6.6640625" style="51" customWidth="1"/>
    <col min="2286" max="2286" width="6.88671875" style="51" customWidth="1"/>
    <col min="2287" max="2287" width="9" style="51" customWidth="1"/>
    <col min="2288" max="2288" width="8.109375" style="51" customWidth="1"/>
    <col min="2289" max="2289" width="8" style="51" customWidth="1"/>
    <col min="2290" max="2290" width="9.109375" style="51" customWidth="1"/>
    <col min="2291" max="2291" width="7.6640625" style="51" customWidth="1"/>
    <col min="2292" max="2292" width="9.109375" style="51" customWidth="1"/>
    <col min="2293" max="2293" width="7.33203125" style="51" customWidth="1"/>
    <col min="2294" max="2294" width="7.109375" style="51" customWidth="1"/>
    <col min="2295" max="2295" width="8.6640625" style="51" customWidth="1"/>
    <col min="2296" max="2297" width="9.33203125" style="51"/>
    <col min="2298" max="2298" width="9.6640625" style="51" customWidth="1"/>
    <col min="2299" max="2299" width="6.6640625" style="51" customWidth="1"/>
    <col min="2300" max="2300" width="7" style="51" customWidth="1"/>
    <col min="2301" max="2301" width="5.33203125" style="51" customWidth="1"/>
    <col min="2302" max="2302" width="6.5546875" style="51" bestFit="1" customWidth="1"/>
    <col min="2303" max="2303" width="8.33203125" style="51" customWidth="1"/>
    <col min="2304" max="2304" width="8" style="51" customWidth="1"/>
    <col min="2305" max="2305" width="6.5546875" style="51" customWidth="1"/>
    <col min="2306" max="2306" width="8.33203125" style="51" customWidth="1"/>
    <col min="2307" max="2307" width="7.33203125" style="51" customWidth="1"/>
    <col min="2308" max="2308" width="8.109375" style="51" customWidth="1"/>
    <col min="2309" max="2309" width="5.44140625" style="51" customWidth="1"/>
    <col min="2310" max="2310" width="7.5546875" style="51" customWidth="1"/>
    <col min="2311" max="2311" width="6.5546875" style="51" customWidth="1"/>
    <col min="2312" max="2312" width="6.33203125" style="51" customWidth="1"/>
    <col min="2313" max="2313" width="7.6640625" style="51" customWidth="1"/>
    <col min="2314" max="2314" width="6.109375" style="51" customWidth="1"/>
    <col min="2315" max="2315" width="5.6640625" style="51" customWidth="1"/>
    <col min="2316" max="2316" width="6.6640625" style="51" customWidth="1"/>
    <col min="2317" max="2317" width="5.44140625" style="51" customWidth="1"/>
    <col min="2318" max="2318" width="6.5546875" style="51" customWidth="1"/>
    <col min="2319" max="2319" width="7.6640625" style="51" customWidth="1"/>
    <col min="2320" max="2320" width="5.6640625" style="51" customWidth="1"/>
    <col min="2321" max="2321" width="5.88671875" style="51" customWidth="1"/>
    <col min="2322" max="2322" width="6.6640625" style="51" customWidth="1"/>
    <col min="2323" max="2323" width="5.33203125" style="51" customWidth="1"/>
    <col min="2324" max="2324" width="7.5546875" style="51" customWidth="1"/>
    <col min="2325" max="2325" width="5.33203125" style="51" customWidth="1"/>
    <col min="2326" max="2326" width="6.109375" style="51" customWidth="1"/>
    <col min="2327" max="2328" width="6.33203125" style="51" customWidth="1"/>
    <col min="2329" max="2329" width="6.5546875" style="51" bestFit="1" customWidth="1"/>
    <col min="2330" max="2330" width="6.44140625" style="51" customWidth="1"/>
    <col min="2331" max="2333" width="5.5546875" style="51" customWidth="1"/>
    <col min="2334" max="2334" width="5.6640625" style="51" customWidth="1"/>
    <col min="2335" max="2527" width="9.33203125" style="51"/>
    <col min="2528" max="2528" width="3.33203125" style="51" customWidth="1"/>
    <col min="2529" max="2529" width="32.33203125" style="51" customWidth="1"/>
    <col min="2530" max="2530" width="9.6640625" style="51" customWidth="1"/>
    <col min="2531" max="2531" width="10.109375" style="51" customWidth="1"/>
    <col min="2532" max="2536" width="0" style="51" hidden="1" customWidth="1"/>
    <col min="2537" max="2537" width="9.33203125" style="51"/>
    <col min="2538" max="2538" width="8.6640625" style="51" customWidth="1"/>
    <col min="2539" max="2539" width="6.6640625" style="51" customWidth="1"/>
    <col min="2540" max="2540" width="9.5546875" style="51" customWidth="1"/>
    <col min="2541" max="2541" width="6.6640625" style="51" customWidth="1"/>
    <col min="2542" max="2542" width="6.88671875" style="51" customWidth="1"/>
    <col min="2543" max="2543" width="9" style="51" customWidth="1"/>
    <col min="2544" max="2544" width="8.109375" style="51" customWidth="1"/>
    <col min="2545" max="2545" width="8" style="51" customWidth="1"/>
    <col min="2546" max="2546" width="9.109375" style="51" customWidth="1"/>
    <col min="2547" max="2547" width="7.6640625" style="51" customWidth="1"/>
    <col min="2548" max="2548" width="9.109375" style="51" customWidth="1"/>
    <col min="2549" max="2549" width="7.33203125" style="51" customWidth="1"/>
    <col min="2550" max="2550" width="7.109375" style="51" customWidth="1"/>
    <col min="2551" max="2551" width="8.6640625" style="51" customWidth="1"/>
    <col min="2552" max="2553" width="9.33203125" style="51"/>
    <col min="2554" max="2554" width="9.6640625" style="51" customWidth="1"/>
    <col min="2555" max="2555" width="6.6640625" style="51" customWidth="1"/>
    <col min="2556" max="2556" width="7" style="51" customWidth="1"/>
    <col min="2557" max="2557" width="5.33203125" style="51" customWidth="1"/>
    <col min="2558" max="2558" width="6.5546875" style="51" bestFit="1" customWidth="1"/>
    <col min="2559" max="2559" width="8.33203125" style="51" customWidth="1"/>
    <col min="2560" max="2560" width="8" style="51" customWidth="1"/>
    <col min="2561" max="2561" width="6.5546875" style="51" customWidth="1"/>
    <col min="2562" max="2562" width="8.33203125" style="51" customWidth="1"/>
    <col min="2563" max="2563" width="7.33203125" style="51" customWidth="1"/>
    <col min="2564" max="2564" width="8.109375" style="51" customWidth="1"/>
    <col min="2565" max="2565" width="5.44140625" style="51" customWidth="1"/>
    <col min="2566" max="2566" width="7.5546875" style="51" customWidth="1"/>
    <col min="2567" max="2567" width="6.5546875" style="51" customWidth="1"/>
    <col min="2568" max="2568" width="6.33203125" style="51" customWidth="1"/>
    <col min="2569" max="2569" width="7.6640625" style="51" customWidth="1"/>
    <col min="2570" max="2570" width="6.109375" style="51" customWidth="1"/>
    <col min="2571" max="2571" width="5.6640625" style="51" customWidth="1"/>
    <col min="2572" max="2572" width="6.6640625" style="51" customWidth="1"/>
    <col min="2573" max="2573" width="5.44140625" style="51" customWidth="1"/>
    <col min="2574" max="2574" width="6.5546875" style="51" customWidth="1"/>
    <col min="2575" max="2575" width="7.6640625" style="51" customWidth="1"/>
    <col min="2576" max="2576" width="5.6640625" style="51" customWidth="1"/>
    <col min="2577" max="2577" width="5.88671875" style="51" customWidth="1"/>
    <col min="2578" max="2578" width="6.6640625" style="51" customWidth="1"/>
    <col min="2579" max="2579" width="5.33203125" style="51" customWidth="1"/>
    <col min="2580" max="2580" width="7.5546875" style="51" customWidth="1"/>
    <col min="2581" max="2581" width="5.33203125" style="51" customWidth="1"/>
    <col min="2582" max="2582" width="6.109375" style="51" customWidth="1"/>
    <col min="2583" max="2584" width="6.33203125" style="51" customWidth="1"/>
    <col min="2585" max="2585" width="6.5546875" style="51" bestFit="1" customWidth="1"/>
    <col min="2586" max="2586" width="6.44140625" style="51" customWidth="1"/>
    <col min="2587" max="2589" width="5.5546875" style="51" customWidth="1"/>
    <col min="2590" max="2590" width="5.6640625" style="51" customWidth="1"/>
    <col min="2591" max="2783" width="9.33203125" style="51"/>
    <col min="2784" max="2784" width="3.33203125" style="51" customWidth="1"/>
    <col min="2785" max="2785" width="32.33203125" style="51" customWidth="1"/>
    <col min="2786" max="2786" width="9.6640625" style="51" customWidth="1"/>
    <col min="2787" max="2787" width="10.109375" style="51" customWidth="1"/>
    <col min="2788" max="2792" width="0" style="51" hidden="1" customWidth="1"/>
    <col min="2793" max="2793" width="9.33203125" style="51"/>
    <col min="2794" max="2794" width="8.6640625" style="51" customWidth="1"/>
    <col min="2795" max="2795" width="6.6640625" style="51" customWidth="1"/>
    <col min="2796" max="2796" width="9.5546875" style="51" customWidth="1"/>
    <col min="2797" max="2797" width="6.6640625" style="51" customWidth="1"/>
    <col min="2798" max="2798" width="6.88671875" style="51" customWidth="1"/>
    <col min="2799" max="2799" width="9" style="51" customWidth="1"/>
    <col min="2800" max="2800" width="8.109375" style="51" customWidth="1"/>
    <col min="2801" max="2801" width="8" style="51" customWidth="1"/>
    <col min="2802" max="2802" width="9.109375" style="51" customWidth="1"/>
    <col min="2803" max="2803" width="7.6640625" style="51" customWidth="1"/>
    <col min="2804" max="2804" width="9.109375" style="51" customWidth="1"/>
    <col min="2805" max="2805" width="7.33203125" style="51" customWidth="1"/>
    <col min="2806" max="2806" width="7.109375" style="51" customWidth="1"/>
    <col min="2807" max="2807" width="8.6640625" style="51" customWidth="1"/>
    <col min="2808" max="2809" width="9.33203125" style="51"/>
    <col min="2810" max="2810" width="9.6640625" style="51" customWidth="1"/>
    <col min="2811" max="2811" width="6.6640625" style="51" customWidth="1"/>
    <col min="2812" max="2812" width="7" style="51" customWidth="1"/>
    <col min="2813" max="2813" width="5.33203125" style="51" customWidth="1"/>
    <col min="2814" max="2814" width="6.5546875" style="51" bestFit="1" customWidth="1"/>
    <col min="2815" max="2815" width="8.33203125" style="51" customWidth="1"/>
    <col min="2816" max="2816" width="8" style="51" customWidth="1"/>
    <col min="2817" max="2817" width="6.5546875" style="51" customWidth="1"/>
    <col min="2818" max="2818" width="8.33203125" style="51" customWidth="1"/>
    <col min="2819" max="2819" width="7.33203125" style="51" customWidth="1"/>
    <col min="2820" max="2820" width="8.109375" style="51" customWidth="1"/>
    <col min="2821" max="2821" width="5.44140625" style="51" customWidth="1"/>
    <col min="2822" max="2822" width="7.5546875" style="51" customWidth="1"/>
    <col min="2823" max="2823" width="6.5546875" style="51" customWidth="1"/>
    <col min="2824" max="2824" width="6.33203125" style="51" customWidth="1"/>
    <col min="2825" max="2825" width="7.6640625" style="51" customWidth="1"/>
    <col min="2826" max="2826" width="6.109375" style="51" customWidth="1"/>
    <col min="2827" max="2827" width="5.6640625" style="51" customWidth="1"/>
    <col min="2828" max="2828" width="6.6640625" style="51" customWidth="1"/>
    <col min="2829" max="2829" width="5.44140625" style="51" customWidth="1"/>
    <col min="2830" max="2830" width="6.5546875" style="51" customWidth="1"/>
    <col min="2831" max="2831" width="7.6640625" style="51" customWidth="1"/>
    <col min="2832" max="2832" width="5.6640625" style="51" customWidth="1"/>
    <col min="2833" max="2833" width="5.88671875" style="51" customWidth="1"/>
    <col min="2834" max="2834" width="6.6640625" style="51" customWidth="1"/>
    <col min="2835" max="2835" width="5.33203125" style="51" customWidth="1"/>
    <col min="2836" max="2836" width="7.5546875" style="51" customWidth="1"/>
    <col min="2837" max="2837" width="5.33203125" style="51" customWidth="1"/>
    <col min="2838" max="2838" width="6.109375" style="51" customWidth="1"/>
    <col min="2839" max="2840" width="6.33203125" style="51" customWidth="1"/>
    <col min="2841" max="2841" width="6.5546875" style="51" bestFit="1" customWidth="1"/>
    <col min="2842" max="2842" width="6.44140625" style="51" customWidth="1"/>
    <col min="2843" max="2845" width="5.5546875" style="51" customWidth="1"/>
    <col min="2846" max="2846" width="5.6640625" style="51" customWidth="1"/>
    <col min="2847" max="3039" width="9.33203125" style="51"/>
    <col min="3040" max="3040" width="3.33203125" style="51" customWidth="1"/>
    <col min="3041" max="3041" width="32.33203125" style="51" customWidth="1"/>
    <col min="3042" max="3042" width="9.6640625" style="51" customWidth="1"/>
    <col min="3043" max="3043" width="10.109375" style="51" customWidth="1"/>
    <col min="3044" max="3048" width="0" style="51" hidden="1" customWidth="1"/>
    <col min="3049" max="3049" width="9.33203125" style="51"/>
    <col min="3050" max="3050" width="8.6640625" style="51" customWidth="1"/>
    <col min="3051" max="3051" width="6.6640625" style="51" customWidth="1"/>
    <col min="3052" max="3052" width="9.5546875" style="51" customWidth="1"/>
    <col min="3053" max="3053" width="6.6640625" style="51" customWidth="1"/>
    <col min="3054" max="3054" width="6.88671875" style="51" customWidth="1"/>
    <col min="3055" max="3055" width="9" style="51" customWidth="1"/>
    <col min="3056" max="3056" width="8.109375" style="51" customWidth="1"/>
    <col min="3057" max="3057" width="8" style="51" customWidth="1"/>
    <col min="3058" max="3058" width="9.109375" style="51" customWidth="1"/>
    <col min="3059" max="3059" width="7.6640625" style="51" customWidth="1"/>
    <col min="3060" max="3060" width="9.109375" style="51" customWidth="1"/>
    <col min="3061" max="3061" width="7.33203125" style="51" customWidth="1"/>
    <col min="3062" max="3062" width="7.109375" style="51" customWidth="1"/>
    <col min="3063" max="3063" width="8.6640625" style="51" customWidth="1"/>
    <col min="3064" max="3065" width="9.33203125" style="51"/>
    <col min="3066" max="3066" width="9.6640625" style="51" customWidth="1"/>
    <col min="3067" max="3067" width="6.6640625" style="51" customWidth="1"/>
    <col min="3068" max="3068" width="7" style="51" customWidth="1"/>
    <col min="3069" max="3069" width="5.33203125" style="51" customWidth="1"/>
    <col min="3070" max="3070" width="6.5546875" style="51" bestFit="1" customWidth="1"/>
    <col min="3071" max="3071" width="8.33203125" style="51" customWidth="1"/>
    <col min="3072" max="3072" width="8" style="51" customWidth="1"/>
    <col min="3073" max="3073" width="6.5546875" style="51" customWidth="1"/>
    <col min="3074" max="3074" width="8.33203125" style="51" customWidth="1"/>
    <col min="3075" max="3075" width="7.33203125" style="51" customWidth="1"/>
    <col min="3076" max="3076" width="8.109375" style="51" customWidth="1"/>
    <col min="3077" max="3077" width="5.44140625" style="51" customWidth="1"/>
    <col min="3078" max="3078" width="7.5546875" style="51" customWidth="1"/>
    <col min="3079" max="3079" width="6.5546875" style="51" customWidth="1"/>
    <col min="3080" max="3080" width="6.33203125" style="51" customWidth="1"/>
    <col min="3081" max="3081" width="7.6640625" style="51" customWidth="1"/>
    <col min="3082" max="3082" width="6.109375" style="51" customWidth="1"/>
    <col min="3083" max="3083" width="5.6640625" style="51" customWidth="1"/>
    <col min="3084" max="3084" width="6.6640625" style="51" customWidth="1"/>
    <col min="3085" max="3085" width="5.44140625" style="51" customWidth="1"/>
    <col min="3086" max="3086" width="6.5546875" style="51" customWidth="1"/>
    <col min="3087" max="3087" width="7.6640625" style="51" customWidth="1"/>
    <col min="3088" max="3088" width="5.6640625" style="51" customWidth="1"/>
    <col min="3089" max="3089" width="5.88671875" style="51" customWidth="1"/>
    <col min="3090" max="3090" width="6.6640625" style="51" customWidth="1"/>
    <col min="3091" max="3091" width="5.33203125" style="51" customWidth="1"/>
    <col min="3092" max="3092" width="7.5546875" style="51" customWidth="1"/>
    <col min="3093" max="3093" width="5.33203125" style="51" customWidth="1"/>
    <col min="3094" max="3094" width="6.109375" style="51" customWidth="1"/>
    <col min="3095" max="3096" width="6.33203125" style="51" customWidth="1"/>
    <col min="3097" max="3097" width="6.5546875" style="51" bestFit="1" customWidth="1"/>
    <col min="3098" max="3098" width="6.44140625" style="51" customWidth="1"/>
    <col min="3099" max="3101" width="5.5546875" style="51" customWidth="1"/>
    <col min="3102" max="3102" width="5.6640625" style="51" customWidth="1"/>
    <col min="3103" max="3295" width="9.33203125" style="51"/>
    <col min="3296" max="3296" width="3.33203125" style="51" customWidth="1"/>
    <col min="3297" max="3297" width="32.33203125" style="51" customWidth="1"/>
    <col min="3298" max="3298" width="9.6640625" style="51" customWidth="1"/>
    <col min="3299" max="3299" width="10.109375" style="51" customWidth="1"/>
    <col min="3300" max="3304" width="0" style="51" hidden="1" customWidth="1"/>
    <col min="3305" max="3305" width="9.33203125" style="51"/>
    <col min="3306" max="3306" width="8.6640625" style="51" customWidth="1"/>
    <col min="3307" max="3307" width="6.6640625" style="51" customWidth="1"/>
    <col min="3308" max="3308" width="9.5546875" style="51" customWidth="1"/>
    <col min="3309" max="3309" width="6.6640625" style="51" customWidth="1"/>
    <col min="3310" max="3310" width="6.88671875" style="51" customWidth="1"/>
    <col min="3311" max="3311" width="9" style="51" customWidth="1"/>
    <col min="3312" max="3312" width="8.109375" style="51" customWidth="1"/>
    <col min="3313" max="3313" width="8" style="51" customWidth="1"/>
    <col min="3314" max="3314" width="9.109375" style="51" customWidth="1"/>
    <col min="3315" max="3315" width="7.6640625" style="51" customWidth="1"/>
    <col min="3316" max="3316" width="9.109375" style="51" customWidth="1"/>
    <col min="3317" max="3317" width="7.33203125" style="51" customWidth="1"/>
    <col min="3318" max="3318" width="7.109375" style="51" customWidth="1"/>
    <col min="3319" max="3319" width="8.6640625" style="51" customWidth="1"/>
    <col min="3320" max="3321" width="9.33203125" style="51"/>
    <col min="3322" max="3322" width="9.6640625" style="51" customWidth="1"/>
    <col min="3323" max="3323" width="6.6640625" style="51" customWidth="1"/>
    <col min="3324" max="3324" width="7" style="51" customWidth="1"/>
    <col min="3325" max="3325" width="5.33203125" style="51" customWidth="1"/>
    <col min="3326" max="3326" width="6.5546875" style="51" bestFit="1" customWidth="1"/>
    <col min="3327" max="3327" width="8.33203125" style="51" customWidth="1"/>
    <col min="3328" max="3328" width="8" style="51" customWidth="1"/>
    <col min="3329" max="3329" width="6.5546875" style="51" customWidth="1"/>
    <col min="3330" max="3330" width="8.33203125" style="51" customWidth="1"/>
    <col min="3331" max="3331" width="7.33203125" style="51" customWidth="1"/>
    <col min="3332" max="3332" width="8.109375" style="51" customWidth="1"/>
    <col min="3333" max="3333" width="5.44140625" style="51" customWidth="1"/>
    <col min="3334" max="3334" width="7.5546875" style="51" customWidth="1"/>
    <col min="3335" max="3335" width="6.5546875" style="51" customWidth="1"/>
    <col min="3336" max="3336" width="6.33203125" style="51" customWidth="1"/>
    <col min="3337" max="3337" width="7.6640625" style="51" customWidth="1"/>
    <col min="3338" max="3338" width="6.109375" style="51" customWidth="1"/>
    <col min="3339" max="3339" width="5.6640625" style="51" customWidth="1"/>
    <col min="3340" max="3340" width="6.6640625" style="51" customWidth="1"/>
    <col min="3341" max="3341" width="5.44140625" style="51" customWidth="1"/>
    <col min="3342" max="3342" width="6.5546875" style="51" customWidth="1"/>
    <col min="3343" max="3343" width="7.6640625" style="51" customWidth="1"/>
    <col min="3344" max="3344" width="5.6640625" style="51" customWidth="1"/>
    <col min="3345" max="3345" width="5.88671875" style="51" customWidth="1"/>
    <col min="3346" max="3346" width="6.6640625" style="51" customWidth="1"/>
    <col min="3347" max="3347" width="5.33203125" style="51" customWidth="1"/>
    <col min="3348" max="3348" width="7.5546875" style="51" customWidth="1"/>
    <col min="3349" max="3349" width="5.33203125" style="51" customWidth="1"/>
    <col min="3350" max="3350" width="6.109375" style="51" customWidth="1"/>
    <col min="3351" max="3352" width="6.33203125" style="51" customWidth="1"/>
    <col min="3353" max="3353" width="6.5546875" style="51" bestFit="1" customWidth="1"/>
    <col min="3354" max="3354" width="6.44140625" style="51" customWidth="1"/>
    <col min="3355" max="3357" width="5.5546875" style="51" customWidth="1"/>
    <col min="3358" max="3358" width="5.6640625" style="51" customWidth="1"/>
    <col min="3359" max="3551" width="9.33203125" style="51"/>
    <col min="3552" max="3552" width="3.33203125" style="51" customWidth="1"/>
    <col min="3553" max="3553" width="32.33203125" style="51" customWidth="1"/>
    <col min="3554" max="3554" width="9.6640625" style="51" customWidth="1"/>
    <col min="3555" max="3555" width="10.109375" style="51" customWidth="1"/>
    <col min="3556" max="3560" width="0" style="51" hidden="1" customWidth="1"/>
    <col min="3561" max="3561" width="9.33203125" style="51"/>
    <col min="3562" max="3562" width="8.6640625" style="51" customWidth="1"/>
    <col min="3563" max="3563" width="6.6640625" style="51" customWidth="1"/>
    <col min="3564" max="3564" width="9.5546875" style="51" customWidth="1"/>
    <col min="3565" max="3565" width="6.6640625" style="51" customWidth="1"/>
    <col min="3566" max="3566" width="6.88671875" style="51" customWidth="1"/>
    <col min="3567" max="3567" width="9" style="51" customWidth="1"/>
    <col min="3568" max="3568" width="8.109375" style="51" customWidth="1"/>
    <col min="3569" max="3569" width="8" style="51" customWidth="1"/>
    <col min="3570" max="3570" width="9.109375" style="51" customWidth="1"/>
    <col min="3571" max="3571" width="7.6640625" style="51" customWidth="1"/>
    <col min="3572" max="3572" width="9.109375" style="51" customWidth="1"/>
    <col min="3573" max="3573" width="7.33203125" style="51" customWidth="1"/>
    <col min="3574" max="3574" width="7.109375" style="51" customWidth="1"/>
    <col min="3575" max="3575" width="8.6640625" style="51" customWidth="1"/>
    <col min="3576" max="3577" width="9.33203125" style="51"/>
    <col min="3578" max="3578" width="9.6640625" style="51" customWidth="1"/>
    <col min="3579" max="3579" width="6.6640625" style="51" customWidth="1"/>
    <col min="3580" max="3580" width="7" style="51" customWidth="1"/>
    <col min="3581" max="3581" width="5.33203125" style="51" customWidth="1"/>
    <col min="3582" max="3582" width="6.5546875" style="51" bestFit="1" customWidth="1"/>
    <col min="3583" max="3583" width="8.33203125" style="51" customWidth="1"/>
    <col min="3584" max="3584" width="8" style="51" customWidth="1"/>
    <col min="3585" max="3585" width="6.5546875" style="51" customWidth="1"/>
    <col min="3586" max="3586" width="8.33203125" style="51" customWidth="1"/>
    <col min="3587" max="3587" width="7.33203125" style="51" customWidth="1"/>
    <col min="3588" max="3588" width="8.109375" style="51" customWidth="1"/>
    <col min="3589" max="3589" width="5.44140625" style="51" customWidth="1"/>
    <col min="3590" max="3590" width="7.5546875" style="51" customWidth="1"/>
    <col min="3591" max="3591" width="6.5546875" style="51" customWidth="1"/>
    <col min="3592" max="3592" width="6.33203125" style="51" customWidth="1"/>
    <col min="3593" max="3593" width="7.6640625" style="51" customWidth="1"/>
    <col min="3594" max="3594" width="6.109375" style="51" customWidth="1"/>
    <col min="3595" max="3595" width="5.6640625" style="51" customWidth="1"/>
    <col min="3596" max="3596" width="6.6640625" style="51" customWidth="1"/>
    <col min="3597" max="3597" width="5.44140625" style="51" customWidth="1"/>
    <col min="3598" max="3598" width="6.5546875" style="51" customWidth="1"/>
    <col min="3599" max="3599" width="7.6640625" style="51" customWidth="1"/>
    <col min="3600" max="3600" width="5.6640625" style="51" customWidth="1"/>
    <col min="3601" max="3601" width="5.88671875" style="51" customWidth="1"/>
    <col min="3602" max="3602" width="6.6640625" style="51" customWidth="1"/>
    <col min="3603" max="3603" width="5.33203125" style="51" customWidth="1"/>
    <col min="3604" max="3604" width="7.5546875" style="51" customWidth="1"/>
    <col min="3605" max="3605" width="5.33203125" style="51" customWidth="1"/>
    <col min="3606" max="3606" width="6.109375" style="51" customWidth="1"/>
    <col min="3607" max="3608" width="6.33203125" style="51" customWidth="1"/>
    <col min="3609" max="3609" width="6.5546875" style="51" bestFit="1" customWidth="1"/>
    <col min="3610" max="3610" width="6.44140625" style="51" customWidth="1"/>
    <col min="3611" max="3613" width="5.5546875" style="51" customWidth="1"/>
    <col min="3614" max="3614" width="5.6640625" style="51" customWidth="1"/>
    <col min="3615" max="3807" width="9.33203125" style="51"/>
    <col min="3808" max="3808" width="3.33203125" style="51" customWidth="1"/>
    <col min="3809" max="3809" width="32.33203125" style="51" customWidth="1"/>
    <col min="3810" max="3810" width="9.6640625" style="51" customWidth="1"/>
    <col min="3811" max="3811" width="10.109375" style="51" customWidth="1"/>
    <col min="3812" max="3816" width="0" style="51" hidden="1" customWidth="1"/>
    <col min="3817" max="3817" width="9.33203125" style="51"/>
    <col min="3818" max="3818" width="8.6640625" style="51" customWidth="1"/>
    <col min="3819" max="3819" width="6.6640625" style="51" customWidth="1"/>
    <col min="3820" max="3820" width="9.5546875" style="51" customWidth="1"/>
    <col min="3821" max="3821" width="6.6640625" style="51" customWidth="1"/>
    <col min="3822" max="3822" width="6.88671875" style="51" customWidth="1"/>
    <col min="3823" max="3823" width="9" style="51" customWidth="1"/>
    <col min="3824" max="3824" width="8.109375" style="51" customWidth="1"/>
    <col min="3825" max="3825" width="8" style="51" customWidth="1"/>
    <col min="3826" max="3826" width="9.109375" style="51" customWidth="1"/>
    <col min="3827" max="3827" width="7.6640625" style="51" customWidth="1"/>
    <col min="3828" max="3828" width="9.109375" style="51" customWidth="1"/>
    <col min="3829" max="3829" width="7.33203125" style="51" customWidth="1"/>
    <col min="3830" max="3830" width="7.109375" style="51" customWidth="1"/>
    <col min="3831" max="3831" width="8.6640625" style="51" customWidth="1"/>
    <col min="3832" max="3833" width="9.33203125" style="51"/>
    <col min="3834" max="3834" width="9.6640625" style="51" customWidth="1"/>
    <col min="3835" max="3835" width="6.6640625" style="51" customWidth="1"/>
    <col min="3836" max="3836" width="7" style="51" customWidth="1"/>
    <col min="3837" max="3837" width="5.33203125" style="51" customWidth="1"/>
    <col min="3838" max="3838" width="6.5546875" style="51" bestFit="1" customWidth="1"/>
    <col min="3839" max="3839" width="8.33203125" style="51" customWidth="1"/>
    <col min="3840" max="3840" width="8" style="51" customWidth="1"/>
    <col min="3841" max="3841" width="6.5546875" style="51" customWidth="1"/>
    <col min="3842" max="3842" width="8.33203125" style="51" customWidth="1"/>
    <col min="3843" max="3843" width="7.33203125" style="51" customWidth="1"/>
    <col min="3844" max="3844" width="8.109375" style="51" customWidth="1"/>
    <col min="3845" max="3845" width="5.44140625" style="51" customWidth="1"/>
    <col min="3846" max="3846" width="7.5546875" style="51" customWidth="1"/>
    <col min="3847" max="3847" width="6.5546875" style="51" customWidth="1"/>
    <col min="3848" max="3848" width="6.33203125" style="51" customWidth="1"/>
    <col min="3849" max="3849" width="7.6640625" style="51" customWidth="1"/>
    <col min="3850" max="3850" width="6.109375" style="51" customWidth="1"/>
    <col min="3851" max="3851" width="5.6640625" style="51" customWidth="1"/>
    <col min="3852" max="3852" width="6.6640625" style="51" customWidth="1"/>
    <col min="3853" max="3853" width="5.44140625" style="51" customWidth="1"/>
    <col min="3854" max="3854" width="6.5546875" style="51" customWidth="1"/>
    <col min="3855" max="3855" width="7.6640625" style="51" customWidth="1"/>
    <col min="3856" max="3856" width="5.6640625" style="51" customWidth="1"/>
    <col min="3857" max="3857" width="5.88671875" style="51" customWidth="1"/>
    <col min="3858" max="3858" width="6.6640625" style="51" customWidth="1"/>
    <col min="3859" max="3859" width="5.33203125" style="51" customWidth="1"/>
    <col min="3860" max="3860" width="7.5546875" style="51" customWidth="1"/>
    <col min="3861" max="3861" width="5.33203125" style="51" customWidth="1"/>
    <col min="3862" max="3862" width="6.109375" style="51" customWidth="1"/>
    <col min="3863" max="3864" width="6.33203125" style="51" customWidth="1"/>
    <col min="3865" max="3865" width="6.5546875" style="51" bestFit="1" customWidth="1"/>
    <col min="3866" max="3866" width="6.44140625" style="51" customWidth="1"/>
    <col min="3867" max="3869" width="5.5546875" style="51" customWidth="1"/>
    <col min="3870" max="3870" width="5.6640625" style="51" customWidth="1"/>
    <col min="3871" max="4063" width="9.33203125" style="51"/>
    <col min="4064" max="4064" width="3.33203125" style="51" customWidth="1"/>
    <col min="4065" max="4065" width="32.33203125" style="51" customWidth="1"/>
    <col min="4066" max="4066" width="9.6640625" style="51" customWidth="1"/>
    <col min="4067" max="4067" width="10.109375" style="51" customWidth="1"/>
    <col min="4068" max="4072" width="0" style="51" hidden="1" customWidth="1"/>
    <col min="4073" max="4073" width="9.33203125" style="51"/>
    <col min="4074" max="4074" width="8.6640625" style="51" customWidth="1"/>
    <col min="4075" max="4075" width="6.6640625" style="51" customWidth="1"/>
    <col min="4076" max="4076" width="9.5546875" style="51" customWidth="1"/>
    <col min="4077" max="4077" width="6.6640625" style="51" customWidth="1"/>
    <col min="4078" max="4078" width="6.88671875" style="51" customWidth="1"/>
    <col min="4079" max="4079" width="9" style="51" customWidth="1"/>
    <col min="4080" max="4080" width="8.109375" style="51" customWidth="1"/>
    <col min="4081" max="4081" width="8" style="51" customWidth="1"/>
    <col min="4082" max="4082" width="9.109375" style="51" customWidth="1"/>
    <col min="4083" max="4083" width="7.6640625" style="51" customWidth="1"/>
    <col min="4084" max="4084" width="9.109375" style="51" customWidth="1"/>
    <col min="4085" max="4085" width="7.33203125" style="51" customWidth="1"/>
    <col min="4086" max="4086" width="7.109375" style="51" customWidth="1"/>
    <col min="4087" max="4087" width="8.6640625" style="51" customWidth="1"/>
    <col min="4088" max="4089" width="9.33203125" style="51"/>
    <col min="4090" max="4090" width="9.6640625" style="51" customWidth="1"/>
    <col min="4091" max="4091" width="6.6640625" style="51" customWidth="1"/>
    <col min="4092" max="4092" width="7" style="51" customWidth="1"/>
    <col min="4093" max="4093" width="5.33203125" style="51" customWidth="1"/>
    <col min="4094" max="4094" width="6.5546875" style="51" bestFit="1" customWidth="1"/>
    <col min="4095" max="4095" width="8.33203125" style="51" customWidth="1"/>
    <col min="4096" max="4096" width="8" style="51" customWidth="1"/>
    <col min="4097" max="4097" width="6.5546875" style="51" customWidth="1"/>
    <col min="4098" max="4098" width="8.33203125" style="51" customWidth="1"/>
    <col min="4099" max="4099" width="7.33203125" style="51" customWidth="1"/>
    <col min="4100" max="4100" width="8.109375" style="51" customWidth="1"/>
    <col min="4101" max="4101" width="5.44140625" style="51" customWidth="1"/>
    <col min="4102" max="4102" width="7.5546875" style="51" customWidth="1"/>
    <col min="4103" max="4103" width="6.5546875" style="51" customWidth="1"/>
    <col min="4104" max="4104" width="6.33203125" style="51" customWidth="1"/>
    <col min="4105" max="4105" width="7.6640625" style="51" customWidth="1"/>
    <col min="4106" max="4106" width="6.109375" style="51" customWidth="1"/>
    <col min="4107" max="4107" width="5.6640625" style="51" customWidth="1"/>
    <col min="4108" max="4108" width="6.6640625" style="51" customWidth="1"/>
    <col min="4109" max="4109" width="5.44140625" style="51" customWidth="1"/>
    <col min="4110" max="4110" width="6.5546875" style="51" customWidth="1"/>
    <col min="4111" max="4111" width="7.6640625" style="51" customWidth="1"/>
    <col min="4112" max="4112" width="5.6640625" style="51" customWidth="1"/>
    <col min="4113" max="4113" width="5.88671875" style="51" customWidth="1"/>
    <col min="4114" max="4114" width="6.6640625" style="51" customWidth="1"/>
    <col min="4115" max="4115" width="5.33203125" style="51" customWidth="1"/>
    <col min="4116" max="4116" width="7.5546875" style="51" customWidth="1"/>
    <col min="4117" max="4117" width="5.33203125" style="51" customWidth="1"/>
    <col min="4118" max="4118" width="6.109375" style="51" customWidth="1"/>
    <col min="4119" max="4120" width="6.33203125" style="51" customWidth="1"/>
    <col min="4121" max="4121" width="6.5546875" style="51" bestFit="1" customWidth="1"/>
    <col min="4122" max="4122" width="6.44140625" style="51" customWidth="1"/>
    <col min="4123" max="4125" width="5.5546875" style="51" customWidth="1"/>
    <col min="4126" max="4126" width="5.6640625" style="51" customWidth="1"/>
    <col min="4127" max="4319" width="9.33203125" style="51"/>
    <col min="4320" max="4320" width="3.33203125" style="51" customWidth="1"/>
    <col min="4321" max="4321" width="32.33203125" style="51" customWidth="1"/>
    <col min="4322" max="4322" width="9.6640625" style="51" customWidth="1"/>
    <col min="4323" max="4323" width="10.109375" style="51" customWidth="1"/>
    <col min="4324" max="4328" width="0" style="51" hidden="1" customWidth="1"/>
    <col min="4329" max="4329" width="9.33203125" style="51"/>
    <col min="4330" max="4330" width="8.6640625" style="51" customWidth="1"/>
    <col min="4331" max="4331" width="6.6640625" style="51" customWidth="1"/>
    <col min="4332" max="4332" width="9.5546875" style="51" customWidth="1"/>
    <col min="4333" max="4333" width="6.6640625" style="51" customWidth="1"/>
    <col min="4334" max="4334" width="6.88671875" style="51" customWidth="1"/>
    <col min="4335" max="4335" width="9" style="51" customWidth="1"/>
    <col min="4336" max="4336" width="8.109375" style="51" customWidth="1"/>
    <col min="4337" max="4337" width="8" style="51" customWidth="1"/>
    <col min="4338" max="4338" width="9.109375" style="51" customWidth="1"/>
    <col min="4339" max="4339" width="7.6640625" style="51" customWidth="1"/>
    <col min="4340" max="4340" width="9.109375" style="51" customWidth="1"/>
    <col min="4341" max="4341" width="7.33203125" style="51" customWidth="1"/>
    <col min="4342" max="4342" width="7.109375" style="51" customWidth="1"/>
    <col min="4343" max="4343" width="8.6640625" style="51" customWidth="1"/>
    <col min="4344" max="4345" width="9.33203125" style="51"/>
    <col min="4346" max="4346" width="9.6640625" style="51" customWidth="1"/>
    <col min="4347" max="4347" width="6.6640625" style="51" customWidth="1"/>
    <col min="4348" max="4348" width="7" style="51" customWidth="1"/>
    <col min="4349" max="4349" width="5.33203125" style="51" customWidth="1"/>
    <col min="4350" max="4350" width="6.5546875" style="51" bestFit="1" customWidth="1"/>
    <col min="4351" max="4351" width="8.33203125" style="51" customWidth="1"/>
    <col min="4352" max="4352" width="8" style="51" customWidth="1"/>
    <col min="4353" max="4353" width="6.5546875" style="51" customWidth="1"/>
    <col min="4354" max="4354" width="8.33203125" style="51" customWidth="1"/>
    <col min="4355" max="4355" width="7.33203125" style="51" customWidth="1"/>
    <col min="4356" max="4356" width="8.109375" style="51" customWidth="1"/>
    <col min="4357" max="4357" width="5.44140625" style="51" customWidth="1"/>
    <col min="4358" max="4358" width="7.5546875" style="51" customWidth="1"/>
    <col min="4359" max="4359" width="6.5546875" style="51" customWidth="1"/>
    <col min="4360" max="4360" width="6.33203125" style="51" customWidth="1"/>
    <col min="4361" max="4361" width="7.6640625" style="51" customWidth="1"/>
    <col min="4362" max="4362" width="6.109375" style="51" customWidth="1"/>
    <col min="4363" max="4363" width="5.6640625" style="51" customWidth="1"/>
    <col min="4364" max="4364" width="6.6640625" style="51" customWidth="1"/>
    <col min="4365" max="4365" width="5.44140625" style="51" customWidth="1"/>
    <col min="4366" max="4366" width="6.5546875" style="51" customWidth="1"/>
    <col min="4367" max="4367" width="7.6640625" style="51" customWidth="1"/>
    <col min="4368" max="4368" width="5.6640625" style="51" customWidth="1"/>
    <col min="4369" max="4369" width="5.88671875" style="51" customWidth="1"/>
    <col min="4370" max="4370" width="6.6640625" style="51" customWidth="1"/>
    <col min="4371" max="4371" width="5.33203125" style="51" customWidth="1"/>
    <col min="4372" max="4372" width="7.5546875" style="51" customWidth="1"/>
    <col min="4373" max="4373" width="5.33203125" style="51" customWidth="1"/>
    <col min="4374" max="4374" width="6.109375" style="51" customWidth="1"/>
    <col min="4375" max="4376" width="6.33203125" style="51" customWidth="1"/>
    <col min="4377" max="4377" width="6.5546875" style="51" bestFit="1" customWidth="1"/>
    <col min="4378" max="4378" width="6.44140625" style="51" customWidth="1"/>
    <col min="4379" max="4381" width="5.5546875" style="51" customWidth="1"/>
    <col min="4382" max="4382" width="5.6640625" style="51" customWidth="1"/>
    <col min="4383" max="4575" width="9.33203125" style="51"/>
    <col min="4576" max="4576" width="3.33203125" style="51" customWidth="1"/>
    <col min="4577" max="4577" width="32.33203125" style="51" customWidth="1"/>
    <col min="4578" max="4578" width="9.6640625" style="51" customWidth="1"/>
    <col min="4579" max="4579" width="10.109375" style="51" customWidth="1"/>
    <col min="4580" max="4584" width="0" style="51" hidden="1" customWidth="1"/>
    <col min="4585" max="4585" width="9.33203125" style="51"/>
    <col min="4586" max="4586" width="8.6640625" style="51" customWidth="1"/>
    <col min="4587" max="4587" width="6.6640625" style="51" customWidth="1"/>
    <col min="4588" max="4588" width="9.5546875" style="51" customWidth="1"/>
    <col min="4589" max="4589" width="6.6640625" style="51" customWidth="1"/>
    <col min="4590" max="4590" width="6.88671875" style="51" customWidth="1"/>
    <col min="4591" max="4591" width="9" style="51" customWidth="1"/>
    <col min="4592" max="4592" width="8.109375" style="51" customWidth="1"/>
    <col min="4593" max="4593" width="8" style="51" customWidth="1"/>
    <col min="4594" max="4594" width="9.109375" style="51" customWidth="1"/>
    <col min="4595" max="4595" width="7.6640625" style="51" customWidth="1"/>
    <col min="4596" max="4596" width="9.109375" style="51" customWidth="1"/>
    <col min="4597" max="4597" width="7.33203125" style="51" customWidth="1"/>
    <col min="4598" max="4598" width="7.109375" style="51" customWidth="1"/>
    <col min="4599" max="4599" width="8.6640625" style="51" customWidth="1"/>
    <col min="4600" max="4601" width="9.33203125" style="51"/>
    <col min="4602" max="4602" width="9.6640625" style="51" customWidth="1"/>
    <col min="4603" max="4603" width="6.6640625" style="51" customWidth="1"/>
    <col min="4604" max="4604" width="7" style="51" customWidth="1"/>
    <col min="4605" max="4605" width="5.33203125" style="51" customWidth="1"/>
    <col min="4606" max="4606" width="6.5546875" style="51" bestFit="1" customWidth="1"/>
    <col min="4607" max="4607" width="8.33203125" style="51" customWidth="1"/>
    <col min="4608" max="4608" width="8" style="51" customWidth="1"/>
    <col min="4609" max="4609" width="6.5546875" style="51" customWidth="1"/>
    <col min="4610" max="4610" width="8.33203125" style="51" customWidth="1"/>
    <col min="4611" max="4611" width="7.33203125" style="51" customWidth="1"/>
    <col min="4612" max="4612" width="8.109375" style="51" customWidth="1"/>
    <col min="4613" max="4613" width="5.44140625" style="51" customWidth="1"/>
    <col min="4614" max="4614" width="7.5546875" style="51" customWidth="1"/>
    <col min="4615" max="4615" width="6.5546875" style="51" customWidth="1"/>
    <col min="4616" max="4616" width="6.33203125" style="51" customWidth="1"/>
    <col min="4617" max="4617" width="7.6640625" style="51" customWidth="1"/>
    <col min="4618" max="4618" width="6.109375" style="51" customWidth="1"/>
    <col min="4619" max="4619" width="5.6640625" style="51" customWidth="1"/>
    <col min="4620" max="4620" width="6.6640625" style="51" customWidth="1"/>
    <col min="4621" max="4621" width="5.44140625" style="51" customWidth="1"/>
    <col min="4622" max="4622" width="6.5546875" style="51" customWidth="1"/>
    <col min="4623" max="4623" width="7.6640625" style="51" customWidth="1"/>
    <col min="4624" max="4624" width="5.6640625" style="51" customWidth="1"/>
    <col min="4625" max="4625" width="5.88671875" style="51" customWidth="1"/>
    <col min="4626" max="4626" width="6.6640625" style="51" customWidth="1"/>
    <col min="4627" max="4627" width="5.33203125" style="51" customWidth="1"/>
    <col min="4628" max="4628" width="7.5546875" style="51" customWidth="1"/>
    <col min="4629" max="4629" width="5.33203125" style="51" customWidth="1"/>
    <col min="4630" max="4630" width="6.109375" style="51" customWidth="1"/>
    <col min="4631" max="4632" width="6.33203125" style="51" customWidth="1"/>
    <col min="4633" max="4633" width="6.5546875" style="51" bestFit="1" customWidth="1"/>
    <col min="4634" max="4634" width="6.44140625" style="51" customWidth="1"/>
    <col min="4635" max="4637" width="5.5546875" style="51" customWidth="1"/>
    <col min="4638" max="4638" width="5.6640625" style="51" customWidth="1"/>
    <col min="4639" max="4831" width="9.33203125" style="51"/>
    <col min="4832" max="4832" width="3.33203125" style="51" customWidth="1"/>
    <col min="4833" max="4833" width="32.33203125" style="51" customWidth="1"/>
    <col min="4834" max="4834" width="9.6640625" style="51" customWidth="1"/>
    <col min="4835" max="4835" width="10.109375" style="51" customWidth="1"/>
    <col min="4836" max="4840" width="0" style="51" hidden="1" customWidth="1"/>
    <col min="4841" max="4841" width="9.33203125" style="51"/>
    <col min="4842" max="4842" width="8.6640625" style="51" customWidth="1"/>
    <col min="4843" max="4843" width="6.6640625" style="51" customWidth="1"/>
    <col min="4844" max="4844" width="9.5546875" style="51" customWidth="1"/>
    <col min="4845" max="4845" width="6.6640625" style="51" customWidth="1"/>
    <col min="4846" max="4846" width="6.88671875" style="51" customWidth="1"/>
    <col min="4847" max="4847" width="9" style="51" customWidth="1"/>
    <col min="4848" max="4848" width="8.109375" style="51" customWidth="1"/>
    <col min="4849" max="4849" width="8" style="51" customWidth="1"/>
    <col min="4850" max="4850" width="9.109375" style="51" customWidth="1"/>
    <col min="4851" max="4851" width="7.6640625" style="51" customWidth="1"/>
    <col min="4852" max="4852" width="9.109375" style="51" customWidth="1"/>
    <col min="4853" max="4853" width="7.33203125" style="51" customWidth="1"/>
    <col min="4854" max="4854" width="7.109375" style="51" customWidth="1"/>
    <col min="4855" max="4855" width="8.6640625" style="51" customWidth="1"/>
    <col min="4856" max="4857" width="9.33203125" style="51"/>
    <col min="4858" max="4858" width="9.6640625" style="51" customWidth="1"/>
    <col min="4859" max="4859" width="6.6640625" style="51" customWidth="1"/>
    <col min="4860" max="4860" width="7" style="51" customWidth="1"/>
    <col min="4861" max="4861" width="5.33203125" style="51" customWidth="1"/>
    <col min="4862" max="4862" width="6.5546875" style="51" bestFit="1" customWidth="1"/>
    <col min="4863" max="4863" width="8.33203125" style="51" customWidth="1"/>
    <col min="4864" max="4864" width="8" style="51" customWidth="1"/>
    <col min="4865" max="4865" width="6.5546875" style="51" customWidth="1"/>
    <col min="4866" max="4866" width="8.33203125" style="51" customWidth="1"/>
    <col min="4867" max="4867" width="7.33203125" style="51" customWidth="1"/>
    <col min="4868" max="4868" width="8.109375" style="51" customWidth="1"/>
    <col min="4869" max="4869" width="5.44140625" style="51" customWidth="1"/>
    <col min="4870" max="4870" width="7.5546875" style="51" customWidth="1"/>
    <col min="4871" max="4871" width="6.5546875" style="51" customWidth="1"/>
    <col min="4872" max="4872" width="6.33203125" style="51" customWidth="1"/>
    <col min="4873" max="4873" width="7.6640625" style="51" customWidth="1"/>
    <col min="4874" max="4874" width="6.109375" style="51" customWidth="1"/>
    <col min="4875" max="4875" width="5.6640625" style="51" customWidth="1"/>
    <col min="4876" max="4876" width="6.6640625" style="51" customWidth="1"/>
    <col min="4877" max="4877" width="5.44140625" style="51" customWidth="1"/>
    <col min="4878" max="4878" width="6.5546875" style="51" customWidth="1"/>
    <col min="4879" max="4879" width="7.6640625" style="51" customWidth="1"/>
    <col min="4880" max="4880" width="5.6640625" style="51" customWidth="1"/>
    <col min="4881" max="4881" width="5.88671875" style="51" customWidth="1"/>
    <col min="4882" max="4882" width="6.6640625" style="51" customWidth="1"/>
    <col min="4883" max="4883" width="5.33203125" style="51" customWidth="1"/>
    <col min="4884" max="4884" width="7.5546875" style="51" customWidth="1"/>
    <col min="4885" max="4885" width="5.33203125" style="51" customWidth="1"/>
    <col min="4886" max="4886" width="6.109375" style="51" customWidth="1"/>
    <col min="4887" max="4888" width="6.33203125" style="51" customWidth="1"/>
    <col min="4889" max="4889" width="6.5546875" style="51" bestFit="1" customWidth="1"/>
    <col min="4890" max="4890" width="6.44140625" style="51" customWidth="1"/>
    <col min="4891" max="4893" width="5.5546875" style="51" customWidth="1"/>
    <col min="4894" max="4894" width="5.6640625" style="51" customWidth="1"/>
    <col min="4895" max="5087" width="9.33203125" style="51"/>
    <col min="5088" max="5088" width="3.33203125" style="51" customWidth="1"/>
    <col min="5089" max="5089" width="32.33203125" style="51" customWidth="1"/>
    <col min="5090" max="5090" width="9.6640625" style="51" customWidth="1"/>
    <col min="5091" max="5091" width="10.109375" style="51" customWidth="1"/>
    <col min="5092" max="5096" width="0" style="51" hidden="1" customWidth="1"/>
    <col min="5097" max="5097" width="9.33203125" style="51"/>
    <col min="5098" max="5098" width="8.6640625" style="51" customWidth="1"/>
    <col min="5099" max="5099" width="6.6640625" style="51" customWidth="1"/>
    <col min="5100" max="5100" width="9.5546875" style="51" customWidth="1"/>
    <col min="5101" max="5101" width="6.6640625" style="51" customWidth="1"/>
    <col min="5102" max="5102" width="6.88671875" style="51" customWidth="1"/>
    <col min="5103" max="5103" width="9" style="51" customWidth="1"/>
    <col min="5104" max="5104" width="8.109375" style="51" customWidth="1"/>
    <col min="5105" max="5105" width="8" style="51" customWidth="1"/>
    <col min="5106" max="5106" width="9.109375" style="51" customWidth="1"/>
    <col min="5107" max="5107" width="7.6640625" style="51" customWidth="1"/>
    <col min="5108" max="5108" width="9.109375" style="51" customWidth="1"/>
    <col min="5109" max="5109" width="7.33203125" style="51" customWidth="1"/>
    <col min="5110" max="5110" width="7.109375" style="51" customWidth="1"/>
    <col min="5111" max="5111" width="8.6640625" style="51" customWidth="1"/>
    <col min="5112" max="5113" width="9.33203125" style="51"/>
    <col min="5114" max="5114" width="9.6640625" style="51" customWidth="1"/>
    <col min="5115" max="5115" width="6.6640625" style="51" customWidth="1"/>
    <col min="5116" max="5116" width="7" style="51" customWidth="1"/>
    <col min="5117" max="5117" width="5.33203125" style="51" customWidth="1"/>
    <col min="5118" max="5118" width="6.5546875" style="51" bestFit="1" customWidth="1"/>
    <col min="5119" max="5119" width="8.33203125" style="51" customWidth="1"/>
    <col min="5120" max="5120" width="8" style="51" customWidth="1"/>
    <col min="5121" max="5121" width="6.5546875" style="51" customWidth="1"/>
    <col min="5122" max="5122" width="8.33203125" style="51" customWidth="1"/>
    <col min="5123" max="5123" width="7.33203125" style="51" customWidth="1"/>
    <col min="5124" max="5124" width="8.109375" style="51" customWidth="1"/>
    <col min="5125" max="5125" width="5.44140625" style="51" customWidth="1"/>
    <col min="5126" max="5126" width="7.5546875" style="51" customWidth="1"/>
    <col min="5127" max="5127" width="6.5546875" style="51" customWidth="1"/>
    <col min="5128" max="5128" width="6.33203125" style="51" customWidth="1"/>
    <col min="5129" max="5129" width="7.6640625" style="51" customWidth="1"/>
    <col min="5130" max="5130" width="6.109375" style="51" customWidth="1"/>
    <col min="5131" max="5131" width="5.6640625" style="51" customWidth="1"/>
    <col min="5132" max="5132" width="6.6640625" style="51" customWidth="1"/>
    <col min="5133" max="5133" width="5.44140625" style="51" customWidth="1"/>
    <col min="5134" max="5134" width="6.5546875" style="51" customWidth="1"/>
    <col min="5135" max="5135" width="7.6640625" style="51" customWidth="1"/>
    <col min="5136" max="5136" width="5.6640625" style="51" customWidth="1"/>
    <col min="5137" max="5137" width="5.88671875" style="51" customWidth="1"/>
    <col min="5138" max="5138" width="6.6640625" style="51" customWidth="1"/>
    <col min="5139" max="5139" width="5.33203125" style="51" customWidth="1"/>
    <col min="5140" max="5140" width="7.5546875" style="51" customWidth="1"/>
    <col min="5141" max="5141" width="5.33203125" style="51" customWidth="1"/>
    <col min="5142" max="5142" width="6.109375" style="51" customWidth="1"/>
    <col min="5143" max="5144" width="6.33203125" style="51" customWidth="1"/>
    <col min="5145" max="5145" width="6.5546875" style="51" bestFit="1" customWidth="1"/>
    <col min="5146" max="5146" width="6.44140625" style="51" customWidth="1"/>
    <col min="5147" max="5149" width="5.5546875" style="51" customWidth="1"/>
    <col min="5150" max="5150" width="5.6640625" style="51" customWidth="1"/>
    <col min="5151" max="5343" width="9.33203125" style="51"/>
    <col min="5344" max="5344" width="3.33203125" style="51" customWidth="1"/>
    <col min="5345" max="5345" width="32.33203125" style="51" customWidth="1"/>
    <col min="5346" max="5346" width="9.6640625" style="51" customWidth="1"/>
    <col min="5347" max="5347" width="10.109375" style="51" customWidth="1"/>
    <col min="5348" max="5352" width="0" style="51" hidden="1" customWidth="1"/>
    <col min="5353" max="5353" width="9.33203125" style="51"/>
    <col min="5354" max="5354" width="8.6640625" style="51" customWidth="1"/>
    <col min="5355" max="5355" width="6.6640625" style="51" customWidth="1"/>
    <col min="5356" max="5356" width="9.5546875" style="51" customWidth="1"/>
    <col min="5357" max="5357" width="6.6640625" style="51" customWidth="1"/>
    <col min="5358" max="5358" width="6.88671875" style="51" customWidth="1"/>
    <col min="5359" max="5359" width="9" style="51" customWidth="1"/>
    <col min="5360" max="5360" width="8.109375" style="51" customWidth="1"/>
    <col min="5361" max="5361" width="8" style="51" customWidth="1"/>
    <col min="5362" max="5362" width="9.109375" style="51" customWidth="1"/>
    <col min="5363" max="5363" width="7.6640625" style="51" customWidth="1"/>
    <col min="5364" max="5364" width="9.109375" style="51" customWidth="1"/>
    <col min="5365" max="5365" width="7.33203125" style="51" customWidth="1"/>
    <col min="5366" max="5366" width="7.109375" style="51" customWidth="1"/>
    <col min="5367" max="5367" width="8.6640625" style="51" customWidth="1"/>
    <col min="5368" max="5369" width="9.33203125" style="51"/>
    <col min="5370" max="5370" width="9.6640625" style="51" customWidth="1"/>
    <col min="5371" max="5371" width="6.6640625" style="51" customWidth="1"/>
    <col min="5372" max="5372" width="7" style="51" customWidth="1"/>
    <col min="5373" max="5373" width="5.33203125" style="51" customWidth="1"/>
    <col min="5374" max="5374" width="6.5546875" style="51" bestFit="1" customWidth="1"/>
    <col min="5375" max="5375" width="8.33203125" style="51" customWidth="1"/>
    <col min="5376" max="5376" width="8" style="51" customWidth="1"/>
    <col min="5377" max="5377" width="6.5546875" style="51" customWidth="1"/>
    <col min="5378" max="5378" width="8.33203125" style="51" customWidth="1"/>
    <col min="5379" max="5379" width="7.33203125" style="51" customWidth="1"/>
    <col min="5380" max="5380" width="8.109375" style="51" customWidth="1"/>
    <col min="5381" max="5381" width="5.44140625" style="51" customWidth="1"/>
    <col min="5382" max="5382" width="7.5546875" style="51" customWidth="1"/>
    <col min="5383" max="5383" width="6.5546875" style="51" customWidth="1"/>
    <col min="5384" max="5384" width="6.33203125" style="51" customWidth="1"/>
    <col min="5385" max="5385" width="7.6640625" style="51" customWidth="1"/>
    <col min="5386" max="5386" width="6.109375" style="51" customWidth="1"/>
    <col min="5387" max="5387" width="5.6640625" style="51" customWidth="1"/>
    <col min="5388" max="5388" width="6.6640625" style="51" customWidth="1"/>
    <col min="5389" max="5389" width="5.44140625" style="51" customWidth="1"/>
    <col min="5390" max="5390" width="6.5546875" style="51" customWidth="1"/>
    <col min="5391" max="5391" width="7.6640625" style="51" customWidth="1"/>
    <col min="5392" max="5392" width="5.6640625" style="51" customWidth="1"/>
    <col min="5393" max="5393" width="5.88671875" style="51" customWidth="1"/>
    <col min="5394" max="5394" width="6.6640625" style="51" customWidth="1"/>
    <col min="5395" max="5395" width="5.33203125" style="51" customWidth="1"/>
    <col min="5396" max="5396" width="7.5546875" style="51" customWidth="1"/>
    <col min="5397" max="5397" width="5.33203125" style="51" customWidth="1"/>
    <col min="5398" max="5398" width="6.109375" style="51" customWidth="1"/>
    <col min="5399" max="5400" width="6.33203125" style="51" customWidth="1"/>
    <col min="5401" max="5401" width="6.5546875" style="51" bestFit="1" customWidth="1"/>
    <col min="5402" max="5402" width="6.44140625" style="51" customWidth="1"/>
    <col min="5403" max="5405" width="5.5546875" style="51" customWidth="1"/>
    <col min="5406" max="5406" width="5.6640625" style="51" customWidth="1"/>
    <col min="5407" max="5599" width="9.33203125" style="51"/>
    <col min="5600" max="5600" width="3.33203125" style="51" customWidth="1"/>
    <col min="5601" max="5601" width="32.33203125" style="51" customWidth="1"/>
    <col min="5602" max="5602" width="9.6640625" style="51" customWidth="1"/>
    <col min="5603" max="5603" width="10.109375" style="51" customWidth="1"/>
    <col min="5604" max="5608" width="0" style="51" hidden="1" customWidth="1"/>
    <col min="5609" max="5609" width="9.33203125" style="51"/>
    <col min="5610" max="5610" width="8.6640625" style="51" customWidth="1"/>
    <col min="5611" max="5611" width="6.6640625" style="51" customWidth="1"/>
    <col min="5612" max="5612" width="9.5546875" style="51" customWidth="1"/>
    <col min="5613" max="5613" width="6.6640625" style="51" customWidth="1"/>
    <col min="5614" max="5614" width="6.88671875" style="51" customWidth="1"/>
    <col min="5615" max="5615" width="9" style="51" customWidth="1"/>
    <col min="5616" max="5616" width="8.109375" style="51" customWidth="1"/>
    <col min="5617" max="5617" width="8" style="51" customWidth="1"/>
    <col min="5618" max="5618" width="9.109375" style="51" customWidth="1"/>
    <col min="5619" max="5619" width="7.6640625" style="51" customWidth="1"/>
    <col min="5620" max="5620" width="9.109375" style="51" customWidth="1"/>
    <col min="5621" max="5621" width="7.33203125" style="51" customWidth="1"/>
    <col min="5622" max="5622" width="7.109375" style="51" customWidth="1"/>
    <col min="5623" max="5623" width="8.6640625" style="51" customWidth="1"/>
    <col min="5624" max="5625" width="9.33203125" style="51"/>
    <col min="5626" max="5626" width="9.6640625" style="51" customWidth="1"/>
    <col min="5627" max="5627" width="6.6640625" style="51" customWidth="1"/>
    <col min="5628" max="5628" width="7" style="51" customWidth="1"/>
    <col min="5629" max="5629" width="5.33203125" style="51" customWidth="1"/>
    <col min="5630" max="5630" width="6.5546875" style="51" bestFit="1" customWidth="1"/>
    <col min="5631" max="5631" width="8.33203125" style="51" customWidth="1"/>
    <col min="5632" max="5632" width="8" style="51" customWidth="1"/>
    <col min="5633" max="5633" width="6.5546875" style="51" customWidth="1"/>
    <col min="5634" max="5634" width="8.33203125" style="51" customWidth="1"/>
    <col min="5635" max="5635" width="7.33203125" style="51" customWidth="1"/>
    <col min="5636" max="5636" width="8.109375" style="51" customWidth="1"/>
    <col min="5637" max="5637" width="5.44140625" style="51" customWidth="1"/>
    <col min="5638" max="5638" width="7.5546875" style="51" customWidth="1"/>
    <col min="5639" max="5639" width="6.5546875" style="51" customWidth="1"/>
    <col min="5640" max="5640" width="6.33203125" style="51" customWidth="1"/>
    <col min="5641" max="5641" width="7.6640625" style="51" customWidth="1"/>
    <col min="5642" max="5642" width="6.109375" style="51" customWidth="1"/>
    <col min="5643" max="5643" width="5.6640625" style="51" customWidth="1"/>
    <col min="5644" max="5644" width="6.6640625" style="51" customWidth="1"/>
    <col min="5645" max="5645" width="5.44140625" style="51" customWidth="1"/>
    <col min="5646" max="5646" width="6.5546875" style="51" customWidth="1"/>
    <col min="5647" max="5647" width="7.6640625" style="51" customWidth="1"/>
    <col min="5648" max="5648" width="5.6640625" style="51" customWidth="1"/>
    <col min="5649" max="5649" width="5.88671875" style="51" customWidth="1"/>
    <col min="5650" max="5650" width="6.6640625" style="51" customWidth="1"/>
    <col min="5651" max="5651" width="5.33203125" style="51" customWidth="1"/>
    <col min="5652" max="5652" width="7.5546875" style="51" customWidth="1"/>
    <col min="5653" max="5653" width="5.33203125" style="51" customWidth="1"/>
    <col min="5654" max="5654" width="6.109375" style="51" customWidth="1"/>
    <col min="5655" max="5656" width="6.33203125" style="51" customWidth="1"/>
    <col min="5657" max="5657" width="6.5546875" style="51" bestFit="1" customWidth="1"/>
    <col min="5658" max="5658" width="6.44140625" style="51" customWidth="1"/>
    <col min="5659" max="5661" width="5.5546875" style="51" customWidth="1"/>
    <col min="5662" max="5662" width="5.6640625" style="51" customWidth="1"/>
    <col min="5663" max="5855" width="9.33203125" style="51"/>
    <col min="5856" max="5856" width="3.33203125" style="51" customWidth="1"/>
    <col min="5857" max="5857" width="32.33203125" style="51" customWidth="1"/>
    <col min="5858" max="5858" width="9.6640625" style="51" customWidth="1"/>
    <col min="5859" max="5859" width="10.109375" style="51" customWidth="1"/>
    <col min="5860" max="5864" width="0" style="51" hidden="1" customWidth="1"/>
    <col min="5865" max="5865" width="9.33203125" style="51"/>
    <col min="5866" max="5866" width="8.6640625" style="51" customWidth="1"/>
    <col min="5867" max="5867" width="6.6640625" style="51" customWidth="1"/>
    <col min="5868" max="5868" width="9.5546875" style="51" customWidth="1"/>
    <col min="5869" max="5869" width="6.6640625" style="51" customWidth="1"/>
    <col min="5870" max="5870" width="6.88671875" style="51" customWidth="1"/>
    <col min="5871" max="5871" width="9" style="51" customWidth="1"/>
    <col min="5872" max="5872" width="8.109375" style="51" customWidth="1"/>
    <col min="5873" max="5873" width="8" style="51" customWidth="1"/>
    <col min="5874" max="5874" width="9.109375" style="51" customWidth="1"/>
    <col min="5875" max="5875" width="7.6640625" style="51" customWidth="1"/>
    <col min="5876" max="5876" width="9.109375" style="51" customWidth="1"/>
    <col min="5877" max="5877" width="7.33203125" style="51" customWidth="1"/>
    <col min="5878" max="5878" width="7.109375" style="51" customWidth="1"/>
    <col min="5879" max="5879" width="8.6640625" style="51" customWidth="1"/>
    <col min="5880" max="5881" width="9.33203125" style="51"/>
    <col min="5882" max="5882" width="9.6640625" style="51" customWidth="1"/>
    <col min="5883" max="5883" width="6.6640625" style="51" customWidth="1"/>
    <col min="5884" max="5884" width="7" style="51" customWidth="1"/>
    <col min="5885" max="5885" width="5.33203125" style="51" customWidth="1"/>
    <col min="5886" max="5886" width="6.5546875" style="51" bestFit="1" customWidth="1"/>
    <col min="5887" max="5887" width="8.33203125" style="51" customWidth="1"/>
    <col min="5888" max="5888" width="8" style="51" customWidth="1"/>
    <col min="5889" max="5889" width="6.5546875" style="51" customWidth="1"/>
    <col min="5890" max="5890" width="8.33203125" style="51" customWidth="1"/>
    <col min="5891" max="5891" width="7.33203125" style="51" customWidth="1"/>
    <col min="5892" max="5892" width="8.109375" style="51" customWidth="1"/>
    <col min="5893" max="5893" width="5.44140625" style="51" customWidth="1"/>
    <col min="5894" max="5894" width="7.5546875" style="51" customWidth="1"/>
    <col min="5895" max="5895" width="6.5546875" style="51" customWidth="1"/>
    <col min="5896" max="5896" width="6.33203125" style="51" customWidth="1"/>
    <col min="5897" max="5897" width="7.6640625" style="51" customWidth="1"/>
    <col min="5898" max="5898" width="6.109375" style="51" customWidth="1"/>
    <col min="5899" max="5899" width="5.6640625" style="51" customWidth="1"/>
    <col min="5900" max="5900" width="6.6640625" style="51" customWidth="1"/>
    <col min="5901" max="5901" width="5.44140625" style="51" customWidth="1"/>
    <col min="5902" max="5902" width="6.5546875" style="51" customWidth="1"/>
    <col min="5903" max="5903" width="7.6640625" style="51" customWidth="1"/>
    <col min="5904" max="5904" width="5.6640625" style="51" customWidth="1"/>
    <col min="5905" max="5905" width="5.88671875" style="51" customWidth="1"/>
    <col min="5906" max="5906" width="6.6640625" style="51" customWidth="1"/>
    <col min="5907" max="5907" width="5.33203125" style="51" customWidth="1"/>
    <col min="5908" max="5908" width="7.5546875" style="51" customWidth="1"/>
    <col min="5909" max="5909" width="5.33203125" style="51" customWidth="1"/>
    <col min="5910" max="5910" width="6.109375" style="51" customWidth="1"/>
    <col min="5911" max="5912" width="6.33203125" style="51" customWidth="1"/>
    <col min="5913" max="5913" width="6.5546875" style="51" bestFit="1" customWidth="1"/>
    <col min="5914" max="5914" width="6.44140625" style="51" customWidth="1"/>
    <col min="5915" max="5917" width="5.5546875" style="51" customWidth="1"/>
    <col min="5918" max="5918" width="5.6640625" style="51" customWidth="1"/>
    <col min="5919" max="6111" width="9.33203125" style="51"/>
    <col min="6112" max="6112" width="3.33203125" style="51" customWidth="1"/>
    <col min="6113" max="6113" width="32.33203125" style="51" customWidth="1"/>
    <col min="6114" max="6114" width="9.6640625" style="51" customWidth="1"/>
    <col min="6115" max="6115" width="10.109375" style="51" customWidth="1"/>
    <col min="6116" max="6120" width="0" style="51" hidden="1" customWidth="1"/>
    <col min="6121" max="6121" width="9.33203125" style="51"/>
    <col min="6122" max="6122" width="8.6640625" style="51" customWidth="1"/>
    <col min="6123" max="6123" width="6.6640625" style="51" customWidth="1"/>
    <col min="6124" max="6124" width="9.5546875" style="51" customWidth="1"/>
    <col min="6125" max="6125" width="6.6640625" style="51" customWidth="1"/>
    <col min="6126" max="6126" width="6.88671875" style="51" customWidth="1"/>
    <col min="6127" max="6127" width="9" style="51" customWidth="1"/>
    <col min="6128" max="6128" width="8.109375" style="51" customWidth="1"/>
    <col min="6129" max="6129" width="8" style="51" customWidth="1"/>
    <col min="6130" max="6130" width="9.109375" style="51" customWidth="1"/>
    <col min="6131" max="6131" width="7.6640625" style="51" customWidth="1"/>
    <col min="6132" max="6132" width="9.109375" style="51" customWidth="1"/>
    <col min="6133" max="6133" width="7.33203125" style="51" customWidth="1"/>
    <col min="6134" max="6134" width="7.109375" style="51" customWidth="1"/>
    <col min="6135" max="6135" width="8.6640625" style="51" customWidth="1"/>
    <col min="6136" max="6137" width="9.33203125" style="51"/>
    <col min="6138" max="6138" width="9.6640625" style="51" customWidth="1"/>
    <col min="6139" max="6139" width="6.6640625" style="51" customWidth="1"/>
    <col min="6140" max="6140" width="7" style="51" customWidth="1"/>
    <col min="6141" max="6141" width="5.33203125" style="51" customWidth="1"/>
    <col min="6142" max="6142" width="6.5546875" style="51" bestFit="1" customWidth="1"/>
    <col min="6143" max="6143" width="8.33203125" style="51" customWidth="1"/>
    <col min="6144" max="6144" width="8" style="51" customWidth="1"/>
    <col min="6145" max="6145" width="6.5546875" style="51" customWidth="1"/>
    <col min="6146" max="6146" width="8.33203125" style="51" customWidth="1"/>
    <col min="6147" max="6147" width="7.33203125" style="51" customWidth="1"/>
    <col min="6148" max="6148" width="8.109375" style="51" customWidth="1"/>
    <col min="6149" max="6149" width="5.44140625" style="51" customWidth="1"/>
    <col min="6150" max="6150" width="7.5546875" style="51" customWidth="1"/>
    <col min="6151" max="6151" width="6.5546875" style="51" customWidth="1"/>
    <col min="6152" max="6152" width="6.33203125" style="51" customWidth="1"/>
    <col min="6153" max="6153" width="7.6640625" style="51" customWidth="1"/>
    <col min="6154" max="6154" width="6.109375" style="51" customWidth="1"/>
    <col min="6155" max="6155" width="5.6640625" style="51" customWidth="1"/>
    <col min="6156" max="6156" width="6.6640625" style="51" customWidth="1"/>
    <col min="6157" max="6157" width="5.44140625" style="51" customWidth="1"/>
    <col min="6158" max="6158" width="6.5546875" style="51" customWidth="1"/>
    <col min="6159" max="6159" width="7.6640625" style="51" customWidth="1"/>
    <col min="6160" max="6160" width="5.6640625" style="51" customWidth="1"/>
    <col min="6161" max="6161" width="5.88671875" style="51" customWidth="1"/>
    <col min="6162" max="6162" width="6.6640625" style="51" customWidth="1"/>
    <col min="6163" max="6163" width="5.33203125" style="51" customWidth="1"/>
    <col min="6164" max="6164" width="7.5546875" style="51" customWidth="1"/>
    <col min="6165" max="6165" width="5.33203125" style="51" customWidth="1"/>
    <col min="6166" max="6166" width="6.109375" style="51" customWidth="1"/>
    <col min="6167" max="6168" width="6.33203125" style="51" customWidth="1"/>
    <col min="6169" max="6169" width="6.5546875" style="51" bestFit="1" customWidth="1"/>
    <col min="6170" max="6170" width="6.44140625" style="51" customWidth="1"/>
    <col min="6171" max="6173" width="5.5546875" style="51" customWidth="1"/>
    <col min="6174" max="6174" width="5.6640625" style="51" customWidth="1"/>
    <col min="6175" max="6367" width="9.33203125" style="51"/>
    <col min="6368" max="6368" width="3.33203125" style="51" customWidth="1"/>
    <col min="6369" max="6369" width="32.33203125" style="51" customWidth="1"/>
    <col min="6370" max="6370" width="9.6640625" style="51" customWidth="1"/>
    <col min="6371" max="6371" width="10.109375" style="51" customWidth="1"/>
    <col min="6372" max="6376" width="0" style="51" hidden="1" customWidth="1"/>
    <col min="6377" max="6377" width="9.33203125" style="51"/>
    <col min="6378" max="6378" width="8.6640625" style="51" customWidth="1"/>
    <col min="6379" max="6379" width="6.6640625" style="51" customWidth="1"/>
    <col min="6380" max="6380" width="9.5546875" style="51" customWidth="1"/>
    <col min="6381" max="6381" width="6.6640625" style="51" customWidth="1"/>
    <col min="6382" max="6382" width="6.88671875" style="51" customWidth="1"/>
    <col min="6383" max="6383" width="9" style="51" customWidth="1"/>
    <col min="6384" max="6384" width="8.109375" style="51" customWidth="1"/>
    <col min="6385" max="6385" width="8" style="51" customWidth="1"/>
    <col min="6386" max="6386" width="9.109375" style="51" customWidth="1"/>
    <col min="6387" max="6387" width="7.6640625" style="51" customWidth="1"/>
    <col min="6388" max="6388" width="9.109375" style="51" customWidth="1"/>
    <col min="6389" max="6389" width="7.33203125" style="51" customWidth="1"/>
    <col min="6390" max="6390" width="7.109375" style="51" customWidth="1"/>
    <col min="6391" max="6391" width="8.6640625" style="51" customWidth="1"/>
    <col min="6392" max="6393" width="9.33203125" style="51"/>
    <col min="6394" max="6394" width="9.6640625" style="51" customWidth="1"/>
    <col min="6395" max="6395" width="6.6640625" style="51" customWidth="1"/>
    <col min="6396" max="6396" width="7" style="51" customWidth="1"/>
    <col min="6397" max="6397" width="5.33203125" style="51" customWidth="1"/>
    <col min="6398" max="6398" width="6.5546875" style="51" bestFit="1" customWidth="1"/>
    <col min="6399" max="6399" width="8.33203125" style="51" customWidth="1"/>
    <col min="6400" max="6400" width="8" style="51" customWidth="1"/>
    <col min="6401" max="6401" width="6.5546875" style="51" customWidth="1"/>
    <col min="6402" max="6402" width="8.33203125" style="51" customWidth="1"/>
    <col min="6403" max="6403" width="7.33203125" style="51" customWidth="1"/>
    <col min="6404" max="6404" width="8.109375" style="51" customWidth="1"/>
    <col min="6405" max="6405" width="5.44140625" style="51" customWidth="1"/>
    <col min="6406" max="6406" width="7.5546875" style="51" customWidth="1"/>
    <col min="6407" max="6407" width="6.5546875" style="51" customWidth="1"/>
    <col min="6408" max="6408" width="6.33203125" style="51" customWidth="1"/>
    <col min="6409" max="6409" width="7.6640625" style="51" customWidth="1"/>
    <col min="6410" max="6410" width="6.109375" style="51" customWidth="1"/>
    <col min="6411" max="6411" width="5.6640625" style="51" customWidth="1"/>
    <col min="6412" max="6412" width="6.6640625" style="51" customWidth="1"/>
    <col min="6413" max="6413" width="5.44140625" style="51" customWidth="1"/>
    <col min="6414" max="6414" width="6.5546875" style="51" customWidth="1"/>
    <col min="6415" max="6415" width="7.6640625" style="51" customWidth="1"/>
    <col min="6416" max="6416" width="5.6640625" style="51" customWidth="1"/>
    <col min="6417" max="6417" width="5.88671875" style="51" customWidth="1"/>
    <col min="6418" max="6418" width="6.6640625" style="51" customWidth="1"/>
    <col min="6419" max="6419" width="5.33203125" style="51" customWidth="1"/>
    <col min="6420" max="6420" width="7.5546875" style="51" customWidth="1"/>
    <col min="6421" max="6421" width="5.33203125" style="51" customWidth="1"/>
    <col min="6422" max="6422" width="6.109375" style="51" customWidth="1"/>
    <col min="6423" max="6424" width="6.33203125" style="51" customWidth="1"/>
    <col min="6425" max="6425" width="6.5546875" style="51" bestFit="1" customWidth="1"/>
    <col min="6426" max="6426" width="6.44140625" style="51" customWidth="1"/>
    <col min="6427" max="6429" width="5.5546875" style="51" customWidth="1"/>
    <col min="6430" max="6430" width="5.6640625" style="51" customWidth="1"/>
    <col min="6431" max="6623" width="9.33203125" style="51"/>
    <col min="6624" max="6624" width="3.33203125" style="51" customWidth="1"/>
    <col min="6625" max="6625" width="32.33203125" style="51" customWidth="1"/>
    <col min="6626" max="6626" width="9.6640625" style="51" customWidth="1"/>
    <col min="6627" max="6627" width="10.109375" style="51" customWidth="1"/>
    <col min="6628" max="6632" width="0" style="51" hidden="1" customWidth="1"/>
    <col min="6633" max="6633" width="9.33203125" style="51"/>
    <col min="6634" max="6634" width="8.6640625" style="51" customWidth="1"/>
    <col min="6635" max="6635" width="6.6640625" style="51" customWidth="1"/>
    <col min="6636" max="6636" width="9.5546875" style="51" customWidth="1"/>
    <col min="6637" max="6637" width="6.6640625" style="51" customWidth="1"/>
    <col min="6638" max="6638" width="6.88671875" style="51" customWidth="1"/>
    <col min="6639" max="6639" width="9" style="51" customWidth="1"/>
    <col min="6640" max="6640" width="8.109375" style="51" customWidth="1"/>
    <col min="6641" max="6641" width="8" style="51" customWidth="1"/>
    <col min="6642" max="6642" width="9.109375" style="51" customWidth="1"/>
    <col min="6643" max="6643" width="7.6640625" style="51" customWidth="1"/>
    <col min="6644" max="6644" width="9.109375" style="51" customWidth="1"/>
    <col min="6645" max="6645" width="7.33203125" style="51" customWidth="1"/>
    <col min="6646" max="6646" width="7.109375" style="51" customWidth="1"/>
    <col min="6647" max="6647" width="8.6640625" style="51" customWidth="1"/>
    <col min="6648" max="6649" width="9.33203125" style="51"/>
    <col min="6650" max="6650" width="9.6640625" style="51" customWidth="1"/>
    <col min="6651" max="6651" width="6.6640625" style="51" customWidth="1"/>
    <col min="6652" max="6652" width="7" style="51" customWidth="1"/>
    <col min="6653" max="6653" width="5.33203125" style="51" customWidth="1"/>
    <col min="6654" max="6654" width="6.5546875" style="51" bestFit="1" customWidth="1"/>
    <col min="6655" max="6655" width="8.33203125" style="51" customWidth="1"/>
    <col min="6656" max="6656" width="8" style="51" customWidth="1"/>
    <col min="6657" max="6657" width="6.5546875" style="51" customWidth="1"/>
    <col min="6658" max="6658" width="8.33203125" style="51" customWidth="1"/>
    <col min="6659" max="6659" width="7.33203125" style="51" customWidth="1"/>
    <col min="6660" max="6660" width="8.109375" style="51" customWidth="1"/>
    <col min="6661" max="6661" width="5.44140625" style="51" customWidth="1"/>
    <col min="6662" max="6662" width="7.5546875" style="51" customWidth="1"/>
    <col min="6663" max="6663" width="6.5546875" style="51" customWidth="1"/>
    <col min="6664" max="6664" width="6.33203125" style="51" customWidth="1"/>
    <col min="6665" max="6665" width="7.6640625" style="51" customWidth="1"/>
    <col min="6666" max="6666" width="6.109375" style="51" customWidth="1"/>
    <col min="6667" max="6667" width="5.6640625" style="51" customWidth="1"/>
    <col min="6668" max="6668" width="6.6640625" style="51" customWidth="1"/>
    <col min="6669" max="6669" width="5.44140625" style="51" customWidth="1"/>
    <col min="6670" max="6670" width="6.5546875" style="51" customWidth="1"/>
    <col min="6671" max="6671" width="7.6640625" style="51" customWidth="1"/>
    <col min="6672" max="6672" width="5.6640625" style="51" customWidth="1"/>
    <col min="6673" max="6673" width="5.88671875" style="51" customWidth="1"/>
    <col min="6674" max="6674" width="6.6640625" style="51" customWidth="1"/>
    <col min="6675" max="6675" width="5.33203125" style="51" customWidth="1"/>
    <col min="6676" max="6676" width="7.5546875" style="51" customWidth="1"/>
    <col min="6677" max="6677" width="5.33203125" style="51" customWidth="1"/>
    <col min="6678" max="6678" width="6.109375" style="51" customWidth="1"/>
    <col min="6679" max="6680" width="6.33203125" style="51" customWidth="1"/>
    <col min="6681" max="6681" width="6.5546875" style="51" bestFit="1" customWidth="1"/>
    <col min="6682" max="6682" width="6.44140625" style="51" customWidth="1"/>
    <col min="6683" max="6685" width="5.5546875" style="51" customWidth="1"/>
    <col min="6686" max="6686" width="5.6640625" style="51" customWidth="1"/>
    <col min="6687" max="6879" width="9.33203125" style="51"/>
    <col min="6880" max="6880" width="3.33203125" style="51" customWidth="1"/>
    <col min="6881" max="6881" width="32.33203125" style="51" customWidth="1"/>
    <col min="6882" max="6882" width="9.6640625" style="51" customWidth="1"/>
    <col min="6883" max="6883" width="10.109375" style="51" customWidth="1"/>
    <col min="6884" max="6888" width="0" style="51" hidden="1" customWidth="1"/>
    <col min="6889" max="6889" width="9.33203125" style="51"/>
    <col min="6890" max="6890" width="8.6640625" style="51" customWidth="1"/>
    <col min="6891" max="6891" width="6.6640625" style="51" customWidth="1"/>
    <col min="6892" max="6892" width="9.5546875" style="51" customWidth="1"/>
    <col min="6893" max="6893" width="6.6640625" style="51" customWidth="1"/>
    <col min="6894" max="6894" width="6.88671875" style="51" customWidth="1"/>
    <col min="6895" max="6895" width="9" style="51" customWidth="1"/>
    <col min="6896" max="6896" width="8.109375" style="51" customWidth="1"/>
    <col min="6897" max="6897" width="8" style="51" customWidth="1"/>
    <col min="6898" max="6898" width="9.109375" style="51" customWidth="1"/>
    <col min="6899" max="6899" width="7.6640625" style="51" customWidth="1"/>
    <col min="6900" max="6900" width="9.109375" style="51" customWidth="1"/>
    <col min="6901" max="6901" width="7.33203125" style="51" customWidth="1"/>
    <col min="6902" max="6902" width="7.109375" style="51" customWidth="1"/>
    <col min="6903" max="6903" width="8.6640625" style="51" customWidth="1"/>
    <col min="6904" max="6905" width="9.33203125" style="51"/>
    <col min="6906" max="6906" width="9.6640625" style="51" customWidth="1"/>
    <col min="6907" max="6907" width="6.6640625" style="51" customWidth="1"/>
    <col min="6908" max="6908" width="7" style="51" customWidth="1"/>
    <col min="6909" max="6909" width="5.33203125" style="51" customWidth="1"/>
    <col min="6910" max="6910" width="6.5546875" style="51" bestFit="1" customWidth="1"/>
    <col min="6911" max="6911" width="8.33203125" style="51" customWidth="1"/>
    <col min="6912" max="6912" width="8" style="51" customWidth="1"/>
    <col min="6913" max="6913" width="6.5546875" style="51" customWidth="1"/>
    <col min="6914" max="6914" width="8.33203125" style="51" customWidth="1"/>
    <col min="6915" max="6915" width="7.33203125" style="51" customWidth="1"/>
    <col min="6916" max="6916" width="8.109375" style="51" customWidth="1"/>
    <col min="6917" max="6917" width="5.44140625" style="51" customWidth="1"/>
    <col min="6918" max="6918" width="7.5546875" style="51" customWidth="1"/>
    <col min="6919" max="6919" width="6.5546875" style="51" customWidth="1"/>
    <col min="6920" max="6920" width="6.33203125" style="51" customWidth="1"/>
    <col min="6921" max="6921" width="7.6640625" style="51" customWidth="1"/>
    <col min="6922" max="6922" width="6.109375" style="51" customWidth="1"/>
    <col min="6923" max="6923" width="5.6640625" style="51" customWidth="1"/>
    <col min="6924" max="6924" width="6.6640625" style="51" customWidth="1"/>
    <col min="6925" max="6925" width="5.44140625" style="51" customWidth="1"/>
    <col min="6926" max="6926" width="6.5546875" style="51" customWidth="1"/>
    <col min="6927" max="6927" width="7.6640625" style="51" customWidth="1"/>
    <col min="6928" max="6928" width="5.6640625" style="51" customWidth="1"/>
    <col min="6929" max="6929" width="5.88671875" style="51" customWidth="1"/>
    <col min="6930" max="6930" width="6.6640625" style="51" customWidth="1"/>
    <col min="6931" max="6931" width="5.33203125" style="51" customWidth="1"/>
    <col min="6932" max="6932" width="7.5546875" style="51" customWidth="1"/>
    <col min="6933" max="6933" width="5.33203125" style="51" customWidth="1"/>
    <col min="6934" max="6934" width="6.109375" style="51" customWidth="1"/>
    <col min="6935" max="6936" width="6.33203125" style="51" customWidth="1"/>
    <col min="6937" max="6937" width="6.5546875" style="51" bestFit="1" customWidth="1"/>
    <col min="6938" max="6938" width="6.44140625" style="51" customWidth="1"/>
    <col min="6939" max="6941" width="5.5546875" style="51" customWidth="1"/>
    <col min="6942" max="6942" width="5.6640625" style="51" customWidth="1"/>
    <col min="6943" max="7135" width="9.33203125" style="51"/>
    <col min="7136" max="7136" width="3.33203125" style="51" customWidth="1"/>
    <col min="7137" max="7137" width="32.33203125" style="51" customWidth="1"/>
    <col min="7138" max="7138" width="9.6640625" style="51" customWidth="1"/>
    <col min="7139" max="7139" width="10.109375" style="51" customWidth="1"/>
    <col min="7140" max="7144" width="0" style="51" hidden="1" customWidth="1"/>
    <col min="7145" max="7145" width="9.33203125" style="51"/>
    <col min="7146" max="7146" width="8.6640625" style="51" customWidth="1"/>
    <col min="7147" max="7147" width="6.6640625" style="51" customWidth="1"/>
    <col min="7148" max="7148" width="9.5546875" style="51" customWidth="1"/>
    <col min="7149" max="7149" width="6.6640625" style="51" customWidth="1"/>
    <col min="7150" max="7150" width="6.88671875" style="51" customWidth="1"/>
    <col min="7151" max="7151" width="9" style="51" customWidth="1"/>
    <col min="7152" max="7152" width="8.109375" style="51" customWidth="1"/>
    <col min="7153" max="7153" width="8" style="51" customWidth="1"/>
    <col min="7154" max="7154" width="9.109375" style="51" customWidth="1"/>
    <col min="7155" max="7155" width="7.6640625" style="51" customWidth="1"/>
    <col min="7156" max="7156" width="9.109375" style="51" customWidth="1"/>
    <col min="7157" max="7157" width="7.33203125" style="51" customWidth="1"/>
    <col min="7158" max="7158" width="7.109375" style="51" customWidth="1"/>
    <col min="7159" max="7159" width="8.6640625" style="51" customWidth="1"/>
    <col min="7160" max="7161" width="9.33203125" style="51"/>
    <col min="7162" max="7162" width="9.6640625" style="51" customWidth="1"/>
    <col min="7163" max="7163" width="6.6640625" style="51" customWidth="1"/>
    <col min="7164" max="7164" width="7" style="51" customWidth="1"/>
    <col min="7165" max="7165" width="5.33203125" style="51" customWidth="1"/>
    <col min="7166" max="7166" width="6.5546875" style="51" bestFit="1" customWidth="1"/>
    <col min="7167" max="7167" width="8.33203125" style="51" customWidth="1"/>
    <col min="7168" max="7168" width="8" style="51" customWidth="1"/>
    <col min="7169" max="7169" width="6.5546875" style="51" customWidth="1"/>
    <col min="7170" max="7170" width="8.33203125" style="51" customWidth="1"/>
    <col min="7171" max="7171" width="7.33203125" style="51" customWidth="1"/>
    <col min="7172" max="7172" width="8.109375" style="51" customWidth="1"/>
    <col min="7173" max="7173" width="5.44140625" style="51" customWidth="1"/>
    <col min="7174" max="7174" width="7.5546875" style="51" customWidth="1"/>
    <col min="7175" max="7175" width="6.5546875" style="51" customWidth="1"/>
    <col min="7176" max="7176" width="6.33203125" style="51" customWidth="1"/>
    <col min="7177" max="7177" width="7.6640625" style="51" customWidth="1"/>
    <col min="7178" max="7178" width="6.109375" style="51" customWidth="1"/>
    <col min="7179" max="7179" width="5.6640625" style="51" customWidth="1"/>
    <col min="7180" max="7180" width="6.6640625" style="51" customWidth="1"/>
    <col min="7181" max="7181" width="5.44140625" style="51" customWidth="1"/>
    <col min="7182" max="7182" width="6.5546875" style="51" customWidth="1"/>
    <col min="7183" max="7183" width="7.6640625" style="51" customWidth="1"/>
    <col min="7184" max="7184" width="5.6640625" style="51" customWidth="1"/>
    <col min="7185" max="7185" width="5.88671875" style="51" customWidth="1"/>
    <col min="7186" max="7186" width="6.6640625" style="51" customWidth="1"/>
    <col min="7187" max="7187" width="5.33203125" style="51" customWidth="1"/>
    <col min="7188" max="7188" width="7.5546875" style="51" customWidth="1"/>
    <col min="7189" max="7189" width="5.33203125" style="51" customWidth="1"/>
    <col min="7190" max="7190" width="6.109375" style="51" customWidth="1"/>
    <col min="7191" max="7192" width="6.33203125" style="51" customWidth="1"/>
    <col min="7193" max="7193" width="6.5546875" style="51" bestFit="1" customWidth="1"/>
    <col min="7194" max="7194" width="6.44140625" style="51" customWidth="1"/>
    <col min="7195" max="7197" width="5.5546875" style="51" customWidth="1"/>
    <col min="7198" max="7198" width="5.6640625" style="51" customWidth="1"/>
    <col min="7199" max="7391" width="9.33203125" style="51"/>
    <col min="7392" max="7392" width="3.33203125" style="51" customWidth="1"/>
    <col min="7393" max="7393" width="32.33203125" style="51" customWidth="1"/>
    <col min="7394" max="7394" width="9.6640625" style="51" customWidth="1"/>
    <col min="7395" max="7395" width="10.109375" style="51" customWidth="1"/>
    <col min="7396" max="7400" width="0" style="51" hidden="1" customWidth="1"/>
    <col min="7401" max="7401" width="9.33203125" style="51"/>
    <col min="7402" max="7402" width="8.6640625" style="51" customWidth="1"/>
    <col min="7403" max="7403" width="6.6640625" style="51" customWidth="1"/>
    <col min="7404" max="7404" width="9.5546875" style="51" customWidth="1"/>
    <col min="7405" max="7405" width="6.6640625" style="51" customWidth="1"/>
    <col min="7406" max="7406" width="6.88671875" style="51" customWidth="1"/>
    <col min="7407" max="7407" width="9" style="51" customWidth="1"/>
    <col min="7408" max="7408" width="8.109375" style="51" customWidth="1"/>
    <col min="7409" max="7409" width="8" style="51" customWidth="1"/>
    <col min="7410" max="7410" width="9.109375" style="51" customWidth="1"/>
    <col min="7411" max="7411" width="7.6640625" style="51" customWidth="1"/>
    <col min="7412" max="7412" width="9.109375" style="51" customWidth="1"/>
    <col min="7413" max="7413" width="7.33203125" style="51" customWidth="1"/>
    <col min="7414" max="7414" width="7.109375" style="51" customWidth="1"/>
    <col min="7415" max="7415" width="8.6640625" style="51" customWidth="1"/>
    <col min="7416" max="7417" width="9.33203125" style="51"/>
    <col min="7418" max="7418" width="9.6640625" style="51" customWidth="1"/>
    <col min="7419" max="7419" width="6.6640625" style="51" customWidth="1"/>
    <col min="7420" max="7420" width="7" style="51" customWidth="1"/>
    <col min="7421" max="7421" width="5.33203125" style="51" customWidth="1"/>
    <col min="7422" max="7422" width="6.5546875" style="51" bestFit="1" customWidth="1"/>
    <col min="7423" max="7423" width="8.33203125" style="51" customWidth="1"/>
    <col min="7424" max="7424" width="8" style="51" customWidth="1"/>
    <col min="7425" max="7425" width="6.5546875" style="51" customWidth="1"/>
    <col min="7426" max="7426" width="8.33203125" style="51" customWidth="1"/>
    <col min="7427" max="7427" width="7.33203125" style="51" customWidth="1"/>
    <col min="7428" max="7428" width="8.109375" style="51" customWidth="1"/>
    <col min="7429" max="7429" width="5.44140625" style="51" customWidth="1"/>
    <col min="7430" max="7430" width="7.5546875" style="51" customWidth="1"/>
    <col min="7431" max="7431" width="6.5546875" style="51" customWidth="1"/>
    <col min="7432" max="7432" width="6.33203125" style="51" customWidth="1"/>
    <col min="7433" max="7433" width="7.6640625" style="51" customWidth="1"/>
    <col min="7434" max="7434" width="6.109375" style="51" customWidth="1"/>
    <col min="7435" max="7435" width="5.6640625" style="51" customWidth="1"/>
    <col min="7436" max="7436" width="6.6640625" style="51" customWidth="1"/>
    <col min="7437" max="7437" width="5.44140625" style="51" customWidth="1"/>
    <col min="7438" max="7438" width="6.5546875" style="51" customWidth="1"/>
    <col min="7439" max="7439" width="7.6640625" style="51" customWidth="1"/>
    <col min="7440" max="7440" width="5.6640625" style="51" customWidth="1"/>
    <col min="7441" max="7441" width="5.88671875" style="51" customWidth="1"/>
    <col min="7442" max="7442" width="6.6640625" style="51" customWidth="1"/>
    <col min="7443" max="7443" width="5.33203125" style="51" customWidth="1"/>
    <col min="7444" max="7444" width="7.5546875" style="51" customWidth="1"/>
    <col min="7445" max="7445" width="5.33203125" style="51" customWidth="1"/>
    <col min="7446" max="7446" width="6.109375" style="51" customWidth="1"/>
    <col min="7447" max="7448" width="6.33203125" style="51" customWidth="1"/>
    <col min="7449" max="7449" width="6.5546875" style="51" bestFit="1" customWidth="1"/>
    <col min="7450" max="7450" width="6.44140625" style="51" customWidth="1"/>
    <col min="7451" max="7453" width="5.5546875" style="51" customWidth="1"/>
    <col min="7454" max="7454" width="5.6640625" style="51" customWidth="1"/>
    <col min="7455" max="7647" width="9.33203125" style="51"/>
    <col min="7648" max="7648" width="3.33203125" style="51" customWidth="1"/>
    <col min="7649" max="7649" width="32.33203125" style="51" customWidth="1"/>
    <col min="7650" max="7650" width="9.6640625" style="51" customWidth="1"/>
    <col min="7651" max="7651" width="10.109375" style="51" customWidth="1"/>
    <col min="7652" max="7656" width="0" style="51" hidden="1" customWidth="1"/>
    <col min="7657" max="7657" width="9.33203125" style="51"/>
    <col min="7658" max="7658" width="8.6640625" style="51" customWidth="1"/>
    <col min="7659" max="7659" width="6.6640625" style="51" customWidth="1"/>
    <col min="7660" max="7660" width="9.5546875" style="51" customWidth="1"/>
    <col min="7661" max="7661" width="6.6640625" style="51" customWidth="1"/>
    <col min="7662" max="7662" width="6.88671875" style="51" customWidth="1"/>
    <col min="7663" max="7663" width="9" style="51" customWidth="1"/>
    <col min="7664" max="7664" width="8.109375" style="51" customWidth="1"/>
    <col min="7665" max="7665" width="8" style="51" customWidth="1"/>
    <col min="7666" max="7666" width="9.109375" style="51" customWidth="1"/>
    <col min="7667" max="7667" width="7.6640625" style="51" customWidth="1"/>
    <col min="7668" max="7668" width="9.109375" style="51" customWidth="1"/>
    <col min="7669" max="7669" width="7.33203125" style="51" customWidth="1"/>
    <col min="7670" max="7670" width="7.109375" style="51" customWidth="1"/>
    <col min="7671" max="7671" width="8.6640625" style="51" customWidth="1"/>
    <col min="7672" max="7673" width="9.33203125" style="51"/>
    <col min="7674" max="7674" width="9.6640625" style="51" customWidth="1"/>
    <col min="7675" max="7675" width="6.6640625" style="51" customWidth="1"/>
    <col min="7676" max="7676" width="7" style="51" customWidth="1"/>
    <col min="7677" max="7677" width="5.33203125" style="51" customWidth="1"/>
    <col min="7678" max="7678" width="6.5546875" style="51" bestFit="1" customWidth="1"/>
    <col min="7679" max="7679" width="8.33203125" style="51" customWidth="1"/>
    <col min="7680" max="7680" width="8" style="51" customWidth="1"/>
    <col min="7681" max="7681" width="6.5546875" style="51" customWidth="1"/>
    <col min="7682" max="7682" width="8.33203125" style="51" customWidth="1"/>
    <col min="7683" max="7683" width="7.33203125" style="51" customWidth="1"/>
    <col min="7684" max="7684" width="8.109375" style="51" customWidth="1"/>
    <col min="7685" max="7685" width="5.44140625" style="51" customWidth="1"/>
    <col min="7686" max="7686" width="7.5546875" style="51" customWidth="1"/>
    <col min="7687" max="7687" width="6.5546875" style="51" customWidth="1"/>
    <col min="7688" max="7688" width="6.33203125" style="51" customWidth="1"/>
    <col min="7689" max="7689" width="7.6640625" style="51" customWidth="1"/>
    <col min="7690" max="7690" width="6.109375" style="51" customWidth="1"/>
    <col min="7691" max="7691" width="5.6640625" style="51" customWidth="1"/>
    <col min="7692" max="7692" width="6.6640625" style="51" customWidth="1"/>
    <col min="7693" max="7693" width="5.44140625" style="51" customWidth="1"/>
    <col min="7694" max="7694" width="6.5546875" style="51" customWidth="1"/>
    <col min="7695" max="7695" width="7.6640625" style="51" customWidth="1"/>
    <col min="7696" max="7696" width="5.6640625" style="51" customWidth="1"/>
    <col min="7697" max="7697" width="5.88671875" style="51" customWidth="1"/>
    <col min="7698" max="7698" width="6.6640625" style="51" customWidth="1"/>
    <col min="7699" max="7699" width="5.33203125" style="51" customWidth="1"/>
    <col min="7700" max="7700" width="7.5546875" style="51" customWidth="1"/>
    <col min="7701" max="7701" width="5.33203125" style="51" customWidth="1"/>
    <col min="7702" max="7702" width="6.109375" style="51" customWidth="1"/>
    <col min="7703" max="7704" width="6.33203125" style="51" customWidth="1"/>
    <col min="7705" max="7705" width="6.5546875" style="51" bestFit="1" customWidth="1"/>
    <col min="7706" max="7706" width="6.44140625" style="51" customWidth="1"/>
    <col min="7707" max="7709" width="5.5546875" style="51" customWidth="1"/>
    <col min="7710" max="7710" width="5.6640625" style="51" customWidth="1"/>
    <col min="7711" max="7903" width="9.33203125" style="51"/>
    <col min="7904" max="7904" width="3.33203125" style="51" customWidth="1"/>
    <col min="7905" max="7905" width="32.33203125" style="51" customWidth="1"/>
    <col min="7906" max="7906" width="9.6640625" style="51" customWidth="1"/>
    <col min="7907" max="7907" width="10.109375" style="51" customWidth="1"/>
    <col min="7908" max="7912" width="0" style="51" hidden="1" customWidth="1"/>
    <col min="7913" max="7913" width="9.33203125" style="51"/>
    <col min="7914" max="7914" width="8.6640625" style="51" customWidth="1"/>
    <col min="7915" max="7915" width="6.6640625" style="51" customWidth="1"/>
    <col min="7916" max="7916" width="9.5546875" style="51" customWidth="1"/>
    <col min="7917" max="7917" width="6.6640625" style="51" customWidth="1"/>
    <col min="7918" max="7918" width="6.88671875" style="51" customWidth="1"/>
    <col min="7919" max="7919" width="9" style="51" customWidth="1"/>
    <col min="7920" max="7920" width="8.109375" style="51" customWidth="1"/>
    <col min="7921" max="7921" width="8" style="51" customWidth="1"/>
    <col min="7922" max="7922" width="9.109375" style="51" customWidth="1"/>
    <col min="7923" max="7923" width="7.6640625" style="51" customWidth="1"/>
    <col min="7924" max="7924" width="9.109375" style="51" customWidth="1"/>
    <col min="7925" max="7925" width="7.33203125" style="51" customWidth="1"/>
    <col min="7926" max="7926" width="7.109375" style="51" customWidth="1"/>
    <col min="7927" max="7927" width="8.6640625" style="51" customWidth="1"/>
    <col min="7928" max="7929" width="9.33203125" style="51"/>
    <col min="7930" max="7930" width="9.6640625" style="51" customWidth="1"/>
    <col min="7931" max="7931" width="6.6640625" style="51" customWidth="1"/>
    <col min="7932" max="7932" width="7" style="51" customWidth="1"/>
    <col min="7933" max="7933" width="5.33203125" style="51" customWidth="1"/>
    <col min="7934" max="7934" width="6.5546875" style="51" bestFit="1" customWidth="1"/>
    <col min="7935" max="7935" width="8.33203125" style="51" customWidth="1"/>
    <col min="7936" max="7936" width="8" style="51" customWidth="1"/>
    <col min="7937" max="7937" width="6.5546875" style="51" customWidth="1"/>
    <col min="7938" max="7938" width="8.33203125" style="51" customWidth="1"/>
    <col min="7939" max="7939" width="7.33203125" style="51" customWidth="1"/>
    <col min="7940" max="7940" width="8.109375" style="51" customWidth="1"/>
    <col min="7941" max="7941" width="5.44140625" style="51" customWidth="1"/>
    <col min="7942" max="7942" width="7.5546875" style="51" customWidth="1"/>
    <col min="7943" max="7943" width="6.5546875" style="51" customWidth="1"/>
    <col min="7944" max="7944" width="6.33203125" style="51" customWidth="1"/>
    <col min="7945" max="7945" width="7.6640625" style="51" customWidth="1"/>
    <col min="7946" max="7946" width="6.109375" style="51" customWidth="1"/>
    <col min="7947" max="7947" width="5.6640625" style="51" customWidth="1"/>
    <col min="7948" max="7948" width="6.6640625" style="51" customWidth="1"/>
    <col min="7949" max="7949" width="5.44140625" style="51" customWidth="1"/>
    <col min="7950" max="7950" width="6.5546875" style="51" customWidth="1"/>
    <col min="7951" max="7951" width="7.6640625" style="51" customWidth="1"/>
    <col min="7952" max="7952" width="5.6640625" style="51" customWidth="1"/>
    <col min="7953" max="7953" width="5.88671875" style="51" customWidth="1"/>
    <col min="7954" max="7954" width="6.6640625" style="51" customWidth="1"/>
    <col min="7955" max="7955" width="5.33203125" style="51" customWidth="1"/>
    <col min="7956" max="7956" width="7.5546875" style="51" customWidth="1"/>
    <col min="7957" max="7957" width="5.33203125" style="51" customWidth="1"/>
    <col min="7958" max="7958" width="6.109375" style="51" customWidth="1"/>
    <col min="7959" max="7960" width="6.33203125" style="51" customWidth="1"/>
    <col min="7961" max="7961" width="6.5546875" style="51" bestFit="1" customWidth="1"/>
    <col min="7962" max="7962" width="6.44140625" style="51" customWidth="1"/>
    <col min="7963" max="7965" width="5.5546875" style="51" customWidth="1"/>
    <col min="7966" max="7966" width="5.6640625" style="51" customWidth="1"/>
    <col min="7967" max="8159" width="9.33203125" style="51"/>
    <col min="8160" max="8160" width="3.33203125" style="51" customWidth="1"/>
    <col min="8161" max="8161" width="32.33203125" style="51" customWidth="1"/>
    <col min="8162" max="8162" width="9.6640625" style="51" customWidth="1"/>
    <col min="8163" max="8163" width="10.109375" style="51" customWidth="1"/>
    <col min="8164" max="8168" width="0" style="51" hidden="1" customWidth="1"/>
    <col min="8169" max="8169" width="9.33203125" style="51"/>
    <col min="8170" max="8170" width="8.6640625" style="51" customWidth="1"/>
    <col min="8171" max="8171" width="6.6640625" style="51" customWidth="1"/>
    <col min="8172" max="8172" width="9.5546875" style="51" customWidth="1"/>
    <col min="8173" max="8173" width="6.6640625" style="51" customWidth="1"/>
    <col min="8174" max="8174" width="6.88671875" style="51" customWidth="1"/>
    <col min="8175" max="8175" width="9" style="51" customWidth="1"/>
    <col min="8176" max="8176" width="8.109375" style="51" customWidth="1"/>
    <col min="8177" max="8177" width="8" style="51" customWidth="1"/>
    <col min="8178" max="8178" width="9.109375" style="51" customWidth="1"/>
    <col min="8179" max="8179" width="7.6640625" style="51" customWidth="1"/>
    <col min="8180" max="8180" width="9.109375" style="51" customWidth="1"/>
    <col min="8181" max="8181" width="7.33203125" style="51" customWidth="1"/>
    <col min="8182" max="8182" width="7.109375" style="51" customWidth="1"/>
    <col min="8183" max="8183" width="8.6640625" style="51" customWidth="1"/>
    <col min="8184" max="8185" width="9.33203125" style="51"/>
    <col min="8186" max="8186" width="9.6640625" style="51" customWidth="1"/>
    <col min="8187" max="8187" width="6.6640625" style="51" customWidth="1"/>
    <col min="8188" max="8188" width="7" style="51" customWidth="1"/>
    <col min="8189" max="8189" width="5.33203125" style="51" customWidth="1"/>
    <col min="8190" max="8190" width="6.5546875" style="51" bestFit="1" customWidth="1"/>
    <col min="8191" max="8191" width="8.33203125" style="51" customWidth="1"/>
    <col min="8192" max="8192" width="8" style="51" customWidth="1"/>
    <col min="8193" max="8193" width="6.5546875" style="51" customWidth="1"/>
    <col min="8194" max="8194" width="8.33203125" style="51" customWidth="1"/>
    <col min="8195" max="8195" width="7.33203125" style="51" customWidth="1"/>
    <col min="8196" max="8196" width="8.109375" style="51" customWidth="1"/>
    <col min="8197" max="8197" width="5.44140625" style="51" customWidth="1"/>
    <col min="8198" max="8198" width="7.5546875" style="51" customWidth="1"/>
    <col min="8199" max="8199" width="6.5546875" style="51" customWidth="1"/>
    <col min="8200" max="8200" width="6.33203125" style="51" customWidth="1"/>
    <col min="8201" max="8201" width="7.6640625" style="51" customWidth="1"/>
    <col min="8202" max="8202" width="6.109375" style="51" customWidth="1"/>
    <col min="8203" max="8203" width="5.6640625" style="51" customWidth="1"/>
    <col min="8204" max="8204" width="6.6640625" style="51" customWidth="1"/>
    <col min="8205" max="8205" width="5.44140625" style="51" customWidth="1"/>
    <col min="8206" max="8206" width="6.5546875" style="51" customWidth="1"/>
    <col min="8207" max="8207" width="7.6640625" style="51" customWidth="1"/>
    <col min="8208" max="8208" width="5.6640625" style="51" customWidth="1"/>
    <col min="8209" max="8209" width="5.88671875" style="51" customWidth="1"/>
    <col min="8210" max="8210" width="6.6640625" style="51" customWidth="1"/>
    <col min="8211" max="8211" width="5.33203125" style="51" customWidth="1"/>
    <col min="8212" max="8212" width="7.5546875" style="51" customWidth="1"/>
    <col min="8213" max="8213" width="5.33203125" style="51" customWidth="1"/>
    <col min="8214" max="8214" width="6.109375" style="51" customWidth="1"/>
    <col min="8215" max="8216" width="6.33203125" style="51" customWidth="1"/>
    <col min="8217" max="8217" width="6.5546875" style="51" bestFit="1" customWidth="1"/>
    <col min="8218" max="8218" width="6.44140625" style="51" customWidth="1"/>
    <col min="8219" max="8221" width="5.5546875" style="51" customWidth="1"/>
    <col min="8222" max="8222" width="5.6640625" style="51" customWidth="1"/>
    <col min="8223" max="8415" width="9.33203125" style="51"/>
    <col min="8416" max="8416" width="3.33203125" style="51" customWidth="1"/>
    <col min="8417" max="8417" width="32.33203125" style="51" customWidth="1"/>
    <col min="8418" max="8418" width="9.6640625" style="51" customWidth="1"/>
    <col min="8419" max="8419" width="10.109375" style="51" customWidth="1"/>
    <col min="8420" max="8424" width="0" style="51" hidden="1" customWidth="1"/>
    <col min="8425" max="8425" width="9.33203125" style="51"/>
    <col min="8426" max="8426" width="8.6640625" style="51" customWidth="1"/>
    <col min="8427" max="8427" width="6.6640625" style="51" customWidth="1"/>
    <col min="8428" max="8428" width="9.5546875" style="51" customWidth="1"/>
    <col min="8429" max="8429" width="6.6640625" style="51" customWidth="1"/>
    <col min="8430" max="8430" width="6.88671875" style="51" customWidth="1"/>
    <col min="8431" max="8431" width="9" style="51" customWidth="1"/>
    <col min="8432" max="8432" width="8.109375" style="51" customWidth="1"/>
    <col min="8433" max="8433" width="8" style="51" customWidth="1"/>
    <col min="8434" max="8434" width="9.109375" style="51" customWidth="1"/>
    <col min="8435" max="8435" width="7.6640625" style="51" customWidth="1"/>
    <col min="8436" max="8436" width="9.109375" style="51" customWidth="1"/>
    <col min="8437" max="8437" width="7.33203125" style="51" customWidth="1"/>
    <col min="8438" max="8438" width="7.109375" style="51" customWidth="1"/>
    <col min="8439" max="8439" width="8.6640625" style="51" customWidth="1"/>
    <col min="8440" max="8441" width="9.33203125" style="51"/>
    <col min="8442" max="8442" width="9.6640625" style="51" customWidth="1"/>
    <col min="8443" max="8443" width="6.6640625" style="51" customWidth="1"/>
    <col min="8444" max="8444" width="7" style="51" customWidth="1"/>
    <col min="8445" max="8445" width="5.33203125" style="51" customWidth="1"/>
    <col min="8446" max="8446" width="6.5546875" style="51" bestFit="1" customWidth="1"/>
    <col min="8447" max="8447" width="8.33203125" style="51" customWidth="1"/>
    <col min="8448" max="8448" width="8" style="51" customWidth="1"/>
    <col min="8449" max="8449" width="6.5546875" style="51" customWidth="1"/>
    <col min="8450" max="8450" width="8.33203125" style="51" customWidth="1"/>
    <col min="8451" max="8451" width="7.33203125" style="51" customWidth="1"/>
    <col min="8452" max="8452" width="8.109375" style="51" customWidth="1"/>
    <col min="8453" max="8453" width="5.44140625" style="51" customWidth="1"/>
    <col min="8454" max="8454" width="7.5546875" style="51" customWidth="1"/>
    <col min="8455" max="8455" width="6.5546875" style="51" customWidth="1"/>
    <col min="8456" max="8456" width="6.33203125" style="51" customWidth="1"/>
    <col min="8457" max="8457" width="7.6640625" style="51" customWidth="1"/>
    <col min="8458" max="8458" width="6.109375" style="51" customWidth="1"/>
    <col min="8459" max="8459" width="5.6640625" style="51" customWidth="1"/>
    <col min="8460" max="8460" width="6.6640625" style="51" customWidth="1"/>
    <col min="8461" max="8461" width="5.44140625" style="51" customWidth="1"/>
    <col min="8462" max="8462" width="6.5546875" style="51" customWidth="1"/>
    <col min="8463" max="8463" width="7.6640625" style="51" customWidth="1"/>
    <col min="8464" max="8464" width="5.6640625" style="51" customWidth="1"/>
    <col min="8465" max="8465" width="5.88671875" style="51" customWidth="1"/>
    <col min="8466" max="8466" width="6.6640625" style="51" customWidth="1"/>
    <col min="8467" max="8467" width="5.33203125" style="51" customWidth="1"/>
    <col min="8468" max="8468" width="7.5546875" style="51" customWidth="1"/>
    <col min="8469" max="8469" width="5.33203125" style="51" customWidth="1"/>
    <col min="8470" max="8470" width="6.109375" style="51" customWidth="1"/>
    <col min="8471" max="8472" width="6.33203125" style="51" customWidth="1"/>
    <col min="8473" max="8473" width="6.5546875" style="51" bestFit="1" customWidth="1"/>
    <col min="8474" max="8474" width="6.44140625" style="51" customWidth="1"/>
    <col min="8475" max="8477" width="5.5546875" style="51" customWidth="1"/>
    <col min="8478" max="8478" width="5.6640625" style="51" customWidth="1"/>
    <col min="8479" max="8671" width="9.33203125" style="51"/>
    <col min="8672" max="8672" width="3.33203125" style="51" customWidth="1"/>
    <col min="8673" max="8673" width="32.33203125" style="51" customWidth="1"/>
    <col min="8674" max="8674" width="9.6640625" style="51" customWidth="1"/>
    <col min="8675" max="8675" width="10.109375" style="51" customWidth="1"/>
    <col min="8676" max="8680" width="0" style="51" hidden="1" customWidth="1"/>
    <col min="8681" max="8681" width="9.33203125" style="51"/>
    <col min="8682" max="8682" width="8.6640625" style="51" customWidth="1"/>
    <col min="8683" max="8683" width="6.6640625" style="51" customWidth="1"/>
    <col min="8684" max="8684" width="9.5546875" style="51" customWidth="1"/>
    <col min="8685" max="8685" width="6.6640625" style="51" customWidth="1"/>
    <col min="8686" max="8686" width="6.88671875" style="51" customWidth="1"/>
    <col min="8687" max="8687" width="9" style="51" customWidth="1"/>
    <col min="8688" max="8688" width="8.109375" style="51" customWidth="1"/>
    <col min="8689" max="8689" width="8" style="51" customWidth="1"/>
    <col min="8690" max="8690" width="9.109375" style="51" customWidth="1"/>
    <col min="8691" max="8691" width="7.6640625" style="51" customWidth="1"/>
    <col min="8692" max="8692" width="9.109375" style="51" customWidth="1"/>
    <col min="8693" max="8693" width="7.33203125" style="51" customWidth="1"/>
    <col min="8694" max="8694" width="7.109375" style="51" customWidth="1"/>
    <col min="8695" max="8695" width="8.6640625" style="51" customWidth="1"/>
    <col min="8696" max="8697" width="9.33203125" style="51"/>
    <col min="8698" max="8698" width="9.6640625" style="51" customWidth="1"/>
    <col min="8699" max="8699" width="6.6640625" style="51" customWidth="1"/>
    <col min="8700" max="8700" width="7" style="51" customWidth="1"/>
    <col min="8701" max="8701" width="5.33203125" style="51" customWidth="1"/>
    <col min="8702" max="8702" width="6.5546875" style="51" bestFit="1" customWidth="1"/>
    <col min="8703" max="8703" width="8.33203125" style="51" customWidth="1"/>
    <col min="8704" max="8704" width="8" style="51" customWidth="1"/>
    <col min="8705" max="8705" width="6.5546875" style="51" customWidth="1"/>
    <col min="8706" max="8706" width="8.33203125" style="51" customWidth="1"/>
    <col min="8707" max="8707" width="7.33203125" style="51" customWidth="1"/>
    <col min="8708" max="8708" width="8.109375" style="51" customWidth="1"/>
    <col min="8709" max="8709" width="5.44140625" style="51" customWidth="1"/>
    <col min="8710" max="8710" width="7.5546875" style="51" customWidth="1"/>
    <col min="8711" max="8711" width="6.5546875" style="51" customWidth="1"/>
    <col min="8712" max="8712" width="6.33203125" style="51" customWidth="1"/>
    <col min="8713" max="8713" width="7.6640625" style="51" customWidth="1"/>
    <col min="8714" max="8714" width="6.109375" style="51" customWidth="1"/>
    <col min="8715" max="8715" width="5.6640625" style="51" customWidth="1"/>
    <col min="8716" max="8716" width="6.6640625" style="51" customWidth="1"/>
    <col min="8717" max="8717" width="5.44140625" style="51" customWidth="1"/>
    <col min="8718" max="8718" width="6.5546875" style="51" customWidth="1"/>
    <col min="8719" max="8719" width="7.6640625" style="51" customWidth="1"/>
    <col min="8720" max="8720" width="5.6640625" style="51" customWidth="1"/>
    <col min="8721" max="8721" width="5.88671875" style="51" customWidth="1"/>
    <col min="8722" max="8722" width="6.6640625" style="51" customWidth="1"/>
    <col min="8723" max="8723" width="5.33203125" style="51" customWidth="1"/>
    <col min="8724" max="8724" width="7.5546875" style="51" customWidth="1"/>
    <col min="8725" max="8725" width="5.33203125" style="51" customWidth="1"/>
    <col min="8726" max="8726" width="6.109375" style="51" customWidth="1"/>
    <col min="8727" max="8728" width="6.33203125" style="51" customWidth="1"/>
    <col min="8729" max="8729" width="6.5546875" style="51" bestFit="1" customWidth="1"/>
    <col min="8730" max="8730" width="6.44140625" style="51" customWidth="1"/>
    <col min="8731" max="8733" width="5.5546875" style="51" customWidth="1"/>
    <col min="8734" max="8734" width="5.6640625" style="51" customWidth="1"/>
    <col min="8735" max="8927" width="9.33203125" style="51"/>
    <col min="8928" max="8928" width="3.33203125" style="51" customWidth="1"/>
    <col min="8929" max="8929" width="32.33203125" style="51" customWidth="1"/>
    <col min="8930" max="8930" width="9.6640625" style="51" customWidth="1"/>
    <col min="8931" max="8931" width="10.109375" style="51" customWidth="1"/>
    <col min="8932" max="8936" width="0" style="51" hidden="1" customWidth="1"/>
    <col min="8937" max="8937" width="9.33203125" style="51"/>
    <col min="8938" max="8938" width="8.6640625" style="51" customWidth="1"/>
    <col min="8939" max="8939" width="6.6640625" style="51" customWidth="1"/>
    <col min="8940" max="8940" width="9.5546875" style="51" customWidth="1"/>
    <col min="8941" max="8941" width="6.6640625" style="51" customWidth="1"/>
    <col min="8942" max="8942" width="6.88671875" style="51" customWidth="1"/>
    <col min="8943" max="8943" width="9" style="51" customWidth="1"/>
    <col min="8944" max="8944" width="8.109375" style="51" customWidth="1"/>
    <col min="8945" max="8945" width="8" style="51" customWidth="1"/>
    <col min="8946" max="8946" width="9.109375" style="51" customWidth="1"/>
    <col min="8947" max="8947" width="7.6640625" style="51" customWidth="1"/>
    <col min="8948" max="8948" width="9.109375" style="51" customWidth="1"/>
    <col min="8949" max="8949" width="7.33203125" style="51" customWidth="1"/>
    <col min="8950" max="8950" width="7.109375" style="51" customWidth="1"/>
    <col min="8951" max="8951" width="8.6640625" style="51" customWidth="1"/>
    <col min="8952" max="8953" width="9.33203125" style="51"/>
    <col min="8954" max="8954" width="9.6640625" style="51" customWidth="1"/>
    <col min="8955" max="8955" width="6.6640625" style="51" customWidth="1"/>
    <col min="8956" max="8956" width="7" style="51" customWidth="1"/>
    <col min="8957" max="8957" width="5.33203125" style="51" customWidth="1"/>
    <col min="8958" max="8958" width="6.5546875" style="51" bestFit="1" customWidth="1"/>
    <col min="8959" max="8959" width="8.33203125" style="51" customWidth="1"/>
    <col min="8960" max="8960" width="8" style="51" customWidth="1"/>
    <col min="8961" max="8961" width="6.5546875" style="51" customWidth="1"/>
    <col min="8962" max="8962" width="8.33203125" style="51" customWidth="1"/>
    <col min="8963" max="8963" width="7.33203125" style="51" customWidth="1"/>
    <col min="8964" max="8964" width="8.109375" style="51" customWidth="1"/>
    <col min="8965" max="8965" width="5.44140625" style="51" customWidth="1"/>
    <col min="8966" max="8966" width="7.5546875" style="51" customWidth="1"/>
    <col min="8967" max="8967" width="6.5546875" style="51" customWidth="1"/>
    <col min="8968" max="8968" width="6.33203125" style="51" customWidth="1"/>
    <col min="8969" max="8969" width="7.6640625" style="51" customWidth="1"/>
    <col min="8970" max="8970" width="6.109375" style="51" customWidth="1"/>
    <col min="8971" max="8971" width="5.6640625" style="51" customWidth="1"/>
    <col min="8972" max="8972" width="6.6640625" style="51" customWidth="1"/>
    <col min="8973" max="8973" width="5.44140625" style="51" customWidth="1"/>
    <col min="8974" max="8974" width="6.5546875" style="51" customWidth="1"/>
    <col min="8975" max="8975" width="7.6640625" style="51" customWidth="1"/>
    <col min="8976" max="8976" width="5.6640625" style="51" customWidth="1"/>
    <col min="8977" max="8977" width="5.88671875" style="51" customWidth="1"/>
    <col min="8978" max="8978" width="6.6640625" style="51" customWidth="1"/>
    <col min="8979" max="8979" width="5.33203125" style="51" customWidth="1"/>
    <col min="8980" max="8980" width="7.5546875" style="51" customWidth="1"/>
    <col min="8981" max="8981" width="5.33203125" style="51" customWidth="1"/>
    <col min="8982" max="8982" width="6.109375" style="51" customWidth="1"/>
    <col min="8983" max="8984" width="6.33203125" style="51" customWidth="1"/>
    <col min="8985" max="8985" width="6.5546875" style="51" bestFit="1" customWidth="1"/>
    <col min="8986" max="8986" width="6.44140625" style="51" customWidth="1"/>
    <col min="8987" max="8989" width="5.5546875" style="51" customWidth="1"/>
    <col min="8990" max="8990" width="5.6640625" style="51" customWidth="1"/>
    <col min="8991" max="9183" width="9.33203125" style="51"/>
    <col min="9184" max="9184" width="3.33203125" style="51" customWidth="1"/>
    <col min="9185" max="9185" width="32.33203125" style="51" customWidth="1"/>
    <col min="9186" max="9186" width="9.6640625" style="51" customWidth="1"/>
    <col min="9187" max="9187" width="10.109375" style="51" customWidth="1"/>
    <col min="9188" max="9192" width="0" style="51" hidden="1" customWidth="1"/>
    <col min="9193" max="9193" width="9.33203125" style="51"/>
    <col min="9194" max="9194" width="8.6640625" style="51" customWidth="1"/>
    <col min="9195" max="9195" width="6.6640625" style="51" customWidth="1"/>
    <col min="9196" max="9196" width="9.5546875" style="51" customWidth="1"/>
    <col min="9197" max="9197" width="6.6640625" style="51" customWidth="1"/>
    <col min="9198" max="9198" width="6.88671875" style="51" customWidth="1"/>
    <col min="9199" max="9199" width="9" style="51" customWidth="1"/>
    <col min="9200" max="9200" width="8.109375" style="51" customWidth="1"/>
    <col min="9201" max="9201" width="8" style="51" customWidth="1"/>
    <col min="9202" max="9202" width="9.109375" style="51" customWidth="1"/>
    <col min="9203" max="9203" width="7.6640625" style="51" customWidth="1"/>
    <col min="9204" max="9204" width="9.109375" style="51" customWidth="1"/>
    <col min="9205" max="9205" width="7.33203125" style="51" customWidth="1"/>
    <col min="9206" max="9206" width="7.109375" style="51" customWidth="1"/>
    <col min="9207" max="9207" width="8.6640625" style="51" customWidth="1"/>
    <col min="9208" max="9209" width="9.33203125" style="51"/>
    <col min="9210" max="9210" width="9.6640625" style="51" customWidth="1"/>
    <col min="9211" max="9211" width="6.6640625" style="51" customWidth="1"/>
    <col min="9212" max="9212" width="7" style="51" customWidth="1"/>
    <col min="9213" max="9213" width="5.33203125" style="51" customWidth="1"/>
    <col min="9214" max="9214" width="6.5546875" style="51" bestFit="1" customWidth="1"/>
    <col min="9215" max="9215" width="8.33203125" style="51" customWidth="1"/>
    <col min="9216" max="9216" width="8" style="51" customWidth="1"/>
    <col min="9217" max="9217" width="6.5546875" style="51" customWidth="1"/>
    <col min="9218" max="9218" width="8.33203125" style="51" customWidth="1"/>
    <col min="9219" max="9219" width="7.33203125" style="51" customWidth="1"/>
    <col min="9220" max="9220" width="8.109375" style="51" customWidth="1"/>
    <col min="9221" max="9221" width="5.44140625" style="51" customWidth="1"/>
    <col min="9222" max="9222" width="7.5546875" style="51" customWidth="1"/>
    <col min="9223" max="9223" width="6.5546875" style="51" customWidth="1"/>
    <col min="9224" max="9224" width="6.33203125" style="51" customWidth="1"/>
    <col min="9225" max="9225" width="7.6640625" style="51" customWidth="1"/>
    <col min="9226" max="9226" width="6.109375" style="51" customWidth="1"/>
    <col min="9227" max="9227" width="5.6640625" style="51" customWidth="1"/>
    <col min="9228" max="9228" width="6.6640625" style="51" customWidth="1"/>
    <col min="9229" max="9229" width="5.44140625" style="51" customWidth="1"/>
    <col min="9230" max="9230" width="6.5546875" style="51" customWidth="1"/>
    <col min="9231" max="9231" width="7.6640625" style="51" customWidth="1"/>
    <col min="9232" max="9232" width="5.6640625" style="51" customWidth="1"/>
    <col min="9233" max="9233" width="5.88671875" style="51" customWidth="1"/>
    <col min="9234" max="9234" width="6.6640625" style="51" customWidth="1"/>
    <col min="9235" max="9235" width="5.33203125" style="51" customWidth="1"/>
    <col min="9236" max="9236" width="7.5546875" style="51" customWidth="1"/>
    <col min="9237" max="9237" width="5.33203125" style="51" customWidth="1"/>
    <col min="9238" max="9238" width="6.109375" style="51" customWidth="1"/>
    <col min="9239" max="9240" width="6.33203125" style="51" customWidth="1"/>
    <col min="9241" max="9241" width="6.5546875" style="51" bestFit="1" customWidth="1"/>
    <col min="9242" max="9242" width="6.44140625" style="51" customWidth="1"/>
    <col min="9243" max="9245" width="5.5546875" style="51" customWidth="1"/>
    <col min="9246" max="9246" width="5.6640625" style="51" customWidth="1"/>
    <col min="9247" max="9439" width="9.33203125" style="51"/>
    <col min="9440" max="9440" width="3.33203125" style="51" customWidth="1"/>
    <col min="9441" max="9441" width="32.33203125" style="51" customWidth="1"/>
    <col min="9442" max="9442" width="9.6640625" style="51" customWidth="1"/>
    <col min="9443" max="9443" width="10.109375" style="51" customWidth="1"/>
    <col min="9444" max="9448" width="0" style="51" hidden="1" customWidth="1"/>
    <col min="9449" max="9449" width="9.33203125" style="51"/>
    <col min="9450" max="9450" width="8.6640625" style="51" customWidth="1"/>
    <col min="9451" max="9451" width="6.6640625" style="51" customWidth="1"/>
    <col min="9452" max="9452" width="9.5546875" style="51" customWidth="1"/>
    <col min="9453" max="9453" width="6.6640625" style="51" customWidth="1"/>
    <col min="9454" max="9454" width="6.88671875" style="51" customWidth="1"/>
    <col min="9455" max="9455" width="9" style="51" customWidth="1"/>
    <col min="9456" max="9456" width="8.109375" style="51" customWidth="1"/>
    <col min="9457" max="9457" width="8" style="51" customWidth="1"/>
    <col min="9458" max="9458" width="9.109375" style="51" customWidth="1"/>
    <col min="9459" max="9459" width="7.6640625" style="51" customWidth="1"/>
    <col min="9460" max="9460" width="9.109375" style="51" customWidth="1"/>
    <col min="9461" max="9461" width="7.33203125" style="51" customWidth="1"/>
    <col min="9462" max="9462" width="7.109375" style="51" customWidth="1"/>
    <col min="9463" max="9463" width="8.6640625" style="51" customWidth="1"/>
    <col min="9464" max="9465" width="9.33203125" style="51"/>
    <col min="9466" max="9466" width="9.6640625" style="51" customWidth="1"/>
    <col min="9467" max="9467" width="6.6640625" style="51" customWidth="1"/>
    <col min="9468" max="9468" width="7" style="51" customWidth="1"/>
    <col min="9469" max="9469" width="5.33203125" style="51" customWidth="1"/>
    <col min="9470" max="9470" width="6.5546875" style="51" bestFit="1" customWidth="1"/>
    <col min="9471" max="9471" width="8.33203125" style="51" customWidth="1"/>
    <col min="9472" max="9472" width="8" style="51" customWidth="1"/>
    <col min="9473" max="9473" width="6.5546875" style="51" customWidth="1"/>
    <col min="9474" max="9474" width="8.33203125" style="51" customWidth="1"/>
    <col min="9475" max="9475" width="7.33203125" style="51" customWidth="1"/>
    <col min="9476" max="9476" width="8.109375" style="51" customWidth="1"/>
    <col min="9477" max="9477" width="5.44140625" style="51" customWidth="1"/>
    <col min="9478" max="9478" width="7.5546875" style="51" customWidth="1"/>
    <col min="9479" max="9479" width="6.5546875" style="51" customWidth="1"/>
    <col min="9480" max="9480" width="6.33203125" style="51" customWidth="1"/>
    <col min="9481" max="9481" width="7.6640625" style="51" customWidth="1"/>
    <col min="9482" max="9482" width="6.109375" style="51" customWidth="1"/>
    <col min="9483" max="9483" width="5.6640625" style="51" customWidth="1"/>
    <col min="9484" max="9484" width="6.6640625" style="51" customWidth="1"/>
    <col min="9485" max="9485" width="5.44140625" style="51" customWidth="1"/>
    <col min="9486" max="9486" width="6.5546875" style="51" customWidth="1"/>
    <col min="9487" max="9487" width="7.6640625" style="51" customWidth="1"/>
    <col min="9488" max="9488" width="5.6640625" style="51" customWidth="1"/>
    <col min="9489" max="9489" width="5.88671875" style="51" customWidth="1"/>
    <col min="9490" max="9490" width="6.6640625" style="51" customWidth="1"/>
    <col min="9491" max="9491" width="5.33203125" style="51" customWidth="1"/>
    <col min="9492" max="9492" width="7.5546875" style="51" customWidth="1"/>
    <col min="9493" max="9493" width="5.33203125" style="51" customWidth="1"/>
    <col min="9494" max="9494" width="6.109375" style="51" customWidth="1"/>
    <col min="9495" max="9496" width="6.33203125" style="51" customWidth="1"/>
    <col min="9497" max="9497" width="6.5546875" style="51" bestFit="1" customWidth="1"/>
    <col min="9498" max="9498" width="6.44140625" style="51" customWidth="1"/>
    <col min="9499" max="9501" width="5.5546875" style="51" customWidth="1"/>
    <col min="9502" max="9502" width="5.6640625" style="51" customWidth="1"/>
    <col min="9503" max="9695" width="9.33203125" style="51"/>
    <col min="9696" max="9696" width="3.33203125" style="51" customWidth="1"/>
    <col min="9697" max="9697" width="32.33203125" style="51" customWidth="1"/>
    <col min="9698" max="9698" width="9.6640625" style="51" customWidth="1"/>
    <col min="9699" max="9699" width="10.109375" style="51" customWidth="1"/>
    <col min="9700" max="9704" width="0" style="51" hidden="1" customWidth="1"/>
    <col min="9705" max="9705" width="9.33203125" style="51"/>
    <col min="9706" max="9706" width="8.6640625" style="51" customWidth="1"/>
    <col min="9707" max="9707" width="6.6640625" style="51" customWidth="1"/>
    <col min="9708" max="9708" width="9.5546875" style="51" customWidth="1"/>
    <col min="9709" max="9709" width="6.6640625" style="51" customWidth="1"/>
    <col min="9710" max="9710" width="6.88671875" style="51" customWidth="1"/>
    <col min="9711" max="9711" width="9" style="51" customWidth="1"/>
    <col min="9712" max="9712" width="8.109375" style="51" customWidth="1"/>
    <col min="9713" max="9713" width="8" style="51" customWidth="1"/>
    <col min="9714" max="9714" width="9.109375" style="51" customWidth="1"/>
    <col min="9715" max="9715" width="7.6640625" style="51" customWidth="1"/>
    <col min="9716" max="9716" width="9.109375" style="51" customWidth="1"/>
    <col min="9717" max="9717" width="7.33203125" style="51" customWidth="1"/>
    <col min="9718" max="9718" width="7.109375" style="51" customWidth="1"/>
    <col min="9719" max="9719" width="8.6640625" style="51" customWidth="1"/>
    <col min="9720" max="9721" width="9.33203125" style="51"/>
    <col min="9722" max="9722" width="9.6640625" style="51" customWidth="1"/>
    <col min="9723" max="9723" width="6.6640625" style="51" customWidth="1"/>
    <col min="9724" max="9724" width="7" style="51" customWidth="1"/>
    <col min="9725" max="9725" width="5.33203125" style="51" customWidth="1"/>
    <col min="9726" max="9726" width="6.5546875" style="51" bestFit="1" customWidth="1"/>
    <col min="9727" max="9727" width="8.33203125" style="51" customWidth="1"/>
    <col min="9728" max="9728" width="8" style="51" customWidth="1"/>
    <col min="9729" max="9729" width="6.5546875" style="51" customWidth="1"/>
    <col min="9730" max="9730" width="8.33203125" style="51" customWidth="1"/>
    <col min="9731" max="9731" width="7.33203125" style="51" customWidth="1"/>
    <col min="9732" max="9732" width="8.109375" style="51" customWidth="1"/>
    <col min="9733" max="9733" width="5.44140625" style="51" customWidth="1"/>
    <col min="9734" max="9734" width="7.5546875" style="51" customWidth="1"/>
    <col min="9735" max="9735" width="6.5546875" style="51" customWidth="1"/>
    <col min="9736" max="9736" width="6.33203125" style="51" customWidth="1"/>
    <col min="9737" max="9737" width="7.6640625" style="51" customWidth="1"/>
    <col min="9738" max="9738" width="6.109375" style="51" customWidth="1"/>
    <col min="9739" max="9739" width="5.6640625" style="51" customWidth="1"/>
    <col min="9740" max="9740" width="6.6640625" style="51" customWidth="1"/>
    <col min="9741" max="9741" width="5.44140625" style="51" customWidth="1"/>
    <col min="9742" max="9742" width="6.5546875" style="51" customWidth="1"/>
    <col min="9743" max="9743" width="7.6640625" style="51" customWidth="1"/>
    <col min="9744" max="9744" width="5.6640625" style="51" customWidth="1"/>
    <col min="9745" max="9745" width="5.88671875" style="51" customWidth="1"/>
    <col min="9746" max="9746" width="6.6640625" style="51" customWidth="1"/>
    <col min="9747" max="9747" width="5.33203125" style="51" customWidth="1"/>
    <col min="9748" max="9748" width="7.5546875" style="51" customWidth="1"/>
    <col min="9749" max="9749" width="5.33203125" style="51" customWidth="1"/>
    <col min="9750" max="9750" width="6.109375" style="51" customWidth="1"/>
    <col min="9751" max="9752" width="6.33203125" style="51" customWidth="1"/>
    <col min="9753" max="9753" width="6.5546875" style="51" bestFit="1" customWidth="1"/>
    <col min="9754" max="9754" width="6.44140625" style="51" customWidth="1"/>
    <col min="9755" max="9757" width="5.5546875" style="51" customWidth="1"/>
    <col min="9758" max="9758" width="5.6640625" style="51" customWidth="1"/>
    <col min="9759" max="9951" width="9.33203125" style="51"/>
    <col min="9952" max="9952" width="3.33203125" style="51" customWidth="1"/>
    <col min="9953" max="9953" width="32.33203125" style="51" customWidth="1"/>
    <col min="9954" max="9954" width="9.6640625" style="51" customWidth="1"/>
    <col min="9955" max="9955" width="10.109375" style="51" customWidth="1"/>
    <col min="9956" max="9960" width="0" style="51" hidden="1" customWidth="1"/>
    <col min="9961" max="9961" width="9.33203125" style="51"/>
    <col min="9962" max="9962" width="8.6640625" style="51" customWidth="1"/>
    <col min="9963" max="9963" width="6.6640625" style="51" customWidth="1"/>
    <col min="9964" max="9964" width="9.5546875" style="51" customWidth="1"/>
    <col min="9965" max="9965" width="6.6640625" style="51" customWidth="1"/>
    <col min="9966" max="9966" width="6.88671875" style="51" customWidth="1"/>
    <col min="9967" max="9967" width="9" style="51" customWidth="1"/>
    <col min="9968" max="9968" width="8.109375" style="51" customWidth="1"/>
    <col min="9969" max="9969" width="8" style="51" customWidth="1"/>
    <col min="9970" max="9970" width="9.109375" style="51" customWidth="1"/>
    <col min="9971" max="9971" width="7.6640625" style="51" customWidth="1"/>
    <col min="9972" max="9972" width="9.109375" style="51" customWidth="1"/>
    <col min="9973" max="9973" width="7.33203125" style="51" customWidth="1"/>
    <col min="9974" max="9974" width="7.109375" style="51" customWidth="1"/>
    <col min="9975" max="9975" width="8.6640625" style="51" customWidth="1"/>
    <col min="9976" max="9977" width="9.33203125" style="51"/>
    <col min="9978" max="9978" width="9.6640625" style="51" customWidth="1"/>
    <col min="9979" max="9979" width="6.6640625" style="51" customWidth="1"/>
    <col min="9980" max="9980" width="7" style="51" customWidth="1"/>
    <col min="9981" max="9981" width="5.33203125" style="51" customWidth="1"/>
    <col min="9982" max="9982" width="6.5546875" style="51" bestFit="1" customWidth="1"/>
    <col min="9983" max="9983" width="8.33203125" style="51" customWidth="1"/>
    <col min="9984" max="9984" width="8" style="51" customWidth="1"/>
    <col min="9985" max="9985" width="6.5546875" style="51" customWidth="1"/>
    <col min="9986" max="9986" width="8.33203125" style="51" customWidth="1"/>
    <col min="9987" max="9987" width="7.33203125" style="51" customWidth="1"/>
    <col min="9988" max="9988" width="8.109375" style="51" customWidth="1"/>
    <col min="9989" max="9989" width="5.44140625" style="51" customWidth="1"/>
    <col min="9990" max="9990" width="7.5546875" style="51" customWidth="1"/>
    <col min="9991" max="9991" width="6.5546875" style="51" customWidth="1"/>
    <col min="9992" max="9992" width="6.33203125" style="51" customWidth="1"/>
    <col min="9993" max="9993" width="7.6640625" style="51" customWidth="1"/>
    <col min="9994" max="9994" width="6.109375" style="51" customWidth="1"/>
    <col min="9995" max="9995" width="5.6640625" style="51" customWidth="1"/>
    <col min="9996" max="9996" width="6.6640625" style="51" customWidth="1"/>
    <col min="9997" max="9997" width="5.44140625" style="51" customWidth="1"/>
    <col min="9998" max="9998" width="6.5546875" style="51" customWidth="1"/>
    <col min="9999" max="9999" width="7.6640625" style="51" customWidth="1"/>
    <col min="10000" max="10000" width="5.6640625" style="51" customWidth="1"/>
    <col min="10001" max="10001" width="5.88671875" style="51" customWidth="1"/>
    <col min="10002" max="10002" width="6.6640625" style="51" customWidth="1"/>
    <col min="10003" max="10003" width="5.33203125" style="51" customWidth="1"/>
    <col min="10004" max="10004" width="7.5546875" style="51" customWidth="1"/>
    <col min="10005" max="10005" width="5.33203125" style="51" customWidth="1"/>
    <col min="10006" max="10006" width="6.109375" style="51" customWidth="1"/>
    <col min="10007" max="10008" width="6.33203125" style="51" customWidth="1"/>
    <col min="10009" max="10009" width="6.5546875" style="51" bestFit="1" customWidth="1"/>
    <col min="10010" max="10010" width="6.44140625" style="51" customWidth="1"/>
    <col min="10011" max="10013" width="5.5546875" style="51" customWidth="1"/>
    <col min="10014" max="10014" width="5.6640625" style="51" customWidth="1"/>
    <col min="10015" max="10207" width="9.33203125" style="51"/>
    <col min="10208" max="10208" width="3.33203125" style="51" customWidth="1"/>
    <col min="10209" max="10209" width="32.33203125" style="51" customWidth="1"/>
    <col min="10210" max="10210" width="9.6640625" style="51" customWidth="1"/>
    <col min="10211" max="10211" width="10.109375" style="51" customWidth="1"/>
    <col min="10212" max="10216" width="0" style="51" hidden="1" customWidth="1"/>
    <col min="10217" max="10217" width="9.33203125" style="51"/>
    <col min="10218" max="10218" width="8.6640625" style="51" customWidth="1"/>
    <col min="10219" max="10219" width="6.6640625" style="51" customWidth="1"/>
    <col min="10220" max="10220" width="9.5546875" style="51" customWidth="1"/>
    <col min="10221" max="10221" width="6.6640625" style="51" customWidth="1"/>
    <col min="10222" max="10222" width="6.88671875" style="51" customWidth="1"/>
    <col min="10223" max="10223" width="9" style="51" customWidth="1"/>
    <col min="10224" max="10224" width="8.109375" style="51" customWidth="1"/>
    <col min="10225" max="10225" width="8" style="51" customWidth="1"/>
    <col min="10226" max="10226" width="9.109375" style="51" customWidth="1"/>
    <col min="10227" max="10227" width="7.6640625" style="51" customWidth="1"/>
    <col min="10228" max="10228" width="9.109375" style="51" customWidth="1"/>
    <col min="10229" max="10229" width="7.33203125" style="51" customWidth="1"/>
    <col min="10230" max="10230" width="7.109375" style="51" customWidth="1"/>
    <col min="10231" max="10231" width="8.6640625" style="51" customWidth="1"/>
    <col min="10232" max="10233" width="9.33203125" style="51"/>
    <col min="10234" max="10234" width="9.6640625" style="51" customWidth="1"/>
    <col min="10235" max="10235" width="6.6640625" style="51" customWidth="1"/>
    <col min="10236" max="10236" width="7" style="51" customWidth="1"/>
    <col min="10237" max="10237" width="5.33203125" style="51" customWidth="1"/>
    <col min="10238" max="10238" width="6.5546875" style="51" bestFit="1" customWidth="1"/>
    <col min="10239" max="10239" width="8.33203125" style="51" customWidth="1"/>
    <col min="10240" max="10240" width="8" style="51" customWidth="1"/>
    <col min="10241" max="10241" width="6.5546875" style="51" customWidth="1"/>
    <col min="10242" max="10242" width="8.33203125" style="51" customWidth="1"/>
    <col min="10243" max="10243" width="7.33203125" style="51" customWidth="1"/>
    <col min="10244" max="10244" width="8.109375" style="51" customWidth="1"/>
    <col min="10245" max="10245" width="5.44140625" style="51" customWidth="1"/>
    <col min="10246" max="10246" width="7.5546875" style="51" customWidth="1"/>
    <col min="10247" max="10247" width="6.5546875" style="51" customWidth="1"/>
    <col min="10248" max="10248" width="6.33203125" style="51" customWidth="1"/>
    <col min="10249" max="10249" width="7.6640625" style="51" customWidth="1"/>
    <col min="10250" max="10250" width="6.109375" style="51" customWidth="1"/>
    <col min="10251" max="10251" width="5.6640625" style="51" customWidth="1"/>
    <col min="10252" max="10252" width="6.6640625" style="51" customWidth="1"/>
    <col min="10253" max="10253" width="5.44140625" style="51" customWidth="1"/>
    <col min="10254" max="10254" width="6.5546875" style="51" customWidth="1"/>
    <col min="10255" max="10255" width="7.6640625" style="51" customWidth="1"/>
    <col min="10256" max="10256" width="5.6640625" style="51" customWidth="1"/>
    <col min="10257" max="10257" width="5.88671875" style="51" customWidth="1"/>
    <col min="10258" max="10258" width="6.6640625" style="51" customWidth="1"/>
    <col min="10259" max="10259" width="5.33203125" style="51" customWidth="1"/>
    <col min="10260" max="10260" width="7.5546875" style="51" customWidth="1"/>
    <col min="10261" max="10261" width="5.33203125" style="51" customWidth="1"/>
    <col min="10262" max="10262" width="6.109375" style="51" customWidth="1"/>
    <col min="10263" max="10264" width="6.33203125" style="51" customWidth="1"/>
    <col min="10265" max="10265" width="6.5546875" style="51" bestFit="1" customWidth="1"/>
    <col min="10266" max="10266" width="6.44140625" style="51" customWidth="1"/>
    <col min="10267" max="10269" width="5.5546875" style="51" customWidth="1"/>
    <col min="10270" max="10270" width="5.6640625" style="51" customWidth="1"/>
    <col min="10271" max="10463" width="9.33203125" style="51"/>
    <col min="10464" max="10464" width="3.33203125" style="51" customWidth="1"/>
    <col min="10465" max="10465" width="32.33203125" style="51" customWidth="1"/>
    <col min="10466" max="10466" width="9.6640625" style="51" customWidth="1"/>
    <col min="10467" max="10467" width="10.109375" style="51" customWidth="1"/>
    <col min="10468" max="10472" width="0" style="51" hidden="1" customWidth="1"/>
    <col min="10473" max="10473" width="9.33203125" style="51"/>
    <col min="10474" max="10474" width="8.6640625" style="51" customWidth="1"/>
    <col min="10475" max="10475" width="6.6640625" style="51" customWidth="1"/>
    <col min="10476" max="10476" width="9.5546875" style="51" customWidth="1"/>
    <col min="10477" max="10477" width="6.6640625" style="51" customWidth="1"/>
    <col min="10478" max="10478" width="6.88671875" style="51" customWidth="1"/>
    <col min="10479" max="10479" width="9" style="51" customWidth="1"/>
    <col min="10480" max="10480" width="8.109375" style="51" customWidth="1"/>
    <col min="10481" max="10481" width="8" style="51" customWidth="1"/>
    <col min="10482" max="10482" width="9.109375" style="51" customWidth="1"/>
    <col min="10483" max="10483" width="7.6640625" style="51" customWidth="1"/>
    <col min="10484" max="10484" width="9.109375" style="51" customWidth="1"/>
    <col min="10485" max="10485" width="7.33203125" style="51" customWidth="1"/>
    <col min="10486" max="10486" width="7.109375" style="51" customWidth="1"/>
    <col min="10487" max="10487" width="8.6640625" style="51" customWidth="1"/>
    <col min="10488" max="10489" width="9.33203125" style="51"/>
    <col min="10490" max="10490" width="9.6640625" style="51" customWidth="1"/>
    <col min="10491" max="10491" width="6.6640625" style="51" customWidth="1"/>
    <col min="10492" max="10492" width="7" style="51" customWidth="1"/>
    <col min="10493" max="10493" width="5.33203125" style="51" customWidth="1"/>
    <col min="10494" max="10494" width="6.5546875" style="51" bestFit="1" customWidth="1"/>
    <col min="10495" max="10495" width="8.33203125" style="51" customWidth="1"/>
    <col min="10496" max="10496" width="8" style="51" customWidth="1"/>
    <col min="10497" max="10497" width="6.5546875" style="51" customWidth="1"/>
    <col min="10498" max="10498" width="8.33203125" style="51" customWidth="1"/>
    <col min="10499" max="10499" width="7.33203125" style="51" customWidth="1"/>
    <col min="10500" max="10500" width="8.109375" style="51" customWidth="1"/>
    <col min="10501" max="10501" width="5.44140625" style="51" customWidth="1"/>
    <col min="10502" max="10502" width="7.5546875" style="51" customWidth="1"/>
    <col min="10503" max="10503" width="6.5546875" style="51" customWidth="1"/>
    <col min="10504" max="10504" width="6.33203125" style="51" customWidth="1"/>
    <col min="10505" max="10505" width="7.6640625" style="51" customWidth="1"/>
    <col min="10506" max="10506" width="6.109375" style="51" customWidth="1"/>
    <col min="10507" max="10507" width="5.6640625" style="51" customWidth="1"/>
    <col min="10508" max="10508" width="6.6640625" style="51" customWidth="1"/>
    <col min="10509" max="10509" width="5.44140625" style="51" customWidth="1"/>
    <col min="10510" max="10510" width="6.5546875" style="51" customWidth="1"/>
    <col min="10511" max="10511" width="7.6640625" style="51" customWidth="1"/>
    <col min="10512" max="10512" width="5.6640625" style="51" customWidth="1"/>
    <col min="10513" max="10513" width="5.88671875" style="51" customWidth="1"/>
    <col min="10514" max="10514" width="6.6640625" style="51" customWidth="1"/>
    <col min="10515" max="10515" width="5.33203125" style="51" customWidth="1"/>
    <col min="10516" max="10516" width="7.5546875" style="51" customWidth="1"/>
    <col min="10517" max="10517" width="5.33203125" style="51" customWidth="1"/>
    <col min="10518" max="10518" width="6.109375" style="51" customWidth="1"/>
    <col min="10519" max="10520" width="6.33203125" style="51" customWidth="1"/>
    <col min="10521" max="10521" width="6.5546875" style="51" bestFit="1" customWidth="1"/>
    <col min="10522" max="10522" width="6.44140625" style="51" customWidth="1"/>
    <col min="10523" max="10525" width="5.5546875" style="51" customWidth="1"/>
    <col min="10526" max="10526" width="5.6640625" style="51" customWidth="1"/>
    <col min="10527" max="10719" width="9.33203125" style="51"/>
    <col min="10720" max="10720" width="3.33203125" style="51" customWidth="1"/>
    <col min="10721" max="10721" width="32.33203125" style="51" customWidth="1"/>
    <col min="10722" max="10722" width="9.6640625" style="51" customWidth="1"/>
    <col min="10723" max="10723" width="10.109375" style="51" customWidth="1"/>
    <col min="10724" max="10728" width="0" style="51" hidden="1" customWidth="1"/>
    <col min="10729" max="10729" width="9.33203125" style="51"/>
    <col min="10730" max="10730" width="8.6640625" style="51" customWidth="1"/>
    <col min="10731" max="10731" width="6.6640625" style="51" customWidth="1"/>
    <col min="10732" max="10732" width="9.5546875" style="51" customWidth="1"/>
    <col min="10733" max="10733" width="6.6640625" style="51" customWidth="1"/>
    <col min="10734" max="10734" width="6.88671875" style="51" customWidth="1"/>
    <col min="10735" max="10735" width="9" style="51" customWidth="1"/>
    <col min="10736" max="10736" width="8.109375" style="51" customWidth="1"/>
    <col min="10737" max="10737" width="8" style="51" customWidth="1"/>
    <col min="10738" max="10738" width="9.109375" style="51" customWidth="1"/>
    <col min="10739" max="10739" width="7.6640625" style="51" customWidth="1"/>
    <col min="10740" max="10740" width="9.109375" style="51" customWidth="1"/>
    <col min="10741" max="10741" width="7.33203125" style="51" customWidth="1"/>
    <col min="10742" max="10742" width="7.109375" style="51" customWidth="1"/>
    <col min="10743" max="10743" width="8.6640625" style="51" customWidth="1"/>
    <col min="10744" max="10745" width="9.33203125" style="51"/>
    <col min="10746" max="10746" width="9.6640625" style="51" customWidth="1"/>
    <col min="10747" max="10747" width="6.6640625" style="51" customWidth="1"/>
    <col min="10748" max="10748" width="7" style="51" customWidth="1"/>
    <col min="10749" max="10749" width="5.33203125" style="51" customWidth="1"/>
    <col min="10750" max="10750" width="6.5546875" style="51" bestFit="1" customWidth="1"/>
    <col min="10751" max="10751" width="8.33203125" style="51" customWidth="1"/>
    <col min="10752" max="10752" width="8" style="51" customWidth="1"/>
    <col min="10753" max="10753" width="6.5546875" style="51" customWidth="1"/>
    <col min="10754" max="10754" width="8.33203125" style="51" customWidth="1"/>
    <col min="10755" max="10755" width="7.33203125" style="51" customWidth="1"/>
    <col min="10756" max="10756" width="8.109375" style="51" customWidth="1"/>
    <col min="10757" max="10757" width="5.44140625" style="51" customWidth="1"/>
    <col min="10758" max="10758" width="7.5546875" style="51" customWidth="1"/>
    <col min="10759" max="10759" width="6.5546875" style="51" customWidth="1"/>
    <col min="10760" max="10760" width="6.33203125" style="51" customWidth="1"/>
    <col min="10761" max="10761" width="7.6640625" style="51" customWidth="1"/>
    <col min="10762" max="10762" width="6.109375" style="51" customWidth="1"/>
    <col min="10763" max="10763" width="5.6640625" style="51" customWidth="1"/>
    <col min="10764" max="10764" width="6.6640625" style="51" customWidth="1"/>
    <col min="10765" max="10765" width="5.44140625" style="51" customWidth="1"/>
    <col min="10766" max="10766" width="6.5546875" style="51" customWidth="1"/>
    <col min="10767" max="10767" width="7.6640625" style="51" customWidth="1"/>
    <col min="10768" max="10768" width="5.6640625" style="51" customWidth="1"/>
    <col min="10769" max="10769" width="5.88671875" style="51" customWidth="1"/>
    <col min="10770" max="10770" width="6.6640625" style="51" customWidth="1"/>
    <col min="10771" max="10771" width="5.33203125" style="51" customWidth="1"/>
    <col min="10772" max="10772" width="7.5546875" style="51" customWidth="1"/>
    <col min="10773" max="10773" width="5.33203125" style="51" customWidth="1"/>
    <col min="10774" max="10774" width="6.109375" style="51" customWidth="1"/>
    <col min="10775" max="10776" width="6.33203125" style="51" customWidth="1"/>
    <col min="10777" max="10777" width="6.5546875" style="51" bestFit="1" customWidth="1"/>
    <col min="10778" max="10778" width="6.44140625" style="51" customWidth="1"/>
    <col min="10779" max="10781" width="5.5546875" style="51" customWidth="1"/>
    <col min="10782" max="10782" width="5.6640625" style="51" customWidth="1"/>
    <col min="10783" max="10975" width="9.33203125" style="51"/>
    <col min="10976" max="10976" width="3.33203125" style="51" customWidth="1"/>
    <col min="10977" max="10977" width="32.33203125" style="51" customWidth="1"/>
    <col min="10978" max="10978" width="9.6640625" style="51" customWidth="1"/>
    <col min="10979" max="10979" width="10.109375" style="51" customWidth="1"/>
    <col min="10980" max="10984" width="0" style="51" hidden="1" customWidth="1"/>
    <col min="10985" max="10985" width="9.33203125" style="51"/>
    <col min="10986" max="10986" width="8.6640625" style="51" customWidth="1"/>
    <col min="10987" max="10987" width="6.6640625" style="51" customWidth="1"/>
    <col min="10988" max="10988" width="9.5546875" style="51" customWidth="1"/>
    <col min="10989" max="10989" width="6.6640625" style="51" customWidth="1"/>
    <col min="10990" max="10990" width="6.88671875" style="51" customWidth="1"/>
    <col min="10991" max="10991" width="9" style="51" customWidth="1"/>
    <col min="10992" max="10992" width="8.109375" style="51" customWidth="1"/>
    <col min="10993" max="10993" width="8" style="51" customWidth="1"/>
    <col min="10994" max="10994" width="9.109375" style="51" customWidth="1"/>
    <col min="10995" max="10995" width="7.6640625" style="51" customWidth="1"/>
    <col min="10996" max="10996" width="9.109375" style="51" customWidth="1"/>
    <col min="10997" max="10997" width="7.33203125" style="51" customWidth="1"/>
    <col min="10998" max="10998" width="7.109375" style="51" customWidth="1"/>
    <col min="10999" max="10999" width="8.6640625" style="51" customWidth="1"/>
    <col min="11000" max="11001" width="9.33203125" style="51"/>
    <col min="11002" max="11002" width="9.6640625" style="51" customWidth="1"/>
    <col min="11003" max="11003" width="6.6640625" style="51" customWidth="1"/>
    <col min="11004" max="11004" width="7" style="51" customWidth="1"/>
    <col min="11005" max="11005" width="5.33203125" style="51" customWidth="1"/>
    <col min="11006" max="11006" width="6.5546875" style="51" bestFit="1" customWidth="1"/>
    <col min="11007" max="11007" width="8.33203125" style="51" customWidth="1"/>
    <col min="11008" max="11008" width="8" style="51" customWidth="1"/>
    <col min="11009" max="11009" width="6.5546875" style="51" customWidth="1"/>
    <col min="11010" max="11010" width="8.33203125" style="51" customWidth="1"/>
    <col min="11011" max="11011" width="7.33203125" style="51" customWidth="1"/>
    <col min="11012" max="11012" width="8.109375" style="51" customWidth="1"/>
    <col min="11013" max="11013" width="5.44140625" style="51" customWidth="1"/>
    <col min="11014" max="11014" width="7.5546875" style="51" customWidth="1"/>
    <col min="11015" max="11015" width="6.5546875" style="51" customWidth="1"/>
    <col min="11016" max="11016" width="6.33203125" style="51" customWidth="1"/>
    <col min="11017" max="11017" width="7.6640625" style="51" customWidth="1"/>
    <col min="11018" max="11018" width="6.109375" style="51" customWidth="1"/>
    <col min="11019" max="11019" width="5.6640625" style="51" customWidth="1"/>
    <col min="11020" max="11020" width="6.6640625" style="51" customWidth="1"/>
    <col min="11021" max="11021" width="5.44140625" style="51" customWidth="1"/>
    <col min="11022" max="11022" width="6.5546875" style="51" customWidth="1"/>
    <col min="11023" max="11023" width="7.6640625" style="51" customWidth="1"/>
    <col min="11024" max="11024" width="5.6640625" style="51" customWidth="1"/>
    <col min="11025" max="11025" width="5.88671875" style="51" customWidth="1"/>
    <col min="11026" max="11026" width="6.6640625" style="51" customWidth="1"/>
    <col min="11027" max="11027" width="5.33203125" style="51" customWidth="1"/>
    <col min="11028" max="11028" width="7.5546875" style="51" customWidth="1"/>
    <col min="11029" max="11029" width="5.33203125" style="51" customWidth="1"/>
    <col min="11030" max="11030" width="6.109375" style="51" customWidth="1"/>
    <col min="11031" max="11032" width="6.33203125" style="51" customWidth="1"/>
    <col min="11033" max="11033" width="6.5546875" style="51" bestFit="1" customWidth="1"/>
    <col min="11034" max="11034" width="6.44140625" style="51" customWidth="1"/>
    <col min="11035" max="11037" width="5.5546875" style="51" customWidth="1"/>
    <col min="11038" max="11038" width="5.6640625" style="51" customWidth="1"/>
    <col min="11039" max="11231" width="9.33203125" style="51"/>
    <col min="11232" max="11232" width="3.33203125" style="51" customWidth="1"/>
    <col min="11233" max="11233" width="32.33203125" style="51" customWidth="1"/>
    <col min="11234" max="11234" width="9.6640625" style="51" customWidth="1"/>
    <col min="11235" max="11235" width="10.109375" style="51" customWidth="1"/>
    <col min="11236" max="11240" width="0" style="51" hidden="1" customWidth="1"/>
    <col min="11241" max="11241" width="9.33203125" style="51"/>
    <col min="11242" max="11242" width="8.6640625" style="51" customWidth="1"/>
    <col min="11243" max="11243" width="6.6640625" style="51" customWidth="1"/>
    <col min="11244" max="11244" width="9.5546875" style="51" customWidth="1"/>
    <col min="11245" max="11245" width="6.6640625" style="51" customWidth="1"/>
    <col min="11246" max="11246" width="6.88671875" style="51" customWidth="1"/>
    <col min="11247" max="11247" width="9" style="51" customWidth="1"/>
    <col min="11248" max="11248" width="8.109375" style="51" customWidth="1"/>
    <col min="11249" max="11249" width="8" style="51" customWidth="1"/>
    <col min="11250" max="11250" width="9.109375" style="51" customWidth="1"/>
    <col min="11251" max="11251" width="7.6640625" style="51" customWidth="1"/>
    <col min="11252" max="11252" width="9.109375" style="51" customWidth="1"/>
    <col min="11253" max="11253" width="7.33203125" style="51" customWidth="1"/>
    <col min="11254" max="11254" width="7.109375" style="51" customWidth="1"/>
    <col min="11255" max="11255" width="8.6640625" style="51" customWidth="1"/>
    <col min="11256" max="11257" width="9.33203125" style="51"/>
    <col min="11258" max="11258" width="9.6640625" style="51" customWidth="1"/>
    <col min="11259" max="11259" width="6.6640625" style="51" customWidth="1"/>
    <col min="11260" max="11260" width="7" style="51" customWidth="1"/>
    <col min="11261" max="11261" width="5.33203125" style="51" customWidth="1"/>
    <col min="11262" max="11262" width="6.5546875" style="51" bestFit="1" customWidth="1"/>
    <col min="11263" max="11263" width="8.33203125" style="51" customWidth="1"/>
    <col min="11264" max="11264" width="8" style="51" customWidth="1"/>
    <col min="11265" max="11265" width="6.5546875" style="51" customWidth="1"/>
    <col min="11266" max="11266" width="8.33203125" style="51" customWidth="1"/>
    <col min="11267" max="11267" width="7.33203125" style="51" customWidth="1"/>
    <col min="11268" max="11268" width="8.109375" style="51" customWidth="1"/>
    <col min="11269" max="11269" width="5.44140625" style="51" customWidth="1"/>
    <col min="11270" max="11270" width="7.5546875" style="51" customWidth="1"/>
    <col min="11271" max="11271" width="6.5546875" style="51" customWidth="1"/>
    <col min="11272" max="11272" width="6.33203125" style="51" customWidth="1"/>
    <col min="11273" max="11273" width="7.6640625" style="51" customWidth="1"/>
    <col min="11274" max="11274" width="6.109375" style="51" customWidth="1"/>
    <col min="11275" max="11275" width="5.6640625" style="51" customWidth="1"/>
    <col min="11276" max="11276" width="6.6640625" style="51" customWidth="1"/>
    <col min="11277" max="11277" width="5.44140625" style="51" customWidth="1"/>
    <col min="11278" max="11278" width="6.5546875" style="51" customWidth="1"/>
    <col min="11279" max="11279" width="7.6640625" style="51" customWidth="1"/>
    <col min="11280" max="11280" width="5.6640625" style="51" customWidth="1"/>
    <col min="11281" max="11281" width="5.88671875" style="51" customWidth="1"/>
    <col min="11282" max="11282" width="6.6640625" style="51" customWidth="1"/>
    <col min="11283" max="11283" width="5.33203125" style="51" customWidth="1"/>
    <col min="11284" max="11284" width="7.5546875" style="51" customWidth="1"/>
    <col min="11285" max="11285" width="5.33203125" style="51" customWidth="1"/>
    <col min="11286" max="11286" width="6.109375" style="51" customWidth="1"/>
    <col min="11287" max="11288" width="6.33203125" style="51" customWidth="1"/>
    <col min="11289" max="11289" width="6.5546875" style="51" bestFit="1" customWidth="1"/>
    <col min="11290" max="11290" width="6.44140625" style="51" customWidth="1"/>
    <col min="11291" max="11293" width="5.5546875" style="51" customWidth="1"/>
    <col min="11294" max="11294" width="5.6640625" style="51" customWidth="1"/>
    <col min="11295" max="11487" width="9.33203125" style="51"/>
    <col min="11488" max="11488" width="3.33203125" style="51" customWidth="1"/>
    <col min="11489" max="11489" width="32.33203125" style="51" customWidth="1"/>
    <col min="11490" max="11490" width="9.6640625" style="51" customWidth="1"/>
    <col min="11491" max="11491" width="10.109375" style="51" customWidth="1"/>
    <col min="11492" max="11496" width="0" style="51" hidden="1" customWidth="1"/>
    <col min="11497" max="11497" width="9.33203125" style="51"/>
    <col min="11498" max="11498" width="8.6640625" style="51" customWidth="1"/>
    <col min="11499" max="11499" width="6.6640625" style="51" customWidth="1"/>
    <col min="11500" max="11500" width="9.5546875" style="51" customWidth="1"/>
    <col min="11501" max="11501" width="6.6640625" style="51" customWidth="1"/>
    <col min="11502" max="11502" width="6.88671875" style="51" customWidth="1"/>
    <col min="11503" max="11503" width="9" style="51" customWidth="1"/>
    <col min="11504" max="11504" width="8.109375" style="51" customWidth="1"/>
    <col min="11505" max="11505" width="8" style="51" customWidth="1"/>
    <col min="11506" max="11506" width="9.109375" style="51" customWidth="1"/>
    <col min="11507" max="11507" width="7.6640625" style="51" customWidth="1"/>
    <col min="11508" max="11508" width="9.109375" style="51" customWidth="1"/>
    <col min="11509" max="11509" width="7.33203125" style="51" customWidth="1"/>
    <col min="11510" max="11510" width="7.109375" style="51" customWidth="1"/>
    <col min="11511" max="11511" width="8.6640625" style="51" customWidth="1"/>
    <col min="11512" max="11513" width="9.33203125" style="51"/>
    <col min="11514" max="11514" width="9.6640625" style="51" customWidth="1"/>
    <col min="11515" max="11515" width="6.6640625" style="51" customWidth="1"/>
    <col min="11516" max="11516" width="7" style="51" customWidth="1"/>
    <col min="11517" max="11517" width="5.33203125" style="51" customWidth="1"/>
    <col min="11518" max="11518" width="6.5546875" style="51" bestFit="1" customWidth="1"/>
    <col min="11519" max="11519" width="8.33203125" style="51" customWidth="1"/>
    <col min="11520" max="11520" width="8" style="51" customWidth="1"/>
    <col min="11521" max="11521" width="6.5546875" style="51" customWidth="1"/>
    <col min="11522" max="11522" width="8.33203125" style="51" customWidth="1"/>
    <col min="11523" max="11523" width="7.33203125" style="51" customWidth="1"/>
    <col min="11524" max="11524" width="8.109375" style="51" customWidth="1"/>
    <col min="11525" max="11525" width="5.44140625" style="51" customWidth="1"/>
    <col min="11526" max="11526" width="7.5546875" style="51" customWidth="1"/>
    <col min="11527" max="11527" width="6.5546875" style="51" customWidth="1"/>
    <col min="11528" max="11528" width="6.33203125" style="51" customWidth="1"/>
    <col min="11529" max="11529" width="7.6640625" style="51" customWidth="1"/>
    <col min="11530" max="11530" width="6.109375" style="51" customWidth="1"/>
    <col min="11531" max="11531" width="5.6640625" style="51" customWidth="1"/>
    <col min="11532" max="11532" width="6.6640625" style="51" customWidth="1"/>
    <col min="11533" max="11533" width="5.44140625" style="51" customWidth="1"/>
    <col min="11534" max="11534" width="6.5546875" style="51" customWidth="1"/>
    <col min="11535" max="11535" width="7.6640625" style="51" customWidth="1"/>
    <col min="11536" max="11536" width="5.6640625" style="51" customWidth="1"/>
    <col min="11537" max="11537" width="5.88671875" style="51" customWidth="1"/>
    <col min="11538" max="11538" width="6.6640625" style="51" customWidth="1"/>
    <col min="11539" max="11539" width="5.33203125" style="51" customWidth="1"/>
    <col min="11540" max="11540" width="7.5546875" style="51" customWidth="1"/>
    <col min="11541" max="11541" width="5.33203125" style="51" customWidth="1"/>
    <col min="11542" max="11542" width="6.109375" style="51" customWidth="1"/>
    <col min="11543" max="11544" width="6.33203125" style="51" customWidth="1"/>
    <col min="11545" max="11545" width="6.5546875" style="51" bestFit="1" customWidth="1"/>
    <col min="11546" max="11546" width="6.44140625" style="51" customWidth="1"/>
    <col min="11547" max="11549" width="5.5546875" style="51" customWidth="1"/>
    <col min="11550" max="11550" width="5.6640625" style="51" customWidth="1"/>
    <col min="11551" max="11743" width="9.33203125" style="51"/>
    <col min="11744" max="11744" width="3.33203125" style="51" customWidth="1"/>
    <col min="11745" max="11745" width="32.33203125" style="51" customWidth="1"/>
    <col min="11746" max="11746" width="9.6640625" style="51" customWidth="1"/>
    <col min="11747" max="11747" width="10.109375" style="51" customWidth="1"/>
    <col min="11748" max="11752" width="0" style="51" hidden="1" customWidth="1"/>
    <col min="11753" max="11753" width="9.33203125" style="51"/>
    <col min="11754" max="11754" width="8.6640625" style="51" customWidth="1"/>
    <col min="11755" max="11755" width="6.6640625" style="51" customWidth="1"/>
    <col min="11756" max="11756" width="9.5546875" style="51" customWidth="1"/>
    <col min="11757" max="11757" width="6.6640625" style="51" customWidth="1"/>
    <col min="11758" max="11758" width="6.88671875" style="51" customWidth="1"/>
    <col min="11759" max="11759" width="9" style="51" customWidth="1"/>
    <col min="11760" max="11760" width="8.109375" style="51" customWidth="1"/>
    <col min="11761" max="11761" width="8" style="51" customWidth="1"/>
    <col min="11762" max="11762" width="9.109375" style="51" customWidth="1"/>
    <col min="11763" max="11763" width="7.6640625" style="51" customWidth="1"/>
    <col min="11764" max="11764" width="9.109375" style="51" customWidth="1"/>
    <col min="11765" max="11765" width="7.33203125" style="51" customWidth="1"/>
    <col min="11766" max="11766" width="7.109375" style="51" customWidth="1"/>
    <col min="11767" max="11767" width="8.6640625" style="51" customWidth="1"/>
    <col min="11768" max="11769" width="9.33203125" style="51"/>
    <col min="11770" max="11770" width="9.6640625" style="51" customWidth="1"/>
    <col min="11771" max="11771" width="6.6640625" style="51" customWidth="1"/>
    <col min="11772" max="11772" width="7" style="51" customWidth="1"/>
    <col min="11773" max="11773" width="5.33203125" style="51" customWidth="1"/>
    <col min="11774" max="11774" width="6.5546875" style="51" bestFit="1" customWidth="1"/>
    <col min="11775" max="11775" width="8.33203125" style="51" customWidth="1"/>
    <col min="11776" max="11776" width="8" style="51" customWidth="1"/>
    <col min="11777" max="11777" width="6.5546875" style="51" customWidth="1"/>
    <col min="11778" max="11778" width="8.33203125" style="51" customWidth="1"/>
    <col min="11779" max="11779" width="7.33203125" style="51" customWidth="1"/>
    <col min="11780" max="11780" width="8.109375" style="51" customWidth="1"/>
    <col min="11781" max="11781" width="5.44140625" style="51" customWidth="1"/>
    <col min="11782" max="11782" width="7.5546875" style="51" customWidth="1"/>
    <col min="11783" max="11783" width="6.5546875" style="51" customWidth="1"/>
    <col min="11784" max="11784" width="6.33203125" style="51" customWidth="1"/>
    <col min="11785" max="11785" width="7.6640625" style="51" customWidth="1"/>
    <col min="11786" max="11786" width="6.109375" style="51" customWidth="1"/>
    <col min="11787" max="11787" width="5.6640625" style="51" customWidth="1"/>
    <col min="11788" max="11788" width="6.6640625" style="51" customWidth="1"/>
    <col min="11789" max="11789" width="5.44140625" style="51" customWidth="1"/>
    <col min="11790" max="11790" width="6.5546875" style="51" customWidth="1"/>
    <col min="11791" max="11791" width="7.6640625" style="51" customWidth="1"/>
    <col min="11792" max="11792" width="5.6640625" style="51" customWidth="1"/>
    <col min="11793" max="11793" width="5.88671875" style="51" customWidth="1"/>
    <col min="11794" max="11794" width="6.6640625" style="51" customWidth="1"/>
    <col min="11795" max="11795" width="5.33203125" style="51" customWidth="1"/>
    <col min="11796" max="11796" width="7.5546875" style="51" customWidth="1"/>
    <col min="11797" max="11797" width="5.33203125" style="51" customWidth="1"/>
    <col min="11798" max="11798" width="6.109375" style="51" customWidth="1"/>
    <col min="11799" max="11800" width="6.33203125" style="51" customWidth="1"/>
    <col min="11801" max="11801" width="6.5546875" style="51" bestFit="1" customWidth="1"/>
    <col min="11802" max="11802" width="6.44140625" style="51" customWidth="1"/>
    <col min="11803" max="11805" width="5.5546875" style="51" customWidth="1"/>
    <col min="11806" max="11806" width="5.6640625" style="51" customWidth="1"/>
    <col min="11807" max="11999" width="9.33203125" style="51"/>
    <col min="12000" max="12000" width="3.33203125" style="51" customWidth="1"/>
    <col min="12001" max="12001" width="32.33203125" style="51" customWidth="1"/>
    <col min="12002" max="12002" width="9.6640625" style="51" customWidth="1"/>
    <col min="12003" max="12003" width="10.109375" style="51" customWidth="1"/>
    <col min="12004" max="12008" width="0" style="51" hidden="1" customWidth="1"/>
    <col min="12009" max="12009" width="9.33203125" style="51"/>
    <col min="12010" max="12010" width="8.6640625" style="51" customWidth="1"/>
    <col min="12011" max="12011" width="6.6640625" style="51" customWidth="1"/>
    <col min="12012" max="12012" width="9.5546875" style="51" customWidth="1"/>
    <col min="12013" max="12013" width="6.6640625" style="51" customWidth="1"/>
    <col min="12014" max="12014" width="6.88671875" style="51" customWidth="1"/>
    <col min="12015" max="12015" width="9" style="51" customWidth="1"/>
    <col min="12016" max="12016" width="8.109375" style="51" customWidth="1"/>
    <col min="12017" max="12017" width="8" style="51" customWidth="1"/>
    <col min="12018" max="12018" width="9.109375" style="51" customWidth="1"/>
    <col min="12019" max="12019" width="7.6640625" style="51" customWidth="1"/>
    <col min="12020" max="12020" width="9.109375" style="51" customWidth="1"/>
    <col min="12021" max="12021" width="7.33203125" style="51" customWidth="1"/>
    <col min="12022" max="12022" width="7.109375" style="51" customWidth="1"/>
    <col min="12023" max="12023" width="8.6640625" style="51" customWidth="1"/>
    <col min="12024" max="12025" width="9.33203125" style="51"/>
    <col min="12026" max="12026" width="9.6640625" style="51" customWidth="1"/>
    <col min="12027" max="12027" width="6.6640625" style="51" customWidth="1"/>
    <col min="12028" max="12028" width="7" style="51" customWidth="1"/>
    <col min="12029" max="12029" width="5.33203125" style="51" customWidth="1"/>
    <col min="12030" max="12030" width="6.5546875" style="51" bestFit="1" customWidth="1"/>
    <col min="12031" max="12031" width="8.33203125" style="51" customWidth="1"/>
    <col min="12032" max="12032" width="8" style="51" customWidth="1"/>
    <col min="12033" max="12033" width="6.5546875" style="51" customWidth="1"/>
    <col min="12034" max="12034" width="8.33203125" style="51" customWidth="1"/>
    <col min="12035" max="12035" width="7.33203125" style="51" customWidth="1"/>
    <col min="12036" max="12036" width="8.109375" style="51" customWidth="1"/>
    <col min="12037" max="12037" width="5.44140625" style="51" customWidth="1"/>
    <col min="12038" max="12038" width="7.5546875" style="51" customWidth="1"/>
    <col min="12039" max="12039" width="6.5546875" style="51" customWidth="1"/>
    <col min="12040" max="12040" width="6.33203125" style="51" customWidth="1"/>
    <col min="12041" max="12041" width="7.6640625" style="51" customWidth="1"/>
    <col min="12042" max="12042" width="6.109375" style="51" customWidth="1"/>
    <col min="12043" max="12043" width="5.6640625" style="51" customWidth="1"/>
    <col min="12044" max="12044" width="6.6640625" style="51" customWidth="1"/>
    <col min="12045" max="12045" width="5.44140625" style="51" customWidth="1"/>
    <col min="12046" max="12046" width="6.5546875" style="51" customWidth="1"/>
    <col min="12047" max="12047" width="7.6640625" style="51" customWidth="1"/>
    <col min="12048" max="12048" width="5.6640625" style="51" customWidth="1"/>
    <col min="12049" max="12049" width="5.88671875" style="51" customWidth="1"/>
    <col min="12050" max="12050" width="6.6640625" style="51" customWidth="1"/>
    <col min="12051" max="12051" width="5.33203125" style="51" customWidth="1"/>
    <col min="12052" max="12052" width="7.5546875" style="51" customWidth="1"/>
    <col min="12053" max="12053" width="5.33203125" style="51" customWidth="1"/>
    <col min="12054" max="12054" width="6.109375" style="51" customWidth="1"/>
    <col min="12055" max="12056" width="6.33203125" style="51" customWidth="1"/>
    <col min="12057" max="12057" width="6.5546875" style="51" bestFit="1" customWidth="1"/>
    <col min="12058" max="12058" width="6.44140625" style="51" customWidth="1"/>
    <col min="12059" max="12061" width="5.5546875" style="51" customWidth="1"/>
    <col min="12062" max="12062" width="5.6640625" style="51" customWidth="1"/>
    <col min="12063" max="12255" width="9.33203125" style="51"/>
    <col min="12256" max="12256" width="3.33203125" style="51" customWidth="1"/>
    <col min="12257" max="12257" width="32.33203125" style="51" customWidth="1"/>
    <col min="12258" max="12258" width="9.6640625" style="51" customWidth="1"/>
    <col min="12259" max="12259" width="10.109375" style="51" customWidth="1"/>
    <col min="12260" max="12264" width="0" style="51" hidden="1" customWidth="1"/>
    <col min="12265" max="12265" width="9.33203125" style="51"/>
    <col min="12266" max="12266" width="8.6640625" style="51" customWidth="1"/>
    <col min="12267" max="12267" width="6.6640625" style="51" customWidth="1"/>
    <col min="12268" max="12268" width="9.5546875" style="51" customWidth="1"/>
    <col min="12269" max="12269" width="6.6640625" style="51" customWidth="1"/>
    <col min="12270" max="12270" width="6.88671875" style="51" customWidth="1"/>
    <col min="12271" max="12271" width="9" style="51" customWidth="1"/>
    <col min="12272" max="12272" width="8.109375" style="51" customWidth="1"/>
    <col min="12273" max="12273" width="8" style="51" customWidth="1"/>
    <col min="12274" max="12274" width="9.109375" style="51" customWidth="1"/>
    <col min="12275" max="12275" width="7.6640625" style="51" customWidth="1"/>
    <col min="12276" max="12276" width="9.109375" style="51" customWidth="1"/>
    <col min="12277" max="12277" width="7.33203125" style="51" customWidth="1"/>
    <col min="12278" max="12278" width="7.109375" style="51" customWidth="1"/>
    <col min="12279" max="12279" width="8.6640625" style="51" customWidth="1"/>
    <col min="12280" max="12281" width="9.33203125" style="51"/>
    <col min="12282" max="12282" width="9.6640625" style="51" customWidth="1"/>
    <col min="12283" max="12283" width="6.6640625" style="51" customWidth="1"/>
    <col min="12284" max="12284" width="7" style="51" customWidth="1"/>
    <col min="12285" max="12285" width="5.33203125" style="51" customWidth="1"/>
    <col min="12286" max="12286" width="6.5546875" style="51" bestFit="1" customWidth="1"/>
    <col min="12287" max="12287" width="8.33203125" style="51" customWidth="1"/>
    <col min="12288" max="12288" width="8" style="51" customWidth="1"/>
    <col min="12289" max="12289" width="6.5546875" style="51" customWidth="1"/>
    <col min="12290" max="12290" width="8.33203125" style="51" customWidth="1"/>
    <col min="12291" max="12291" width="7.33203125" style="51" customWidth="1"/>
    <col min="12292" max="12292" width="8.109375" style="51" customWidth="1"/>
    <col min="12293" max="12293" width="5.44140625" style="51" customWidth="1"/>
    <col min="12294" max="12294" width="7.5546875" style="51" customWidth="1"/>
    <col min="12295" max="12295" width="6.5546875" style="51" customWidth="1"/>
    <col min="12296" max="12296" width="6.33203125" style="51" customWidth="1"/>
    <col min="12297" max="12297" width="7.6640625" style="51" customWidth="1"/>
    <col min="12298" max="12298" width="6.109375" style="51" customWidth="1"/>
    <col min="12299" max="12299" width="5.6640625" style="51" customWidth="1"/>
    <col min="12300" max="12300" width="6.6640625" style="51" customWidth="1"/>
    <col min="12301" max="12301" width="5.44140625" style="51" customWidth="1"/>
    <col min="12302" max="12302" width="6.5546875" style="51" customWidth="1"/>
    <col min="12303" max="12303" width="7.6640625" style="51" customWidth="1"/>
    <col min="12304" max="12304" width="5.6640625" style="51" customWidth="1"/>
    <col min="12305" max="12305" width="5.88671875" style="51" customWidth="1"/>
    <col min="12306" max="12306" width="6.6640625" style="51" customWidth="1"/>
    <col min="12307" max="12307" width="5.33203125" style="51" customWidth="1"/>
    <col min="12308" max="12308" width="7.5546875" style="51" customWidth="1"/>
    <col min="12309" max="12309" width="5.33203125" style="51" customWidth="1"/>
    <col min="12310" max="12310" width="6.109375" style="51" customWidth="1"/>
    <col min="12311" max="12312" width="6.33203125" style="51" customWidth="1"/>
    <col min="12313" max="12313" width="6.5546875" style="51" bestFit="1" customWidth="1"/>
    <col min="12314" max="12314" width="6.44140625" style="51" customWidth="1"/>
    <col min="12315" max="12317" width="5.5546875" style="51" customWidth="1"/>
    <col min="12318" max="12318" width="5.6640625" style="51" customWidth="1"/>
    <col min="12319" max="12511" width="9.33203125" style="51"/>
    <col min="12512" max="12512" width="3.33203125" style="51" customWidth="1"/>
    <col min="12513" max="12513" width="32.33203125" style="51" customWidth="1"/>
    <col min="12514" max="12514" width="9.6640625" style="51" customWidth="1"/>
    <col min="12515" max="12515" width="10.109375" style="51" customWidth="1"/>
    <col min="12516" max="12520" width="0" style="51" hidden="1" customWidth="1"/>
    <col min="12521" max="12521" width="9.33203125" style="51"/>
    <col min="12522" max="12522" width="8.6640625" style="51" customWidth="1"/>
    <col min="12523" max="12523" width="6.6640625" style="51" customWidth="1"/>
    <col min="12524" max="12524" width="9.5546875" style="51" customWidth="1"/>
    <col min="12525" max="12525" width="6.6640625" style="51" customWidth="1"/>
    <col min="12526" max="12526" width="6.88671875" style="51" customWidth="1"/>
    <col min="12527" max="12527" width="9" style="51" customWidth="1"/>
    <col min="12528" max="12528" width="8.109375" style="51" customWidth="1"/>
    <col min="12529" max="12529" width="8" style="51" customWidth="1"/>
    <col min="12530" max="12530" width="9.109375" style="51" customWidth="1"/>
    <col min="12531" max="12531" width="7.6640625" style="51" customWidth="1"/>
    <col min="12532" max="12532" width="9.109375" style="51" customWidth="1"/>
    <col min="12533" max="12533" width="7.33203125" style="51" customWidth="1"/>
    <col min="12534" max="12534" width="7.109375" style="51" customWidth="1"/>
    <col min="12535" max="12535" width="8.6640625" style="51" customWidth="1"/>
    <col min="12536" max="12537" width="9.33203125" style="51"/>
    <col min="12538" max="12538" width="9.6640625" style="51" customWidth="1"/>
    <col min="12539" max="12539" width="6.6640625" style="51" customWidth="1"/>
    <col min="12540" max="12540" width="7" style="51" customWidth="1"/>
    <col min="12541" max="12541" width="5.33203125" style="51" customWidth="1"/>
    <col min="12542" max="12542" width="6.5546875" style="51" bestFit="1" customWidth="1"/>
    <col min="12543" max="12543" width="8.33203125" style="51" customWidth="1"/>
    <col min="12544" max="12544" width="8" style="51" customWidth="1"/>
    <col min="12545" max="12545" width="6.5546875" style="51" customWidth="1"/>
    <col min="12546" max="12546" width="8.33203125" style="51" customWidth="1"/>
    <col min="12547" max="12547" width="7.33203125" style="51" customWidth="1"/>
    <col min="12548" max="12548" width="8.109375" style="51" customWidth="1"/>
    <col min="12549" max="12549" width="5.44140625" style="51" customWidth="1"/>
    <col min="12550" max="12550" width="7.5546875" style="51" customWidth="1"/>
    <col min="12551" max="12551" width="6.5546875" style="51" customWidth="1"/>
    <col min="12552" max="12552" width="6.33203125" style="51" customWidth="1"/>
    <col min="12553" max="12553" width="7.6640625" style="51" customWidth="1"/>
    <col min="12554" max="12554" width="6.109375" style="51" customWidth="1"/>
    <col min="12555" max="12555" width="5.6640625" style="51" customWidth="1"/>
    <col min="12556" max="12556" width="6.6640625" style="51" customWidth="1"/>
    <col min="12557" max="12557" width="5.44140625" style="51" customWidth="1"/>
    <col min="12558" max="12558" width="6.5546875" style="51" customWidth="1"/>
    <col min="12559" max="12559" width="7.6640625" style="51" customWidth="1"/>
    <col min="12560" max="12560" width="5.6640625" style="51" customWidth="1"/>
    <col min="12561" max="12561" width="5.88671875" style="51" customWidth="1"/>
    <col min="12562" max="12562" width="6.6640625" style="51" customWidth="1"/>
    <col min="12563" max="12563" width="5.33203125" style="51" customWidth="1"/>
    <col min="12564" max="12564" width="7.5546875" style="51" customWidth="1"/>
    <col min="12565" max="12565" width="5.33203125" style="51" customWidth="1"/>
    <col min="12566" max="12566" width="6.109375" style="51" customWidth="1"/>
    <col min="12567" max="12568" width="6.33203125" style="51" customWidth="1"/>
    <col min="12569" max="12569" width="6.5546875" style="51" bestFit="1" customWidth="1"/>
    <col min="12570" max="12570" width="6.44140625" style="51" customWidth="1"/>
    <col min="12571" max="12573" width="5.5546875" style="51" customWidth="1"/>
    <col min="12574" max="12574" width="5.6640625" style="51" customWidth="1"/>
    <col min="12575" max="12767" width="9.33203125" style="51"/>
    <col min="12768" max="12768" width="3.33203125" style="51" customWidth="1"/>
    <col min="12769" max="12769" width="32.33203125" style="51" customWidth="1"/>
    <col min="12770" max="12770" width="9.6640625" style="51" customWidth="1"/>
    <col min="12771" max="12771" width="10.109375" style="51" customWidth="1"/>
    <col min="12772" max="12776" width="0" style="51" hidden="1" customWidth="1"/>
    <col min="12777" max="12777" width="9.33203125" style="51"/>
    <col min="12778" max="12778" width="8.6640625" style="51" customWidth="1"/>
    <col min="12779" max="12779" width="6.6640625" style="51" customWidth="1"/>
    <col min="12780" max="12780" width="9.5546875" style="51" customWidth="1"/>
    <col min="12781" max="12781" width="6.6640625" style="51" customWidth="1"/>
    <col min="12782" max="12782" width="6.88671875" style="51" customWidth="1"/>
    <col min="12783" max="12783" width="9" style="51" customWidth="1"/>
    <col min="12784" max="12784" width="8.109375" style="51" customWidth="1"/>
    <col min="12785" max="12785" width="8" style="51" customWidth="1"/>
    <col min="12786" max="12786" width="9.109375" style="51" customWidth="1"/>
    <col min="12787" max="12787" width="7.6640625" style="51" customWidth="1"/>
    <col min="12788" max="12788" width="9.109375" style="51" customWidth="1"/>
    <col min="12789" max="12789" width="7.33203125" style="51" customWidth="1"/>
    <col min="12790" max="12790" width="7.109375" style="51" customWidth="1"/>
    <col min="12791" max="12791" width="8.6640625" style="51" customWidth="1"/>
    <col min="12792" max="12793" width="9.33203125" style="51"/>
    <col min="12794" max="12794" width="9.6640625" style="51" customWidth="1"/>
    <col min="12795" max="12795" width="6.6640625" style="51" customWidth="1"/>
    <col min="12796" max="12796" width="7" style="51" customWidth="1"/>
    <col min="12797" max="12797" width="5.33203125" style="51" customWidth="1"/>
    <col min="12798" max="12798" width="6.5546875" style="51" bestFit="1" customWidth="1"/>
    <col min="12799" max="12799" width="8.33203125" style="51" customWidth="1"/>
    <col min="12800" max="12800" width="8" style="51" customWidth="1"/>
    <col min="12801" max="12801" width="6.5546875" style="51" customWidth="1"/>
    <col min="12802" max="12802" width="8.33203125" style="51" customWidth="1"/>
    <col min="12803" max="12803" width="7.33203125" style="51" customWidth="1"/>
    <col min="12804" max="12804" width="8.109375" style="51" customWidth="1"/>
    <col min="12805" max="12805" width="5.44140625" style="51" customWidth="1"/>
    <col min="12806" max="12806" width="7.5546875" style="51" customWidth="1"/>
    <col min="12807" max="12807" width="6.5546875" style="51" customWidth="1"/>
    <col min="12808" max="12808" width="6.33203125" style="51" customWidth="1"/>
    <col min="12809" max="12809" width="7.6640625" style="51" customWidth="1"/>
    <col min="12810" max="12810" width="6.109375" style="51" customWidth="1"/>
    <col min="12811" max="12811" width="5.6640625" style="51" customWidth="1"/>
    <col min="12812" max="12812" width="6.6640625" style="51" customWidth="1"/>
    <col min="12813" max="12813" width="5.44140625" style="51" customWidth="1"/>
    <col min="12814" max="12814" width="6.5546875" style="51" customWidth="1"/>
    <col min="12815" max="12815" width="7.6640625" style="51" customWidth="1"/>
    <col min="12816" max="12816" width="5.6640625" style="51" customWidth="1"/>
    <col min="12817" max="12817" width="5.88671875" style="51" customWidth="1"/>
    <col min="12818" max="12818" width="6.6640625" style="51" customWidth="1"/>
    <col min="12819" max="12819" width="5.33203125" style="51" customWidth="1"/>
    <col min="12820" max="12820" width="7.5546875" style="51" customWidth="1"/>
    <col min="12821" max="12821" width="5.33203125" style="51" customWidth="1"/>
    <col min="12822" max="12822" width="6.109375" style="51" customWidth="1"/>
    <col min="12823" max="12824" width="6.33203125" style="51" customWidth="1"/>
    <col min="12825" max="12825" width="6.5546875" style="51" bestFit="1" customWidth="1"/>
    <col min="12826" max="12826" width="6.44140625" style="51" customWidth="1"/>
    <col min="12827" max="12829" width="5.5546875" style="51" customWidth="1"/>
    <col min="12830" max="12830" width="5.6640625" style="51" customWidth="1"/>
    <col min="12831" max="13023" width="9.33203125" style="51"/>
    <col min="13024" max="13024" width="3.33203125" style="51" customWidth="1"/>
    <col min="13025" max="13025" width="32.33203125" style="51" customWidth="1"/>
    <col min="13026" max="13026" width="9.6640625" style="51" customWidth="1"/>
    <col min="13027" max="13027" width="10.109375" style="51" customWidth="1"/>
    <col min="13028" max="13032" width="0" style="51" hidden="1" customWidth="1"/>
    <col min="13033" max="13033" width="9.33203125" style="51"/>
    <col min="13034" max="13034" width="8.6640625" style="51" customWidth="1"/>
    <col min="13035" max="13035" width="6.6640625" style="51" customWidth="1"/>
    <col min="13036" max="13036" width="9.5546875" style="51" customWidth="1"/>
    <col min="13037" max="13037" width="6.6640625" style="51" customWidth="1"/>
    <col min="13038" max="13038" width="6.88671875" style="51" customWidth="1"/>
    <col min="13039" max="13039" width="9" style="51" customWidth="1"/>
    <col min="13040" max="13040" width="8.109375" style="51" customWidth="1"/>
    <col min="13041" max="13041" width="8" style="51" customWidth="1"/>
    <col min="13042" max="13042" width="9.109375" style="51" customWidth="1"/>
    <col min="13043" max="13043" width="7.6640625" style="51" customWidth="1"/>
    <col min="13044" max="13044" width="9.109375" style="51" customWidth="1"/>
    <col min="13045" max="13045" width="7.33203125" style="51" customWidth="1"/>
    <col min="13046" max="13046" width="7.109375" style="51" customWidth="1"/>
    <col min="13047" max="13047" width="8.6640625" style="51" customWidth="1"/>
    <col min="13048" max="13049" width="9.33203125" style="51"/>
    <col min="13050" max="13050" width="9.6640625" style="51" customWidth="1"/>
    <col min="13051" max="13051" width="6.6640625" style="51" customWidth="1"/>
    <col min="13052" max="13052" width="7" style="51" customWidth="1"/>
    <col min="13053" max="13053" width="5.33203125" style="51" customWidth="1"/>
    <col min="13054" max="13054" width="6.5546875" style="51" bestFit="1" customWidth="1"/>
    <col min="13055" max="13055" width="8.33203125" style="51" customWidth="1"/>
    <col min="13056" max="13056" width="8" style="51" customWidth="1"/>
    <col min="13057" max="13057" width="6.5546875" style="51" customWidth="1"/>
    <col min="13058" max="13058" width="8.33203125" style="51" customWidth="1"/>
    <col min="13059" max="13059" width="7.33203125" style="51" customWidth="1"/>
    <col min="13060" max="13060" width="8.109375" style="51" customWidth="1"/>
    <col min="13061" max="13061" width="5.44140625" style="51" customWidth="1"/>
    <col min="13062" max="13062" width="7.5546875" style="51" customWidth="1"/>
    <col min="13063" max="13063" width="6.5546875" style="51" customWidth="1"/>
    <col min="13064" max="13064" width="6.33203125" style="51" customWidth="1"/>
    <col min="13065" max="13065" width="7.6640625" style="51" customWidth="1"/>
    <col min="13066" max="13066" width="6.109375" style="51" customWidth="1"/>
    <col min="13067" max="13067" width="5.6640625" style="51" customWidth="1"/>
    <col min="13068" max="13068" width="6.6640625" style="51" customWidth="1"/>
    <col min="13069" max="13069" width="5.44140625" style="51" customWidth="1"/>
    <col min="13070" max="13070" width="6.5546875" style="51" customWidth="1"/>
    <col min="13071" max="13071" width="7.6640625" style="51" customWidth="1"/>
    <col min="13072" max="13072" width="5.6640625" style="51" customWidth="1"/>
    <col min="13073" max="13073" width="5.88671875" style="51" customWidth="1"/>
    <col min="13074" max="13074" width="6.6640625" style="51" customWidth="1"/>
    <col min="13075" max="13075" width="5.33203125" style="51" customWidth="1"/>
    <col min="13076" max="13076" width="7.5546875" style="51" customWidth="1"/>
    <col min="13077" max="13077" width="5.33203125" style="51" customWidth="1"/>
    <col min="13078" max="13078" width="6.109375" style="51" customWidth="1"/>
    <col min="13079" max="13080" width="6.33203125" style="51" customWidth="1"/>
    <col min="13081" max="13081" width="6.5546875" style="51" bestFit="1" customWidth="1"/>
    <col min="13082" max="13082" width="6.44140625" style="51" customWidth="1"/>
    <col min="13083" max="13085" width="5.5546875" style="51" customWidth="1"/>
    <col min="13086" max="13086" width="5.6640625" style="51" customWidth="1"/>
    <col min="13087" max="13279" width="9.33203125" style="51"/>
    <col min="13280" max="13280" width="3.33203125" style="51" customWidth="1"/>
    <col min="13281" max="13281" width="32.33203125" style="51" customWidth="1"/>
    <col min="13282" max="13282" width="9.6640625" style="51" customWidth="1"/>
    <col min="13283" max="13283" width="10.109375" style="51" customWidth="1"/>
    <col min="13284" max="13288" width="0" style="51" hidden="1" customWidth="1"/>
    <col min="13289" max="13289" width="9.33203125" style="51"/>
    <col min="13290" max="13290" width="8.6640625" style="51" customWidth="1"/>
    <col min="13291" max="13291" width="6.6640625" style="51" customWidth="1"/>
    <col min="13292" max="13292" width="9.5546875" style="51" customWidth="1"/>
    <col min="13293" max="13293" width="6.6640625" style="51" customWidth="1"/>
    <col min="13294" max="13294" width="6.88671875" style="51" customWidth="1"/>
    <col min="13295" max="13295" width="9" style="51" customWidth="1"/>
    <col min="13296" max="13296" width="8.109375" style="51" customWidth="1"/>
    <col min="13297" max="13297" width="8" style="51" customWidth="1"/>
    <col min="13298" max="13298" width="9.109375" style="51" customWidth="1"/>
    <col min="13299" max="13299" width="7.6640625" style="51" customWidth="1"/>
    <col min="13300" max="13300" width="9.109375" style="51" customWidth="1"/>
    <col min="13301" max="13301" width="7.33203125" style="51" customWidth="1"/>
    <col min="13302" max="13302" width="7.109375" style="51" customWidth="1"/>
    <col min="13303" max="13303" width="8.6640625" style="51" customWidth="1"/>
    <col min="13304" max="13305" width="9.33203125" style="51"/>
    <col min="13306" max="13306" width="9.6640625" style="51" customWidth="1"/>
    <col min="13307" max="13307" width="6.6640625" style="51" customWidth="1"/>
    <col min="13308" max="13308" width="7" style="51" customWidth="1"/>
    <col min="13309" max="13309" width="5.33203125" style="51" customWidth="1"/>
    <col min="13310" max="13310" width="6.5546875" style="51" bestFit="1" customWidth="1"/>
    <col min="13311" max="13311" width="8.33203125" style="51" customWidth="1"/>
    <col min="13312" max="13312" width="8" style="51" customWidth="1"/>
    <col min="13313" max="13313" width="6.5546875" style="51" customWidth="1"/>
    <col min="13314" max="13314" width="8.33203125" style="51" customWidth="1"/>
    <col min="13315" max="13315" width="7.33203125" style="51" customWidth="1"/>
    <col min="13316" max="13316" width="8.109375" style="51" customWidth="1"/>
    <col min="13317" max="13317" width="5.44140625" style="51" customWidth="1"/>
    <col min="13318" max="13318" width="7.5546875" style="51" customWidth="1"/>
    <col min="13319" max="13319" width="6.5546875" style="51" customWidth="1"/>
    <col min="13320" max="13320" width="6.33203125" style="51" customWidth="1"/>
    <col min="13321" max="13321" width="7.6640625" style="51" customWidth="1"/>
    <col min="13322" max="13322" width="6.109375" style="51" customWidth="1"/>
    <col min="13323" max="13323" width="5.6640625" style="51" customWidth="1"/>
    <col min="13324" max="13324" width="6.6640625" style="51" customWidth="1"/>
    <col min="13325" max="13325" width="5.44140625" style="51" customWidth="1"/>
    <col min="13326" max="13326" width="6.5546875" style="51" customWidth="1"/>
    <col min="13327" max="13327" width="7.6640625" style="51" customWidth="1"/>
    <col min="13328" max="13328" width="5.6640625" style="51" customWidth="1"/>
    <col min="13329" max="13329" width="5.88671875" style="51" customWidth="1"/>
    <col min="13330" max="13330" width="6.6640625" style="51" customWidth="1"/>
    <col min="13331" max="13331" width="5.33203125" style="51" customWidth="1"/>
    <col min="13332" max="13332" width="7.5546875" style="51" customWidth="1"/>
    <col min="13333" max="13333" width="5.33203125" style="51" customWidth="1"/>
    <col min="13334" max="13334" width="6.109375" style="51" customWidth="1"/>
    <col min="13335" max="13336" width="6.33203125" style="51" customWidth="1"/>
    <col min="13337" max="13337" width="6.5546875" style="51" bestFit="1" customWidth="1"/>
    <col min="13338" max="13338" width="6.44140625" style="51" customWidth="1"/>
    <col min="13339" max="13341" width="5.5546875" style="51" customWidth="1"/>
    <col min="13342" max="13342" width="5.6640625" style="51" customWidth="1"/>
    <col min="13343" max="13535" width="9.33203125" style="51"/>
    <col min="13536" max="13536" width="3.33203125" style="51" customWidth="1"/>
    <col min="13537" max="13537" width="32.33203125" style="51" customWidth="1"/>
    <col min="13538" max="13538" width="9.6640625" style="51" customWidth="1"/>
    <col min="13539" max="13539" width="10.109375" style="51" customWidth="1"/>
    <col min="13540" max="13544" width="0" style="51" hidden="1" customWidth="1"/>
    <col min="13545" max="13545" width="9.33203125" style="51"/>
    <col min="13546" max="13546" width="8.6640625" style="51" customWidth="1"/>
    <col min="13547" max="13547" width="6.6640625" style="51" customWidth="1"/>
    <col min="13548" max="13548" width="9.5546875" style="51" customWidth="1"/>
    <col min="13549" max="13549" width="6.6640625" style="51" customWidth="1"/>
    <col min="13550" max="13550" width="6.88671875" style="51" customWidth="1"/>
    <col min="13551" max="13551" width="9" style="51" customWidth="1"/>
    <col min="13552" max="13552" width="8.109375" style="51" customWidth="1"/>
    <col min="13553" max="13553" width="8" style="51" customWidth="1"/>
    <col min="13554" max="13554" width="9.109375" style="51" customWidth="1"/>
    <col min="13555" max="13555" width="7.6640625" style="51" customWidth="1"/>
    <col min="13556" max="13556" width="9.109375" style="51" customWidth="1"/>
    <col min="13557" max="13557" width="7.33203125" style="51" customWidth="1"/>
    <col min="13558" max="13558" width="7.109375" style="51" customWidth="1"/>
    <col min="13559" max="13559" width="8.6640625" style="51" customWidth="1"/>
    <col min="13560" max="13561" width="9.33203125" style="51"/>
    <col min="13562" max="13562" width="9.6640625" style="51" customWidth="1"/>
    <col min="13563" max="13563" width="6.6640625" style="51" customWidth="1"/>
    <col min="13564" max="13564" width="7" style="51" customWidth="1"/>
    <col min="13565" max="13565" width="5.33203125" style="51" customWidth="1"/>
    <col min="13566" max="13566" width="6.5546875" style="51" bestFit="1" customWidth="1"/>
    <col min="13567" max="13567" width="8.33203125" style="51" customWidth="1"/>
    <col min="13568" max="13568" width="8" style="51" customWidth="1"/>
    <col min="13569" max="13569" width="6.5546875" style="51" customWidth="1"/>
    <col min="13570" max="13570" width="8.33203125" style="51" customWidth="1"/>
    <col min="13571" max="13571" width="7.33203125" style="51" customWidth="1"/>
    <col min="13572" max="13572" width="8.109375" style="51" customWidth="1"/>
    <col min="13573" max="13573" width="5.44140625" style="51" customWidth="1"/>
    <col min="13574" max="13574" width="7.5546875" style="51" customWidth="1"/>
    <col min="13575" max="13575" width="6.5546875" style="51" customWidth="1"/>
    <col min="13576" max="13576" width="6.33203125" style="51" customWidth="1"/>
    <col min="13577" max="13577" width="7.6640625" style="51" customWidth="1"/>
    <col min="13578" max="13578" width="6.109375" style="51" customWidth="1"/>
    <col min="13579" max="13579" width="5.6640625" style="51" customWidth="1"/>
    <col min="13580" max="13580" width="6.6640625" style="51" customWidth="1"/>
    <col min="13581" max="13581" width="5.44140625" style="51" customWidth="1"/>
    <col min="13582" max="13582" width="6.5546875" style="51" customWidth="1"/>
    <col min="13583" max="13583" width="7.6640625" style="51" customWidth="1"/>
    <col min="13584" max="13584" width="5.6640625" style="51" customWidth="1"/>
    <col min="13585" max="13585" width="5.88671875" style="51" customWidth="1"/>
    <col min="13586" max="13586" width="6.6640625" style="51" customWidth="1"/>
    <col min="13587" max="13587" width="5.33203125" style="51" customWidth="1"/>
    <col min="13588" max="13588" width="7.5546875" style="51" customWidth="1"/>
    <col min="13589" max="13589" width="5.33203125" style="51" customWidth="1"/>
    <col min="13590" max="13590" width="6.109375" style="51" customWidth="1"/>
    <col min="13591" max="13592" width="6.33203125" style="51" customWidth="1"/>
    <col min="13593" max="13593" width="6.5546875" style="51" bestFit="1" customWidth="1"/>
    <col min="13594" max="13594" width="6.44140625" style="51" customWidth="1"/>
    <col min="13595" max="13597" width="5.5546875" style="51" customWidth="1"/>
    <col min="13598" max="13598" width="5.6640625" style="51" customWidth="1"/>
    <col min="13599" max="13791" width="9.33203125" style="51"/>
    <col min="13792" max="13792" width="3.33203125" style="51" customWidth="1"/>
    <col min="13793" max="13793" width="32.33203125" style="51" customWidth="1"/>
    <col min="13794" max="13794" width="9.6640625" style="51" customWidth="1"/>
    <col min="13795" max="13795" width="10.109375" style="51" customWidth="1"/>
    <col min="13796" max="13800" width="0" style="51" hidden="1" customWidth="1"/>
    <col min="13801" max="13801" width="9.33203125" style="51"/>
    <col min="13802" max="13802" width="8.6640625" style="51" customWidth="1"/>
    <col min="13803" max="13803" width="6.6640625" style="51" customWidth="1"/>
    <col min="13804" max="13804" width="9.5546875" style="51" customWidth="1"/>
    <col min="13805" max="13805" width="6.6640625" style="51" customWidth="1"/>
    <col min="13806" max="13806" width="6.88671875" style="51" customWidth="1"/>
    <col min="13807" max="13807" width="9" style="51" customWidth="1"/>
    <col min="13808" max="13808" width="8.109375" style="51" customWidth="1"/>
    <col min="13809" max="13809" width="8" style="51" customWidth="1"/>
    <col min="13810" max="13810" width="9.109375" style="51" customWidth="1"/>
    <col min="13811" max="13811" width="7.6640625" style="51" customWidth="1"/>
    <col min="13812" max="13812" width="9.109375" style="51" customWidth="1"/>
    <col min="13813" max="13813" width="7.33203125" style="51" customWidth="1"/>
    <col min="13814" max="13814" width="7.109375" style="51" customWidth="1"/>
    <col min="13815" max="13815" width="8.6640625" style="51" customWidth="1"/>
    <col min="13816" max="13817" width="9.33203125" style="51"/>
    <col min="13818" max="13818" width="9.6640625" style="51" customWidth="1"/>
    <col min="13819" max="13819" width="6.6640625" style="51" customWidth="1"/>
    <col min="13820" max="13820" width="7" style="51" customWidth="1"/>
    <col min="13821" max="13821" width="5.33203125" style="51" customWidth="1"/>
    <col min="13822" max="13822" width="6.5546875" style="51" bestFit="1" customWidth="1"/>
    <col min="13823" max="13823" width="8.33203125" style="51" customWidth="1"/>
    <col min="13824" max="13824" width="8" style="51" customWidth="1"/>
    <col min="13825" max="13825" width="6.5546875" style="51" customWidth="1"/>
    <col min="13826" max="13826" width="8.33203125" style="51" customWidth="1"/>
    <col min="13827" max="13827" width="7.33203125" style="51" customWidth="1"/>
    <col min="13828" max="13828" width="8.109375" style="51" customWidth="1"/>
    <col min="13829" max="13829" width="5.44140625" style="51" customWidth="1"/>
    <col min="13830" max="13830" width="7.5546875" style="51" customWidth="1"/>
    <col min="13831" max="13831" width="6.5546875" style="51" customWidth="1"/>
    <col min="13832" max="13832" width="6.33203125" style="51" customWidth="1"/>
    <col min="13833" max="13833" width="7.6640625" style="51" customWidth="1"/>
    <col min="13834" max="13834" width="6.109375" style="51" customWidth="1"/>
    <col min="13835" max="13835" width="5.6640625" style="51" customWidth="1"/>
    <col min="13836" max="13836" width="6.6640625" style="51" customWidth="1"/>
    <col min="13837" max="13837" width="5.44140625" style="51" customWidth="1"/>
    <col min="13838" max="13838" width="6.5546875" style="51" customWidth="1"/>
    <col min="13839" max="13839" width="7.6640625" style="51" customWidth="1"/>
    <col min="13840" max="13840" width="5.6640625" style="51" customWidth="1"/>
    <col min="13841" max="13841" width="5.88671875" style="51" customWidth="1"/>
    <col min="13842" max="13842" width="6.6640625" style="51" customWidth="1"/>
    <col min="13843" max="13843" width="5.33203125" style="51" customWidth="1"/>
    <col min="13844" max="13844" width="7.5546875" style="51" customWidth="1"/>
    <col min="13845" max="13845" width="5.33203125" style="51" customWidth="1"/>
    <col min="13846" max="13846" width="6.109375" style="51" customWidth="1"/>
    <col min="13847" max="13848" width="6.33203125" style="51" customWidth="1"/>
    <col min="13849" max="13849" width="6.5546875" style="51" bestFit="1" customWidth="1"/>
    <col min="13850" max="13850" width="6.44140625" style="51" customWidth="1"/>
    <col min="13851" max="13853" width="5.5546875" style="51" customWidth="1"/>
    <col min="13854" max="13854" width="5.6640625" style="51" customWidth="1"/>
    <col min="13855" max="14047" width="9.33203125" style="51"/>
    <col min="14048" max="14048" width="3.33203125" style="51" customWidth="1"/>
    <col min="14049" max="14049" width="32.33203125" style="51" customWidth="1"/>
    <col min="14050" max="14050" width="9.6640625" style="51" customWidth="1"/>
    <col min="14051" max="14051" width="10.109375" style="51" customWidth="1"/>
    <col min="14052" max="14056" width="0" style="51" hidden="1" customWidth="1"/>
    <col min="14057" max="14057" width="9.33203125" style="51"/>
    <col min="14058" max="14058" width="8.6640625" style="51" customWidth="1"/>
    <col min="14059" max="14059" width="6.6640625" style="51" customWidth="1"/>
    <col min="14060" max="14060" width="9.5546875" style="51" customWidth="1"/>
    <col min="14061" max="14061" width="6.6640625" style="51" customWidth="1"/>
    <col min="14062" max="14062" width="6.88671875" style="51" customWidth="1"/>
    <col min="14063" max="14063" width="9" style="51" customWidth="1"/>
    <col min="14064" max="14064" width="8.109375" style="51" customWidth="1"/>
    <col min="14065" max="14065" width="8" style="51" customWidth="1"/>
    <col min="14066" max="14066" width="9.109375" style="51" customWidth="1"/>
    <col min="14067" max="14067" width="7.6640625" style="51" customWidth="1"/>
    <col min="14068" max="14068" width="9.109375" style="51" customWidth="1"/>
    <col min="14069" max="14069" width="7.33203125" style="51" customWidth="1"/>
    <col min="14070" max="14070" width="7.109375" style="51" customWidth="1"/>
    <col min="14071" max="14071" width="8.6640625" style="51" customWidth="1"/>
    <col min="14072" max="14073" width="9.33203125" style="51"/>
    <col min="14074" max="14074" width="9.6640625" style="51" customWidth="1"/>
    <col min="14075" max="14075" width="6.6640625" style="51" customWidth="1"/>
    <col min="14076" max="14076" width="7" style="51" customWidth="1"/>
    <col min="14077" max="14077" width="5.33203125" style="51" customWidth="1"/>
    <col min="14078" max="14078" width="6.5546875" style="51" bestFit="1" customWidth="1"/>
    <col min="14079" max="14079" width="8.33203125" style="51" customWidth="1"/>
    <col min="14080" max="14080" width="8" style="51" customWidth="1"/>
    <col min="14081" max="14081" width="6.5546875" style="51" customWidth="1"/>
    <col min="14082" max="14082" width="8.33203125" style="51" customWidth="1"/>
    <col min="14083" max="14083" width="7.33203125" style="51" customWidth="1"/>
    <col min="14084" max="14084" width="8.109375" style="51" customWidth="1"/>
    <col min="14085" max="14085" width="5.44140625" style="51" customWidth="1"/>
    <col min="14086" max="14086" width="7.5546875" style="51" customWidth="1"/>
    <col min="14087" max="14087" width="6.5546875" style="51" customWidth="1"/>
    <col min="14088" max="14088" width="6.33203125" style="51" customWidth="1"/>
    <col min="14089" max="14089" width="7.6640625" style="51" customWidth="1"/>
    <col min="14090" max="14090" width="6.109375" style="51" customWidth="1"/>
    <col min="14091" max="14091" width="5.6640625" style="51" customWidth="1"/>
    <col min="14092" max="14092" width="6.6640625" style="51" customWidth="1"/>
    <col min="14093" max="14093" width="5.44140625" style="51" customWidth="1"/>
    <col min="14094" max="14094" width="6.5546875" style="51" customWidth="1"/>
    <col min="14095" max="14095" width="7.6640625" style="51" customWidth="1"/>
    <col min="14096" max="14096" width="5.6640625" style="51" customWidth="1"/>
    <col min="14097" max="14097" width="5.88671875" style="51" customWidth="1"/>
    <col min="14098" max="14098" width="6.6640625" style="51" customWidth="1"/>
    <col min="14099" max="14099" width="5.33203125" style="51" customWidth="1"/>
    <col min="14100" max="14100" width="7.5546875" style="51" customWidth="1"/>
    <col min="14101" max="14101" width="5.33203125" style="51" customWidth="1"/>
    <col min="14102" max="14102" width="6.109375" style="51" customWidth="1"/>
    <col min="14103" max="14104" width="6.33203125" style="51" customWidth="1"/>
    <col min="14105" max="14105" width="6.5546875" style="51" bestFit="1" customWidth="1"/>
    <col min="14106" max="14106" width="6.44140625" style="51" customWidth="1"/>
    <col min="14107" max="14109" width="5.5546875" style="51" customWidth="1"/>
    <col min="14110" max="14110" width="5.6640625" style="51" customWidth="1"/>
    <col min="14111" max="14303" width="9.33203125" style="51"/>
    <col min="14304" max="14304" width="3.33203125" style="51" customWidth="1"/>
    <col min="14305" max="14305" width="32.33203125" style="51" customWidth="1"/>
    <col min="14306" max="14306" width="9.6640625" style="51" customWidth="1"/>
    <col min="14307" max="14307" width="10.109375" style="51" customWidth="1"/>
    <col min="14308" max="14312" width="0" style="51" hidden="1" customWidth="1"/>
    <col min="14313" max="14313" width="9.33203125" style="51"/>
    <col min="14314" max="14314" width="8.6640625" style="51" customWidth="1"/>
    <col min="14315" max="14315" width="6.6640625" style="51" customWidth="1"/>
    <col min="14316" max="14316" width="9.5546875" style="51" customWidth="1"/>
    <col min="14317" max="14317" width="6.6640625" style="51" customWidth="1"/>
    <col min="14318" max="14318" width="6.88671875" style="51" customWidth="1"/>
    <col min="14319" max="14319" width="9" style="51" customWidth="1"/>
    <col min="14320" max="14320" width="8.109375" style="51" customWidth="1"/>
    <col min="14321" max="14321" width="8" style="51" customWidth="1"/>
    <col min="14322" max="14322" width="9.109375" style="51" customWidth="1"/>
    <col min="14323" max="14323" width="7.6640625" style="51" customWidth="1"/>
    <col min="14324" max="14324" width="9.109375" style="51" customWidth="1"/>
    <col min="14325" max="14325" width="7.33203125" style="51" customWidth="1"/>
    <col min="14326" max="14326" width="7.109375" style="51" customWidth="1"/>
    <col min="14327" max="14327" width="8.6640625" style="51" customWidth="1"/>
    <col min="14328" max="14329" width="9.33203125" style="51"/>
    <col min="14330" max="14330" width="9.6640625" style="51" customWidth="1"/>
    <col min="14331" max="14331" width="6.6640625" style="51" customWidth="1"/>
    <col min="14332" max="14332" width="7" style="51" customWidth="1"/>
    <col min="14333" max="14333" width="5.33203125" style="51" customWidth="1"/>
    <col min="14334" max="14334" width="6.5546875" style="51" bestFit="1" customWidth="1"/>
    <col min="14335" max="14335" width="8.33203125" style="51" customWidth="1"/>
    <col min="14336" max="14336" width="8" style="51" customWidth="1"/>
    <col min="14337" max="14337" width="6.5546875" style="51" customWidth="1"/>
    <col min="14338" max="14338" width="8.33203125" style="51" customWidth="1"/>
    <col min="14339" max="14339" width="7.33203125" style="51" customWidth="1"/>
    <col min="14340" max="14340" width="8.109375" style="51" customWidth="1"/>
    <col min="14341" max="14341" width="5.44140625" style="51" customWidth="1"/>
    <col min="14342" max="14342" width="7.5546875" style="51" customWidth="1"/>
    <col min="14343" max="14343" width="6.5546875" style="51" customWidth="1"/>
    <col min="14344" max="14344" width="6.33203125" style="51" customWidth="1"/>
    <col min="14345" max="14345" width="7.6640625" style="51" customWidth="1"/>
    <col min="14346" max="14346" width="6.109375" style="51" customWidth="1"/>
    <col min="14347" max="14347" width="5.6640625" style="51" customWidth="1"/>
    <col min="14348" max="14348" width="6.6640625" style="51" customWidth="1"/>
    <col min="14349" max="14349" width="5.44140625" style="51" customWidth="1"/>
    <col min="14350" max="14350" width="6.5546875" style="51" customWidth="1"/>
    <col min="14351" max="14351" width="7.6640625" style="51" customWidth="1"/>
    <col min="14352" max="14352" width="5.6640625" style="51" customWidth="1"/>
    <col min="14353" max="14353" width="5.88671875" style="51" customWidth="1"/>
    <col min="14354" max="14354" width="6.6640625" style="51" customWidth="1"/>
    <col min="14355" max="14355" width="5.33203125" style="51" customWidth="1"/>
    <col min="14356" max="14356" width="7.5546875" style="51" customWidth="1"/>
    <col min="14357" max="14357" width="5.33203125" style="51" customWidth="1"/>
    <col min="14358" max="14358" width="6.109375" style="51" customWidth="1"/>
    <col min="14359" max="14360" width="6.33203125" style="51" customWidth="1"/>
    <col min="14361" max="14361" width="6.5546875" style="51" bestFit="1" customWidth="1"/>
    <col min="14362" max="14362" width="6.44140625" style="51" customWidth="1"/>
    <col min="14363" max="14365" width="5.5546875" style="51" customWidth="1"/>
    <col min="14366" max="14366" width="5.6640625" style="51" customWidth="1"/>
    <col min="14367" max="14559" width="9.33203125" style="51"/>
    <col min="14560" max="14560" width="3.33203125" style="51" customWidth="1"/>
    <col min="14561" max="14561" width="32.33203125" style="51" customWidth="1"/>
    <col min="14562" max="14562" width="9.6640625" style="51" customWidth="1"/>
    <col min="14563" max="14563" width="10.109375" style="51" customWidth="1"/>
    <col min="14564" max="14568" width="0" style="51" hidden="1" customWidth="1"/>
    <col min="14569" max="14569" width="9.33203125" style="51"/>
    <col min="14570" max="14570" width="8.6640625" style="51" customWidth="1"/>
    <col min="14571" max="14571" width="6.6640625" style="51" customWidth="1"/>
    <col min="14572" max="14572" width="9.5546875" style="51" customWidth="1"/>
    <col min="14573" max="14573" width="6.6640625" style="51" customWidth="1"/>
    <col min="14574" max="14574" width="6.88671875" style="51" customWidth="1"/>
    <col min="14575" max="14575" width="9" style="51" customWidth="1"/>
    <col min="14576" max="14576" width="8.109375" style="51" customWidth="1"/>
    <col min="14577" max="14577" width="8" style="51" customWidth="1"/>
    <col min="14578" max="14578" width="9.109375" style="51" customWidth="1"/>
    <col min="14579" max="14579" width="7.6640625" style="51" customWidth="1"/>
    <col min="14580" max="14580" width="9.109375" style="51" customWidth="1"/>
    <col min="14581" max="14581" width="7.33203125" style="51" customWidth="1"/>
    <col min="14582" max="14582" width="7.109375" style="51" customWidth="1"/>
    <col min="14583" max="14583" width="8.6640625" style="51" customWidth="1"/>
    <col min="14584" max="14585" width="9.33203125" style="51"/>
    <col min="14586" max="14586" width="9.6640625" style="51" customWidth="1"/>
    <col min="14587" max="14587" width="6.6640625" style="51" customWidth="1"/>
    <col min="14588" max="14588" width="7" style="51" customWidth="1"/>
    <col min="14589" max="14589" width="5.33203125" style="51" customWidth="1"/>
    <col min="14590" max="14590" width="6.5546875" style="51" bestFit="1" customWidth="1"/>
    <col min="14591" max="14591" width="8.33203125" style="51" customWidth="1"/>
    <col min="14592" max="14592" width="8" style="51" customWidth="1"/>
    <col min="14593" max="14593" width="6.5546875" style="51" customWidth="1"/>
    <col min="14594" max="14594" width="8.33203125" style="51" customWidth="1"/>
    <col min="14595" max="14595" width="7.33203125" style="51" customWidth="1"/>
    <col min="14596" max="14596" width="8.109375" style="51" customWidth="1"/>
    <col min="14597" max="14597" width="5.44140625" style="51" customWidth="1"/>
    <col min="14598" max="14598" width="7.5546875" style="51" customWidth="1"/>
    <col min="14599" max="14599" width="6.5546875" style="51" customWidth="1"/>
    <col min="14600" max="14600" width="6.33203125" style="51" customWidth="1"/>
    <col min="14601" max="14601" width="7.6640625" style="51" customWidth="1"/>
    <col min="14602" max="14602" width="6.109375" style="51" customWidth="1"/>
    <col min="14603" max="14603" width="5.6640625" style="51" customWidth="1"/>
    <col min="14604" max="14604" width="6.6640625" style="51" customWidth="1"/>
    <col min="14605" max="14605" width="5.44140625" style="51" customWidth="1"/>
    <col min="14606" max="14606" width="6.5546875" style="51" customWidth="1"/>
    <col min="14607" max="14607" width="7.6640625" style="51" customWidth="1"/>
    <col min="14608" max="14608" width="5.6640625" style="51" customWidth="1"/>
    <col min="14609" max="14609" width="5.88671875" style="51" customWidth="1"/>
    <col min="14610" max="14610" width="6.6640625" style="51" customWidth="1"/>
    <col min="14611" max="14611" width="5.33203125" style="51" customWidth="1"/>
    <col min="14612" max="14612" width="7.5546875" style="51" customWidth="1"/>
    <col min="14613" max="14613" width="5.33203125" style="51" customWidth="1"/>
    <col min="14614" max="14614" width="6.109375" style="51" customWidth="1"/>
    <col min="14615" max="14616" width="6.33203125" style="51" customWidth="1"/>
    <col min="14617" max="14617" width="6.5546875" style="51" bestFit="1" customWidth="1"/>
    <col min="14618" max="14618" width="6.44140625" style="51" customWidth="1"/>
    <col min="14619" max="14621" width="5.5546875" style="51" customWidth="1"/>
    <col min="14622" max="14622" width="5.6640625" style="51" customWidth="1"/>
    <col min="14623" max="14815" width="9.33203125" style="51"/>
    <col min="14816" max="14816" width="3.33203125" style="51" customWidth="1"/>
    <col min="14817" max="14817" width="32.33203125" style="51" customWidth="1"/>
    <col min="14818" max="14818" width="9.6640625" style="51" customWidth="1"/>
    <col min="14819" max="14819" width="10.109375" style="51" customWidth="1"/>
    <col min="14820" max="14824" width="0" style="51" hidden="1" customWidth="1"/>
    <col min="14825" max="14825" width="9.33203125" style="51"/>
    <col min="14826" max="14826" width="8.6640625" style="51" customWidth="1"/>
    <col min="14827" max="14827" width="6.6640625" style="51" customWidth="1"/>
    <col min="14828" max="14828" width="9.5546875" style="51" customWidth="1"/>
    <col min="14829" max="14829" width="6.6640625" style="51" customWidth="1"/>
    <col min="14830" max="14830" width="6.88671875" style="51" customWidth="1"/>
    <col min="14831" max="14831" width="9" style="51" customWidth="1"/>
    <col min="14832" max="14832" width="8.109375" style="51" customWidth="1"/>
    <col min="14833" max="14833" width="8" style="51" customWidth="1"/>
    <col min="14834" max="14834" width="9.109375" style="51" customWidth="1"/>
    <col min="14835" max="14835" width="7.6640625" style="51" customWidth="1"/>
    <col min="14836" max="14836" width="9.109375" style="51" customWidth="1"/>
    <col min="14837" max="14837" width="7.33203125" style="51" customWidth="1"/>
    <col min="14838" max="14838" width="7.109375" style="51" customWidth="1"/>
    <col min="14839" max="14839" width="8.6640625" style="51" customWidth="1"/>
    <col min="14840" max="14841" width="9.33203125" style="51"/>
    <col min="14842" max="14842" width="9.6640625" style="51" customWidth="1"/>
    <col min="14843" max="14843" width="6.6640625" style="51" customWidth="1"/>
    <col min="14844" max="14844" width="7" style="51" customWidth="1"/>
    <col min="14845" max="14845" width="5.33203125" style="51" customWidth="1"/>
    <col min="14846" max="14846" width="6.5546875" style="51" bestFit="1" customWidth="1"/>
    <col min="14847" max="14847" width="8.33203125" style="51" customWidth="1"/>
    <col min="14848" max="14848" width="8" style="51" customWidth="1"/>
    <col min="14849" max="14849" width="6.5546875" style="51" customWidth="1"/>
    <col min="14850" max="14850" width="8.33203125" style="51" customWidth="1"/>
    <col min="14851" max="14851" width="7.33203125" style="51" customWidth="1"/>
    <col min="14852" max="14852" width="8.109375" style="51" customWidth="1"/>
    <col min="14853" max="14853" width="5.44140625" style="51" customWidth="1"/>
    <col min="14854" max="14854" width="7.5546875" style="51" customWidth="1"/>
    <col min="14855" max="14855" width="6.5546875" style="51" customWidth="1"/>
    <col min="14856" max="14856" width="6.33203125" style="51" customWidth="1"/>
    <col min="14857" max="14857" width="7.6640625" style="51" customWidth="1"/>
    <col min="14858" max="14858" width="6.109375" style="51" customWidth="1"/>
    <col min="14859" max="14859" width="5.6640625" style="51" customWidth="1"/>
    <col min="14860" max="14860" width="6.6640625" style="51" customWidth="1"/>
    <col min="14861" max="14861" width="5.44140625" style="51" customWidth="1"/>
    <col min="14862" max="14862" width="6.5546875" style="51" customWidth="1"/>
    <col min="14863" max="14863" width="7.6640625" style="51" customWidth="1"/>
    <col min="14864" max="14864" width="5.6640625" style="51" customWidth="1"/>
    <col min="14865" max="14865" width="5.88671875" style="51" customWidth="1"/>
    <col min="14866" max="14866" width="6.6640625" style="51" customWidth="1"/>
    <col min="14867" max="14867" width="5.33203125" style="51" customWidth="1"/>
    <col min="14868" max="14868" width="7.5546875" style="51" customWidth="1"/>
    <col min="14869" max="14869" width="5.33203125" style="51" customWidth="1"/>
    <col min="14870" max="14870" width="6.109375" style="51" customWidth="1"/>
    <col min="14871" max="14872" width="6.33203125" style="51" customWidth="1"/>
    <col min="14873" max="14873" width="6.5546875" style="51" bestFit="1" customWidth="1"/>
    <col min="14874" max="14874" width="6.44140625" style="51" customWidth="1"/>
    <col min="14875" max="14877" width="5.5546875" style="51" customWidth="1"/>
    <col min="14878" max="14878" width="5.6640625" style="51" customWidth="1"/>
    <col min="14879" max="15071" width="9.33203125" style="51"/>
    <col min="15072" max="15072" width="3.33203125" style="51" customWidth="1"/>
    <col min="15073" max="15073" width="32.33203125" style="51" customWidth="1"/>
    <col min="15074" max="15074" width="9.6640625" style="51" customWidth="1"/>
    <col min="15075" max="15075" width="10.109375" style="51" customWidth="1"/>
    <col min="15076" max="15080" width="0" style="51" hidden="1" customWidth="1"/>
    <col min="15081" max="15081" width="9.33203125" style="51"/>
    <col min="15082" max="15082" width="8.6640625" style="51" customWidth="1"/>
    <col min="15083" max="15083" width="6.6640625" style="51" customWidth="1"/>
    <col min="15084" max="15084" width="9.5546875" style="51" customWidth="1"/>
    <col min="15085" max="15085" width="6.6640625" style="51" customWidth="1"/>
    <col min="15086" max="15086" width="6.88671875" style="51" customWidth="1"/>
    <col min="15087" max="15087" width="9" style="51" customWidth="1"/>
    <col min="15088" max="15088" width="8.109375" style="51" customWidth="1"/>
    <col min="15089" max="15089" width="8" style="51" customWidth="1"/>
    <col min="15090" max="15090" width="9.109375" style="51" customWidth="1"/>
    <col min="15091" max="15091" width="7.6640625" style="51" customWidth="1"/>
    <col min="15092" max="15092" width="9.109375" style="51" customWidth="1"/>
    <col min="15093" max="15093" width="7.33203125" style="51" customWidth="1"/>
    <col min="15094" max="15094" width="7.109375" style="51" customWidth="1"/>
    <col min="15095" max="15095" width="8.6640625" style="51" customWidth="1"/>
    <col min="15096" max="15097" width="9.33203125" style="51"/>
    <col min="15098" max="15098" width="9.6640625" style="51" customWidth="1"/>
    <col min="15099" max="15099" width="6.6640625" style="51" customWidth="1"/>
    <col min="15100" max="15100" width="7" style="51" customWidth="1"/>
    <col min="15101" max="15101" width="5.33203125" style="51" customWidth="1"/>
    <col min="15102" max="15102" width="6.5546875" style="51" bestFit="1" customWidth="1"/>
    <col min="15103" max="15103" width="8.33203125" style="51" customWidth="1"/>
    <col min="15104" max="15104" width="8" style="51" customWidth="1"/>
    <col min="15105" max="15105" width="6.5546875" style="51" customWidth="1"/>
    <col min="15106" max="15106" width="8.33203125" style="51" customWidth="1"/>
    <col min="15107" max="15107" width="7.33203125" style="51" customWidth="1"/>
    <col min="15108" max="15108" width="8.109375" style="51" customWidth="1"/>
    <col min="15109" max="15109" width="5.44140625" style="51" customWidth="1"/>
    <col min="15110" max="15110" width="7.5546875" style="51" customWidth="1"/>
    <col min="15111" max="15111" width="6.5546875" style="51" customWidth="1"/>
    <col min="15112" max="15112" width="6.33203125" style="51" customWidth="1"/>
    <col min="15113" max="15113" width="7.6640625" style="51" customWidth="1"/>
    <col min="15114" max="15114" width="6.109375" style="51" customWidth="1"/>
    <col min="15115" max="15115" width="5.6640625" style="51" customWidth="1"/>
    <col min="15116" max="15116" width="6.6640625" style="51" customWidth="1"/>
    <col min="15117" max="15117" width="5.44140625" style="51" customWidth="1"/>
    <col min="15118" max="15118" width="6.5546875" style="51" customWidth="1"/>
    <col min="15119" max="15119" width="7.6640625" style="51" customWidth="1"/>
    <col min="15120" max="15120" width="5.6640625" style="51" customWidth="1"/>
    <col min="15121" max="15121" width="5.88671875" style="51" customWidth="1"/>
    <col min="15122" max="15122" width="6.6640625" style="51" customWidth="1"/>
    <col min="15123" max="15123" width="5.33203125" style="51" customWidth="1"/>
    <col min="15124" max="15124" width="7.5546875" style="51" customWidth="1"/>
    <col min="15125" max="15125" width="5.33203125" style="51" customWidth="1"/>
    <col min="15126" max="15126" width="6.109375" style="51" customWidth="1"/>
    <col min="15127" max="15128" width="6.33203125" style="51" customWidth="1"/>
    <col min="15129" max="15129" width="6.5546875" style="51" bestFit="1" customWidth="1"/>
    <col min="15130" max="15130" width="6.44140625" style="51" customWidth="1"/>
    <col min="15131" max="15133" width="5.5546875" style="51" customWidth="1"/>
    <col min="15134" max="15134" width="5.6640625" style="51" customWidth="1"/>
    <col min="15135" max="15327" width="9.33203125" style="51"/>
    <col min="15328" max="15328" width="3.33203125" style="51" customWidth="1"/>
    <col min="15329" max="15329" width="32.33203125" style="51" customWidth="1"/>
    <col min="15330" max="15330" width="9.6640625" style="51" customWidth="1"/>
    <col min="15331" max="15331" width="10.109375" style="51" customWidth="1"/>
    <col min="15332" max="15336" width="0" style="51" hidden="1" customWidth="1"/>
    <col min="15337" max="15337" width="9.33203125" style="51"/>
    <col min="15338" max="15338" width="8.6640625" style="51" customWidth="1"/>
    <col min="15339" max="15339" width="6.6640625" style="51" customWidth="1"/>
    <col min="15340" max="15340" width="9.5546875" style="51" customWidth="1"/>
    <col min="15341" max="15341" width="6.6640625" style="51" customWidth="1"/>
    <col min="15342" max="15342" width="6.88671875" style="51" customWidth="1"/>
    <col min="15343" max="15343" width="9" style="51" customWidth="1"/>
    <col min="15344" max="15344" width="8.109375" style="51" customWidth="1"/>
    <col min="15345" max="15345" width="8" style="51" customWidth="1"/>
    <col min="15346" max="15346" width="9.109375" style="51" customWidth="1"/>
    <col min="15347" max="15347" width="7.6640625" style="51" customWidth="1"/>
    <col min="15348" max="15348" width="9.109375" style="51" customWidth="1"/>
    <col min="15349" max="15349" width="7.33203125" style="51" customWidth="1"/>
    <col min="15350" max="15350" width="7.109375" style="51" customWidth="1"/>
    <col min="15351" max="15351" width="8.6640625" style="51" customWidth="1"/>
    <col min="15352" max="15353" width="9.33203125" style="51"/>
    <col min="15354" max="15354" width="9.6640625" style="51" customWidth="1"/>
    <col min="15355" max="15355" width="6.6640625" style="51" customWidth="1"/>
    <col min="15356" max="15356" width="7" style="51" customWidth="1"/>
    <col min="15357" max="15357" width="5.33203125" style="51" customWidth="1"/>
    <col min="15358" max="15358" width="6.5546875" style="51" bestFit="1" customWidth="1"/>
    <col min="15359" max="15359" width="8.33203125" style="51" customWidth="1"/>
    <col min="15360" max="15360" width="8" style="51" customWidth="1"/>
    <col min="15361" max="15361" width="6.5546875" style="51" customWidth="1"/>
    <col min="15362" max="15362" width="8.33203125" style="51" customWidth="1"/>
    <col min="15363" max="15363" width="7.33203125" style="51" customWidth="1"/>
    <col min="15364" max="15364" width="8.109375" style="51" customWidth="1"/>
    <col min="15365" max="15365" width="5.44140625" style="51" customWidth="1"/>
    <col min="15366" max="15366" width="7.5546875" style="51" customWidth="1"/>
    <col min="15367" max="15367" width="6.5546875" style="51" customWidth="1"/>
    <col min="15368" max="15368" width="6.33203125" style="51" customWidth="1"/>
    <col min="15369" max="15369" width="7.6640625" style="51" customWidth="1"/>
    <col min="15370" max="15370" width="6.109375" style="51" customWidth="1"/>
    <col min="15371" max="15371" width="5.6640625" style="51" customWidth="1"/>
    <col min="15372" max="15372" width="6.6640625" style="51" customWidth="1"/>
    <col min="15373" max="15373" width="5.44140625" style="51" customWidth="1"/>
    <col min="15374" max="15374" width="6.5546875" style="51" customWidth="1"/>
    <col min="15375" max="15375" width="7.6640625" style="51" customWidth="1"/>
    <col min="15376" max="15376" width="5.6640625" style="51" customWidth="1"/>
    <col min="15377" max="15377" width="5.88671875" style="51" customWidth="1"/>
    <col min="15378" max="15378" width="6.6640625" style="51" customWidth="1"/>
    <col min="15379" max="15379" width="5.33203125" style="51" customWidth="1"/>
    <col min="15380" max="15380" width="7.5546875" style="51" customWidth="1"/>
    <col min="15381" max="15381" width="5.33203125" style="51" customWidth="1"/>
    <col min="15382" max="15382" width="6.109375" style="51" customWidth="1"/>
    <col min="15383" max="15384" width="6.33203125" style="51" customWidth="1"/>
    <col min="15385" max="15385" width="6.5546875" style="51" bestFit="1" customWidth="1"/>
    <col min="15386" max="15386" width="6.44140625" style="51" customWidth="1"/>
    <col min="15387" max="15389" width="5.5546875" style="51" customWidth="1"/>
    <col min="15390" max="15390" width="5.6640625" style="51" customWidth="1"/>
    <col min="15391" max="15583" width="9.33203125" style="51"/>
    <col min="15584" max="15584" width="3.33203125" style="51" customWidth="1"/>
    <col min="15585" max="15585" width="32.33203125" style="51" customWidth="1"/>
    <col min="15586" max="15586" width="9.6640625" style="51" customWidth="1"/>
    <col min="15587" max="15587" width="10.109375" style="51" customWidth="1"/>
    <col min="15588" max="15592" width="0" style="51" hidden="1" customWidth="1"/>
    <col min="15593" max="15593" width="9.33203125" style="51"/>
    <col min="15594" max="15594" width="8.6640625" style="51" customWidth="1"/>
    <col min="15595" max="15595" width="6.6640625" style="51" customWidth="1"/>
    <col min="15596" max="15596" width="9.5546875" style="51" customWidth="1"/>
    <col min="15597" max="15597" width="6.6640625" style="51" customWidth="1"/>
    <col min="15598" max="15598" width="6.88671875" style="51" customWidth="1"/>
    <col min="15599" max="15599" width="9" style="51" customWidth="1"/>
    <col min="15600" max="15600" width="8.109375" style="51" customWidth="1"/>
    <col min="15601" max="15601" width="8" style="51" customWidth="1"/>
    <col min="15602" max="15602" width="9.109375" style="51" customWidth="1"/>
    <col min="15603" max="15603" width="7.6640625" style="51" customWidth="1"/>
    <col min="15604" max="15604" width="9.109375" style="51" customWidth="1"/>
    <col min="15605" max="15605" width="7.33203125" style="51" customWidth="1"/>
    <col min="15606" max="15606" width="7.109375" style="51" customWidth="1"/>
    <col min="15607" max="15607" width="8.6640625" style="51" customWidth="1"/>
    <col min="15608" max="15609" width="9.33203125" style="51"/>
    <col min="15610" max="15610" width="9.6640625" style="51" customWidth="1"/>
    <col min="15611" max="15611" width="6.6640625" style="51" customWidth="1"/>
    <col min="15612" max="15612" width="7" style="51" customWidth="1"/>
    <col min="15613" max="15613" width="5.33203125" style="51" customWidth="1"/>
    <col min="15614" max="15614" width="6.5546875" style="51" bestFit="1" customWidth="1"/>
    <col min="15615" max="15615" width="8.33203125" style="51" customWidth="1"/>
    <col min="15616" max="15616" width="8" style="51" customWidth="1"/>
    <col min="15617" max="15617" width="6.5546875" style="51" customWidth="1"/>
    <col min="15618" max="15618" width="8.33203125" style="51" customWidth="1"/>
    <col min="15619" max="15619" width="7.33203125" style="51" customWidth="1"/>
    <col min="15620" max="15620" width="8.109375" style="51" customWidth="1"/>
    <col min="15621" max="15621" width="5.44140625" style="51" customWidth="1"/>
    <col min="15622" max="15622" width="7.5546875" style="51" customWidth="1"/>
    <col min="15623" max="15623" width="6.5546875" style="51" customWidth="1"/>
    <col min="15624" max="15624" width="6.33203125" style="51" customWidth="1"/>
    <col min="15625" max="15625" width="7.6640625" style="51" customWidth="1"/>
    <col min="15626" max="15626" width="6.109375" style="51" customWidth="1"/>
    <col min="15627" max="15627" width="5.6640625" style="51" customWidth="1"/>
    <col min="15628" max="15628" width="6.6640625" style="51" customWidth="1"/>
    <col min="15629" max="15629" width="5.44140625" style="51" customWidth="1"/>
    <col min="15630" max="15630" width="6.5546875" style="51" customWidth="1"/>
    <col min="15631" max="15631" width="7.6640625" style="51" customWidth="1"/>
    <col min="15632" max="15632" width="5.6640625" style="51" customWidth="1"/>
    <col min="15633" max="15633" width="5.88671875" style="51" customWidth="1"/>
    <col min="15634" max="15634" width="6.6640625" style="51" customWidth="1"/>
    <col min="15635" max="15635" width="5.33203125" style="51" customWidth="1"/>
    <col min="15636" max="15636" width="7.5546875" style="51" customWidth="1"/>
    <col min="15637" max="15637" width="5.33203125" style="51" customWidth="1"/>
    <col min="15638" max="15638" width="6.109375" style="51" customWidth="1"/>
    <col min="15639" max="15640" width="6.33203125" style="51" customWidth="1"/>
    <col min="15641" max="15641" width="6.5546875" style="51" bestFit="1" customWidth="1"/>
    <col min="15642" max="15642" width="6.44140625" style="51" customWidth="1"/>
    <col min="15643" max="15645" width="5.5546875" style="51" customWidth="1"/>
    <col min="15646" max="15646" width="5.6640625" style="51" customWidth="1"/>
    <col min="15647" max="15839" width="9.33203125" style="51"/>
    <col min="15840" max="15840" width="3.33203125" style="51" customWidth="1"/>
    <col min="15841" max="15841" width="32.33203125" style="51" customWidth="1"/>
    <col min="15842" max="15842" width="9.6640625" style="51" customWidth="1"/>
    <col min="15843" max="15843" width="10.109375" style="51" customWidth="1"/>
    <col min="15844" max="15848" width="0" style="51" hidden="1" customWidth="1"/>
    <col min="15849" max="15849" width="9.33203125" style="51"/>
    <col min="15850" max="15850" width="8.6640625" style="51" customWidth="1"/>
    <col min="15851" max="15851" width="6.6640625" style="51" customWidth="1"/>
    <col min="15852" max="15852" width="9.5546875" style="51" customWidth="1"/>
    <col min="15853" max="15853" width="6.6640625" style="51" customWidth="1"/>
    <col min="15854" max="15854" width="6.88671875" style="51" customWidth="1"/>
    <col min="15855" max="15855" width="9" style="51" customWidth="1"/>
    <col min="15856" max="15856" width="8.109375" style="51" customWidth="1"/>
    <col min="15857" max="15857" width="8" style="51" customWidth="1"/>
    <col min="15858" max="15858" width="9.109375" style="51" customWidth="1"/>
    <col min="15859" max="15859" width="7.6640625" style="51" customWidth="1"/>
    <col min="15860" max="15860" width="9.109375" style="51" customWidth="1"/>
    <col min="15861" max="15861" width="7.33203125" style="51" customWidth="1"/>
    <col min="15862" max="15862" width="7.109375" style="51" customWidth="1"/>
    <col min="15863" max="15863" width="8.6640625" style="51" customWidth="1"/>
    <col min="15864" max="15865" width="9.33203125" style="51"/>
    <col min="15866" max="15866" width="9.6640625" style="51" customWidth="1"/>
    <col min="15867" max="15867" width="6.6640625" style="51" customWidth="1"/>
    <col min="15868" max="15868" width="7" style="51" customWidth="1"/>
    <col min="15869" max="15869" width="5.33203125" style="51" customWidth="1"/>
    <col min="15870" max="15870" width="6.5546875" style="51" bestFit="1" customWidth="1"/>
    <col min="15871" max="15871" width="8.33203125" style="51" customWidth="1"/>
    <col min="15872" max="15872" width="8" style="51" customWidth="1"/>
    <col min="15873" max="15873" width="6.5546875" style="51" customWidth="1"/>
    <col min="15874" max="15874" width="8.33203125" style="51" customWidth="1"/>
    <col min="15875" max="15875" width="7.33203125" style="51" customWidth="1"/>
    <col min="15876" max="15876" width="8.109375" style="51" customWidth="1"/>
    <col min="15877" max="15877" width="5.44140625" style="51" customWidth="1"/>
    <col min="15878" max="15878" width="7.5546875" style="51" customWidth="1"/>
    <col min="15879" max="15879" width="6.5546875" style="51" customWidth="1"/>
    <col min="15880" max="15880" width="6.33203125" style="51" customWidth="1"/>
    <col min="15881" max="15881" width="7.6640625" style="51" customWidth="1"/>
    <col min="15882" max="15882" width="6.109375" style="51" customWidth="1"/>
    <col min="15883" max="15883" width="5.6640625" style="51" customWidth="1"/>
    <col min="15884" max="15884" width="6.6640625" style="51" customWidth="1"/>
    <col min="15885" max="15885" width="5.44140625" style="51" customWidth="1"/>
    <col min="15886" max="15886" width="6.5546875" style="51" customWidth="1"/>
    <col min="15887" max="15887" width="7.6640625" style="51" customWidth="1"/>
    <col min="15888" max="15888" width="5.6640625" style="51" customWidth="1"/>
    <col min="15889" max="15889" width="5.88671875" style="51" customWidth="1"/>
    <col min="15890" max="15890" width="6.6640625" style="51" customWidth="1"/>
    <col min="15891" max="15891" width="5.33203125" style="51" customWidth="1"/>
    <col min="15892" max="15892" width="7.5546875" style="51" customWidth="1"/>
    <col min="15893" max="15893" width="5.33203125" style="51" customWidth="1"/>
    <col min="15894" max="15894" width="6.109375" style="51" customWidth="1"/>
    <col min="15895" max="15896" width="6.33203125" style="51" customWidth="1"/>
    <col min="15897" max="15897" width="6.5546875" style="51" bestFit="1" customWidth="1"/>
    <col min="15898" max="15898" width="6.44140625" style="51" customWidth="1"/>
    <col min="15899" max="15901" width="5.5546875" style="51" customWidth="1"/>
    <col min="15902" max="15902" width="5.6640625" style="51" customWidth="1"/>
    <col min="15903" max="16095" width="9.33203125" style="51"/>
    <col min="16096" max="16096" width="3.33203125" style="51" customWidth="1"/>
    <col min="16097" max="16097" width="32.33203125" style="51" customWidth="1"/>
    <col min="16098" max="16098" width="9.6640625" style="51" customWidth="1"/>
    <col min="16099" max="16099" width="10.109375" style="51" customWidth="1"/>
    <col min="16100" max="16104" width="0" style="51" hidden="1" customWidth="1"/>
    <col min="16105" max="16105" width="9.33203125" style="51"/>
    <col min="16106" max="16106" width="8.6640625" style="51" customWidth="1"/>
    <col min="16107" max="16107" width="6.6640625" style="51" customWidth="1"/>
    <col min="16108" max="16108" width="9.5546875" style="51" customWidth="1"/>
    <col min="16109" max="16109" width="6.6640625" style="51" customWidth="1"/>
    <col min="16110" max="16110" width="6.88671875" style="51" customWidth="1"/>
    <col min="16111" max="16111" width="9" style="51" customWidth="1"/>
    <col min="16112" max="16112" width="8.109375" style="51" customWidth="1"/>
    <col min="16113" max="16113" width="8" style="51" customWidth="1"/>
    <col min="16114" max="16114" width="9.109375" style="51" customWidth="1"/>
    <col min="16115" max="16115" width="7.6640625" style="51" customWidth="1"/>
    <col min="16116" max="16116" width="9.109375" style="51" customWidth="1"/>
    <col min="16117" max="16117" width="7.33203125" style="51" customWidth="1"/>
    <col min="16118" max="16118" width="7.109375" style="51" customWidth="1"/>
    <col min="16119" max="16119" width="8.6640625" style="51" customWidth="1"/>
    <col min="16120" max="16121" width="9.33203125" style="51"/>
    <col min="16122" max="16122" width="9.6640625" style="51" customWidth="1"/>
    <col min="16123" max="16123" width="6.6640625" style="51" customWidth="1"/>
    <col min="16124" max="16124" width="7" style="51" customWidth="1"/>
    <col min="16125" max="16125" width="5.33203125" style="51" customWidth="1"/>
    <col min="16126" max="16126" width="6.5546875" style="51" bestFit="1" customWidth="1"/>
    <col min="16127" max="16127" width="8.33203125" style="51" customWidth="1"/>
    <col min="16128" max="16128" width="8" style="51" customWidth="1"/>
    <col min="16129" max="16129" width="6.5546875" style="51" customWidth="1"/>
    <col min="16130" max="16130" width="8.33203125" style="51" customWidth="1"/>
    <col min="16131" max="16131" width="7.33203125" style="51" customWidth="1"/>
    <col min="16132" max="16132" width="8.109375" style="51" customWidth="1"/>
    <col min="16133" max="16133" width="5.44140625" style="51" customWidth="1"/>
    <col min="16134" max="16134" width="7.5546875" style="51" customWidth="1"/>
    <col min="16135" max="16135" width="6.5546875" style="51" customWidth="1"/>
    <col min="16136" max="16136" width="6.33203125" style="51" customWidth="1"/>
    <col min="16137" max="16137" width="7.6640625" style="51" customWidth="1"/>
    <col min="16138" max="16138" width="6.109375" style="51" customWidth="1"/>
    <col min="16139" max="16139" width="5.6640625" style="51" customWidth="1"/>
    <col min="16140" max="16140" width="6.6640625" style="51" customWidth="1"/>
    <col min="16141" max="16141" width="5.44140625" style="51" customWidth="1"/>
    <col min="16142" max="16142" width="6.5546875" style="51" customWidth="1"/>
    <col min="16143" max="16143" width="7.6640625" style="51" customWidth="1"/>
    <col min="16144" max="16144" width="5.6640625" style="51" customWidth="1"/>
    <col min="16145" max="16145" width="5.88671875" style="51" customWidth="1"/>
    <col min="16146" max="16146" width="6.6640625" style="51" customWidth="1"/>
    <col min="16147" max="16147" width="5.33203125" style="51" customWidth="1"/>
    <col min="16148" max="16148" width="7.5546875" style="51" customWidth="1"/>
    <col min="16149" max="16149" width="5.33203125" style="51" customWidth="1"/>
    <col min="16150" max="16150" width="6.109375" style="51" customWidth="1"/>
    <col min="16151" max="16152" width="6.33203125" style="51" customWidth="1"/>
    <col min="16153" max="16153" width="6.5546875" style="51" bestFit="1" customWidth="1"/>
    <col min="16154" max="16154" width="6.44140625" style="51" customWidth="1"/>
    <col min="16155" max="16157" width="5.5546875" style="51" customWidth="1"/>
    <col min="16158" max="16158" width="5.6640625" style="51" customWidth="1"/>
    <col min="16159" max="16384" width="9.33203125" style="51"/>
  </cols>
  <sheetData>
    <row r="1" spans="1:30" ht="13.2" customHeight="1" x14ac:dyDescent="0.2">
      <c r="B1" s="52"/>
      <c r="C1" s="114" t="s">
        <v>53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52"/>
      <c r="Y1" s="52"/>
      <c r="Z1" s="52"/>
      <c r="AA1" s="52"/>
      <c r="AB1" s="52"/>
      <c r="AC1" s="52"/>
      <c r="AD1" s="53" t="s">
        <v>54</v>
      </c>
    </row>
    <row r="2" spans="1:30" ht="13.2" customHeight="1" x14ac:dyDescent="0.2"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3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</row>
    <row r="3" spans="1:30" ht="12.75" customHeight="1" x14ac:dyDescent="0.2">
      <c r="A3" s="54"/>
      <c r="B3" s="55"/>
      <c r="C3" s="54"/>
      <c r="D3" s="54"/>
      <c r="E3" s="54"/>
      <c r="F3" s="54"/>
      <c r="G3" s="54"/>
      <c r="H3" s="54"/>
      <c r="I3" s="54"/>
      <c r="J3" s="54"/>
      <c r="K3" s="54"/>
      <c r="L3" s="54"/>
      <c r="M3" s="119"/>
      <c r="N3" s="119"/>
      <c r="O3" s="54"/>
      <c r="P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119" t="s">
        <v>55</v>
      </c>
      <c r="AD3" s="119"/>
    </row>
    <row r="4" spans="1:30" ht="28.5" customHeight="1" x14ac:dyDescent="0.2">
      <c r="A4" s="113"/>
      <c r="B4" s="120"/>
      <c r="C4" s="113" t="s">
        <v>56</v>
      </c>
      <c r="D4" s="113"/>
      <c r="E4" s="113"/>
      <c r="F4" s="113"/>
      <c r="G4" s="113" t="s">
        <v>57</v>
      </c>
      <c r="H4" s="113"/>
      <c r="I4" s="113"/>
      <c r="J4" s="113"/>
      <c r="K4" s="113" t="s">
        <v>58</v>
      </c>
      <c r="L4" s="113"/>
      <c r="M4" s="113"/>
      <c r="N4" s="113"/>
      <c r="O4" s="121" t="s">
        <v>59</v>
      </c>
      <c r="P4" s="121"/>
      <c r="Q4" s="121"/>
      <c r="R4" s="121"/>
      <c r="S4" s="113" t="s">
        <v>60</v>
      </c>
      <c r="T4" s="113"/>
      <c r="U4" s="113"/>
      <c r="V4" s="113"/>
      <c r="W4" s="113" t="s">
        <v>61</v>
      </c>
      <c r="X4" s="113"/>
      <c r="Y4" s="113"/>
      <c r="Z4" s="113"/>
      <c r="AA4" s="113" t="s">
        <v>62</v>
      </c>
      <c r="AB4" s="113"/>
      <c r="AC4" s="113"/>
      <c r="AD4" s="113"/>
    </row>
    <row r="5" spans="1:30" ht="13.2" customHeight="1" x14ac:dyDescent="0.2">
      <c r="A5" s="113"/>
      <c r="B5" s="120"/>
      <c r="C5" s="118">
        <v>2021</v>
      </c>
      <c r="D5" s="115">
        <v>2020</v>
      </c>
      <c r="E5" s="116" t="s">
        <v>63</v>
      </c>
      <c r="F5" s="117"/>
      <c r="G5" s="118">
        <v>2021</v>
      </c>
      <c r="H5" s="115">
        <v>2020</v>
      </c>
      <c r="I5" s="116" t="s">
        <v>63</v>
      </c>
      <c r="J5" s="117"/>
      <c r="K5" s="118">
        <v>2021</v>
      </c>
      <c r="L5" s="115">
        <v>2020</v>
      </c>
      <c r="M5" s="116" t="s">
        <v>63</v>
      </c>
      <c r="N5" s="117"/>
      <c r="O5" s="118">
        <v>2021</v>
      </c>
      <c r="P5" s="115">
        <v>2020</v>
      </c>
      <c r="Q5" s="116" t="s">
        <v>63</v>
      </c>
      <c r="R5" s="117"/>
      <c r="S5" s="118">
        <v>2021</v>
      </c>
      <c r="T5" s="115">
        <v>2020</v>
      </c>
      <c r="U5" s="116" t="s">
        <v>63</v>
      </c>
      <c r="V5" s="117"/>
      <c r="W5" s="118">
        <v>2021</v>
      </c>
      <c r="X5" s="115">
        <v>2020</v>
      </c>
      <c r="Y5" s="116" t="s">
        <v>63</v>
      </c>
      <c r="Z5" s="117"/>
      <c r="AA5" s="118">
        <v>2021</v>
      </c>
      <c r="AB5" s="115">
        <v>2020</v>
      </c>
      <c r="AC5" s="116" t="s">
        <v>63</v>
      </c>
      <c r="AD5" s="117"/>
    </row>
    <row r="6" spans="1:30" ht="13.2" customHeight="1" x14ac:dyDescent="0.2">
      <c r="A6" s="113"/>
      <c r="B6" s="120"/>
      <c r="C6" s="116"/>
      <c r="D6" s="116"/>
      <c r="E6" s="113" t="s">
        <v>64</v>
      </c>
      <c r="F6" s="113"/>
      <c r="G6" s="116"/>
      <c r="H6" s="116"/>
      <c r="I6" s="113" t="s">
        <v>64</v>
      </c>
      <c r="J6" s="113"/>
      <c r="K6" s="116"/>
      <c r="L6" s="116"/>
      <c r="M6" s="113" t="s">
        <v>64</v>
      </c>
      <c r="N6" s="113"/>
      <c r="O6" s="116"/>
      <c r="P6" s="116"/>
      <c r="Q6" s="113" t="s">
        <v>64</v>
      </c>
      <c r="R6" s="113"/>
      <c r="S6" s="116"/>
      <c r="T6" s="116"/>
      <c r="U6" s="113" t="s">
        <v>64</v>
      </c>
      <c r="V6" s="113"/>
      <c r="W6" s="116"/>
      <c r="X6" s="116"/>
      <c r="Y6" s="113" t="s">
        <v>64</v>
      </c>
      <c r="Z6" s="113"/>
      <c r="AA6" s="116"/>
      <c r="AB6" s="116"/>
      <c r="AC6" s="113" t="s">
        <v>64</v>
      </c>
      <c r="AD6" s="113"/>
    </row>
    <row r="7" spans="1:30" ht="27.75" customHeight="1" x14ac:dyDescent="0.2">
      <c r="A7" s="113"/>
      <c r="B7" s="120"/>
      <c r="C7" s="57" t="s">
        <v>63</v>
      </c>
      <c r="D7" s="57" t="s">
        <v>63</v>
      </c>
      <c r="E7" s="58" t="s">
        <v>65</v>
      </c>
      <c r="F7" s="58" t="s">
        <v>66</v>
      </c>
      <c r="G7" s="57" t="s">
        <v>63</v>
      </c>
      <c r="H7" s="57" t="s">
        <v>63</v>
      </c>
      <c r="I7" s="58" t="s">
        <v>65</v>
      </c>
      <c r="J7" s="58" t="s">
        <v>66</v>
      </c>
      <c r="K7" s="57" t="s">
        <v>63</v>
      </c>
      <c r="L7" s="57" t="s">
        <v>63</v>
      </c>
      <c r="M7" s="58" t="s">
        <v>65</v>
      </c>
      <c r="N7" s="58" t="s">
        <v>66</v>
      </c>
      <c r="O7" s="57" t="s">
        <v>63</v>
      </c>
      <c r="P7" s="57" t="s">
        <v>63</v>
      </c>
      <c r="Q7" s="58" t="s">
        <v>65</v>
      </c>
      <c r="R7" s="58" t="s">
        <v>66</v>
      </c>
      <c r="S7" s="57" t="s">
        <v>63</v>
      </c>
      <c r="T7" s="57" t="s">
        <v>63</v>
      </c>
      <c r="U7" s="58" t="s">
        <v>65</v>
      </c>
      <c r="V7" s="58" t="s">
        <v>66</v>
      </c>
      <c r="W7" s="57" t="s">
        <v>63</v>
      </c>
      <c r="X7" s="57" t="s">
        <v>63</v>
      </c>
      <c r="Y7" s="58" t="s">
        <v>65</v>
      </c>
      <c r="Z7" s="58" t="s">
        <v>66</v>
      </c>
      <c r="AA7" s="57" t="s">
        <v>63</v>
      </c>
      <c r="AB7" s="57" t="s">
        <v>63</v>
      </c>
      <c r="AC7" s="58" t="s">
        <v>65</v>
      </c>
      <c r="AD7" s="58" t="s">
        <v>66</v>
      </c>
    </row>
    <row r="8" spans="1:30" s="54" customFormat="1" ht="13.2" customHeight="1" x14ac:dyDescent="0.2">
      <c r="A8" s="56">
        <v>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56">
        <v>9</v>
      </c>
      <c r="J8" s="56">
        <v>10</v>
      </c>
      <c r="K8" s="56">
        <v>11</v>
      </c>
      <c r="L8" s="56">
        <v>12</v>
      </c>
      <c r="M8" s="56">
        <v>13</v>
      </c>
      <c r="N8" s="56">
        <v>14</v>
      </c>
      <c r="O8" s="56">
        <v>15</v>
      </c>
      <c r="P8" s="56">
        <v>16</v>
      </c>
      <c r="Q8" s="56">
        <v>17</v>
      </c>
      <c r="R8" s="56">
        <v>18</v>
      </c>
      <c r="S8" s="56">
        <v>19</v>
      </c>
      <c r="T8" s="56">
        <v>20</v>
      </c>
      <c r="U8" s="56">
        <v>21</v>
      </c>
      <c r="V8" s="56">
        <v>22</v>
      </c>
      <c r="W8" s="56">
        <v>23</v>
      </c>
      <c r="X8" s="56">
        <v>24</v>
      </c>
      <c r="Y8" s="56">
        <v>25</v>
      </c>
      <c r="Z8" s="56">
        <v>26</v>
      </c>
      <c r="AA8" s="56">
        <v>27</v>
      </c>
      <c r="AB8" s="56">
        <v>28</v>
      </c>
      <c r="AC8" s="56">
        <v>29</v>
      </c>
      <c r="AD8" s="56">
        <v>30</v>
      </c>
    </row>
    <row r="9" spans="1:30" ht="12" customHeight="1" x14ac:dyDescent="0.2">
      <c r="A9" s="59">
        <v>1</v>
      </c>
      <c r="B9" s="102" t="s">
        <v>67</v>
      </c>
      <c r="C9" s="61">
        <f t="shared" ref="C9:D16" si="0">+G9+K9+O9+S9+W9+AA9</f>
        <v>655.20000000000005</v>
      </c>
      <c r="D9" s="61">
        <f t="shared" si="0"/>
        <v>588.19999999999993</v>
      </c>
      <c r="E9" s="61">
        <f t="shared" ref="E9:E40" si="1">+C9/D9*100</f>
        <v>111.39068344100649</v>
      </c>
      <c r="F9" s="61">
        <f t="shared" ref="F9:F16" si="2">+C9-D9</f>
        <v>67.000000000000114</v>
      </c>
      <c r="G9" s="61">
        <v>328.5</v>
      </c>
      <c r="H9" s="61">
        <v>327.39999999999998</v>
      </c>
      <c r="I9" s="61">
        <f t="shared" ref="I9:I40" si="3">+G9/H9*100</f>
        <v>100.33598045204644</v>
      </c>
      <c r="J9" s="61">
        <f t="shared" ref="J9:J16" si="4">+G9-H9</f>
        <v>1.1000000000000227</v>
      </c>
      <c r="K9" s="61">
        <v>289.8</v>
      </c>
      <c r="L9" s="61">
        <v>225.4</v>
      </c>
      <c r="M9" s="61">
        <f t="shared" ref="M9:M34" si="5">+K9/L9*100</f>
        <v>128.57142857142858</v>
      </c>
      <c r="N9" s="61">
        <f t="shared" ref="N9:N16" si="6">+K9-L9</f>
        <v>64.400000000000006</v>
      </c>
      <c r="O9" s="61">
        <v>5.0999999999999996</v>
      </c>
      <c r="P9" s="61"/>
      <c r="Q9" s="61"/>
      <c r="R9" s="61">
        <f t="shared" ref="R9:R16" si="7">+O9-P9</f>
        <v>5.0999999999999996</v>
      </c>
      <c r="S9" s="61">
        <v>0.1</v>
      </c>
      <c r="T9" s="61">
        <v>0.3</v>
      </c>
      <c r="U9" s="61">
        <f t="shared" ref="U9:U18" si="8">+S9/T9*100</f>
        <v>33.333333333333336</v>
      </c>
      <c r="V9" s="61">
        <f t="shared" ref="V9:V16" si="9">+S9-T9</f>
        <v>-0.19999999999999998</v>
      </c>
      <c r="W9" s="61"/>
      <c r="X9" s="61"/>
      <c r="Y9" s="61"/>
      <c r="Z9" s="61"/>
      <c r="AA9" s="61">
        <v>31.7</v>
      </c>
      <c r="AB9" s="61">
        <v>35.1</v>
      </c>
      <c r="AC9" s="61">
        <f t="shared" ref="AC9:AC17" si="10">+AA9/AB9*100</f>
        <v>90.3133903133903</v>
      </c>
      <c r="AD9" s="61">
        <f t="shared" ref="AD9:AD16" si="11">+AA9-AB9</f>
        <v>-3.4000000000000021</v>
      </c>
    </row>
    <row r="10" spans="1:30" ht="12" customHeight="1" x14ac:dyDescent="0.2">
      <c r="A10" s="59">
        <v>2</v>
      </c>
      <c r="B10" s="102" t="s">
        <v>68</v>
      </c>
      <c r="C10" s="61">
        <f t="shared" si="0"/>
        <v>705.20000000000016</v>
      </c>
      <c r="D10" s="61">
        <f t="shared" si="0"/>
        <v>634.19999999999993</v>
      </c>
      <c r="E10" s="61">
        <f t="shared" si="1"/>
        <v>111.19520655944501</v>
      </c>
      <c r="F10" s="61">
        <f t="shared" si="2"/>
        <v>71.000000000000227</v>
      </c>
      <c r="G10" s="61">
        <f>357+0.1</f>
        <v>357.1</v>
      </c>
      <c r="H10" s="61">
        <v>350.2</v>
      </c>
      <c r="I10" s="61">
        <f t="shared" si="3"/>
        <v>101.97030268418048</v>
      </c>
      <c r="J10" s="61">
        <f t="shared" si="4"/>
        <v>6.9000000000000341</v>
      </c>
      <c r="K10" s="61">
        <v>305.8</v>
      </c>
      <c r="L10" s="61">
        <v>245.6</v>
      </c>
      <c r="M10" s="61">
        <f t="shared" si="5"/>
        <v>124.51140065146579</v>
      </c>
      <c r="N10" s="61">
        <f t="shared" si="6"/>
        <v>60.200000000000017</v>
      </c>
      <c r="O10" s="61">
        <v>10.1</v>
      </c>
      <c r="P10" s="61">
        <v>0.3</v>
      </c>
      <c r="Q10" s="61">
        <f>+O10/P10*100</f>
        <v>3366.6666666666665</v>
      </c>
      <c r="R10" s="61">
        <f t="shared" si="7"/>
        <v>9.7999999999999989</v>
      </c>
      <c r="S10" s="61">
        <v>0.1</v>
      </c>
      <c r="T10" s="61">
        <v>0.5</v>
      </c>
      <c r="U10" s="61">
        <f t="shared" si="8"/>
        <v>20</v>
      </c>
      <c r="V10" s="61">
        <f t="shared" si="9"/>
        <v>-0.4</v>
      </c>
      <c r="W10" s="61"/>
      <c r="X10" s="61"/>
      <c r="Y10" s="61"/>
      <c r="Z10" s="61"/>
      <c r="AA10" s="61">
        <v>32.1</v>
      </c>
      <c r="AB10" s="61">
        <v>37.6</v>
      </c>
      <c r="AC10" s="61">
        <f t="shared" si="10"/>
        <v>85.372340425531917</v>
      </c>
      <c r="AD10" s="61">
        <f t="shared" si="11"/>
        <v>-5.5</v>
      </c>
    </row>
    <row r="11" spans="1:30" ht="12" customHeight="1" x14ac:dyDescent="0.2">
      <c r="A11" s="59">
        <v>3</v>
      </c>
      <c r="B11" s="102" t="s">
        <v>69</v>
      </c>
      <c r="C11" s="61">
        <f t="shared" si="0"/>
        <v>686.4</v>
      </c>
      <c r="D11" s="61">
        <f t="shared" si="0"/>
        <v>619.19999999999993</v>
      </c>
      <c r="E11" s="61">
        <f t="shared" si="1"/>
        <v>110.85271317829459</v>
      </c>
      <c r="F11" s="61">
        <f t="shared" si="2"/>
        <v>67.200000000000045</v>
      </c>
      <c r="G11" s="61">
        <v>337.3</v>
      </c>
      <c r="H11" s="61">
        <v>328.7</v>
      </c>
      <c r="I11" s="61">
        <f t="shared" si="3"/>
        <v>102.6163675083663</v>
      </c>
      <c r="J11" s="61">
        <f t="shared" si="4"/>
        <v>8.6000000000000227</v>
      </c>
      <c r="K11" s="61">
        <v>307.8</v>
      </c>
      <c r="L11" s="61">
        <v>243.5</v>
      </c>
      <c r="M11" s="61">
        <f t="shared" si="5"/>
        <v>126.40657084188913</v>
      </c>
      <c r="N11" s="61">
        <f t="shared" si="6"/>
        <v>64.300000000000011</v>
      </c>
      <c r="O11" s="61"/>
      <c r="P11" s="61">
        <v>4.3</v>
      </c>
      <c r="Q11" s="61">
        <f>+O11/P11*100</f>
        <v>0</v>
      </c>
      <c r="R11" s="61">
        <f t="shared" si="7"/>
        <v>-4.3</v>
      </c>
      <c r="S11" s="61">
        <v>0.9</v>
      </c>
      <c r="T11" s="61">
        <v>0.9</v>
      </c>
      <c r="U11" s="61">
        <f t="shared" si="8"/>
        <v>100</v>
      </c>
      <c r="V11" s="61">
        <f t="shared" si="9"/>
        <v>0</v>
      </c>
      <c r="W11" s="61"/>
      <c r="X11" s="61"/>
      <c r="Y11" s="61"/>
      <c r="Z11" s="61"/>
      <c r="AA11" s="61">
        <f>40.5-0.1</f>
        <v>40.4</v>
      </c>
      <c r="AB11" s="61">
        <v>41.8</v>
      </c>
      <c r="AC11" s="61">
        <f t="shared" si="10"/>
        <v>96.650717703349287</v>
      </c>
      <c r="AD11" s="61">
        <f t="shared" si="11"/>
        <v>-1.3999999999999986</v>
      </c>
    </row>
    <row r="12" spans="1:30" ht="12" customHeight="1" x14ac:dyDescent="0.2">
      <c r="A12" s="59">
        <v>4</v>
      </c>
      <c r="B12" s="102" t="s">
        <v>70</v>
      </c>
      <c r="C12" s="61">
        <f t="shared" si="0"/>
        <v>750.3</v>
      </c>
      <c r="D12" s="61">
        <f t="shared" si="0"/>
        <v>657.7</v>
      </c>
      <c r="E12" s="61">
        <f t="shared" si="1"/>
        <v>114.07936749277785</v>
      </c>
      <c r="F12" s="61">
        <f t="shared" si="2"/>
        <v>92.599999999999909</v>
      </c>
      <c r="G12" s="61">
        <v>344.3</v>
      </c>
      <c r="H12" s="61">
        <v>343.2</v>
      </c>
      <c r="I12" s="61">
        <f t="shared" si="3"/>
        <v>100.32051282051282</v>
      </c>
      <c r="J12" s="61">
        <f t="shared" si="4"/>
        <v>1.1000000000000227</v>
      </c>
      <c r="K12" s="61">
        <v>359.8</v>
      </c>
      <c r="L12" s="61">
        <v>265.7</v>
      </c>
      <c r="M12" s="61">
        <f t="shared" si="5"/>
        <v>135.41588257433196</v>
      </c>
      <c r="N12" s="61">
        <f t="shared" si="6"/>
        <v>94.100000000000023</v>
      </c>
      <c r="O12" s="61">
        <v>2</v>
      </c>
      <c r="P12" s="61"/>
      <c r="Q12" s="61"/>
      <c r="R12" s="61">
        <f t="shared" si="7"/>
        <v>2</v>
      </c>
      <c r="S12" s="61"/>
      <c r="T12" s="61">
        <v>0.9</v>
      </c>
      <c r="U12" s="61">
        <f t="shared" si="8"/>
        <v>0</v>
      </c>
      <c r="V12" s="61">
        <f t="shared" si="9"/>
        <v>-0.9</v>
      </c>
      <c r="W12" s="61">
        <v>0.3</v>
      </c>
      <c r="X12" s="61">
        <v>0.7</v>
      </c>
      <c r="Y12" s="61">
        <f>+W12/X12*100</f>
        <v>42.857142857142861</v>
      </c>
      <c r="Z12" s="61">
        <f>+W12-X12</f>
        <v>-0.39999999999999997</v>
      </c>
      <c r="AA12" s="61">
        <v>43.9</v>
      </c>
      <c r="AB12" s="61">
        <v>47.2</v>
      </c>
      <c r="AC12" s="61">
        <f t="shared" si="10"/>
        <v>93.008474576271183</v>
      </c>
      <c r="AD12" s="61">
        <f t="shared" si="11"/>
        <v>-3.3000000000000043</v>
      </c>
    </row>
    <row r="13" spans="1:30" ht="12" customHeight="1" x14ac:dyDescent="0.2">
      <c r="A13" s="59">
        <v>5</v>
      </c>
      <c r="B13" s="102" t="s">
        <v>71</v>
      </c>
      <c r="C13" s="61">
        <f t="shared" si="0"/>
        <v>753</v>
      </c>
      <c r="D13" s="61">
        <f t="shared" si="0"/>
        <v>669.50000000000011</v>
      </c>
      <c r="E13" s="61">
        <f t="shared" si="1"/>
        <v>112.47199402539208</v>
      </c>
      <c r="F13" s="61">
        <f t="shared" si="2"/>
        <v>83.499999999999886</v>
      </c>
      <c r="G13" s="61">
        <f>357-0.1</f>
        <v>356.9</v>
      </c>
      <c r="H13" s="61">
        <v>351</v>
      </c>
      <c r="I13" s="61">
        <f t="shared" si="3"/>
        <v>101.68091168091166</v>
      </c>
      <c r="J13" s="61">
        <f t="shared" si="4"/>
        <v>5.8999999999999773</v>
      </c>
      <c r="K13" s="61">
        <v>345.5</v>
      </c>
      <c r="L13" s="61">
        <v>265.2</v>
      </c>
      <c r="M13" s="61">
        <f t="shared" si="5"/>
        <v>130.27903469079939</v>
      </c>
      <c r="N13" s="61">
        <f t="shared" si="6"/>
        <v>80.300000000000011</v>
      </c>
      <c r="O13" s="61">
        <v>1.8</v>
      </c>
      <c r="P13" s="61">
        <v>5.9</v>
      </c>
      <c r="Q13" s="61">
        <f t="shared" ref="Q13:Q18" si="12">+O13/P13*100</f>
        <v>30.508474576271183</v>
      </c>
      <c r="R13" s="61">
        <f t="shared" si="7"/>
        <v>-4.1000000000000005</v>
      </c>
      <c r="S13" s="61">
        <v>0.7</v>
      </c>
      <c r="T13" s="61">
        <v>0.7</v>
      </c>
      <c r="U13" s="61">
        <f t="shared" si="8"/>
        <v>100</v>
      </c>
      <c r="V13" s="61">
        <f t="shared" si="9"/>
        <v>0</v>
      </c>
      <c r="W13" s="61"/>
      <c r="X13" s="61"/>
      <c r="Y13" s="61"/>
      <c r="Z13" s="61"/>
      <c r="AA13" s="61">
        <v>48.1</v>
      </c>
      <c r="AB13" s="61">
        <v>46.7</v>
      </c>
      <c r="AC13" s="61">
        <f t="shared" si="10"/>
        <v>102.99785867237688</v>
      </c>
      <c r="AD13" s="61">
        <f t="shared" si="11"/>
        <v>1.3999999999999986</v>
      </c>
    </row>
    <row r="14" spans="1:30" ht="12" customHeight="1" x14ac:dyDescent="0.2">
      <c r="A14" s="59">
        <v>6</v>
      </c>
      <c r="B14" s="102" t="s">
        <v>72</v>
      </c>
      <c r="C14" s="61">
        <f t="shared" si="0"/>
        <v>787.40000000000009</v>
      </c>
      <c r="D14" s="61">
        <f t="shared" si="0"/>
        <v>649.59999999999991</v>
      </c>
      <c r="E14" s="61">
        <f t="shared" si="1"/>
        <v>121.21305418719214</v>
      </c>
      <c r="F14" s="61">
        <f t="shared" si="2"/>
        <v>137.80000000000018</v>
      </c>
      <c r="G14" s="61">
        <v>436.9</v>
      </c>
      <c r="H14" s="61">
        <v>361.6</v>
      </c>
      <c r="I14" s="61">
        <f t="shared" si="3"/>
        <v>120.82411504424778</v>
      </c>
      <c r="J14" s="61">
        <f t="shared" si="4"/>
        <v>75.299999999999955</v>
      </c>
      <c r="K14" s="61">
        <v>307.3</v>
      </c>
      <c r="L14" s="61">
        <v>247.2</v>
      </c>
      <c r="M14" s="61">
        <f t="shared" si="5"/>
        <v>124.31229773462785</v>
      </c>
      <c r="N14" s="61">
        <f t="shared" si="6"/>
        <v>60.100000000000023</v>
      </c>
      <c r="O14" s="61">
        <v>14.9</v>
      </c>
      <c r="P14" s="61">
        <v>9.9</v>
      </c>
      <c r="Q14" s="61">
        <f t="shared" si="12"/>
        <v>150.50505050505049</v>
      </c>
      <c r="R14" s="61">
        <f t="shared" si="7"/>
        <v>5</v>
      </c>
      <c r="S14" s="61">
        <v>0.2</v>
      </c>
      <c r="T14" s="61">
        <v>0.9</v>
      </c>
      <c r="U14" s="61">
        <f t="shared" si="8"/>
        <v>22.222222222222225</v>
      </c>
      <c r="V14" s="61">
        <f t="shared" si="9"/>
        <v>-0.7</v>
      </c>
      <c r="W14" s="61"/>
      <c r="X14" s="61"/>
      <c r="Y14" s="61"/>
      <c r="Z14" s="61"/>
      <c r="AA14" s="61">
        <v>28.1</v>
      </c>
      <c r="AB14" s="61">
        <v>30</v>
      </c>
      <c r="AC14" s="61">
        <f t="shared" si="10"/>
        <v>93.666666666666671</v>
      </c>
      <c r="AD14" s="61">
        <f t="shared" si="11"/>
        <v>-1.8999999999999986</v>
      </c>
    </row>
    <row r="15" spans="1:30" ht="12" customHeight="1" x14ac:dyDescent="0.2">
      <c r="A15" s="59">
        <v>7</v>
      </c>
      <c r="B15" s="60" t="s">
        <v>73</v>
      </c>
      <c r="C15" s="61">
        <f t="shared" si="0"/>
        <v>767.2</v>
      </c>
      <c r="D15" s="61">
        <f t="shared" si="0"/>
        <v>662.00000000000011</v>
      </c>
      <c r="E15" s="61">
        <f t="shared" si="1"/>
        <v>115.89123867069485</v>
      </c>
      <c r="F15" s="61">
        <f t="shared" si="2"/>
        <v>105.19999999999993</v>
      </c>
      <c r="G15" s="61">
        <v>378.4</v>
      </c>
      <c r="H15" s="61">
        <v>362.2</v>
      </c>
      <c r="I15" s="61">
        <f t="shared" si="3"/>
        <v>104.47266703478742</v>
      </c>
      <c r="J15" s="61">
        <f t="shared" si="4"/>
        <v>16.199999999999989</v>
      </c>
      <c r="K15" s="61">
        <v>335.9</v>
      </c>
      <c r="L15" s="61">
        <v>258.5</v>
      </c>
      <c r="M15" s="61">
        <f t="shared" si="5"/>
        <v>129.94197292069632</v>
      </c>
      <c r="N15" s="61">
        <f t="shared" si="6"/>
        <v>77.399999999999977</v>
      </c>
      <c r="O15" s="61">
        <v>13.5</v>
      </c>
      <c r="P15" s="61">
        <v>6.6</v>
      </c>
      <c r="Q15" s="61">
        <f t="shared" si="12"/>
        <v>204.54545454545453</v>
      </c>
      <c r="R15" s="61">
        <f t="shared" si="7"/>
        <v>6.9</v>
      </c>
      <c r="S15" s="61">
        <v>0.2</v>
      </c>
      <c r="T15" s="61">
        <v>0.6</v>
      </c>
      <c r="U15" s="61">
        <f t="shared" si="8"/>
        <v>33.333333333333336</v>
      </c>
      <c r="V15" s="61">
        <f t="shared" si="9"/>
        <v>-0.39999999999999997</v>
      </c>
      <c r="W15" s="61"/>
      <c r="X15" s="61"/>
      <c r="Y15" s="61"/>
      <c r="Z15" s="61"/>
      <c r="AA15" s="61">
        <v>39.200000000000003</v>
      </c>
      <c r="AB15" s="61">
        <v>34.1</v>
      </c>
      <c r="AC15" s="61">
        <f t="shared" si="10"/>
        <v>114.95601173020529</v>
      </c>
      <c r="AD15" s="61">
        <f t="shared" si="11"/>
        <v>5.1000000000000014</v>
      </c>
    </row>
    <row r="16" spans="1:30" x14ac:dyDescent="0.2">
      <c r="A16" s="59">
        <v>8</v>
      </c>
      <c r="B16" s="62" t="s">
        <v>74</v>
      </c>
      <c r="C16" s="61">
        <f t="shared" si="0"/>
        <v>715</v>
      </c>
      <c r="D16" s="61">
        <f t="shared" si="0"/>
        <v>597.9</v>
      </c>
      <c r="E16" s="61">
        <f t="shared" si="1"/>
        <v>119.58521491888277</v>
      </c>
      <c r="F16" s="61">
        <f t="shared" si="2"/>
        <v>117.10000000000002</v>
      </c>
      <c r="G16" s="61">
        <v>326.10000000000002</v>
      </c>
      <c r="H16" s="61">
        <v>286.3</v>
      </c>
      <c r="I16" s="61">
        <f t="shared" si="3"/>
        <v>113.90150192106184</v>
      </c>
      <c r="J16" s="61">
        <f t="shared" si="4"/>
        <v>39.800000000000011</v>
      </c>
      <c r="K16" s="61">
        <v>348.9</v>
      </c>
      <c r="L16" s="61">
        <v>284.5</v>
      </c>
      <c r="M16" s="61">
        <f t="shared" si="5"/>
        <v>122.63620386643233</v>
      </c>
      <c r="N16" s="61">
        <f t="shared" si="6"/>
        <v>64.399999999999977</v>
      </c>
      <c r="O16" s="61">
        <v>13</v>
      </c>
      <c r="P16" s="61">
        <v>1</v>
      </c>
      <c r="Q16" s="61">
        <f t="shared" si="12"/>
        <v>1300</v>
      </c>
      <c r="R16" s="61">
        <f t="shared" si="7"/>
        <v>12</v>
      </c>
      <c r="S16" s="61"/>
      <c r="T16" s="61">
        <v>0.1</v>
      </c>
      <c r="U16" s="61">
        <f t="shared" si="8"/>
        <v>0</v>
      </c>
      <c r="V16" s="61">
        <f t="shared" si="9"/>
        <v>-0.1</v>
      </c>
      <c r="W16" s="61"/>
      <c r="X16" s="61"/>
      <c r="Y16" s="61"/>
      <c r="Z16" s="61"/>
      <c r="AA16" s="61">
        <v>27</v>
      </c>
      <c r="AB16" s="61">
        <v>26</v>
      </c>
      <c r="AC16" s="61">
        <f t="shared" si="10"/>
        <v>103.84615384615385</v>
      </c>
      <c r="AD16" s="61">
        <f t="shared" si="11"/>
        <v>1</v>
      </c>
    </row>
    <row r="17" spans="1:30" ht="12" customHeight="1" x14ac:dyDescent="0.2">
      <c r="A17" s="59">
        <v>9</v>
      </c>
      <c r="B17" s="50" t="s">
        <v>75</v>
      </c>
      <c r="C17" s="63">
        <f>SUM(C9:C16)</f>
        <v>5819.7</v>
      </c>
      <c r="D17" s="63">
        <f t="shared" ref="D17" si="13">SUM(D9:D16)</f>
        <v>5078.3</v>
      </c>
      <c r="E17" s="50">
        <f t="shared" si="1"/>
        <v>114.59937380619498</v>
      </c>
      <c r="F17" s="63">
        <f>SUM(F9:F16)</f>
        <v>741.40000000000032</v>
      </c>
      <c r="G17" s="63">
        <f>SUM(G9:G16)</f>
        <v>2865.5</v>
      </c>
      <c r="H17" s="63">
        <f>SUM(H9:H16)</f>
        <v>2710.6</v>
      </c>
      <c r="I17" s="50">
        <f t="shared" si="3"/>
        <v>105.71460193315134</v>
      </c>
      <c r="J17" s="63">
        <f>SUM(J9:J16)</f>
        <v>154.90000000000003</v>
      </c>
      <c r="K17" s="63">
        <f>SUM(K9:K16)</f>
        <v>2600.8000000000002</v>
      </c>
      <c r="L17" s="63">
        <f>SUM(L9:L16)</f>
        <v>2035.6000000000001</v>
      </c>
      <c r="M17" s="50">
        <f t="shared" si="5"/>
        <v>127.76576930634702</v>
      </c>
      <c r="N17" s="63">
        <f>SUM(N9:N16)</f>
        <v>565.20000000000005</v>
      </c>
      <c r="O17" s="63">
        <f>SUM(O9:O16)</f>
        <v>60.4</v>
      </c>
      <c r="P17" s="63">
        <f>SUM(P9:P16)</f>
        <v>28</v>
      </c>
      <c r="Q17" s="50">
        <f t="shared" si="12"/>
        <v>215.71428571428569</v>
      </c>
      <c r="R17" s="63">
        <f>SUM(R9:R16)</f>
        <v>32.4</v>
      </c>
      <c r="S17" s="63">
        <f>SUM(S9:S16)</f>
        <v>2.2000000000000002</v>
      </c>
      <c r="T17" s="63">
        <f>SUM(T9:T16)</f>
        <v>4.8999999999999995</v>
      </c>
      <c r="U17" s="50">
        <f t="shared" si="8"/>
        <v>44.897959183673478</v>
      </c>
      <c r="V17" s="63">
        <f>SUM(V9:V16)</f>
        <v>-2.7</v>
      </c>
      <c r="W17" s="63">
        <f>SUM(W9:W16)</f>
        <v>0.3</v>
      </c>
      <c r="X17" s="63">
        <f>SUM(X9:X16)</f>
        <v>0.7</v>
      </c>
      <c r="Y17" s="50">
        <f>+W17/X17*100</f>
        <v>42.857142857142861</v>
      </c>
      <c r="Z17" s="63">
        <f>SUM(Z9:Z16)</f>
        <v>-0.39999999999999997</v>
      </c>
      <c r="AA17" s="63">
        <f>SUM(AA9:AA16)</f>
        <v>290.5</v>
      </c>
      <c r="AB17" s="63">
        <f>SUM(AB9:AB16)</f>
        <v>298.5</v>
      </c>
      <c r="AC17" s="50">
        <f t="shared" si="10"/>
        <v>97.319932998324958</v>
      </c>
      <c r="AD17" s="63">
        <f>SUM(AD9:AD16)</f>
        <v>-8.0000000000000036</v>
      </c>
    </row>
    <row r="18" spans="1:30" ht="12" customHeight="1" x14ac:dyDescent="0.2">
      <c r="A18" s="59">
        <v>10</v>
      </c>
      <c r="B18" s="60" t="s">
        <v>76</v>
      </c>
      <c r="C18" s="61">
        <f t="shared" ref="C18:C38" si="14">+G18+K18+O18+S18+W18+AA18</f>
        <v>1361.8</v>
      </c>
      <c r="D18" s="61">
        <f t="shared" ref="D18:D38" si="15">+H18+L18+P18+T18+X18+AB18</f>
        <v>1232.2</v>
      </c>
      <c r="E18" s="61">
        <f t="shared" si="1"/>
        <v>110.51777308878428</v>
      </c>
      <c r="F18" s="61">
        <f t="shared" ref="F18:F38" si="16">+C18-D18</f>
        <v>129.59999999999991</v>
      </c>
      <c r="G18" s="61">
        <v>330.3</v>
      </c>
      <c r="H18" s="61">
        <v>308.2</v>
      </c>
      <c r="I18" s="61">
        <f t="shared" si="3"/>
        <v>107.17066839714471</v>
      </c>
      <c r="J18" s="61">
        <f t="shared" ref="J18:J38" si="17">+G18-H18</f>
        <v>22.100000000000023</v>
      </c>
      <c r="K18" s="61">
        <v>1012.6</v>
      </c>
      <c r="L18" s="61">
        <v>915.8</v>
      </c>
      <c r="M18" s="61">
        <f t="shared" si="5"/>
        <v>110.56999344835117</v>
      </c>
      <c r="N18" s="61">
        <f t="shared" ref="N18:N38" si="18">+K18-L18</f>
        <v>96.800000000000068</v>
      </c>
      <c r="O18" s="61">
        <v>11.1</v>
      </c>
      <c r="P18" s="61">
        <v>0.6</v>
      </c>
      <c r="Q18" s="61">
        <f t="shared" si="12"/>
        <v>1850</v>
      </c>
      <c r="R18" s="61">
        <f t="shared" ref="R18:R38" si="19">+O18-P18</f>
        <v>10.5</v>
      </c>
      <c r="S18" s="61">
        <v>4.5</v>
      </c>
      <c r="T18" s="61">
        <v>5.4</v>
      </c>
      <c r="U18" s="61">
        <f t="shared" si="8"/>
        <v>83.333333333333329</v>
      </c>
      <c r="V18" s="61">
        <f t="shared" ref="V18:V24" si="20">+S18-T18</f>
        <v>-0.90000000000000036</v>
      </c>
      <c r="W18" s="61">
        <v>3.3</v>
      </c>
      <c r="X18" s="61">
        <v>2.2000000000000002</v>
      </c>
      <c r="Y18" s="61">
        <f>+W18/X18*100</f>
        <v>149.99999999999997</v>
      </c>
      <c r="Z18" s="61">
        <f t="shared" ref="Z18:Z25" si="21">+W18-X18</f>
        <v>1.0999999999999996</v>
      </c>
      <c r="AA18" s="61"/>
      <c r="AB18" s="61"/>
      <c r="AC18" s="61"/>
      <c r="AD18" s="61"/>
    </row>
    <row r="19" spans="1:30" ht="12" customHeight="1" x14ac:dyDescent="0.2">
      <c r="A19" s="59">
        <v>11</v>
      </c>
      <c r="B19" s="60" t="s">
        <v>77</v>
      </c>
      <c r="C19" s="61">
        <f t="shared" si="14"/>
        <v>1277.8999999999999</v>
      </c>
      <c r="D19" s="61">
        <f t="shared" si="15"/>
        <v>1167.6000000000001</v>
      </c>
      <c r="E19" s="61">
        <f t="shared" si="1"/>
        <v>109.44672833162039</v>
      </c>
      <c r="F19" s="61">
        <f t="shared" si="16"/>
        <v>110.29999999999973</v>
      </c>
      <c r="G19" s="61">
        <v>298.2</v>
      </c>
      <c r="H19" s="61">
        <v>289.10000000000002</v>
      </c>
      <c r="I19" s="61">
        <f t="shared" si="3"/>
        <v>103.14769975786923</v>
      </c>
      <c r="J19" s="61">
        <f t="shared" si="17"/>
        <v>9.0999999999999659</v>
      </c>
      <c r="K19" s="61">
        <v>958.5</v>
      </c>
      <c r="L19" s="61">
        <v>872.2</v>
      </c>
      <c r="M19" s="61">
        <f t="shared" si="5"/>
        <v>109.89451960559504</v>
      </c>
      <c r="N19" s="61">
        <f t="shared" si="18"/>
        <v>86.299999999999955</v>
      </c>
      <c r="O19" s="61">
        <f>11.2</f>
        <v>11.2</v>
      </c>
      <c r="P19" s="61"/>
      <c r="Q19" s="61"/>
      <c r="R19" s="61">
        <f t="shared" si="19"/>
        <v>11.2</v>
      </c>
      <c r="S19" s="61">
        <v>0.1</v>
      </c>
      <c r="T19" s="61"/>
      <c r="U19" s="61"/>
      <c r="V19" s="61">
        <f t="shared" si="20"/>
        <v>0.1</v>
      </c>
      <c r="W19" s="61">
        <v>0.3</v>
      </c>
      <c r="X19" s="61">
        <v>0.3</v>
      </c>
      <c r="Y19" s="61">
        <f>+W19/X19*100</f>
        <v>100</v>
      </c>
      <c r="Z19" s="61">
        <f t="shared" si="21"/>
        <v>0</v>
      </c>
      <c r="AA19" s="61">
        <v>9.6</v>
      </c>
      <c r="AB19" s="61">
        <v>6</v>
      </c>
      <c r="AC19" s="61">
        <f t="shared" ref="AC19:AC28" si="22">+AA19/AB19*100</f>
        <v>160</v>
      </c>
      <c r="AD19" s="61">
        <f t="shared" ref="AD19:AD28" si="23">+AA19-AB19</f>
        <v>3.5999999999999996</v>
      </c>
    </row>
    <row r="20" spans="1:30" x14ac:dyDescent="0.2">
      <c r="A20" s="59">
        <v>12</v>
      </c>
      <c r="B20" s="64" t="s">
        <v>78</v>
      </c>
      <c r="C20" s="61">
        <f t="shared" si="14"/>
        <v>1552.9</v>
      </c>
      <c r="D20" s="61">
        <f t="shared" si="15"/>
        <v>1383.1000000000001</v>
      </c>
      <c r="E20" s="61">
        <f t="shared" si="1"/>
        <v>112.27676957559105</v>
      </c>
      <c r="F20" s="61">
        <f t="shared" si="16"/>
        <v>169.79999999999995</v>
      </c>
      <c r="G20" s="61">
        <v>683.1</v>
      </c>
      <c r="H20" s="61">
        <v>635.6</v>
      </c>
      <c r="I20" s="61">
        <f t="shared" si="3"/>
        <v>107.47325361862808</v>
      </c>
      <c r="J20" s="61">
        <f t="shared" si="17"/>
        <v>47.5</v>
      </c>
      <c r="K20" s="61">
        <v>834.6</v>
      </c>
      <c r="L20" s="61">
        <v>724.7</v>
      </c>
      <c r="M20" s="61">
        <f t="shared" si="5"/>
        <v>115.16489581895956</v>
      </c>
      <c r="N20" s="61">
        <f t="shared" si="18"/>
        <v>109.89999999999998</v>
      </c>
      <c r="O20" s="61">
        <v>17.3</v>
      </c>
      <c r="P20" s="61">
        <v>0.7</v>
      </c>
      <c r="Q20" s="61">
        <f t="shared" ref="Q20:Q26" si="24">+O20/P20*100</f>
        <v>2471.4285714285716</v>
      </c>
      <c r="R20" s="61">
        <f t="shared" si="19"/>
        <v>16.600000000000001</v>
      </c>
      <c r="S20" s="61">
        <v>0.7</v>
      </c>
      <c r="T20" s="61">
        <v>0.7</v>
      </c>
      <c r="U20" s="61">
        <f>+S20/T20*100</f>
        <v>100</v>
      </c>
      <c r="V20" s="61">
        <f t="shared" si="20"/>
        <v>0</v>
      </c>
      <c r="W20" s="61">
        <v>0.2</v>
      </c>
      <c r="X20" s="61">
        <v>0.3</v>
      </c>
      <c r="Y20" s="61">
        <f>+W20/X20*100</f>
        <v>66.666666666666671</v>
      </c>
      <c r="Z20" s="61">
        <f t="shared" si="21"/>
        <v>-9.9999999999999978E-2</v>
      </c>
      <c r="AA20" s="61">
        <v>17</v>
      </c>
      <c r="AB20" s="61">
        <v>21.1</v>
      </c>
      <c r="AC20" s="61">
        <f t="shared" si="22"/>
        <v>80.568720379146924</v>
      </c>
      <c r="AD20" s="61">
        <f t="shared" si="23"/>
        <v>-4.1000000000000014</v>
      </c>
    </row>
    <row r="21" spans="1:30" ht="12" customHeight="1" x14ac:dyDescent="0.2">
      <c r="A21" s="59">
        <v>13</v>
      </c>
      <c r="B21" s="64" t="s">
        <v>79</v>
      </c>
      <c r="C21" s="61">
        <f t="shared" si="14"/>
        <v>902.80000000000007</v>
      </c>
      <c r="D21" s="61">
        <f t="shared" si="15"/>
        <v>1069.5999999999999</v>
      </c>
      <c r="E21" s="61">
        <f t="shared" si="1"/>
        <v>84.405385190725525</v>
      </c>
      <c r="F21" s="61">
        <f t="shared" si="16"/>
        <v>-166.79999999999984</v>
      </c>
      <c r="G21" s="61">
        <v>313.10000000000002</v>
      </c>
      <c r="H21" s="61">
        <v>371.6</v>
      </c>
      <c r="I21" s="61">
        <f t="shared" si="3"/>
        <v>84.257265877287395</v>
      </c>
      <c r="J21" s="61">
        <f t="shared" si="17"/>
        <v>-58.5</v>
      </c>
      <c r="K21" s="61">
        <v>582</v>
      </c>
      <c r="L21" s="61">
        <v>687.5</v>
      </c>
      <c r="M21" s="61">
        <f t="shared" si="5"/>
        <v>84.654545454545456</v>
      </c>
      <c r="N21" s="61">
        <f t="shared" si="18"/>
        <v>-105.5</v>
      </c>
      <c r="O21" s="61">
        <v>6</v>
      </c>
      <c r="P21" s="61">
        <v>9.6999999999999993</v>
      </c>
      <c r="Q21" s="61">
        <f t="shared" si="24"/>
        <v>61.855670103092784</v>
      </c>
      <c r="R21" s="61">
        <f t="shared" si="19"/>
        <v>-3.6999999999999993</v>
      </c>
      <c r="S21" s="61"/>
      <c r="T21" s="61">
        <v>0.1</v>
      </c>
      <c r="U21" s="61"/>
      <c r="V21" s="61">
        <f t="shared" si="20"/>
        <v>-0.1</v>
      </c>
      <c r="W21" s="61">
        <v>1</v>
      </c>
      <c r="X21" s="61"/>
      <c r="Y21" s="61"/>
      <c r="Z21" s="61">
        <f t="shared" si="21"/>
        <v>1</v>
      </c>
      <c r="AA21" s="61">
        <v>0.7</v>
      </c>
      <c r="AB21" s="61">
        <v>0.7</v>
      </c>
      <c r="AC21" s="61">
        <f t="shared" si="22"/>
        <v>100</v>
      </c>
      <c r="AD21" s="61">
        <f t="shared" si="23"/>
        <v>0</v>
      </c>
    </row>
    <row r="22" spans="1:30" ht="12" customHeight="1" x14ac:dyDescent="0.2">
      <c r="A22" s="59">
        <v>14</v>
      </c>
      <c r="B22" s="64" t="s">
        <v>80</v>
      </c>
      <c r="C22" s="61">
        <f t="shared" si="14"/>
        <v>1457.8</v>
      </c>
      <c r="D22" s="61">
        <f t="shared" si="15"/>
        <v>1270.9000000000001</v>
      </c>
      <c r="E22" s="61">
        <f t="shared" si="1"/>
        <v>114.70611377763788</v>
      </c>
      <c r="F22" s="61">
        <f t="shared" si="16"/>
        <v>186.89999999999986</v>
      </c>
      <c r="G22" s="61">
        <v>683.9</v>
      </c>
      <c r="H22" s="61">
        <v>601.1</v>
      </c>
      <c r="I22" s="61">
        <f t="shared" si="3"/>
        <v>113.77474629845284</v>
      </c>
      <c r="J22" s="61">
        <f t="shared" si="17"/>
        <v>82.799999999999955</v>
      </c>
      <c r="K22" s="61">
        <v>726.3</v>
      </c>
      <c r="L22" s="61">
        <v>646.79999999999995</v>
      </c>
      <c r="M22" s="61">
        <f t="shared" si="5"/>
        <v>112.291280148423</v>
      </c>
      <c r="N22" s="61">
        <f t="shared" si="18"/>
        <v>79.5</v>
      </c>
      <c r="O22" s="61">
        <v>36.200000000000003</v>
      </c>
      <c r="P22" s="61">
        <v>14.3</v>
      </c>
      <c r="Q22" s="61">
        <f t="shared" si="24"/>
        <v>253.14685314685318</v>
      </c>
      <c r="R22" s="61">
        <f t="shared" si="19"/>
        <v>21.900000000000002</v>
      </c>
      <c r="S22" s="61"/>
      <c r="T22" s="61"/>
      <c r="U22" s="61"/>
      <c r="V22" s="61">
        <f t="shared" si="20"/>
        <v>0</v>
      </c>
      <c r="W22" s="61">
        <v>1</v>
      </c>
      <c r="X22" s="61">
        <v>1.5</v>
      </c>
      <c r="Y22" s="61">
        <f>+W22/X22*100</f>
        <v>66.666666666666657</v>
      </c>
      <c r="Z22" s="61">
        <f t="shared" si="21"/>
        <v>-0.5</v>
      </c>
      <c r="AA22" s="61">
        <v>10.4</v>
      </c>
      <c r="AB22" s="61">
        <v>7.2</v>
      </c>
      <c r="AC22" s="61">
        <f t="shared" si="22"/>
        <v>144.44444444444443</v>
      </c>
      <c r="AD22" s="61">
        <f t="shared" si="23"/>
        <v>3.2</v>
      </c>
    </row>
    <row r="23" spans="1:30" ht="12" customHeight="1" x14ac:dyDescent="0.2">
      <c r="A23" s="59">
        <v>15</v>
      </c>
      <c r="B23" s="60" t="s">
        <v>81</v>
      </c>
      <c r="C23" s="61">
        <f t="shared" si="14"/>
        <v>951.9</v>
      </c>
      <c r="D23" s="61">
        <f t="shared" si="15"/>
        <v>866.7</v>
      </c>
      <c r="E23" s="61">
        <f t="shared" si="1"/>
        <v>109.83039113880236</v>
      </c>
      <c r="F23" s="61">
        <f t="shared" si="16"/>
        <v>85.199999999999932</v>
      </c>
      <c r="G23" s="61">
        <v>372.9</v>
      </c>
      <c r="H23" s="61">
        <v>327.10000000000002</v>
      </c>
      <c r="I23" s="61">
        <f t="shared" si="3"/>
        <v>114.00183430143684</v>
      </c>
      <c r="J23" s="61">
        <f t="shared" si="17"/>
        <v>45.799999999999955</v>
      </c>
      <c r="K23" s="61">
        <v>561.20000000000005</v>
      </c>
      <c r="L23" s="61">
        <v>523.4</v>
      </c>
      <c r="M23" s="61">
        <f t="shared" si="5"/>
        <v>107.22200993504015</v>
      </c>
      <c r="N23" s="61">
        <f t="shared" si="18"/>
        <v>37.800000000000068</v>
      </c>
      <c r="O23" s="61">
        <v>17.399999999999999</v>
      </c>
      <c r="P23" s="61">
        <v>15.2</v>
      </c>
      <c r="Q23" s="61">
        <f t="shared" si="24"/>
        <v>114.4736842105263</v>
      </c>
      <c r="R23" s="61">
        <f t="shared" si="19"/>
        <v>2.1999999999999993</v>
      </c>
      <c r="S23" s="61"/>
      <c r="T23" s="61"/>
      <c r="U23" s="61"/>
      <c r="V23" s="61">
        <f t="shared" si="20"/>
        <v>0</v>
      </c>
      <c r="W23" s="61">
        <v>0.1</v>
      </c>
      <c r="X23" s="61">
        <v>0.7</v>
      </c>
      <c r="Y23" s="61">
        <f>+W23/X23*100</f>
        <v>14.285714285714288</v>
      </c>
      <c r="Z23" s="61">
        <f t="shared" si="21"/>
        <v>-0.6</v>
      </c>
      <c r="AA23" s="61">
        <v>0.3</v>
      </c>
      <c r="AB23" s="61">
        <v>0.3</v>
      </c>
      <c r="AC23" s="61">
        <f t="shared" si="22"/>
        <v>100</v>
      </c>
      <c r="AD23" s="61">
        <f t="shared" si="23"/>
        <v>0</v>
      </c>
    </row>
    <row r="24" spans="1:30" ht="19.2" x14ac:dyDescent="0.2">
      <c r="A24" s="59">
        <v>16</v>
      </c>
      <c r="B24" s="64" t="s">
        <v>82</v>
      </c>
      <c r="C24" s="61">
        <f t="shared" si="14"/>
        <v>1940.8</v>
      </c>
      <c r="D24" s="61">
        <f t="shared" si="15"/>
        <v>1749.9</v>
      </c>
      <c r="E24" s="61">
        <f t="shared" si="1"/>
        <v>110.90919481113207</v>
      </c>
      <c r="F24" s="61">
        <f t="shared" si="16"/>
        <v>190.89999999999986</v>
      </c>
      <c r="G24" s="61">
        <v>502.7</v>
      </c>
      <c r="H24" s="61">
        <v>437</v>
      </c>
      <c r="I24" s="61">
        <f t="shared" si="3"/>
        <v>115.03432494279176</v>
      </c>
      <c r="J24" s="61">
        <f t="shared" si="17"/>
        <v>65.699999999999989</v>
      </c>
      <c r="K24" s="61">
        <v>1415.9</v>
      </c>
      <c r="L24" s="61">
        <v>1268.2</v>
      </c>
      <c r="M24" s="61">
        <f t="shared" si="5"/>
        <v>111.64642800820059</v>
      </c>
      <c r="N24" s="61">
        <f t="shared" si="18"/>
        <v>147.70000000000005</v>
      </c>
      <c r="O24" s="61">
        <v>21</v>
      </c>
      <c r="P24" s="61">
        <v>30.6</v>
      </c>
      <c r="Q24" s="61">
        <f t="shared" si="24"/>
        <v>68.627450980392155</v>
      </c>
      <c r="R24" s="61">
        <f t="shared" si="19"/>
        <v>-9.6000000000000014</v>
      </c>
      <c r="S24" s="61">
        <v>0.1</v>
      </c>
      <c r="T24" s="61">
        <v>2.2000000000000002</v>
      </c>
      <c r="U24" s="61">
        <f>+S24/T24*100</f>
        <v>4.5454545454545459</v>
      </c>
      <c r="V24" s="61">
        <f t="shared" si="20"/>
        <v>-2.1</v>
      </c>
      <c r="W24" s="61">
        <v>1.1000000000000001</v>
      </c>
      <c r="X24" s="61">
        <v>9.5</v>
      </c>
      <c r="Y24" s="61">
        <f>+W24/X24*100</f>
        <v>11.578947368421053</v>
      </c>
      <c r="Z24" s="61">
        <f t="shared" si="21"/>
        <v>-8.4</v>
      </c>
      <c r="AA24" s="61"/>
      <c r="AB24" s="61">
        <v>2.4</v>
      </c>
      <c r="AC24" s="61">
        <f t="shared" si="22"/>
        <v>0</v>
      </c>
      <c r="AD24" s="61">
        <f t="shared" si="23"/>
        <v>-2.4</v>
      </c>
    </row>
    <row r="25" spans="1:30" ht="12" customHeight="1" x14ac:dyDescent="0.2">
      <c r="A25" s="59">
        <v>17</v>
      </c>
      <c r="B25" s="60" t="s">
        <v>83</v>
      </c>
      <c r="C25" s="61">
        <f t="shared" si="14"/>
        <v>1867</v>
      </c>
      <c r="D25" s="61">
        <f t="shared" si="15"/>
        <v>1676.7</v>
      </c>
      <c r="E25" s="61">
        <f t="shared" si="1"/>
        <v>111.3496749567603</v>
      </c>
      <c r="F25" s="61">
        <f t="shared" si="16"/>
        <v>190.29999999999995</v>
      </c>
      <c r="G25" s="61">
        <v>345.4</v>
      </c>
      <c r="H25" s="61">
        <v>305.89999999999998</v>
      </c>
      <c r="I25" s="61">
        <f t="shared" si="3"/>
        <v>112.9127165740438</v>
      </c>
      <c r="J25" s="61">
        <f t="shared" si="17"/>
        <v>39.5</v>
      </c>
      <c r="K25" s="61">
        <v>1500.3</v>
      </c>
      <c r="L25" s="61">
        <f>1363.5+0.1</f>
        <v>1363.6</v>
      </c>
      <c r="M25" s="61">
        <f t="shared" si="5"/>
        <v>110.02493399823996</v>
      </c>
      <c r="N25" s="61">
        <f t="shared" si="18"/>
        <v>136.70000000000005</v>
      </c>
      <c r="O25" s="61">
        <v>18.899999999999999</v>
      </c>
      <c r="P25" s="61">
        <f>3</f>
        <v>3</v>
      </c>
      <c r="Q25" s="61">
        <f t="shared" si="24"/>
        <v>630</v>
      </c>
      <c r="R25" s="61">
        <f t="shared" si="19"/>
        <v>15.899999999999999</v>
      </c>
      <c r="S25" s="61"/>
      <c r="T25" s="61"/>
      <c r="U25" s="61"/>
      <c r="V25" s="61"/>
      <c r="W25" s="61">
        <v>1</v>
      </c>
      <c r="X25" s="61">
        <v>3.2</v>
      </c>
      <c r="Y25" s="61">
        <f>+W25/X25*100</f>
        <v>31.25</v>
      </c>
      <c r="Z25" s="61">
        <f t="shared" si="21"/>
        <v>-2.2000000000000002</v>
      </c>
      <c r="AA25" s="61">
        <f>1.3+0.1</f>
        <v>1.4000000000000001</v>
      </c>
      <c r="AB25" s="61">
        <v>1</v>
      </c>
      <c r="AC25" s="61">
        <f t="shared" si="22"/>
        <v>140</v>
      </c>
      <c r="AD25" s="61">
        <f t="shared" si="23"/>
        <v>0.40000000000000013</v>
      </c>
    </row>
    <row r="26" spans="1:30" ht="12" customHeight="1" x14ac:dyDescent="0.2">
      <c r="A26" s="59">
        <v>18</v>
      </c>
      <c r="B26" s="64" t="s">
        <v>84</v>
      </c>
      <c r="C26" s="61">
        <f t="shared" si="14"/>
        <v>1344.1999999999998</v>
      </c>
      <c r="D26" s="61">
        <f t="shared" si="15"/>
        <v>1198.3000000000002</v>
      </c>
      <c r="E26" s="61">
        <f t="shared" si="1"/>
        <v>112.17558207460566</v>
      </c>
      <c r="F26" s="61">
        <f t="shared" si="16"/>
        <v>145.89999999999964</v>
      </c>
      <c r="G26" s="61">
        <v>333.4</v>
      </c>
      <c r="H26" s="61">
        <v>309</v>
      </c>
      <c r="I26" s="61">
        <f t="shared" si="3"/>
        <v>107.89644012944983</v>
      </c>
      <c r="J26" s="61">
        <f t="shared" si="17"/>
        <v>24.399999999999977</v>
      </c>
      <c r="K26" s="61">
        <v>991.8</v>
      </c>
      <c r="L26" s="61">
        <v>867.9</v>
      </c>
      <c r="M26" s="61">
        <f t="shared" si="5"/>
        <v>114.27583823021085</v>
      </c>
      <c r="N26" s="61">
        <f t="shared" si="18"/>
        <v>123.89999999999998</v>
      </c>
      <c r="O26" s="61">
        <v>13</v>
      </c>
      <c r="P26" s="61">
        <v>15.7</v>
      </c>
      <c r="Q26" s="61">
        <f t="shared" si="24"/>
        <v>82.802547770700642</v>
      </c>
      <c r="R26" s="61">
        <f t="shared" si="19"/>
        <v>-2.6999999999999993</v>
      </c>
      <c r="S26" s="61">
        <v>2.1</v>
      </c>
      <c r="T26" s="61">
        <v>2.2999999999999998</v>
      </c>
      <c r="U26" s="61">
        <f>+S26/T26*100</f>
        <v>91.304347826086968</v>
      </c>
      <c r="V26" s="61">
        <f>+S26-T26</f>
        <v>-0.19999999999999973</v>
      </c>
      <c r="W26" s="61"/>
      <c r="X26" s="61"/>
      <c r="Y26" s="61"/>
      <c r="Z26" s="61"/>
      <c r="AA26" s="61">
        <v>3.9</v>
      </c>
      <c r="AB26" s="61">
        <v>3.4</v>
      </c>
      <c r="AC26" s="61">
        <f t="shared" si="22"/>
        <v>114.70588235294117</v>
      </c>
      <c r="AD26" s="61">
        <f t="shared" si="23"/>
        <v>0.5</v>
      </c>
    </row>
    <row r="27" spans="1:30" ht="12" customHeight="1" x14ac:dyDescent="0.2">
      <c r="A27" s="59">
        <v>19</v>
      </c>
      <c r="B27" s="64" t="s">
        <v>85</v>
      </c>
      <c r="C27" s="61">
        <f t="shared" si="14"/>
        <v>570.29999999999995</v>
      </c>
      <c r="D27" s="61">
        <f t="shared" si="15"/>
        <v>518</v>
      </c>
      <c r="E27" s="61">
        <f t="shared" si="1"/>
        <v>110.09652509652508</v>
      </c>
      <c r="F27" s="61">
        <f t="shared" si="16"/>
        <v>52.299999999999955</v>
      </c>
      <c r="G27" s="61">
        <v>210.8</v>
      </c>
      <c r="H27" s="61">
        <v>186.5</v>
      </c>
      <c r="I27" s="61">
        <f t="shared" si="3"/>
        <v>113.029490616622</v>
      </c>
      <c r="J27" s="61">
        <f t="shared" si="17"/>
        <v>24.300000000000011</v>
      </c>
      <c r="K27" s="61">
        <v>357.2</v>
      </c>
      <c r="L27" s="61">
        <v>331</v>
      </c>
      <c r="M27" s="61">
        <f t="shared" si="5"/>
        <v>107.91540785498491</v>
      </c>
      <c r="N27" s="61">
        <f t="shared" si="18"/>
        <v>26.199999999999989</v>
      </c>
      <c r="O27" s="61">
        <v>1.8</v>
      </c>
      <c r="P27" s="61"/>
      <c r="Q27" s="61"/>
      <c r="R27" s="61">
        <f t="shared" si="19"/>
        <v>1.8</v>
      </c>
      <c r="S27" s="61"/>
      <c r="T27" s="61"/>
      <c r="U27" s="61"/>
      <c r="V27" s="61">
        <f>+S27-T27</f>
        <v>0</v>
      </c>
      <c r="W27" s="61">
        <v>0.2</v>
      </c>
      <c r="X27" s="61">
        <v>0.2</v>
      </c>
      <c r="Y27" s="61">
        <f>+W27/X27*100</f>
        <v>100</v>
      </c>
      <c r="Z27" s="61">
        <f>+W27-X27</f>
        <v>0</v>
      </c>
      <c r="AA27" s="61">
        <v>0.3</v>
      </c>
      <c r="AB27" s="61">
        <v>0.3</v>
      </c>
      <c r="AC27" s="61">
        <f t="shared" si="22"/>
        <v>100</v>
      </c>
      <c r="AD27" s="61">
        <f t="shared" si="23"/>
        <v>0</v>
      </c>
    </row>
    <row r="28" spans="1:30" ht="12" customHeight="1" x14ac:dyDescent="0.2">
      <c r="A28" s="59">
        <v>20</v>
      </c>
      <c r="B28" s="64" t="s">
        <v>86</v>
      </c>
      <c r="C28" s="61">
        <f t="shared" si="14"/>
        <v>1406.8000000000002</v>
      </c>
      <c r="D28" s="61">
        <f t="shared" si="15"/>
        <v>1248.5999999999999</v>
      </c>
      <c r="E28" s="61">
        <f t="shared" si="1"/>
        <v>112.67019061348714</v>
      </c>
      <c r="F28" s="61">
        <f t="shared" si="16"/>
        <v>158.20000000000027</v>
      </c>
      <c r="G28" s="61">
        <v>608</v>
      </c>
      <c r="H28" s="61">
        <v>561.4</v>
      </c>
      <c r="I28" s="61">
        <f t="shared" si="3"/>
        <v>108.30067687923051</v>
      </c>
      <c r="J28" s="61">
        <f t="shared" si="17"/>
        <v>46.600000000000023</v>
      </c>
      <c r="K28" s="61">
        <v>735.3</v>
      </c>
      <c r="L28" s="61">
        <v>634.1</v>
      </c>
      <c r="M28" s="61">
        <f t="shared" si="5"/>
        <v>115.95962781895599</v>
      </c>
      <c r="N28" s="61">
        <f t="shared" si="18"/>
        <v>101.19999999999993</v>
      </c>
      <c r="O28" s="61">
        <v>29.4</v>
      </c>
      <c r="P28" s="61">
        <f>16.8</f>
        <v>16.8</v>
      </c>
      <c r="Q28" s="61">
        <f>+O28/P28*100</f>
        <v>174.99999999999997</v>
      </c>
      <c r="R28" s="61">
        <f t="shared" si="19"/>
        <v>12.599999999999998</v>
      </c>
      <c r="S28" s="61">
        <v>0.4</v>
      </c>
      <c r="T28" s="61">
        <v>0.5</v>
      </c>
      <c r="U28" s="61">
        <f>+S28/T28*100</f>
        <v>80</v>
      </c>
      <c r="V28" s="61">
        <f>+S28-T28</f>
        <v>-9.9999999999999978E-2</v>
      </c>
      <c r="W28" s="61"/>
      <c r="X28" s="61"/>
      <c r="Y28" s="61"/>
      <c r="Z28" s="61"/>
      <c r="AA28" s="61">
        <v>33.700000000000003</v>
      </c>
      <c r="AB28" s="61">
        <v>35.799999999999997</v>
      </c>
      <c r="AC28" s="61">
        <f t="shared" si="22"/>
        <v>94.134078212290518</v>
      </c>
      <c r="AD28" s="61">
        <f t="shared" si="23"/>
        <v>-2.0999999999999943</v>
      </c>
    </row>
    <row r="29" spans="1:30" ht="12" customHeight="1" x14ac:dyDescent="0.2">
      <c r="A29" s="59">
        <v>21</v>
      </c>
      <c r="B29" s="64" t="s">
        <v>87</v>
      </c>
      <c r="C29" s="61">
        <f t="shared" si="14"/>
        <v>464.5</v>
      </c>
      <c r="D29" s="61">
        <f t="shared" si="15"/>
        <v>421.09999999999997</v>
      </c>
      <c r="E29" s="61">
        <f t="shared" si="1"/>
        <v>110.30634053668965</v>
      </c>
      <c r="F29" s="61">
        <f t="shared" si="16"/>
        <v>43.400000000000034</v>
      </c>
      <c r="G29" s="61">
        <v>137.69999999999999</v>
      </c>
      <c r="H29" s="61">
        <v>125.5</v>
      </c>
      <c r="I29" s="61">
        <f t="shared" si="3"/>
        <v>109.7211155378486</v>
      </c>
      <c r="J29" s="61">
        <f t="shared" si="17"/>
        <v>12.199999999999989</v>
      </c>
      <c r="K29" s="61">
        <v>325.3</v>
      </c>
      <c r="L29" s="61">
        <v>295.2</v>
      </c>
      <c r="M29" s="61">
        <f t="shared" si="5"/>
        <v>110.19647696476966</v>
      </c>
      <c r="N29" s="61">
        <f t="shared" si="18"/>
        <v>30.100000000000023</v>
      </c>
      <c r="O29" s="61">
        <v>1.4</v>
      </c>
      <c r="P29" s="61"/>
      <c r="Q29" s="61"/>
      <c r="R29" s="61">
        <f t="shared" si="19"/>
        <v>1.4</v>
      </c>
      <c r="S29" s="61"/>
      <c r="T29" s="61"/>
      <c r="U29" s="61"/>
      <c r="V29" s="61">
        <f>+S29-T29</f>
        <v>0</v>
      </c>
      <c r="W29" s="61">
        <v>0.1</v>
      </c>
      <c r="X29" s="61">
        <v>0.4</v>
      </c>
      <c r="Y29" s="61">
        <f>+W29/X29*100</f>
        <v>25</v>
      </c>
      <c r="Z29" s="61">
        <f>+W29-X29</f>
        <v>-0.30000000000000004</v>
      </c>
      <c r="AA29" s="61"/>
      <c r="AB29" s="61"/>
      <c r="AC29" s="61"/>
      <c r="AD29" s="61"/>
    </row>
    <row r="30" spans="1:30" ht="12" customHeight="1" x14ac:dyDescent="0.2">
      <c r="A30" s="59">
        <v>22</v>
      </c>
      <c r="B30" s="64" t="s">
        <v>88</v>
      </c>
      <c r="C30" s="61">
        <f t="shared" si="14"/>
        <v>529.20000000000016</v>
      </c>
      <c r="D30" s="61">
        <f t="shared" si="15"/>
        <v>473.40000000000009</v>
      </c>
      <c r="E30" s="61">
        <f t="shared" si="1"/>
        <v>111.78707224334603</v>
      </c>
      <c r="F30" s="61">
        <f t="shared" si="16"/>
        <v>55.800000000000068</v>
      </c>
      <c r="G30" s="61">
        <v>185.2</v>
      </c>
      <c r="H30" s="61">
        <v>167.4</v>
      </c>
      <c r="I30" s="61">
        <f t="shared" si="3"/>
        <v>110.6332138590203</v>
      </c>
      <c r="J30" s="61">
        <f t="shared" si="17"/>
        <v>17.799999999999983</v>
      </c>
      <c r="K30" s="61">
        <v>338</v>
      </c>
      <c r="L30" s="61">
        <v>305.3</v>
      </c>
      <c r="M30" s="61">
        <f t="shared" si="5"/>
        <v>110.7107762856207</v>
      </c>
      <c r="N30" s="61">
        <f t="shared" si="18"/>
        <v>32.699999999999989</v>
      </c>
      <c r="O30" s="61">
        <v>5.2</v>
      </c>
      <c r="P30" s="61"/>
      <c r="Q30" s="61"/>
      <c r="R30" s="61">
        <f t="shared" si="19"/>
        <v>5.2</v>
      </c>
      <c r="S30" s="61">
        <v>0.1</v>
      </c>
      <c r="T30" s="61"/>
      <c r="U30" s="61"/>
      <c r="V30" s="61">
        <f>+S30-T30</f>
        <v>0.1</v>
      </c>
      <c r="W30" s="61">
        <v>0.1</v>
      </c>
      <c r="X30" s="61">
        <v>0.1</v>
      </c>
      <c r="Y30" s="61">
        <f>+W30/X30*100</f>
        <v>100</v>
      </c>
      <c r="Z30" s="61">
        <f>+W30-X30</f>
        <v>0</v>
      </c>
      <c r="AA30" s="61">
        <v>0.6</v>
      </c>
      <c r="AB30" s="61">
        <v>0.6</v>
      </c>
      <c r="AC30" s="61">
        <f>+AA30/AB30*100</f>
        <v>100</v>
      </c>
      <c r="AD30" s="61">
        <f>+AA30-AB30</f>
        <v>0</v>
      </c>
    </row>
    <row r="31" spans="1:30" ht="12" customHeight="1" x14ac:dyDescent="0.2">
      <c r="A31" s="59">
        <v>23</v>
      </c>
      <c r="B31" s="64" t="s">
        <v>89</v>
      </c>
      <c r="C31" s="61">
        <f t="shared" si="14"/>
        <v>444.9</v>
      </c>
      <c r="D31" s="61">
        <f t="shared" si="15"/>
        <v>408.90000000000003</v>
      </c>
      <c r="E31" s="61">
        <f t="shared" si="1"/>
        <v>108.80410858400586</v>
      </c>
      <c r="F31" s="61">
        <f t="shared" si="16"/>
        <v>35.999999999999943</v>
      </c>
      <c r="G31" s="61">
        <v>172.2</v>
      </c>
      <c r="H31" s="61">
        <v>156.9</v>
      </c>
      <c r="I31" s="61">
        <f t="shared" si="3"/>
        <v>109.7514340344168</v>
      </c>
      <c r="J31" s="61">
        <f t="shared" si="17"/>
        <v>15.299999999999983</v>
      </c>
      <c r="K31" s="61">
        <v>266</v>
      </c>
      <c r="L31" s="61">
        <v>251.8</v>
      </c>
      <c r="M31" s="61">
        <f t="shared" si="5"/>
        <v>105.6393963463066</v>
      </c>
      <c r="N31" s="61">
        <f t="shared" si="18"/>
        <v>14.199999999999989</v>
      </c>
      <c r="O31" s="61">
        <v>6.4</v>
      </c>
      <c r="P31" s="61"/>
      <c r="Q31" s="61"/>
      <c r="R31" s="61">
        <f t="shared" si="19"/>
        <v>6.4</v>
      </c>
      <c r="S31" s="61"/>
      <c r="T31" s="61"/>
      <c r="U31" s="61"/>
      <c r="V31" s="61"/>
      <c r="W31" s="61">
        <v>0.3</v>
      </c>
      <c r="X31" s="61">
        <v>0.2</v>
      </c>
      <c r="Y31" s="61">
        <f>+W31/X31*100</f>
        <v>149.99999999999997</v>
      </c>
      <c r="Z31" s="61">
        <f>+W31-X31</f>
        <v>9.9999999999999978E-2</v>
      </c>
      <c r="AA31" s="61"/>
      <c r="AB31" s="61"/>
      <c r="AC31" s="61"/>
      <c r="AD31" s="61"/>
    </row>
    <row r="32" spans="1:30" x14ac:dyDescent="0.2">
      <c r="A32" s="59">
        <v>24</v>
      </c>
      <c r="B32" s="64" t="s">
        <v>90</v>
      </c>
      <c r="C32" s="61">
        <f t="shared" si="14"/>
        <v>776.09999999999991</v>
      </c>
      <c r="D32" s="61">
        <f t="shared" si="15"/>
        <v>761.80000000000007</v>
      </c>
      <c r="E32" s="61">
        <f t="shared" si="1"/>
        <v>101.87713310580202</v>
      </c>
      <c r="F32" s="61">
        <f t="shared" si="16"/>
        <v>14.299999999999841</v>
      </c>
      <c r="G32" s="61">
        <v>389.5</v>
      </c>
      <c r="H32" s="61">
        <v>323.7</v>
      </c>
      <c r="I32" s="61">
        <f t="shared" si="3"/>
        <v>120.32746370095768</v>
      </c>
      <c r="J32" s="61">
        <f t="shared" si="17"/>
        <v>65.800000000000011</v>
      </c>
      <c r="K32" s="61">
        <v>293.89999999999998</v>
      </c>
      <c r="L32" s="61">
        <v>324.8</v>
      </c>
      <c r="M32" s="61">
        <f t="shared" si="5"/>
        <v>90.486453201970434</v>
      </c>
      <c r="N32" s="61">
        <f t="shared" si="18"/>
        <v>-30.900000000000034</v>
      </c>
      <c r="O32" s="61">
        <v>49.1</v>
      </c>
      <c r="P32" s="61">
        <v>76.400000000000006</v>
      </c>
      <c r="Q32" s="61">
        <f>+O32/P32*100</f>
        <v>64.267015706806291</v>
      </c>
      <c r="R32" s="61">
        <f t="shared" si="19"/>
        <v>-27.300000000000004</v>
      </c>
      <c r="S32" s="61"/>
      <c r="T32" s="61"/>
      <c r="U32" s="61"/>
      <c r="V32" s="61"/>
      <c r="W32" s="61">
        <v>21.3</v>
      </c>
      <c r="X32" s="61">
        <v>15.2</v>
      </c>
      <c r="Y32" s="61">
        <f>+W32/X32*100</f>
        <v>140.13157894736844</v>
      </c>
      <c r="Z32" s="61">
        <f>+W32-X32</f>
        <v>6.1000000000000014</v>
      </c>
      <c r="AA32" s="61">
        <v>22.3</v>
      </c>
      <c r="AB32" s="61">
        <v>21.7</v>
      </c>
      <c r="AC32" s="61">
        <f t="shared" ref="AC32:AC37" si="25">+AA32/AB32*100</f>
        <v>102.76497695852535</v>
      </c>
      <c r="AD32" s="61">
        <f t="shared" ref="AD32:AD37" si="26">+AA32-AB32</f>
        <v>0.60000000000000142</v>
      </c>
    </row>
    <row r="33" spans="1:30" ht="12" customHeight="1" x14ac:dyDescent="0.2">
      <c r="A33" s="59">
        <v>25</v>
      </c>
      <c r="B33" s="60" t="s">
        <v>91</v>
      </c>
      <c r="C33" s="61">
        <f t="shared" si="14"/>
        <v>1137.8000000000002</v>
      </c>
      <c r="D33" s="61">
        <f t="shared" si="15"/>
        <v>1079.5999999999999</v>
      </c>
      <c r="E33" s="61">
        <f t="shared" si="1"/>
        <v>105.39088551315305</v>
      </c>
      <c r="F33" s="61">
        <f t="shared" si="16"/>
        <v>58.200000000000273</v>
      </c>
      <c r="G33" s="61">
        <v>16.2</v>
      </c>
      <c r="H33" s="61">
        <v>0.5</v>
      </c>
      <c r="I33" s="61">
        <f t="shared" si="3"/>
        <v>3240</v>
      </c>
      <c r="J33" s="61">
        <f t="shared" si="17"/>
        <v>15.7</v>
      </c>
      <c r="K33" s="61">
        <v>558.1</v>
      </c>
      <c r="L33" s="61">
        <v>542.20000000000005</v>
      </c>
      <c r="M33" s="61">
        <f t="shared" si="5"/>
        <v>102.93249723349318</v>
      </c>
      <c r="N33" s="61">
        <f t="shared" si="18"/>
        <v>15.899999999999977</v>
      </c>
      <c r="O33" s="61">
        <v>556.1</v>
      </c>
      <c r="P33" s="61">
        <v>532.9</v>
      </c>
      <c r="Q33" s="61">
        <f>+O33/P33*100</f>
        <v>104.35353724901483</v>
      </c>
      <c r="R33" s="61">
        <f t="shared" si="19"/>
        <v>23.200000000000045</v>
      </c>
      <c r="S33" s="61"/>
      <c r="T33" s="61"/>
      <c r="U33" s="61"/>
      <c r="V33" s="61"/>
      <c r="W33" s="61">
        <v>0.2</v>
      </c>
      <c r="X33" s="61">
        <v>0.7</v>
      </c>
      <c r="Y33" s="61">
        <f>+W33/X33*100</f>
        <v>28.571428571428577</v>
      </c>
      <c r="Z33" s="61">
        <f>+W33-X33</f>
        <v>-0.49999999999999994</v>
      </c>
      <c r="AA33" s="61">
        <v>7.2</v>
      </c>
      <c r="AB33" s="61">
        <v>3.3</v>
      </c>
      <c r="AC33" s="61">
        <f t="shared" si="25"/>
        <v>218.18181818181822</v>
      </c>
      <c r="AD33" s="61">
        <f t="shared" si="26"/>
        <v>3.9000000000000004</v>
      </c>
    </row>
    <row r="34" spans="1:30" ht="12" customHeight="1" x14ac:dyDescent="0.2">
      <c r="A34" s="59">
        <v>26</v>
      </c>
      <c r="B34" s="60" t="s">
        <v>92</v>
      </c>
      <c r="C34" s="61">
        <f t="shared" si="14"/>
        <v>312.7</v>
      </c>
      <c r="D34" s="61">
        <f t="shared" si="15"/>
        <v>272.5</v>
      </c>
      <c r="E34" s="61">
        <f t="shared" si="1"/>
        <v>114.75229357798165</v>
      </c>
      <c r="F34" s="61">
        <f t="shared" si="16"/>
        <v>40.199999999999989</v>
      </c>
      <c r="G34" s="61">
        <v>246.7</v>
      </c>
      <c r="H34" s="61">
        <v>218.3</v>
      </c>
      <c r="I34" s="61">
        <f t="shared" si="3"/>
        <v>113.00961978928079</v>
      </c>
      <c r="J34" s="61">
        <f t="shared" si="17"/>
        <v>28.399999999999977</v>
      </c>
      <c r="K34" s="61">
        <v>24.2</v>
      </c>
      <c r="L34" s="61">
        <v>22.9</v>
      </c>
      <c r="M34" s="61">
        <f t="shared" si="5"/>
        <v>105.67685589519651</v>
      </c>
      <c r="N34" s="61">
        <f t="shared" si="18"/>
        <v>1.3000000000000007</v>
      </c>
      <c r="O34" s="61"/>
      <c r="P34" s="61"/>
      <c r="Q34" s="61"/>
      <c r="R34" s="61">
        <f t="shared" si="19"/>
        <v>0</v>
      </c>
      <c r="S34" s="61"/>
      <c r="T34" s="61"/>
      <c r="U34" s="61"/>
      <c r="V34" s="61"/>
      <c r="W34" s="61"/>
      <c r="X34" s="61"/>
      <c r="Y34" s="61"/>
      <c r="Z34" s="61"/>
      <c r="AA34" s="61">
        <v>41.8</v>
      </c>
      <c r="AB34" s="61">
        <v>31.3</v>
      </c>
      <c r="AC34" s="61">
        <f t="shared" si="25"/>
        <v>133.54632587859422</v>
      </c>
      <c r="AD34" s="61">
        <f t="shared" si="26"/>
        <v>10.499999999999996</v>
      </c>
    </row>
    <row r="35" spans="1:30" ht="12" customHeight="1" x14ac:dyDescent="0.2">
      <c r="A35" s="59">
        <v>27</v>
      </c>
      <c r="B35" s="60" t="s">
        <v>93</v>
      </c>
      <c r="C35" s="61">
        <f t="shared" si="14"/>
        <v>299.80000000000007</v>
      </c>
      <c r="D35" s="61">
        <f t="shared" si="15"/>
        <v>322.8</v>
      </c>
      <c r="E35" s="61">
        <f t="shared" si="1"/>
        <v>92.87484510532839</v>
      </c>
      <c r="F35" s="61">
        <f t="shared" si="16"/>
        <v>-22.999999999999943</v>
      </c>
      <c r="G35" s="61">
        <v>263.3</v>
      </c>
      <c r="H35" s="61">
        <v>254.1</v>
      </c>
      <c r="I35" s="61">
        <f t="shared" si="3"/>
        <v>103.62062180243998</v>
      </c>
      <c r="J35" s="61">
        <f t="shared" si="17"/>
        <v>9.2000000000000171</v>
      </c>
      <c r="K35" s="61"/>
      <c r="L35" s="61"/>
      <c r="M35" s="61"/>
      <c r="N35" s="61">
        <f t="shared" si="18"/>
        <v>0</v>
      </c>
      <c r="O35" s="61"/>
      <c r="P35" s="61"/>
      <c r="Q35" s="61"/>
      <c r="R35" s="61">
        <f t="shared" si="19"/>
        <v>0</v>
      </c>
      <c r="S35" s="61">
        <v>0.1</v>
      </c>
      <c r="T35" s="61">
        <v>0.2</v>
      </c>
      <c r="U35" s="61">
        <f>+S35/T35*100</f>
        <v>50</v>
      </c>
      <c r="V35" s="61">
        <f>+S35-T35</f>
        <v>-0.1</v>
      </c>
      <c r="W35" s="61">
        <v>0.3</v>
      </c>
      <c r="X35" s="61">
        <v>0.3</v>
      </c>
      <c r="Y35" s="61">
        <f t="shared" ref="Y35:Y41" si="27">+W35/X35*100</f>
        <v>100</v>
      </c>
      <c r="Z35" s="61">
        <f>+W35-X35</f>
        <v>0</v>
      </c>
      <c r="AA35" s="61">
        <v>36.1</v>
      </c>
      <c r="AB35" s="61">
        <v>68.2</v>
      </c>
      <c r="AC35" s="61">
        <f t="shared" si="25"/>
        <v>52.932551319648091</v>
      </c>
      <c r="AD35" s="61">
        <f t="shared" si="26"/>
        <v>-32.1</v>
      </c>
    </row>
    <row r="36" spans="1:30" ht="12" customHeight="1" x14ac:dyDescent="0.2">
      <c r="A36" s="59">
        <v>28</v>
      </c>
      <c r="B36" s="60" t="s">
        <v>94</v>
      </c>
      <c r="C36" s="61">
        <f t="shared" si="14"/>
        <v>873.5</v>
      </c>
      <c r="D36" s="61">
        <f t="shared" si="15"/>
        <v>804.6</v>
      </c>
      <c r="E36" s="61">
        <f t="shared" si="1"/>
        <v>108.56326124782501</v>
      </c>
      <c r="F36" s="61">
        <f t="shared" si="16"/>
        <v>68.899999999999977</v>
      </c>
      <c r="G36" s="61">
        <v>797.1</v>
      </c>
      <c r="H36" s="61">
        <v>715.8</v>
      </c>
      <c r="I36" s="61">
        <f t="shared" si="3"/>
        <v>111.35792120704109</v>
      </c>
      <c r="J36" s="61">
        <f t="shared" si="17"/>
        <v>81.300000000000068</v>
      </c>
      <c r="K36" s="61">
        <v>31.6</v>
      </c>
      <c r="L36" s="61">
        <v>29.1</v>
      </c>
      <c r="M36" s="61">
        <f>+K36/L36*100</f>
        <v>108.59106529209622</v>
      </c>
      <c r="N36" s="61">
        <f t="shared" si="18"/>
        <v>2.5</v>
      </c>
      <c r="O36" s="61">
        <v>0.3</v>
      </c>
      <c r="P36" s="61"/>
      <c r="Q36" s="61"/>
      <c r="R36" s="61">
        <f t="shared" si="19"/>
        <v>0.3</v>
      </c>
      <c r="S36" s="61">
        <v>4.8</v>
      </c>
      <c r="T36" s="61">
        <v>5.2</v>
      </c>
      <c r="U36" s="61"/>
      <c r="V36" s="61">
        <f>+S36-T36</f>
        <v>-0.40000000000000036</v>
      </c>
      <c r="W36" s="61"/>
      <c r="X36" s="61">
        <v>0.4</v>
      </c>
      <c r="Y36" s="61">
        <f t="shared" si="27"/>
        <v>0</v>
      </c>
      <c r="Z36" s="61">
        <f>+W36-X36</f>
        <v>-0.4</v>
      </c>
      <c r="AA36" s="61">
        <v>39.700000000000003</v>
      </c>
      <c r="AB36" s="61">
        <v>54.1</v>
      </c>
      <c r="AC36" s="61">
        <f t="shared" si="25"/>
        <v>73.3826247689464</v>
      </c>
      <c r="AD36" s="61">
        <f t="shared" si="26"/>
        <v>-14.399999999999999</v>
      </c>
    </row>
    <row r="37" spans="1:30" ht="12" customHeight="1" x14ac:dyDescent="0.2">
      <c r="A37" s="59">
        <v>29</v>
      </c>
      <c r="B37" s="60" t="s">
        <v>95</v>
      </c>
      <c r="C37" s="61">
        <f t="shared" si="14"/>
        <v>815.3</v>
      </c>
      <c r="D37" s="61">
        <f t="shared" si="15"/>
        <v>615.6</v>
      </c>
      <c r="E37" s="61">
        <f t="shared" si="1"/>
        <v>132.43989603638727</v>
      </c>
      <c r="F37" s="61">
        <f t="shared" si="16"/>
        <v>199.69999999999993</v>
      </c>
      <c r="G37" s="61">
        <v>716.8</v>
      </c>
      <c r="H37" s="61">
        <v>518.1</v>
      </c>
      <c r="I37" s="61">
        <f t="shared" si="3"/>
        <v>138.35166956186063</v>
      </c>
      <c r="J37" s="61">
        <f t="shared" si="17"/>
        <v>198.69999999999993</v>
      </c>
      <c r="K37" s="61">
        <v>48.6</v>
      </c>
      <c r="L37" s="61">
        <v>44.1</v>
      </c>
      <c r="M37" s="61">
        <f>+K37/L37*100</f>
        <v>110.20408163265304</v>
      </c>
      <c r="N37" s="61">
        <f t="shared" si="18"/>
        <v>4.5</v>
      </c>
      <c r="O37" s="61"/>
      <c r="P37" s="61"/>
      <c r="Q37" s="61"/>
      <c r="R37" s="61">
        <f t="shared" si="19"/>
        <v>0</v>
      </c>
      <c r="S37" s="61">
        <v>27.5</v>
      </c>
      <c r="T37" s="61">
        <v>31.9</v>
      </c>
      <c r="U37" s="61">
        <f t="shared" ref="U37:U42" si="28">+S37/T37*100</f>
        <v>86.206896551724142</v>
      </c>
      <c r="V37" s="61">
        <f>+S37-T37</f>
        <v>-4.3999999999999986</v>
      </c>
      <c r="W37" s="61">
        <v>12.6</v>
      </c>
      <c r="X37" s="61">
        <v>13.9</v>
      </c>
      <c r="Y37" s="61">
        <f t="shared" si="27"/>
        <v>90.647482014388487</v>
      </c>
      <c r="Z37" s="61">
        <f>+W37-X37</f>
        <v>-1.3000000000000007</v>
      </c>
      <c r="AA37" s="61">
        <v>9.8000000000000007</v>
      </c>
      <c r="AB37" s="61">
        <v>7.6</v>
      </c>
      <c r="AC37" s="61">
        <f t="shared" si="25"/>
        <v>128.94736842105266</v>
      </c>
      <c r="AD37" s="61">
        <f t="shared" si="26"/>
        <v>2.2000000000000011</v>
      </c>
    </row>
    <row r="38" spans="1:30" ht="12" customHeight="1" x14ac:dyDescent="0.2">
      <c r="A38" s="59">
        <v>30</v>
      </c>
      <c r="B38" s="65" t="s">
        <v>96</v>
      </c>
      <c r="C38" s="61">
        <f t="shared" si="14"/>
        <v>679</v>
      </c>
      <c r="D38" s="61">
        <f t="shared" si="15"/>
        <v>510.6</v>
      </c>
      <c r="E38" s="61">
        <f t="shared" si="1"/>
        <v>132.98080689385037</v>
      </c>
      <c r="F38" s="61">
        <f t="shared" si="16"/>
        <v>168.39999999999998</v>
      </c>
      <c r="G38" s="61">
        <v>119.6</v>
      </c>
      <c r="H38" s="61">
        <v>112.5</v>
      </c>
      <c r="I38" s="61">
        <f t="shared" si="3"/>
        <v>106.31111111111112</v>
      </c>
      <c r="J38" s="61">
        <f t="shared" si="17"/>
        <v>7.0999999999999943</v>
      </c>
      <c r="K38" s="61">
        <v>265.3</v>
      </c>
      <c r="L38" s="61">
        <v>221.1</v>
      </c>
      <c r="M38" s="61">
        <f>+K38/L38*100</f>
        <v>119.99095431931252</v>
      </c>
      <c r="N38" s="61">
        <f t="shared" si="18"/>
        <v>44.200000000000017</v>
      </c>
      <c r="O38" s="61">
        <v>279.60000000000002</v>
      </c>
      <c r="P38" s="61">
        <v>161.5</v>
      </c>
      <c r="Q38" s="61">
        <f>+O38/P38*100</f>
        <v>173.12693498452015</v>
      </c>
      <c r="R38" s="61">
        <f t="shared" si="19"/>
        <v>118.10000000000002</v>
      </c>
      <c r="S38" s="61">
        <v>0.1</v>
      </c>
      <c r="T38" s="61">
        <v>0.5</v>
      </c>
      <c r="U38" s="61">
        <f t="shared" si="28"/>
        <v>20</v>
      </c>
      <c r="V38" s="61">
        <f>+S38-T38</f>
        <v>-0.4</v>
      </c>
      <c r="W38" s="61">
        <v>14.4</v>
      </c>
      <c r="X38" s="61">
        <v>15</v>
      </c>
      <c r="Y38" s="61">
        <f t="shared" si="27"/>
        <v>96.000000000000014</v>
      </c>
      <c r="Z38" s="61">
        <f>+W38-X38</f>
        <v>-0.59999999999999964</v>
      </c>
      <c r="AA38" s="61"/>
      <c r="AB38" s="61"/>
      <c r="AC38" s="61"/>
      <c r="AD38" s="61"/>
    </row>
    <row r="39" spans="1:30" ht="12" customHeight="1" x14ac:dyDescent="0.2">
      <c r="A39" s="59">
        <v>31</v>
      </c>
      <c r="B39" s="66" t="s">
        <v>97</v>
      </c>
      <c r="C39" s="63">
        <f>SUM(C18:C38)</f>
        <v>20966.999999999996</v>
      </c>
      <c r="D39" s="63">
        <f t="shared" ref="D39" si="29">SUM(D18:D38)</f>
        <v>19052.499999999993</v>
      </c>
      <c r="E39" s="50">
        <f t="shared" si="1"/>
        <v>110.04855005904739</v>
      </c>
      <c r="F39" s="63">
        <f>SUM(F18:F38)</f>
        <v>1914.4999999999991</v>
      </c>
      <c r="G39" s="63">
        <f>SUM(G18:G38)</f>
        <v>7726.1</v>
      </c>
      <c r="H39" s="63">
        <f>SUM(H18:H38)</f>
        <v>6925.3</v>
      </c>
      <c r="I39" s="50">
        <f t="shared" si="3"/>
        <v>111.56339797553896</v>
      </c>
      <c r="J39" s="63">
        <f>SUM(J18:J38)</f>
        <v>800.79999999999984</v>
      </c>
      <c r="K39" s="63">
        <f>SUM(K18:K38)</f>
        <v>11826.7</v>
      </c>
      <c r="L39" s="63">
        <f>SUM(L18:L38)</f>
        <v>10871.699999999999</v>
      </c>
      <c r="M39" s="50">
        <f>+K39/L39*100</f>
        <v>108.78427476843551</v>
      </c>
      <c r="N39" s="63">
        <f>SUM(N18:N38)</f>
        <v>955.00000000000011</v>
      </c>
      <c r="O39" s="63">
        <f>SUM(O18:O38)</f>
        <v>1081.4000000000001</v>
      </c>
      <c r="P39" s="63">
        <f>SUM(P18:P38)</f>
        <v>877.4</v>
      </c>
      <c r="Q39" s="50">
        <f>+O39/P39*100</f>
        <v>123.25051287896058</v>
      </c>
      <c r="R39" s="63">
        <f>SUM(R18:R38)</f>
        <v>204.00000000000006</v>
      </c>
      <c r="S39" s="63">
        <f>SUM(S18:S38)</f>
        <v>40.5</v>
      </c>
      <c r="T39" s="63">
        <f>SUM(T18:T38)</f>
        <v>49</v>
      </c>
      <c r="U39" s="50">
        <f t="shared" si="28"/>
        <v>82.653061224489804</v>
      </c>
      <c r="V39" s="63">
        <f>SUM(V18:V38)</f>
        <v>-8.5</v>
      </c>
      <c r="W39" s="63">
        <f>SUM(W18:W38)</f>
        <v>57.5</v>
      </c>
      <c r="X39" s="63">
        <f>SUM(X18:X38)</f>
        <v>64.099999999999994</v>
      </c>
      <c r="Y39" s="50">
        <f t="shared" si="27"/>
        <v>89.703588143525749</v>
      </c>
      <c r="Z39" s="63">
        <f>SUM(Z18:Z38)</f>
        <v>-6.6000000000000014</v>
      </c>
      <c r="AA39" s="63">
        <f>SUM(AA18:AA38)</f>
        <v>234.8</v>
      </c>
      <c r="AB39" s="63">
        <f>SUM(AB18:AB38)</f>
        <v>265.00000000000006</v>
      </c>
      <c r="AC39" s="50">
        <f>+AA39/AB39*100</f>
        <v>88.603773584905639</v>
      </c>
      <c r="AD39" s="63">
        <f>SUM(AD18:AD38)</f>
        <v>-30.199999999999996</v>
      </c>
    </row>
    <row r="40" spans="1:30" ht="12" customHeight="1" x14ac:dyDescent="0.2">
      <c r="A40" s="59">
        <v>32</v>
      </c>
      <c r="B40" s="60" t="s">
        <v>98</v>
      </c>
      <c r="C40" s="61">
        <f t="shared" ref="C40:D47" si="30">+G40+K40+O40+S40+W40+AA40</f>
        <v>730.69999999999993</v>
      </c>
      <c r="D40" s="61">
        <f t="shared" si="30"/>
        <v>630.70000000000016</v>
      </c>
      <c r="E40" s="61">
        <f t="shared" si="1"/>
        <v>115.85539876327886</v>
      </c>
      <c r="F40" s="61">
        <f t="shared" ref="F40:F47" si="31">+C40-D40</f>
        <v>99.999999999999773</v>
      </c>
      <c r="G40" s="61">
        <v>699.8</v>
      </c>
      <c r="H40" s="61">
        <v>595.20000000000005</v>
      </c>
      <c r="I40" s="61">
        <f t="shared" si="3"/>
        <v>117.57392473118277</v>
      </c>
      <c r="J40" s="61">
        <f t="shared" ref="J40:J47" si="32">+G40-H40</f>
        <v>104.59999999999991</v>
      </c>
      <c r="K40" s="61"/>
      <c r="L40" s="61"/>
      <c r="M40" s="61"/>
      <c r="N40" s="61"/>
      <c r="O40" s="61">
        <v>22.8</v>
      </c>
      <c r="P40" s="61">
        <v>17.2</v>
      </c>
      <c r="Q40" s="61">
        <f>+O40/P40*100</f>
        <v>132.55813953488374</v>
      </c>
      <c r="R40" s="61">
        <f t="shared" ref="R40:R54" si="33">+O40-P40</f>
        <v>5.6000000000000014</v>
      </c>
      <c r="S40" s="61">
        <f>2.1-0.1</f>
        <v>2</v>
      </c>
      <c r="T40" s="61">
        <v>10.199999999999999</v>
      </c>
      <c r="U40" s="61">
        <f t="shared" si="28"/>
        <v>19.607843137254903</v>
      </c>
      <c r="V40" s="61">
        <f>+S40-T40</f>
        <v>-8.1999999999999993</v>
      </c>
      <c r="W40" s="61">
        <v>6.1</v>
      </c>
      <c r="X40" s="61">
        <v>8.1</v>
      </c>
      <c r="Y40" s="61">
        <f t="shared" si="27"/>
        <v>75.308641975308646</v>
      </c>
      <c r="Z40" s="61">
        <f t="shared" ref="Z40:Z47" si="34">+W40-X40</f>
        <v>-2</v>
      </c>
      <c r="AA40" s="61"/>
      <c r="AB40" s="61"/>
      <c r="AC40" s="61"/>
      <c r="AD40" s="61"/>
    </row>
    <row r="41" spans="1:30" ht="12" customHeight="1" x14ac:dyDescent="0.2">
      <c r="A41" s="59">
        <v>33</v>
      </c>
      <c r="B41" s="60" t="s">
        <v>99</v>
      </c>
      <c r="C41" s="61">
        <f t="shared" si="30"/>
        <v>225.3</v>
      </c>
      <c r="D41" s="61">
        <f t="shared" si="30"/>
        <v>197.70000000000002</v>
      </c>
      <c r="E41" s="61">
        <f t="shared" ref="E41:E71" si="35">+C41/D41*100</f>
        <v>113.96054628224583</v>
      </c>
      <c r="F41" s="61">
        <f t="shared" si="31"/>
        <v>27.599999999999994</v>
      </c>
      <c r="G41" s="61">
        <v>221.8</v>
      </c>
      <c r="H41" s="61">
        <v>194.1</v>
      </c>
      <c r="I41" s="61">
        <f t="shared" ref="I41:I71" si="36">+G41/H41*100</f>
        <v>114.27099433281815</v>
      </c>
      <c r="J41" s="61">
        <f t="shared" si="32"/>
        <v>27.700000000000017</v>
      </c>
      <c r="K41" s="61"/>
      <c r="L41" s="61"/>
      <c r="M41" s="61"/>
      <c r="N41" s="61"/>
      <c r="O41" s="61">
        <v>2.7</v>
      </c>
      <c r="P41" s="61"/>
      <c r="Q41" s="61"/>
      <c r="R41" s="61">
        <f t="shared" si="33"/>
        <v>2.7</v>
      </c>
      <c r="S41" s="61">
        <v>0.3</v>
      </c>
      <c r="T41" s="61">
        <v>0.8</v>
      </c>
      <c r="U41" s="61">
        <f t="shared" si="28"/>
        <v>37.499999999999993</v>
      </c>
      <c r="V41" s="61">
        <f>+S41-T41</f>
        <v>-0.5</v>
      </c>
      <c r="W41" s="61">
        <v>0.5</v>
      </c>
      <c r="X41" s="61">
        <v>2.8</v>
      </c>
      <c r="Y41" s="61">
        <f t="shared" si="27"/>
        <v>17.857142857142858</v>
      </c>
      <c r="Z41" s="61">
        <f t="shared" si="34"/>
        <v>-2.2999999999999998</v>
      </c>
      <c r="AA41" s="61"/>
      <c r="AB41" s="61"/>
      <c r="AC41" s="61"/>
      <c r="AD41" s="61"/>
    </row>
    <row r="42" spans="1:30" ht="12" customHeight="1" x14ac:dyDescent="0.2">
      <c r="A42" s="59">
        <v>34</v>
      </c>
      <c r="B42" s="60" t="s">
        <v>100</v>
      </c>
      <c r="C42" s="61">
        <f t="shared" si="30"/>
        <v>163.69999999999999</v>
      </c>
      <c r="D42" s="61">
        <f t="shared" si="30"/>
        <v>139.79999999999998</v>
      </c>
      <c r="E42" s="61">
        <f t="shared" si="35"/>
        <v>117.09585121602291</v>
      </c>
      <c r="F42" s="61">
        <f t="shared" si="31"/>
        <v>23.900000000000006</v>
      </c>
      <c r="G42" s="61">
        <v>161.69999999999999</v>
      </c>
      <c r="H42" s="61">
        <v>139.1</v>
      </c>
      <c r="I42" s="61">
        <f t="shared" si="36"/>
        <v>116.24730409777138</v>
      </c>
      <c r="J42" s="61">
        <f t="shared" si="32"/>
        <v>22.599999999999994</v>
      </c>
      <c r="K42" s="61"/>
      <c r="L42" s="61"/>
      <c r="M42" s="61"/>
      <c r="N42" s="61"/>
      <c r="O42" s="61">
        <v>1.7</v>
      </c>
      <c r="P42" s="61"/>
      <c r="Q42" s="61"/>
      <c r="R42" s="61">
        <f t="shared" si="33"/>
        <v>1.7</v>
      </c>
      <c r="S42" s="61">
        <v>0.3</v>
      </c>
      <c r="T42" s="61">
        <v>0.5</v>
      </c>
      <c r="U42" s="61">
        <f t="shared" si="28"/>
        <v>60</v>
      </c>
      <c r="V42" s="61">
        <f>+S42-T42</f>
        <v>-0.2</v>
      </c>
      <c r="W42" s="61"/>
      <c r="X42" s="61">
        <v>0.2</v>
      </c>
      <c r="Y42" s="61"/>
      <c r="Z42" s="61">
        <f t="shared" si="34"/>
        <v>-0.2</v>
      </c>
      <c r="AA42" s="61"/>
      <c r="AB42" s="61"/>
      <c r="AC42" s="61"/>
      <c r="AD42" s="61"/>
    </row>
    <row r="43" spans="1:30" ht="12" customHeight="1" x14ac:dyDescent="0.2">
      <c r="A43" s="59">
        <v>35</v>
      </c>
      <c r="B43" s="60" t="s">
        <v>101</v>
      </c>
      <c r="C43" s="61">
        <f t="shared" si="30"/>
        <v>144.69999999999999</v>
      </c>
      <c r="D43" s="61">
        <f t="shared" si="30"/>
        <v>126.60000000000001</v>
      </c>
      <c r="E43" s="61">
        <f t="shared" si="35"/>
        <v>114.29699842022116</v>
      </c>
      <c r="F43" s="61">
        <f t="shared" si="31"/>
        <v>18.09999999999998</v>
      </c>
      <c r="G43" s="61">
        <v>142.69999999999999</v>
      </c>
      <c r="H43" s="61">
        <v>126.4</v>
      </c>
      <c r="I43" s="61">
        <f t="shared" si="36"/>
        <v>112.89556962025316</v>
      </c>
      <c r="J43" s="61">
        <f t="shared" si="32"/>
        <v>16.299999999999983</v>
      </c>
      <c r="K43" s="61"/>
      <c r="L43" s="61"/>
      <c r="M43" s="61"/>
      <c r="N43" s="61"/>
      <c r="O43" s="61">
        <v>1.5</v>
      </c>
      <c r="P43" s="61"/>
      <c r="Q43" s="61"/>
      <c r="R43" s="61">
        <f t="shared" si="33"/>
        <v>1.5</v>
      </c>
      <c r="S43" s="61">
        <v>0.5</v>
      </c>
      <c r="T43" s="61"/>
      <c r="U43" s="61"/>
      <c r="V43" s="61">
        <f>+S43-T43</f>
        <v>0.5</v>
      </c>
      <c r="W43" s="61"/>
      <c r="X43" s="61">
        <v>0.2</v>
      </c>
      <c r="Y43" s="61">
        <f>+W43/X43*100</f>
        <v>0</v>
      </c>
      <c r="Z43" s="61">
        <f t="shared" si="34"/>
        <v>-0.2</v>
      </c>
      <c r="AA43" s="61"/>
      <c r="AB43" s="61"/>
      <c r="AC43" s="61"/>
      <c r="AD43" s="61"/>
    </row>
    <row r="44" spans="1:30" ht="12" customHeight="1" x14ac:dyDescent="0.2">
      <c r="A44" s="59">
        <v>36</v>
      </c>
      <c r="B44" s="60" t="s">
        <v>102</v>
      </c>
      <c r="C44" s="61">
        <f t="shared" si="30"/>
        <v>100.9</v>
      </c>
      <c r="D44" s="61">
        <f t="shared" si="30"/>
        <v>83.9</v>
      </c>
      <c r="E44" s="61">
        <f t="shared" si="35"/>
        <v>120.26221692491062</v>
      </c>
      <c r="F44" s="61">
        <f t="shared" si="31"/>
        <v>17</v>
      </c>
      <c r="G44" s="61">
        <v>99.5</v>
      </c>
      <c r="H44" s="61">
        <v>83.9</v>
      </c>
      <c r="I44" s="61">
        <f t="shared" si="36"/>
        <v>118.59356376638854</v>
      </c>
      <c r="J44" s="61">
        <f t="shared" si="32"/>
        <v>15.599999999999994</v>
      </c>
      <c r="K44" s="61"/>
      <c r="L44" s="61"/>
      <c r="M44" s="61"/>
      <c r="N44" s="61"/>
      <c r="O44" s="61">
        <v>1.2</v>
      </c>
      <c r="P44" s="61"/>
      <c r="Q44" s="61"/>
      <c r="R44" s="61">
        <f t="shared" si="33"/>
        <v>1.2</v>
      </c>
      <c r="S44" s="61"/>
      <c r="T44" s="61"/>
      <c r="U44" s="61"/>
      <c r="V44" s="61"/>
      <c r="W44" s="61">
        <v>0.2</v>
      </c>
      <c r="X44" s="61"/>
      <c r="Y44" s="61"/>
      <c r="Z44" s="61">
        <f t="shared" si="34"/>
        <v>0.2</v>
      </c>
      <c r="AA44" s="61"/>
      <c r="AB44" s="61"/>
      <c r="AC44" s="61"/>
      <c r="AD44" s="61"/>
    </row>
    <row r="45" spans="1:30" ht="12" customHeight="1" x14ac:dyDescent="0.2">
      <c r="A45" s="59">
        <v>37</v>
      </c>
      <c r="B45" s="60" t="s">
        <v>103</v>
      </c>
      <c r="C45" s="61">
        <f t="shared" si="30"/>
        <v>93.899999999999991</v>
      </c>
      <c r="D45" s="61">
        <f t="shared" si="30"/>
        <v>81.3</v>
      </c>
      <c r="E45" s="61">
        <f t="shared" si="35"/>
        <v>115.4981549815498</v>
      </c>
      <c r="F45" s="61">
        <f t="shared" si="31"/>
        <v>12.599999999999994</v>
      </c>
      <c r="G45" s="61">
        <v>92.6</v>
      </c>
      <c r="H45" s="61">
        <v>81.2</v>
      </c>
      <c r="I45" s="61">
        <f t="shared" si="36"/>
        <v>114.03940886699506</v>
      </c>
      <c r="J45" s="61">
        <f t="shared" si="32"/>
        <v>11.399999999999991</v>
      </c>
      <c r="K45" s="61"/>
      <c r="L45" s="61"/>
      <c r="M45" s="61"/>
      <c r="N45" s="61"/>
      <c r="O45" s="61">
        <v>1</v>
      </c>
      <c r="P45" s="61"/>
      <c r="Q45" s="61"/>
      <c r="R45" s="61">
        <f t="shared" si="33"/>
        <v>1</v>
      </c>
      <c r="S45" s="61">
        <v>0.1</v>
      </c>
      <c r="T45" s="61"/>
      <c r="U45" s="61"/>
      <c r="V45" s="61">
        <f>+S45-T45</f>
        <v>0.1</v>
      </c>
      <c r="W45" s="61">
        <v>0.2</v>
      </c>
      <c r="X45" s="61">
        <v>0.1</v>
      </c>
      <c r="Y45" s="61">
        <f>+W45/X45*100</f>
        <v>200</v>
      </c>
      <c r="Z45" s="61">
        <f t="shared" si="34"/>
        <v>0.1</v>
      </c>
      <c r="AA45" s="61"/>
      <c r="AB45" s="61"/>
      <c r="AC45" s="61"/>
      <c r="AD45" s="61"/>
    </row>
    <row r="46" spans="1:30" ht="19.2" x14ac:dyDescent="0.2">
      <c r="A46" s="59">
        <v>38</v>
      </c>
      <c r="B46" s="64" t="s">
        <v>104</v>
      </c>
      <c r="C46" s="61">
        <f t="shared" si="30"/>
        <v>1046.4000000000001</v>
      </c>
      <c r="D46" s="61">
        <f t="shared" si="30"/>
        <v>871.6</v>
      </c>
      <c r="E46" s="61">
        <f t="shared" si="35"/>
        <v>120.0550711335475</v>
      </c>
      <c r="F46" s="61">
        <f t="shared" si="31"/>
        <v>174.80000000000007</v>
      </c>
      <c r="G46" s="61">
        <v>973.6</v>
      </c>
      <c r="H46" s="61">
        <f>867.3+0.1</f>
        <v>867.4</v>
      </c>
      <c r="I46" s="61">
        <f t="shared" si="36"/>
        <v>112.24348628083929</v>
      </c>
      <c r="J46" s="61">
        <f t="shared" si="32"/>
        <v>106.20000000000005</v>
      </c>
      <c r="K46" s="61"/>
      <c r="L46" s="61"/>
      <c r="M46" s="61"/>
      <c r="N46" s="61"/>
      <c r="O46" s="61">
        <v>66.8</v>
      </c>
      <c r="P46" s="61"/>
      <c r="Q46" s="61"/>
      <c r="R46" s="61">
        <f t="shared" si="33"/>
        <v>66.8</v>
      </c>
      <c r="S46" s="61">
        <v>5.0999999999999996</v>
      </c>
      <c r="T46" s="61">
        <v>3.1</v>
      </c>
      <c r="U46" s="61">
        <f>+S46/T46*100</f>
        <v>164.51612903225805</v>
      </c>
      <c r="V46" s="61">
        <f>+S46-T46</f>
        <v>1.9999999999999996</v>
      </c>
      <c r="W46" s="61">
        <v>0.9</v>
      </c>
      <c r="X46" s="61">
        <v>1.1000000000000001</v>
      </c>
      <c r="Y46" s="61">
        <f>+W46/X46*100</f>
        <v>81.818181818181813</v>
      </c>
      <c r="Z46" s="61">
        <f t="shared" si="34"/>
        <v>-0.20000000000000007</v>
      </c>
      <c r="AA46" s="61"/>
      <c r="AB46" s="61"/>
      <c r="AC46" s="61"/>
      <c r="AD46" s="61"/>
    </row>
    <row r="47" spans="1:30" ht="12" customHeight="1" x14ac:dyDescent="0.2">
      <c r="A47" s="59">
        <v>39</v>
      </c>
      <c r="B47" s="60" t="s">
        <v>105</v>
      </c>
      <c r="C47" s="61">
        <f t="shared" si="30"/>
        <v>1080.2</v>
      </c>
      <c r="D47" s="61">
        <f t="shared" si="30"/>
        <v>874.30000000000007</v>
      </c>
      <c r="E47" s="61">
        <f t="shared" si="35"/>
        <v>123.55026878645774</v>
      </c>
      <c r="F47" s="61">
        <f t="shared" si="31"/>
        <v>205.89999999999998</v>
      </c>
      <c r="G47" s="61">
        <v>580.1</v>
      </c>
      <c r="H47" s="61">
        <v>636.20000000000005</v>
      </c>
      <c r="I47" s="61">
        <f t="shared" si="36"/>
        <v>91.182018233259981</v>
      </c>
      <c r="J47" s="61">
        <f t="shared" si="32"/>
        <v>-56.100000000000023</v>
      </c>
      <c r="K47" s="61"/>
      <c r="L47" s="61"/>
      <c r="M47" s="61"/>
      <c r="N47" s="61"/>
      <c r="O47" s="61">
        <v>473.4</v>
      </c>
      <c r="P47" s="61">
        <v>225.5</v>
      </c>
      <c r="Q47" s="61">
        <f>+O49/P49*100</f>
        <v>113.42086068563093</v>
      </c>
      <c r="R47" s="61">
        <f t="shared" si="33"/>
        <v>247.89999999999998</v>
      </c>
      <c r="S47" s="61"/>
      <c r="T47" s="61">
        <v>0.5</v>
      </c>
      <c r="U47" s="61"/>
      <c r="V47" s="61">
        <f>+S47-T47</f>
        <v>-0.5</v>
      </c>
      <c r="W47" s="61">
        <v>26.7</v>
      </c>
      <c r="X47" s="61">
        <v>12.1</v>
      </c>
      <c r="Y47" s="61">
        <f>+W47/X47*100</f>
        <v>220.6611570247934</v>
      </c>
      <c r="Z47" s="61">
        <f t="shared" si="34"/>
        <v>14.6</v>
      </c>
      <c r="AA47" s="61"/>
      <c r="AB47" s="61"/>
      <c r="AC47" s="61"/>
      <c r="AD47" s="61"/>
    </row>
    <row r="48" spans="1:30" ht="12" customHeight="1" x14ac:dyDescent="0.2">
      <c r="A48" s="59">
        <v>40</v>
      </c>
      <c r="B48" s="66" t="s">
        <v>106</v>
      </c>
      <c r="C48" s="50">
        <f>SUM(C40:C47)</f>
        <v>3585.8</v>
      </c>
      <c r="D48" s="50">
        <f t="shared" ref="D48" si="37">SUM(D40:D47)</f>
        <v>3005.9000000000005</v>
      </c>
      <c r="E48" s="50">
        <f t="shared" si="35"/>
        <v>119.29205895073021</v>
      </c>
      <c r="F48" s="50">
        <f>SUM(F40:F47)</f>
        <v>579.89999999999975</v>
      </c>
      <c r="G48" s="50">
        <f>SUM(G40:G47)</f>
        <v>2971.7999999999997</v>
      </c>
      <c r="H48" s="50">
        <f>SUM(H40:H47)</f>
        <v>2723.5</v>
      </c>
      <c r="I48" s="50">
        <f t="shared" si="36"/>
        <v>109.11694510739855</v>
      </c>
      <c r="J48" s="50">
        <f>SUM(J40:J47)</f>
        <v>248.2999999999999</v>
      </c>
      <c r="K48" s="50">
        <f t="shared" ref="K48:N48" si="38">SUM(K40:K47)</f>
        <v>0</v>
      </c>
      <c r="L48" s="50">
        <f t="shared" si="38"/>
        <v>0</v>
      </c>
      <c r="M48" s="50">
        <f t="shared" si="38"/>
        <v>0</v>
      </c>
      <c r="N48" s="50">
        <f t="shared" si="38"/>
        <v>0</v>
      </c>
      <c r="O48" s="50">
        <f>SUM(O40:O47)</f>
        <v>571.09999999999991</v>
      </c>
      <c r="P48" s="50">
        <f>SUM(P40:P47)</f>
        <v>242.7</v>
      </c>
      <c r="Q48" s="50">
        <f t="shared" ref="Q48:Q68" si="39">+O48/P48*100</f>
        <v>235.31108364235678</v>
      </c>
      <c r="R48" s="50">
        <f t="shared" si="33"/>
        <v>328.39999999999992</v>
      </c>
      <c r="S48" s="50">
        <f>SUM(S40:S47)</f>
        <v>8.2999999999999989</v>
      </c>
      <c r="T48" s="50">
        <f>SUM(T40:T47)</f>
        <v>15.1</v>
      </c>
      <c r="U48" s="50">
        <f>+S48/T48*100</f>
        <v>54.966887417218537</v>
      </c>
      <c r="V48" s="50">
        <f>SUM(V40:V47)</f>
        <v>-6.7999999999999989</v>
      </c>
      <c r="W48" s="50">
        <f>SUM(W40:W47)</f>
        <v>34.6</v>
      </c>
      <c r="X48" s="50">
        <f>SUM(X40:X47)</f>
        <v>24.599999999999994</v>
      </c>
      <c r="Y48" s="50">
        <f>+W48/X48*100</f>
        <v>140.65040650406507</v>
      </c>
      <c r="Z48" s="50">
        <f>SUM(Z40:Z47)</f>
        <v>10</v>
      </c>
      <c r="AA48" s="50"/>
      <c r="AB48" s="50"/>
      <c r="AC48" s="50"/>
      <c r="AD48" s="50"/>
    </row>
    <row r="49" spans="1:30" ht="12" customHeight="1" x14ac:dyDescent="0.2">
      <c r="A49" s="59">
        <v>41</v>
      </c>
      <c r="B49" s="60" t="s">
        <v>107</v>
      </c>
      <c r="C49" s="61">
        <f t="shared" ref="C49:D54" si="40">+G49+K49+O49+S49+W49+AA49</f>
        <v>1316.8000000000002</v>
      </c>
      <c r="D49" s="61">
        <f t="shared" si="40"/>
        <v>1151.3000000000002</v>
      </c>
      <c r="E49" s="61">
        <f t="shared" si="35"/>
        <v>114.37505428645878</v>
      </c>
      <c r="F49" s="61">
        <f t="shared" ref="F49:F54" si="41">+C49-D49</f>
        <v>165.5</v>
      </c>
      <c r="G49" s="61">
        <v>819.4</v>
      </c>
      <c r="H49" s="61">
        <f>709.7-0.1</f>
        <v>709.6</v>
      </c>
      <c r="I49" s="61">
        <f t="shared" si="36"/>
        <v>115.47350620067643</v>
      </c>
      <c r="J49" s="61">
        <f t="shared" ref="J49:J54" si="42">+G49-H49</f>
        <v>109.79999999999995</v>
      </c>
      <c r="K49" s="61"/>
      <c r="L49" s="61"/>
      <c r="M49" s="61"/>
      <c r="N49" s="61"/>
      <c r="O49" s="61">
        <v>466.5</v>
      </c>
      <c r="P49" s="61">
        <v>411.3</v>
      </c>
      <c r="Q49" s="61">
        <f t="shared" si="39"/>
        <v>113.42086068563093</v>
      </c>
      <c r="R49" s="61">
        <f t="shared" si="33"/>
        <v>55.199999999999989</v>
      </c>
      <c r="S49" s="61"/>
      <c r="T49" s="61"/>
      <c r="U49" s="61"/>
      <c r="V49" s="61"/>
      <c r="W49" s="61">
        <v>30.9</v>
      </c>
      <c r="X49" s="61">
        <v>30.4</v>
      </c>
      <c r="Y49" s="61">
        <f>+W49/X49*100</f>
        <v>101.64473684210526</v>
      </c>
      <c r="Z49" s="61">
        <f>+W49-X49</f>
        <v>0.5</v>
      </c>
      <c r="AA49" s="61"/>
      <c r="AB49" s="61"/>
      <c r="AC49" s="61"/>
      <c r="AD49" s="61"/>
    </row>
    <row r="50" spans="1:30" ht="12" customHeight="1" x14ac:dyDescent="0.2">
      <c r="A50" s="59">
        <v>42</v>
      </c>
      <c r="B50" s="60" t="s">
        <v>108</v>
      </c>
      <c r="C50" s="61">
        <f t="shared" si="40"/>
        <v>630</v>
      </c>
      <c r="D50" s="61">
        <f t="shared" si="40"/>
        <v>595.70000000000005</v>
      </c>
      <c r="E50" s="61">
        <f t="shared" si="35"/>
        <v>105.75793184488835</v>
      </c>
      <c r="F50" s="61">
        <f t="shared" si="41"/>
        <v>34.299999999999955</v>
      </c>
      <c r="G50" s="61">
        <v>239.3</v>
      </c>
      <c r="H50" s="61">
        <v>226.7</v>
      </c>
      <c r="I50" s="61">
        <f t="shared" si="36"/>
        <v>105.55800617556244</v>
      </c>
      <c r="J50" s="61">
        <f t="shared" si="42"/>
        <v>12.600000000000023</v>
      </c>
      <c r="K50" s="61"/>
      <c r="L50" s="61"/>
      <c r="M50" s="61"/>
      <c r="N50" s="61"/>
      <c r="O50" s="61">
        <v>140.4</v>
      </c>
      <c r="P50" s="61">
        <v>130.80000000000001</v>
      </c>
      <c r="Q50" s="61">
        <f t="shared" si="39"/>
        <v>107.33944954128441</v>
      </c>
      <c r="R50" s="61">
        <f t="shared" si="33"/>
        <v>9.5999999999999943</v>
      </c>
      <c r="S50" s="61"/>
      <c r="T50" s="61"/>
      <c r="U50" s="61"/>
      <c r="V50" s="61"/>
      <c r="W50" s="61"/>
      <c r="X50" s="61"/>
      <c r="Y50" s="61"/>
      <c r="Z50" s="61"/>
      <c r="AA50" s="61">
        <v>250.3</v>
      </c>
      <c r="AB50" s="61">
        <v>238.2</v>
      </c>
      <c r="AC50" s="61">
        <f>+AA50/AB50*100</f>
        <v>105.07976490344248</v>
      </c>
      <c r="AD50" s="61">
        <f>+AA50-AB50</f>
        <v>12.100000000000023</v>
      </c>
    </row>
    <row r="51" spans="1:30" ht="12" customHeight="1" x14ac:dyDescent="0.2">
      <c r="A51" s="59">
        <v>43</v>
      </c>
      <c r="B51" s="60" t="s">
        <v>109</v>
      </c>
      <c r="C51" s="61">
        <f t="shared" si="40"/>
        <v>760.1</v>
      </c>
      <c r="D51" s="61">
        <f t="shared" si="40"/>
        <v>671.3</v>
      </c>
      <c r="E51" s="61">
        <f t="shared" si="35"/>
        <v>113.2280649486072</v>
      </c>
      <c r="F51" s="61">
        <f t="shared" si="41"/>
        <v>88.800000000000068</v>
      </c>
      <c r="G51" s="61">
        <v>369.4</v>
      </c>
      <c r="H51" s="61">
        <v>322.5</v>
      </c>
      <c r="I51" s="61">
        <f t="shared" si="36"/>
        <v>114.54263565891472</v>
      </c>
      <c r="J51" s="61">
        <f t="shared" si="42"/>
        <v>46.899999999999977</v>
      </c>
      <c r="K51" s="61">
        <v>108.6</v>
      </c>
      <c r="L51" s="61">
        <f>82.7-0.1</f>
        <v>82.600000000000009</v>
      </c>
      <c r="M51" s="61">
        <f>+K51/L51*100</f>
        <v>131.47699757869248</v>
      </c>
      <c r="N51" s="61">
        <f>+K51-L51</f>
        <v>25.999999999999986</v>
      </c>
      <c r="O51" s="61">
        <v>89</v>
      </c>
      <c r="P51" s="61">
        <v>80</v>
      </c>
      <c r="Q51" s="61">
        <f t="shared" si="39"/>
        <v>111.25</v>
      </c>
      <c r="R51" s="61">
        <f t="shared" si="33"/>
        <v>9</v>
      </c>
      <c r="S51" s="61"/>
      <c r="T51" s="61"/>
      <c r="U51" s="61"/>
      <c r="V51" s="61">
        <f>+S51-T51</f>
        <v>0</v>
      </c>
      <c r="W51" s="61"/>
      <c r="X51" s="61"/>
      <c r="Y51" s="61"/>
      <c r="Z51" s="61"/>
      <c r="AA51" s="61">
        <v>193.1</v>
      </c>
      <c r="AB51" s="61">
        <v>186.2</v>
      </c>
      <c r="AC51" s="61">
        <f>+AA51/AB51*100</f>
        <v>103.70569280343717</v>
      </c>
      <c r="AD51" s="61">
        <f>+AA51-AB51</f>
        <v>6.9000000000000057</v>
      </c>
    </row>
    <row r="52" spans="1:30" ht="12" customHeight="1" x14ac:dyDescent="0.2">
      <c r="A52" s="59">
        <v>44</v>
      </c>
      <c r="B52" s="60" t="s">
        <v>110</v>
      </c>
      <c r="C52" s="61">
        <f t="shared" si="40"/>
        <v>765.5</v>
      </c>
      <c r="D52" s="61">
        <f t="shared" si="40"/>
        <v>755</v>
      </c>
      <c r="E52" s="61">
        <f t="shared" si="35"/>
        <v>101.3907284768212</v>
      </c>
      <c r="F52" s="61">
        <f t="shared" si="41"/>
        <v>10.5</v>
      </c>
      <c r="G52" s="61">
        <v>410.5</v>
      </c>
      <c r="H52" s="61">
        <f>425.7+0.1</f>
        <v>425.8</v>
      </c>
      <c r="I52" s="61">
        <f t="shared" si="36"/>
        <v>96.406763738844532</v>
      </c>
      <c r="J52" s="61">
        <f t="shared" si="42"/>
        <v>-15.300000000000011</v>
      </c>
      <c r="K52" s="61">
        <v>80.8</v>
      </c>
      <c r="L52" s="61">
        <v>62.8</v>
      </c>
      <c r="M52" s="61">
        <f>+K52/L52*100</f>
        <v>128.66242038216561</v>
      </c>
      <c r="N52" s="61">
        <f>+K52-L52</f>
        <v>18</v>
      </c>
      <c r="O52" s="61">
        <v>92.8</v>
      </c>
      <c r="P52" s="61">
        <v>94.1</v>
      </c>
      <c r="Q52" s="61">
        <f t="shared" si="39"/>
        <v>98.618490967056331</v>
      </c>
      <c r="R52" s="61">
        <f t="shared" si="33"/>
        <v>-1.2999999999999972</v>
      </c>
      <c r="S52" s="61"/>
      <c r="T52" s="61"/>
      <c r="U52" s="61"/>
      <c r="V52" s="61"/>
      <c r="W52" s="61"/>
      <c r="X52" s="61"/>
      <c r="Y52" s="61"/>
      <c r="Z52" s="61"/>
      <c r="AA52" s="61">
        <v>181.4</v>
      </c>
      <c r="AB52" s="61">
        <v>172.3</v>
      </c>
      <c r="AC52" s="61">
        <f>+AA52/AB52*100</f>
        <v>105.2814857806152</v>
      </c>
      <c r="AD52" s="61">
        <f>+AA52-AB52</f>
        <v>9.0999999999999943</v>
      </c>
    </row>
    <row r="53" spans="1:30" x14ac:dyDescent="0.2">
      <c r="A53" s="59">
        <v>45</v>
      </c>
      <c r="B53" s="60" t="s">
        <v>111</v>
      </c>
      <c r="C53" s="61">
        <f t="shared" si="40"/>
        <v>1813.1000000000001</v>
      </c>
      <c r="D53" s="61">
        <f t="shared" si="40"/>
        <v>1475.7000000000003</v>
      </c>
      <c r="E53" s="61">
        <f t="shared" si="35"/>
        <v>122.86372568950328</v>
      </c>
      <c r="F53" s="61">
        <f t="shared" si="41"/>
        <v>337.39999999999986</v>
      </c>
      <c r="G53" s="61">
        <v>1015.6</v>
      </c>
      <c r="H53" s="61">
        <v>909.6</v>
      </c>
      <c r="I53" s="61">
        <f t="shared" si="36"/>
        <v>111.65347405452945</v>
      </c>
      <c r="J53" s="61">
        <f t="shared" si="42"/>
        <v>106</v>
      </c>
      <c r="K53" s="61"/>
      <c r="L53" s="61"/>
      <c r="M53" s="61"/>
      <c r="N53" s="61"/>
      <c r="O53" s="61">
        <f>790.6+0.1</f>
        <v>790.7</v>
      </c>
      <c r="P53" s="61">
        <v>556.20000000000005</v>
      </c>
      <c r="Q53" s="61">
        <f t="shared" si="39"/>
        <v>142.16109313196691</v>
      </c>
      <c r="R53" s="61">
        <f t="shared" si="33"/>
        <v>234.5</v>
      </c>
      <c r="S53" s="61"/>
      <c r="T53" s="61"/>
      <c r="U53" s="61"/>
      <c r="V53" s="61"/>
      <c r="W53" s="61"/>
      <c r="X53" s="61"/>
      <c r="Y53" s="61"/>
      <c r="Z53" s="61"/>
      <c r="AA53" s="61">
        <v>6.8</v>
      </c>
      <c r="AB53" s="61">
        <v>9.9</v>
      </c>
      <c r="AC53" s="61">
        <f>+AA53/AB53*100</f>
        <v>68.686868686868678</v>
      </c>
      <c r="AD53" s="61">
        <f>+AA53-AB53</f>
        <v>-3.1000000000000005</v>
      </c>
    </row>
    <row r="54" spans="1:30" ht="12" customHeight="1" x14ac:dyDescent="0.2">
      <c r="A54" s="59">
        <v>46</v>
      </c>
      <c r="B54" s="67" t="s">
        <v>112</v>
      </c>
      <c r="C54" s="61">
        <f t="shared" si="40"/>
        <v>561.6</v>
      </c>
      <c r="D54" s="61">
        <f t="shared" si="40"/>
        <v>585.09999999999991</v>
      </c>
      <c r="E54" s="61">
        <f t="shared" si="35"/>
        <v>95.98359254828236</v>
      </c>
      <c r="F54" s="61">
        <f t="shared" si="41"/>
        <v>-23.499999999999886</v>
      </c>
      <c r="G54" s="61">
        <f>58.3-0.1</f>
        <v>58.199999999999996</v>
      </c>
      <c r="H54" s="61">
        <v>46.4</v>
      </c>
      <c r="I54" s="61">
        <f t="shared" si="36"/>
        <v>125.43103448275861</v>
      </c>
      <c r="J54" s="61">
        <f t="shared" si="42"/>
        <v>11.799999999999997</v>
      </c>
      <c r="K54" s="61"/>
      <c r="L54" s="61"/>
      <c r="M54" s="61"/>
      <c r="N54" s="61"/>
      <c r="O54" s="61">
        <v>496.7</v>
      </c>
      <c r="P54" s="61">
        <v>529.9</v>
      </c>
      <c r="Q54" s="61">
        <f t="shared" si="39"/>
        <v>93.734666918286464</v>
      </c>
      <c r="R54" s="61">
        <f t="shared" si="33"/>
        <v>-33.199999999999989</v>
      </c>
      <c r="S54" s="61"/>
      <c r="T54" s="61"/>
      <c r="U54" s="61"/>
      <c r="V54" s="61"/>
      <c r="W54" s="61">
        <v>6.7</v>
      </c>
      <c r="X54" s="61">
        <v>8.8000000000000007</v>
      </c>
      <c r="Y54" s="61">
        <f t="shared" ref="Y54:Y61" si="43">+W54/X54*100</f>
        <v>76.13636363636364</v>
      </c>
      <c r="Z54" s="61">
        <f>+W54-X54</f>
        <v>-2.1000000000000005</v>
      </c>
      <c r="AA54" s="61"/>
      <c r="AB54" s="61"/>
      <c r="AC54" s="61"/>
      <c r="AD54" s="61"/>
    </row>
    <row r="55" spans="1:30" ht="12" customHeight="1" x14ac:dyDescent="0.2">
      <c r="A55" s="59">
        <v>47</v>
      </c>
      <c r="B55" s="66" t="s">
        <v>113</v>
      </c>
      <c r="C55" s="63">
        <f>SUM(C49:C54)</f>
        <v>5847.1</v>
      </c>
      <c r="D55" s="63">
        <f t="shared" ref="D55" si="44">SUM(D49:D54)</f>
        <v>5234.1000000000004</v>
      </c>
      <c r="E55" s="50">
        <f t="shared" si="35"/>
        <v>111.7116600752756</v>
      </c>
      <c r="F55" s="63">
        <f>SUM(F49:F54)</f>
        <v>613</v>
      </c>
      <c r="G55" s="63">
        <f>SUM(G49:G54)</f>
        <v>2912.3999999999996</v>
      </c>
      <c r="H55" s="63">
        <f>SUM(H49:H54)</f>
        <v>2640.6</v>
      </c>
      <c r="I55" s="50">
        <f t="shared" si="36"/>
        <v>110.29311520109064</v>
      </c>
      <c r="J55" s="63">
        <f>SUM(J49:J54)</f>
        <v>271.79999999999995</v>
      </c>
      <c r="K55" s="63">
        <f>SUM(K49:K54)</f>
        <v>189.39999999999998</v>
      </c>
      <c r="L55" s="63">
        <f>SUM(L49:L54)</f>
        <v>145.4</v>
      </c>
      <c r="M55" s="50">
        <f>+K55/L55*100</f>
        <v>130.26134800550204</v>
      </c>
      <c r="N55" s="63">
        <f>SUM(N49:N54)</f>
        <v>43.999999999999986</v>
      </c>
      <c r="O55" s="63">
        <f>SUM(O49:O54)</f>
        <v>2076.1</v>
      </c>
      <c r="P55" s="63">
        <f>SUM(P49:P54)</f>
        <v>1802.3000000000002</v>
      </c>
      <c r="Q55" s="61">
        <f t="shared" si="39"/>
        <v>115.19169949508958</v>
      </c>
      <c r="R55" s="63">
        <f>SUM(R49:R54)</f>
        <v>273.8</v>
      </c>
      <c r="S55" s="63">
        <f>SUM(S49:S54)</f>
        <v>0</v>
      </c>
      <c r="T55" s="63">
        <f>SUM(T49:T54)</f>
        <v>0</v>
      </c>
      <c r="U55" s="50"/>
      <c r="V55" s="63">
        <f>SUM(V49:V54)</f>
        <v>0</v>
      </c>
      <c r="W55" s="63">
        <f>SUM(W49:W54)</f>
        <v>37.6</v>
      </c>
      <c r="X55" s="63">
        <f>SUM(X49:X54)</f>
        <v>39.200000000000003</v>
      </c>
      <c r="Y55" s="50">
        <f t="shared" si="43"/>
        <v>95.918367346938766</v>
      </c>
      <c r="Z55" s="63">
        <f>SUM(Z49:Z54)</f>
        <v>-1.6000000000000005</v>
      </c>
      <c r="AA55" s="63">
        <f>SUM(AA49:AA54)</f>
        <v>631.59999999999991</v>
      </c>
      <c r="AB55" s="63">
        <f>SUM(AB49:AB54)</f>
        <v>606.6</v>
      </c>
      <c r="AC55" s="50">
        <f>+AA55/AB55*100</f>
        <v>104.12133201450706</v>
      </c>
      <c r="AD55" s="63">
        <f>SUM(AD49:AD54)</f>
        <v>25.000000000000021</v>
      </c>
    </row>
    <row r="56" spans="1:30" ht="12" customHeight="1" x14ac:dyDescent="0.2">
      <c r="A56" s="59">
        <v>48</v>
      </c>
      <c r="B56" s="65" t="s">
        <v>218</v>
      </c>
      <c r="C56" s="61">
        <f t="shared" ref="C56:C66" si="45">+G56+K56+O56+S56+W56+AA56</f>
        <v>2436.2000000000003</v>
      </c>
      <c r="D56" s="61">
        <f t="shared" ref="D56:D66" si="46">+H56+L56+P56+T56+X56+AB56</f>
        <v>1962.2</v>
      </c>
      <c r="E56" s="61">
        <f t="shared" si="35"/>
        <v>124.1565589644277</v>
      </c>
      <c r="F56" s="61">
        <f t="shared" ref="F56:F66" si="47">+C56-D56</f>
        <v>474.00000000000023</v>
      </c>
      <c r="G56" s="61">
        <v>2183.3000000000002</v>
      </c>
      <c r="H56" s="61">
        <v>1533.4</v>
      </c>
      <c r="I56" s="61">
        <f t="shared" si="36"/>
        <v>142.38293987217946</v>
      </c>
      <c r="J56" s="61">
        <f t="shared" ref="J56:J66" si="48">+G56-H56</f>
        <v>649.90000000000009</v>
      </c>
      <c r="K56" s="61"/>
      <c r="L56" s="61"/>
      <c r="M56" s="61"/>
      <c r="N56" s="61"/>
      <c r="O56" s="61">
        <v>246.8</v>
      </c>
      <c r="P56" s="61">
        <v>422.5</v>
      </c>
      <c r="Q56" s="61">
        <f t="shared" si="39"/>
        <v>58.414201183431956</v>
      </c>
      <c r="R56" s="61">
        <f t="shared" ref="R56:R66" si="49">+O56-P56</f>
        <v>-175.7</v>
      </c>
      <c r="S56" s="61">
        <v>6</v>
      </c>
      <c r="T56" s="61">
        <v>5.2</v>
      </c>
      <c r="U56" s="61">
        <f t="shared" ref="U56:U65" si="50">+S56/T56*100</f>
        <v>115.38461538461537</v>
      </c>
      <c r="V56" s="61">
        <f t="shared" ref="V56:V66" si="51">+S56-T56</f>
        <v>0.79999999999999982</v>
      </c>
      <c r="W56" s="61">
        <v>0.1</v>
      </c>
      <c r="X56" s="61">
        <v>1.1000000000000001</v>
      </c>
      <c r="Y56" s="61">
        <f t="shared" si="43"/>
        <v>9.0909090909090917</v>
      </c>
      <c r="Z56" s="61">
        <f t="shared" ref="Z56:Z61" si="52">+W56-X56</f>
        <v>-1</v>
      </c>
      <c r="AA56" s="61"/>
      <c r="AB56" s="61"/>
      <c r="AC56" s="61"/>
      <c r="AD56" s="61"/>
    </row>
    <row r="57" spans="1:30" ht="12" customHeight="1" x14ac:dyDescent="0.2">
      <c r="A57" s="59">
        <v>49</v>
      </c>
      <c r="B57" s="65" t="s">
        <v>219</v>
      </c>
      <c r="C57" s="61">
        <f t="shared" si="45"/>
        <v>483.59999999999997</v>
      </c>
      <c r="D57" s="61">
        <f t="shared" si="46"/>
        <v>413.5</v>
      </c>
      <c r="E57" s="61">
        <f t="shared" si="35"/>
        <v>116.95284159613057</v>
      </c>
      <c r="F57" s="61">
        <f t="shared" si="47"/>
        <v>70.099999999999966</v>
      </c>
      <c r="G57" s="61">
        <v>427.9</v>
      </c>
      <c r="H57" s="61">
        <v>310.10000000000002</v>
      </c>
      <c r="I57" s="61">
        <f t="shared" si="36"/>
        <v>137.98774588842306</v>
      </c>
      <c r="J57" s="61">
        <f t="shared" si="48"/>
        <v>117.79999999999995</v>
      </c>
      <c r="K57" s="61"/>
      <c r="L57" s="61"/>
      <c r="M57" s="61"/>
      <c r="N57" s="61"/>
      <c r="O57" s="61">
        <v>53.2</v>
      </c>
      <c r="P57" s="61">
        <v>101.4</v>
      </c>
      <c r="Q57" s="61">
        <f t="shared" si="39"/>
        <v>52.465483234714007</v>
      </c>
      <c r="R57" s="61">
        <f t="shared" si="49"/>
        <v>-48.2</v>
      </c>
      <c r="S57" s="61">
        <v>2</v>
      </c>
      <c r="T57" s="61">
        <v>1.5</v>
      </c>
      <c r="U57" s="61">
        <f t="shared" si="50"/>
        <v>133.33333333333331</v>
      </c>
      <c r="V57" s="61">
        <f t="shared" si="51"/>
        <v>0.5</v>
      </c>
      <c r="W57" s="61">
        <v>0.5</v>
      </c>
      <c r="X57" s="61">
        <v>0.5</v>
      </c>
      <c r="Y57" s="61">
        <f t="shared" si="43"/>
        <v>100</v>
      </c>
      <c r="Z57" s="61">
        <f t="shared" si="52"/>
        <v>0</v>
      </c>
      <c r="AA57" s="61"/>
      <c r="AB57" s="61"/>
      <c r="AC57" s="61"/>
      <c r="AD57" s="61"/>
    </row>
    <row r="58" spans="1:30" ht="12" customHeight="1" x14ac:dyDescent="0.2">
      <c r="A58" s="59">
        <v>50</v>
      </c>
      <c r="B58" s="65" t="s">
        <v>220</v>
      </c>
      <c r="C58" s="61">
        <f t="shared" si="45"/>
        <v>357.1</v>
      </c>
      <c r="D58" s="61">
        <f t="shared" si="46"/>
        <v>326.2</v>
      </c>
      <c r="E58" s="61">
        <f t="shared" si="35"/>
        <v>109.47271612507666</v>
      </c>
      <c r="F58" s="61">
        <f t="shared" si="47"/>
        <v>30.900000000000034</v>
      </c>
      <c r="G58" s="61">
        <v>332.5</v>
      </c>
      <c r="H58" s="61">
        <v>268.3</v>
      </c>
      <c r="I58" s="61">
        <f t="shared" si="36"/>
        <v>123.92843831531867</v>
      </c>
      <c r="J58" s="61">
        <f t="shared" si="48"/>
        <v>64.199999999999989</v>
      </c>
      <c r="K58" s="61"/>
      <c r="L58" s="61"/>
      <c r="M58" s="61"/>
      <c r="N58" s="61"/>
      <c r="O58" s="61">
        <f>20.9+0.1</f>
        <v>21</v>
      </c>
      <c r="P58" s="61">
        <v>53.4</v>
      </c>
      <c r="Q58" s="61">
        <f t="shared" si="39"/>
        <v>39.325842696629216</v>
      </c>
      <c r="R58" s="61">
        <f t="shared" si="49"/>
        <v>-32.4</v>
      </c>
      <c r="S58" s="61">
        <v>1</v>
      </c>
      <c r="T58" s="61">
        <v>1.3</v>
      </c>
      <c r="U58" s="61">
        <f t="shared" si="50"/>
        <v>76.92307692307692</v>
      </c>
      <c r="V58" s="61">
        <f t="shared" si="51"/>
        <v>-0.30000000000000004</v>
      </c>
      <c r="W58" s="61">
        <v>2.6</v>
      </c>
      <c r="X58" s="61">
        <v>3.2</v>
      </c>
      <c r="Y58" s="61">
        <f t="shared" si="43"/>
        <v>81.25</v>
      </c>
      <c r="Z58" s="61">
        <f t="shared" si="52"/>
        <v>-0.60000000000000009</v>
      </c>
      <c r="AA58" s="61"/>
      <c r="AB58" s="61"/>
      <c r="AC58" s="61"/>
      <c r="AD58" s="61"/>
    </row>
    <row r="59" spans="1:30" ht="12" customHeight="1" x14ac:dyDescent="0.2">
      <c r="A59" s="59">
        <v>51</v>
      </c>
      <c r="B59" s="65" t="s">
        <v>221</v>
      </c>
      <c r="C59" s="61">
        <f t="shared" si="45"/>
        <v>294.89999999999998</v>
      </c>
      <c r="D59" s="61">
        <f t="shared" si="46"/>
        <v>263.5</v>
      </c>
      <c r="E59" s="61">
        <f t="shared" si="35"/>
        <v>111.91650853889942</v>
      </c>
      <c r="F59" s="61">
        <f t="shared" si="47"/>
        <v>31.399999999999977</v>
      </c>
      <c r="G59" s="61">
        <v>250</v>
      </c>
      <c r="H59" s="61">
        <v>208.1</v>
      </c>
      <c r="I59" s="61">
        <f t="shared" si="36"/>
        <v>120.13455069678041</v>
      </c>
      <c r="J59" s="61">
        <f t="shared" si="48"/>
        <v>41.900000000000006</v>
      </c>
      <c r="K59" s="61"/>
      <c r="L59" s="61"/>
      <c r="M59" s="61"/>
      <c r="N59" s="61"/>
      <c r="O59" s="61">
        <v>43.2</v>
      </c>
      <c r="P59" s="61">
        <f>47.2-0.1</f>
        <v>47.1</v>
      </c>
      <c r="Q59" s="61">
        <f t="shared" si="39"/>
        <v>91.719745222929944</v>
      </c>
      <c r="R59" s="61">
        <f t="shared" si="49"/>
        <v>-3.8999999999999986</v>
      </c>
      <c r="S59" s="61">
        <v>1.7</v>
      </c>
      <c r="T59" s="61">
        <v>6</v>
      </c>
      <c r="U59" s="61">
        <f t="shared" si="50"/>
        <v>28.333333333333332</v>
      </c>
      <c r="V59" s="61">
        <f t="shared" si="51"/>
        <v>-4.3</v>
      </c>
      <c r="W59" s="61"/>
      <c r="X59" s="61">
        <v>2.2999999999999998</v>
      </c>
      <c r="Y59" s="61">
        <f t="shared" si="43"/>
        <v>0</v>
      </c>
      <c r="Z59" s="61">
        <f t="shared" si="52"/>
        <v>-2.2999999999999998</v>
      </c>
      <c r="AA59" s="61"/>
      <c r="AB59" s="61"/>
      <c r="AC59" s="61"/>
      <c r="AD59" s="61"/>
    </row>
    <row r="60" spans="1:30" ht="12" customHeight="1" x14ac:dyDescent="0.2">
      <c r="A60" s="59">
        <v>52</v>
      </c>
      <c r="B60" s="65" t="s">
        <v>114</v>
      </c>
      <c r="C60" s="61">
        <f t="shared" si="45"/>
        <v>350.79999999999995</v>
      </c>
      <c r="D60" s="61">
        <f t="shared" si="46"/>
        <v>304.60000000000002</v>
      </c>
      <c r="E60" s="61">
        <f t="shared" si="35"/>
        <v>115.16743269862111</v>
      </c>
      <c r="F60" s="61">
        <f t="shared" si="47"/>
        <v>46.199999999999932</v>
      </c>
      <c r="G60" s="61">
        <v>305.7</v>
      </c>
      <c r="H60" s="61">
        <v>245.3</v>
      </c>
      <c r="I60" s="61">
        <f t="shared" si="36"/>
        <v>124.62291072156542</v>
      </c>
      <c r="J60" s="61">
        <f t="shared" si="48"/>
        <v>60.399999999999977</v>
      </c>
      <c r="K60" s="61"/>
      <c r="L60" s="61"/>
      <c r="M60" s="61"/>
      <c r="N60" s="61"/>
      <c r="O60" s="61">
        <f>42.9+0.1</f>
        <v>43</v>
      </c>
      <c r="P60" s="61">
        <v>57.5</v>
      </c>
      <c r="Q60" s="61">
        <f t="shared" si="39"/>
        <v>74.782608695652172</v>
      </c>
      <c r="R60" s="61">
        <f t="shared" si="49"/>
        <v>-14.5</v>
      </c>
      <c r="S60" s="61">
        <v>0.7</v>
      </c>
      <c r="T60" s="61">
        <v>0.8</v>
      </c>
      <c r="U60" s="61">
        <f t="shared" si="50"/>
        <v>87.499999999999986</v>
      </c>
      <c r="V60" s="61">
        <f t="shared" si="51"/>
        <v>-0.10000000000000009</v>
      </c>
      <c r="W60" s="61">
        <v>1.4</v>
      </c>
      <c r="X60" s="61">
        <v>1</v>
      </c>
      <c r="Y60" s="61">
        <f t="shared" si="43"/>
        <v>140</v>
      </c>
      <c r="Z60" s="61">
        <f t="shared" si="52"/>
        <v>0.39999999999999991</v>
      </c>
      <c r="AA60" s="61"/>
      <c r="AB60" s="61"/>
      <c r="AC60" s="61"/>
      <c r="AD60" s="61"/>
    </row>
    <row r="61" spans="1:30" ht="12" customHeight="1" x14ac:dyDescent="0.2">
      <c r="A61" s="59">
        <v>53</v>
      </c>
      <c r="B61" s="65" t="s">
        <v>115</v>
      </c>
      <c r="C61" s="61">
        <f t="shared" si="45"/>
        <v>326.10000000000002</v>
      </c>
      <c r="D61" s="61">
        <f t="shared" si="46"/>
        <v>281.49999999999994</v>
      </c>
      <c r="E61" s="61">
        <f t="shared" si="35"/>
        <v>115.84369449378333</v>
      </c>
      <c r="F61" s="61">
        <f t="shared" si="47"/>
        <v>44.60000000000008</v>
      </c>
      <c r="G61" s="61">
        <v>283</v>
      </c>
      <c r="H61" s="61">
        <v>213.4</v>
      </c>
      <c r="I61" s="61">
        <f t="shared" si="36"/>
        <v>132.61480787253984</v>
      </c>
      <c r="J61" s="61">
        <f t="shared" si="48"/>
        <v>69.599999999999994</v>
      </c>
      <c r="K61" s="61"/>
      <c r="L61" s="61"/>
      <c r="M61" s="61"/>
      <c r="N61" s="61"/>
      <c r="O61" s="61">
        <v>38.799999999999997</v>
      </c>
      <c r="P61" s="61">
        <v>66</v>
      </c>
      <c r="Q61" s="61">
        <f t="shared" si="39"/>
        <v>58.787878787878789</v>
      </c>
      <c r="R61" s="61">
        <f t="shared" si="49"/>
        <v>-27.200000000000003</v>
      </c>
      <c r="S61" s="61">
        <v>3.2</v>
      </c>
      <c r="T61" s="61">
        <v>1.2</v>
      </c>
      <c r="U61" s="61">
        <f t="shared" si="50"/>
        <v>266.66666666666669</v>
      </c>
      <c r="V61" s="61">
        <f t="shared" si="51"/>
        <v>2</v>
      </c>
      <c r="W61" s="61">
        <v>1.1000000000000001</v>
      </c>
      <c r="X61" s="61">
        <v>0.9</v>
      </c>
      <c r="Y61" s="61">
        <f t="shared" si="43"/>
        <v>122.22222222222223</v>
      </c>
      <c r="Z61" s="61">
        <f t="shared" si="52"/>
        <v>0.20000000000000007</v>
      </c>
      <c r="AA61" s="61"/>
      <c r="AB61" s="61"/>
      <c r="AC61" s="61"/>
      <c r="AD61" s="61"/>
    </row>
    <row r="62" spans="1:30" ht="12" customHeight="1" x14ac:dyDescent="0.2">
      <c r="A62" s="59">
        <v>54</v>
      </c>
      <c r="B62" s="65" t="s">
        <v>116</v>
      </c>
      <c r="C62" s="61">
        <f t="shared" si="45"/>
        <v>326.2</v>
      </c>
      <c r="D62" s="61">
        <f t="shared" si="46"/>
        <v>215.9</v>
      </c>
      <c r="E62" s="61">
        <f t="shared" si="35"/>
        <v>151.08846688281611</v>
      </c>
      <c r="F62" s="61">
        <f t="shared" si="47"/>
        <v>110.29999999999998</v>
      </c>
      <c r="G62" s="61">
        <v>306.3</v>
      </c>
      <c r="H62" s="61">
        <v>179.7</v>
      </c>
      <c r="I62" s="61">
        <f t="shared" si="36"/>
        <v>170.45075125208683</v>
      </c>
      <c r="J62" s="61">
        <f t="shared" si="48"/>
        <v>126.60000000000002</v>
      </c>
      <c r="K62" s="61"/>
      <c r="L62" s="61"/>
      <c r="M62" s="61"/>
      <c r="N62" s="61"/>
      <c r="O62" s="61">
        <v>19.899999999999999</v>
      </c>
      <c r="P62" s="61">
        <v>35.9</v>
      </c>
      <c r="Q62" s="61">
        <f t="shared" si="39"/>
        <v>55.431754874651809</v>
      </c>
      <c r="R62" s="61">
        <f t="shared" si="49"/>
        <v>-16</v>
      </c>
      <c r="S62" s="61"/>
      <c r="T62" s="61">
        <v>0.3</v>
      </c>
      <c r="U62" s="61">
        <f t="shared" si="50"/>
        <v>0</v>
      </c>
      <c r="V62" s="61">
        <f t="shared" si="51"/>
        <v>-0.3</v>
      </c>
      <c r="W62" s="61"/>
      <c r="X62" s="61"/>
      <c r="Y62" s="61"/>
      <c r="Z62" s="61"/>
      <c r="AA62" s="61"/>
      <c r="AB62" s="61"/>
      <c r="AC62" s="61"/>
      <c r="AD62" s="61"/>
    </row>
    <row r="63" spans="1:30" ht="12" customHeight="1" x14ac:dyDescent="0.2">
      <c r="A63" s="59">
        <v>55</v>
      </c>
      <c r="B63" s="65" t="s">
        <v>117</v>
      </c>
      <c r="C63" s="61">
        <f t="shared" si="45"/>
        <v>270.29999999999995</v>
      </c>
      <c r="D63" s="61">
        <f t="shared" si="46"/>
        <v>229</v>
      </c>
      <c r="E63" s="61">
        <f t="shared" si="35"/>
        <v>118.03493449781656</v>
      </c>
      <c r="F63" s="61">
        <f t="shared" si="47"/>
        <v>41.299999999999955</v>
      </c>
      <c r="G63" s="61">
        <v>249</v>
      </c>
      <c r="H63" s="61">
        <v>183.8</v>
      </c>
      <c r="I63" s="61">
        <f t="shared" si="36"/>
        <v>135.4733405875952</v>
      </c>
      <c r="J63" s="61">
        <f t="shared" si="48"/>
        <v>65.199999999999989</v>
      </c>
      <c r="K63" s="61"/>
      <c r="L63" s="61"/>
      <c r="M63" s="61"/>
      <c r="N63" s="61"/>
      <c r="O63" s="61">
        <v>20.399999999999999</v>
      </c>
      <c r="P63" s="61">
        <v>44.5</v>
      </c>
      <c r="Q63" s="61">
        <f t="shared" si="39"/>
        <v>45.842696629213478</v>
      </c>
      <c r="R63" s="61">
        <f t="shared" si="49"/>
        <v>-24.1</v>
      </c>
      <c r="S63" s="61">
        <v>0.9</v>
      </c>
      <c r="T63" s="61">
        <v>0.6</v>
      </c>
      <c r="U63" s="61">
        <f t="shared" si="50"/>
        <v>150</v>
      </c>
      <c r="V63" s="61">
        <f t="shared" si="51"/>
        <v>0.30000000000000004</v>
      </c>
      <c r="W63" s="61"/>
      <c r="X63" s="61">
        <v>0.1</v>
      </c>
      <c r="Y63" s="61">
        <f>+W63/X63*100</f>
        <v>0</v>
      </c>
      <c r="Z63" s="61">
        <f>+W63-X63</f>
        <v>-0.1</v>
      </c>
      <c r="AA63" s="61"/>
      <c r="AB63" s="61"/>
      <c r="AC63" s="61"/>
      <c r="AD63" s="61"/>
    </row>
    <row r="64" spans="1:30" ht="12" customHeight="1" x14ac:dyDescent="0.2">
      <c r="A64" s="59">
        <v>56</v>
      </c>
      <c r="B64" s="65" t="s">
        <v>118</v>
      </c>
      <c r="C64" s="61">
        <f t="shared" si="45"/>
        <v>304.99999999999994</v>
      </c>
      <c r="D64" s="61">
        <f t="shared" si="46"/>
        <v>260.40000000000003</v>
      </c>
      <c r="E64" s="61">
        <f t="shared" si="35"/>
        <v>117.1274961597542</v>
      </c>
      <c r="F64" s="61">
        <f t="shared" si="47"/>
        <v>44.599999999999909</v>
      </c>
      <c r="G64" s="61">
        <v>274.39999999999998</v>
      </c>
      <c r="H64" s="61">
        <v>211.7</v>
      </c>
      <c r="I64" s="61">
        <f t="shared" si="36"/>
        <v>129.61738308927727</v>
      </c>
      <c r="J64" s="61">
        <f t="shared" si="48"/>
        <v>62.699999999999989</v>
      </c>
      <c r="K64" s="61"/>
      <c r="L64" s="61"/>
      <c r="M64" s="61"/>
      <c r="N64" s="61"/>
      <c r="O64" s="61">
        <v>29.8</v>
      </c>
      <c r="P64" s="61">
        <f>47.2-0.1</f>
        <v>47.1</v>
      </c>
      <c r="Q64" s="61">
        <f t="shared" si="39"/>
        <v>63.269639065817408</v>
      </c>
      <c r="R64" s="61">
        <f t="shared" si="49"/>
        <v>-17.3</v>
      </c>
      <c r="S64" s="61">
        <v>0.4</v>
      </c>
      <c r="T64" s="61">
        <v>1.3</v>
      </c>
      <c r="U64" s="61">
        <f t="shared" si="50"/>
        <v>30.76923076923077</v>
      </c>
      <c r="V64" s="61">
        <f t="shared" si="51"/>
        <v>-0.9</v>
      </c>
      <c r="W64" s="61">
        <v>0.4</v>
      </c>
      <c r="X64" s="61">
        <v>0.3</v>
      </c>
      <c r="Y64" s="61">
        <f>+W64/X64*100</f>
        <v>133.33333333333334</v>
      </c>
      <c r="Z64" s="61">
        <f>+W64-X64</f>
        <v>0.10000000000000003</v>
      </c>
      <c r="AA64" s="61"/>
      <c r="AB64" s="61"/>
      <c r="AC64" s="61"/>
      <c r="AD64" s="61"/>
    </row>
    <row r="65" spans="1:31" ht="12" customHeight="1" x14ac:dyDescent="0.2">
      <c r="A65" s="59">
        <v>57</v>
      </c>
      <c r="B65" s="65" t="s">
        <v>119</v>
      </c>
      <c r="C65" s="61">
        <f t="shared" si="45"/>
        <v>257.3</v>
      </c>
      <c r="D65" s="61">
        <f t="shared" si="46"/>
        <v>228.2</v>
      </c>
      <c r="E65" s="61">
        <f t="shared" si="35"/>
        <v>112.75197195442594</v>
      </c>
      <c r="F65" s="61">
        <f t="shared" si="47"/>
        <v>29.100000000000023</v>
      </c>
      <c r="G65" s="61">
        <v>231.9</v>
      </c>
      <c r="H65" s="61">
        <v>190.1</v>
      </c>
      <c r="I65" s="61">
        <f t="shared" si="36"/>
        <v>121.98842714360862</v>
      </c>
      <c r="J65" s="61">
        <f t="shared" si="48"/>
        <v>41.800000000000011</v>
      </c>
      <c r="K65" s="61"/>
      <c r="L65" s="61"/>
      <c r="M65" s="61"/>
      <c r="N65" s="61"/>
      <c r="O65" s="61">
        <v>23.4</v>
      </c>
      <c r="P65" s="61">
        <v>35.4</v>
      </c>
      <c r="Q65" s="61">
        <f t="shared" si="39"/>
        <v>66.101694915254242</v>
      </c>
      <c r="R65" s="61">
        <f t="shared" si="49"/>
        <v>-12</v>
      </c>
      <c r="S65" s="61">
        <v>1.5</v>
      </c>
      <c r="T65" s="61">
        <v>1.5</v>
      </c>
      <c r="U65" s="61">
        <f t="shared" si="50"/>
        <v>100</v>
      </c>
      <c r="V65" s="61">
        <f t="shared" si="51"/>
        <v>0</v>
      </c>
      <c r="W65" s="61">
        <v>0.5</v>
      </c>
      <c r="X65" s="61">
        <v>1.2</v>
      </c>
      <c r="Y65" s="61">
        <f>+W65/X65*100</f>
        <v>41.666666666666671</v>
      </c>
      <c r="Z65" s="61">
        <f>+W65-X65</f>
        <v>-0.7</v>
      </c>
      <c r="AA65" s="61"/>
      <c r="AB65" s="61"/>
      <c r="AC65" s="61"/>
      <c r="AD65" s="61"/>
    </row>
    <row r="66" spans="1:31" ht="12" customHeight="1" x14ac:dyDescent="0.2">
      <c r="A66" s="59">
        <v>58</v>
      </c>
      <c r="B66" s="65" t="s">
        <v>120</v>
      </c>
      <c r="C66" s="61">
        <f t="shared" si="45"/>
        <v>424.5</v>
      </c>
      <c r="D66" s="61">
        <f t="shared" si="46"/>
        <v>394.7</v>
      </c>
      <c r="E66" s="61">
        <f t="shared" si="35"/>
        <v>107.55003800354702</v>
      </c>
      <c r="F66" s="61">
        <f t="shared" si="47"/>
        <v>29.800000000000011</v>
      </c>
      <c r="G66" s="61">
        <v>385.6</v>
      </c>
      <c r="H66" s="61">
        <v>344.2</v>
      </c>
      <c r="I66" s="61">
        <f t="shared" si="36"/>
        <v>112.02789076118538</v>
      </c>
      <c r="J66" s="61">
        <f t="shared" si="48"/>
        <v>41.400000000000034</v>
      </c>
      <c r="K66" s="61"/>
      <c r="L66" s="61"/>
      <c r="M66" s="61"/>
      <c r="N66" s="61"/>
      <c r="O66" s="61">
        <f>38.6-0.1</f>
        <v>38.5</v>
      </c>
      <c r="P66" s="61">
        <v>50.5</v>
      </c>
      <c r="Q66" s="61">
        <f t="shared" si="39"/>
        <v>76.237623762376245</v>
      </c>
      <c r="R66" s="61">
        <f t="shared" si="49"/>
        <v>-12</v>
      </c>
      <c r="S66" s="61">
        <v>0.4</v>
      </c>
      <c r="T66" s="61"/>
      <c r="U66" s="61"/>
      <c r="V66" s="61">
        <f t="shared" si="51"/>
        <v>0.4</v>
      </c>
      <c r="W66" s="61"/>
      <c r="X66" s="61"/>
      <c r="Y66" s="61"/>
      <c r="Z66" s="61"/>
      <c r="AA66" s="61"/>
      <c r="AB66" s="61"/>
      <c r="AC66" s="61"/>
      <c r="AD66" s="61"/>
    </row>
    <row r="67" spans="1:31" ht="12" customHeight="1" x14ac:dyDescent="0.2">
      <c r="A67" s="59">
        <v>59</v>
      </c>
      <c r="B67" s="66" t="s">
        <v>121</v>
      </c>
      <c r="C67" s="63">
        <f>SUM(C56:C66)</f>
        <v>5832.0000000000009</v>
      </c>
      <c r="D67" s="63">
        <f>SUM(D56:D66)</f>
        <v>4879.6999999999989</v>
      </c>
      <c r="E67" s="50">
        <f t="shared" si="35"/>
        <v>119.51554398835999</v>
      </c>
      <c r="F67" s="63">
        <f>SUM(F56:F66)</f>
        <v>952.30000000000018</v>
      </c>
      <c r="G67" s="63">
        <f>SUM(G56:G66)</f>
        <v>5229.6000000000004</v>
      </c>
      <c r="H67" s="63">
        <f>SUM(H56:H66)</f>
        <v>3888.1</v>
      </c>
      <c r="I67" s="50">
        <f t="shared" si="36"/>
        <v>134.50271340757698</v>
      </c>
      <c r="J67" s="63">
        <f>SUM(J56:J66)</f>
        <v>1341.5000000000002</v>
      </c>
      <c r="K67" s="63">
        <f t="shared" ref="K67:N67" si="53">SUM(K56:K66)</f>
        <v>0</v>
      </c>
      <c r="L67" s="63">
        <f t="shared" si="53"/>
        <v>0</v>
      </c>
      <c r="M67" s="63">
        <f t="shared" si="53"/>
        <v>0</v>
      </c>
      <c r="N67" s="63">
        <f t="shared" si="53"/>
        <v>0</v>
      </c>
      <c r="O67" s="63">
        <f>SUM(O56:O66)</f>
        <v>577.99999999999989</v>
      </c>
      <c r="P67" s="63">
        <f>SUM(P56:P66)</f>
        <v>961.3</v>
      </c>
      <c r="Q67" s="61">
        <f t="shared" si="39"/>
        <v>60.126911474045549</v>
      </c>
      <c r="R67" s="63">
        <f>SUM(R56:R66)</f>
        <v>-383.29999999999995</v>
      </c>
      <c r="S67" s="63">
        <f>SUM(S56:S66)</f>
        <v>17.799999999999997</v>
      </c>
      <c r="T67" s="63">
        <f>SUM(T56:T66)</f>
        <v>19.700000000000003</v>
      </c>
      <c r="U67" s="50">
        <f>+S67/T67*100</f>
        <v>90.355329949238552</v>
      </c>
      <c r="V67" s="63">
        <f>SUM(V56:V66)</f>
        <v>-1.9</v>
      </c>
      <c r="W67" s="63">
        <f>SUM(W56:W66)</f>
        <v>6.6</v>
      </c>
      <c r="X67" s="63">
        <f>SUM(X56:X66)</f>
        <v>10.600000000000001</v>
      </c>
      <c r="Y67" s="50">
        <f>+W67/X67*100</f>
        <v>62.26415094339621</v>
      </c>
      <c r="Z67" s="63">
        <f>SUM(Z56:Z66)</f>
        <v>-4</v>
      </c>
      <c r="AA67" s="63"/>
      <c r="AB67" s="63"/>
      <c r="AC67" s="68"/>
      <c r="AD67" s="63"/>
    </row>
    <row r="68" spans="1:31" ht="12" customHeight="1" x14ac:dyDescent="0.2">
      <c r="A68" s="59">
        <v>60</v>
      </c>
      <c r="B68" s="65" t="s">
        <v>122</v>
      </c>
      <c r="C68" s="61">
        <f t="shared" ref="C68:D70" si="54">+G68+K68+O68+S68+W68+AA68</f>
        <v>1090.8</v>
      </c>
      <c r="D68" s="61">
        <f t="shared" si="54"/>
        <v>973.90000000000009</v>
      </c>
      <c r="E68" s="61">
        <f t="shared" si="35"/>
        <v>112.0032857582914</v>
      </c>
      <c r="F68" s="61">
        <f>+C68-D68</f>
        <v>116.89999999999986</v>
      </c>
      <c r="G68" s="61">
        <v>16.3</v>
      </c>
      <c r="H68" s="61">
        <v>13.2</v>
      </c>
      <c r="I68" s="61">
        <f t="shared" si="36"/>
        <v>123.48484848484848</v>
      </c>
      <c r="J68" s="61">
        <f>+G68-H68</f>
        <v>3.1000000000000014</v>
      </c>
      <c r="K68" s="61"/>
      <c r="L68" s="61"/>
      <c r="M68" s="61"/>
      <c r="N68" s="61"/>
      <c r="O68" s="61">
        <v>1074.3</v>
      </c>
      <c r="P68" s="61">
        <f>960.1+0.1</f>
        <v>960.2</v>
      </c>
      <c r="Q68" s="61">
        <f t="shared" si="39"/>
        <v>111.88294105394709</v>
      </c>
      <c r="R68" s="61">
        <f>+O68-P68</f>
        <v>114.09999999999991</v>
      </c>
      <c r="S68" s="61"/>
      <c r="T68" s="61"/>
      <c r="U68" s="61"/>
      <c r="V68" s="61"/>
      <c r="W68" s="61">
        <v>0.2</v>
      </c>
      <c r="X68" s="61">
        <v>0.5</v>
      </c>
      <c r="Y68" s="61">
        <f>+W68/X68*100</f>
        <v>40</v>
      </c>
      <c r="Z68" s="61">
        <f>+W68-X68</f>
        <v>-0.3</v>
      </c>
      <c r="AA68" s="61"/>
      <c r="AB68" s="61"/>
      <c r="AC68" s="61"/>
      <c r="AD68" s="61"/>
    </row>
    <row r="69" spans="1:31" ht="12" customHeight="1" x14ac:dyDescent="0.2">
      <c r="A69" s="59">
        <v>61</v>
      </c>
      <c r="B69" s="65" t="s">
        <v>123</v>
      </c>
      <c r="C69" s="61">
        <f t="shared" si="54"/>
        <v>126.5</v>
      </c>
      <c r="D69" s="61">
        <f t="shared" si="54"/>
        <v>119.5</v>
      </c>
      <c r="E69" s="61">
        <f t="shared" si="35"/>
        <v>105.85774058577407</v>
      </c>
      <c r="F69" s="61">
        <f>+C69-D69</f>
        <v>7</v>
      </c>
      <c r="G69" s="61">
        <v>126.5</v>
      </c>
      <c r="H69" s="61">
        <v>119.5</v>
      </c>
      <c r="I69" s="61">
        <f t="shared" si="36"/>
        <v>105.85774058577407</v>
      </c>
      <c r="J69" s="61">
        <f>+G69-H69</f>
        <v>7</v>
      </c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</row>
    <row r="70" spans="1:31" ht="12" customHeight="1" x14ac:dyDescent="0.2">
      <c r="A70" s="59">
        <v>62</v>
      </c>
      <c r="B70" s="67" t="s">
        <v>124</v>
      </c>
      <c r="C70" s="61">
        <f t="shared" si="54"/>
        <v>5713.6</v>
      </c>
      <c r="D70" s="61">
        <f t="shared" si="54"/>
        <v>5295.1</v>
      </c>
      <c r="E70" s="61">
        <f t="shared" si="35"/>
        <v>107.90353345545883</v>
      </c>
      <c r="F70" s="61">
        <f>+C70-D70</f>
        <v>418.5</v>
      </c>
      <c r="G70" s="69">
        <f>13520.2-8794.5</f>
        <v>4725.7000000000007</v>
      </c>
      <c r="H70" s="69">
        <f>4596.3+18.7-0.1</f>
        <v>4614.8999999999996</v>
      </c>
      <c r="I70" s="61">
        <f t="shared" si="36"/>
        <v>102.40091876313681</v>
      </c>
      <c r="J70" s="61">
        <f>+G70-H70</f>
        <v>110.80000000000109</v>
      </c>
      <c r="K70" s="61"/>
      <c r="L70" s="61"/>
      <c r="M70" s="61"/>
      <c r="N70" s="61"/>
      <c r="O70" s="61">
        <f>9426.1-8449.5-0.1</f>
        <v>976.50000000000034</v>
      </c>
      <c r="P70" s="61">
        <f>684.1-18.7+0.2</f>
        <v>665.6</v>
      </c>
      <c r="Q70" s="61">
        <f>+O70/P70*100</f>
        <v>146.70973557692312</v>
      </c>
      <c r="R70" s="61">
        <f>+O70-P70</f>
        <v>310.90000000000032</v>
      </c>
      <c r="S70" s="61">
        <v>11.4</v>
      </c>
      <c r="T70" s="61">
        <v>14.6</v>
      </c>
      <c r="U70" s="61">
        <f>+S70/T70*100</f>
        <v>78.082191780821915</v>
      </c>
      <c r="V70" s="61">
        <f>+S70-T70</f>
        <v>-3.1999999999999993</v>
      </c>
      <c r="W70" s="61"/>
      <c r="X70" s="61"/>
      <c r="Y70" s="61"/>
      <c r="Z70" s="61">
        <f>+W70-X70</f>
        <v>0</v>
      </c>
      <c r="AA70" s="61"/>
      <c r="AB70" s="61"/>
      <c r="AC70" s="61"/>
      <c r="AD70" s="61"/>
      <c r="AE70" s="70"/>
    </row>
    <row r="71" spans="1:31" ht="12" customHeight="1" x14ac:dyDescent="0.2">
      <c r="A71" s="59">
        <v>63</v>
      </c>
      <c r="B71" s="66" t="s">
        <v>125</v>
      </c>
      <c r="C71" s="50">
        <f t="shared" ref="C71:C102" si="55">+G71+K71+O71+S71+W71+AA71</f>
        <v>48982.500000000007</v>
      </c>
      <c r="D71" s="50">
        <f>+D17+D39+D48+D55+D67+D68+D69+D70</f>
        <v>43638.999999999993</v>
      </c>
      <c r="E71" s="50">
        <f t="shared" si="35"/>
        <v>112.24478104447859</v>
      </c>
      <c r="F71" s="50">
        <f>+F17+F39+F48+F55+F67+F68+F69+F70</f>
        <v>5343.4999999999991</v>
      </c>
      <c r="G71" s="50">
        <f>+G17+G39+G48+G55+G67+G68+G69+G70</f>
        <v>26573.9</v>
      </c>
      <c r="H71" s="50">
        <f>+H17+H39+H48+H55+H67+H68+H69+H70</f>
        <v>23635.699999999997</v>
      </c>
      <c r="I71" s="50">
        <f t="shared" si="36"/>
        <v>112.43119518355709</v>
      </c>
      <c r="J71" s="50">
        <f>+J17+J39+J48+J55+J67+J68+J69+J70</f>
        <v>2938.2000000000012</v>
      </c>
      <c r="K71" s="50">
        <f>+K17+K39+K48+K55+K67+K68+K69+K70</f>
        <v>14616.9</v>
      </c>
      <c r="L71" s="50">
        <f>+L17+L39+L48+L55+L67+L68+L69+L70</f>
        <v>13052.699999999999</v>
      </c>
      <c r="M71" s="50">
        <f>+K71/L71*100</f>
        <v>111.98372750465421</v>
      </c>
      <c r="N71" s="50">
        <f>+N17+N39+N48+N55+N67+N68+N69+N70</f>
        <v>1564.2000000000003</v>
      </c>
      <c r="O71" s="50">
        <f>+O17+O39+O48+O55+O67+O68+O69+O70</f>
        <v>6417.8</v>
      </c>
      <c r="P71" s="50">
        <f>+P17+P39+P48+P55+P67+P68+P69+P70</f>
        <v>5537.5</v>
      </c>
      <c r="Q71" s="50">
        <f>+O71/P71*100</f>
        <v>115.89706546275396</v>
      </c>
      <c r="R71" s="50">
        <f>+R17+R39+R48+R55+R67+R68+R69+R70</f>
        <v>880.30000000000018</v>
      </c>
      <c r="S71" s="50">
        <f>+S17+S39+S48+S55+S67+S68+S69+S70</f>
        <v>80.2</v>
      </c>
      <c r="T71" s="50">
        <f>+T17+T39+T48+T55+T67+T68+T69+T70</f>
        <v>103.3</v>
      </c>
      <c r="U71" s="50">
        <f>+S71/T71*100</f>
        <v>77.637947725072607</v>
      </c>
      <c r="V71" s="50">
        <f>+V17+V39+V48+V55+V67+V68+V69+V70</f>
        <v>-23.099999999999998</v>
      </c>
      <c r="W71" s="50">
        <f>+W17+W39+W48+W55+W67+W68+W69+W70</f>
        <v>136.79999999999998</v>
      </c>
      <c r="X71" s="50">
        <f>+X17+X39+X48+X55+X67+X68+X69+X70</f>
        <v>139.69999999999999</v>
      </c>
      <c r="Y71" s="50">
        <f>+W71/X71*100</f>
        <v>97.924123120973505</v>
      </c>
      <c r="Z71" s="50">
        <f>+Z17+Z39+Z48+Z55+Z67+Z68+Z69+Z70</f>
        <v>-2.9000000000000021</v>
      </c>
      <c r="AA71" s="50">
        <f>+AA17+AA39+AA48+AA55+AA67+AA68+AA69+AA70</f>
        <v>1156.8999999999999</v>
      </c>
      <c r="AB71" s="50">
        <f>+AB17+AB39+AB48+AB55+AB67+AB68+AB69+AB70</f>
        <v>1170.0999999999999</v>
      </c>
      <c r="AC71" s="50">
        <f>+AA71/AB71*100</f>
        <v>98.871891291342621</v>
      </c>
      <c r="AD71" s="50">
        <f>+AD17+AD39+AD48+AD55+AD67+AD68+AD69+AD70</f>
        <v>-13.199999999999982</v>
      </c>
      <c r="AE71" s="70"/>
    </row>
    <row r="72" spans="1:31" ht="22.5" customHeight="1" x14ac:dyDescent="0.2">
      <c r="A72" s="59">
        <v>64</v>
      </c>
      <c r="B72" s="71" t="s">
        <v>126</v>
      </c>
      <c r="C72" s="61">
        <f t="shared" si="55"/>
        <v>25</v>
      </c>
      <c r="D72" s="61">
        <f t="shared" ref="D72:D99" si="56">+H72+L72+P72+T72+X72+AB72</f>
        <v>25</v>
      </c>
      <c r="E72" s="61">
        <v>100</v>
      </c>
      <c r="F72" s="61">
        <v>0</v>
      </c>
      <c r="G72" s="61">
        <v>25</v>
      </c>
      <c r="H72" s="61">
        <v>25</v>
      </c>
      <c r="I72" s="61">
        <v>100</v>
      </c>
      <c r="J72" s="61">
        <v>0</v>
      </c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70"/>
    </row>
    <row r="73" spans="1:31" ht="23.25" customHeight="1" x14ac:dyDescent="0.2">
      <c r="A73" s="59">
        <v>65</v>
      </c>
      <c r="B73" s="62" t="s">
        <v>127</v>
      </c>
      <c r="C73" s="61">
        <f t="shared" si="55"/>
        <v>45.8</v>
      </c>
      <c r="D73" s="61">
        <f t="shared" si="56"/>
        <v>7.4</v>
      </c>
      <c r="E73" s="61">
        <v>100</v>
      </c>
      <c r="F73" s="61">
        <f t="shared" ref="F73:F104" si="57">+C73-D73</f>
        <v>38.4</v>
      </c>
      <c r="G73" s="61">
        <v>45.8</v>
      </c>
      <c r="H73" s="61">
        <v>7.4</v>
      </c>
      <c r="I73" s="50"/>
      <c r="J73" s="61">
        <f t="shared" ref="J73:J108" si="58">+G73-H73</f>
        <v>38.4</v>
      </c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70"/>
    </row>
    <row r="74" spans="1:31" ht="12.45" customHeight="1" x14ac:dyDescent="0.2">
      <c r="A74" s="59">
        <v>66</v>
      </c>
      <c r="B74" s="72" t="s">
        <v>128</v>
      </c>
      <c r="C74" s="61">
        <f t="shared" si="55"/>
        <v>7.9</v>
      </c>
      <c r="D74" s="61">
        <f t="shared" si="56"/>
        <v>7.8</v>
      </c>
      <c r="E74" s="61">
        <f t="shared" ref="E74:E99" si="59">+C74/D74*100</f>
        <v>101.2820512820513</v>
      </c>
      <c r="F74" s="61">
        <f t="shared" si="57"/>
        <v>0.10000000000000053</v>
      </c>
      <c r="G74" s="61">
        <v>7.9</v>
      </c>
      <c r="H74" s="61">
        <v>7.8</v>
      </c>
      <c r="I74" s="61">
        <f t="shared" ref="I74:I90" si="60">+G74/H74*100</f>
        <v>101.2820512820513</v>
      </c>
      <c r="J74" s="61">
        <f t="shared" si="58"/>
        <v>0.10000000000000053</v>
      </c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70"/>
    </row>
    <row r="75" spans="1:31" ht="19.2" x14ac:dyDescent="0.2">
      <c r="A75" s="59">
        <v>67</v>
      </c>
      <c r="B75" s="73" t="s">
        <v>129</v>
      </c>
      <c r="C75" s="61">
        <f t="shared" si="55"/>
        <v>40</v>
      </c>
      <c r="D75" s="61">
        <f t="shared" si="56"/>
        <v>40</v>
      </c>
      <c r="E75" s="61">
        <f t="shared" si="59"/>
        <v>100</v>
      </c>
      <c r="F75" s="61">
        <f t="shared" si="57"/>
        <v>0</v>
      </c>
      <c r="G75" s="61">
        <v>40</v>
      </c>
      <c r="H75" s="61">
        <v>40</v>
      </c>
      <c r="I75" s="61">
        <f t="shared" si="60"/>
        <v>100</v>
      </c>
      <c r="J75" s="61">
        <f t="shared" si="58"/>
        <v>0</v>
      </c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70"/>
    </row>
    <row r="76" spans="1:31" s="101" customFormat="1" x14ac:dyDescent="0.2">
      <c r="A76" s="98">
        <v>68</v>
      </c>
      <c r="B76" s="99" t="s">
        <v>130</v>
      </c>
      <c r="C76" s="61">
        <f t="shared" si="55"/>
        <v>0</v>
      </c>
      <c r="D76" s="61">
        <f t="shared" si="56"/>
        <v>6.5</v>
      </c>
      <c r="E76" s="61">
        <f t="shared" si="59"/>
        <v>0</v>
      </c>
      <c r="F76" s="61">
        <f t="shared" si="57"/>
        <v>-6.5</v>
      </c>
      <c r="G76" s="61"/>
      <c r="H76" s="61">
        <v>6.5</v>
      </c>
      <c r="I76" s="61">
        <f t="shared" si="60"/>
        <v>0</v>
      </c>
      <c r="J76" s="61">
        <f t="shared" si="58"/>
        <v>-6.5</v>
      </c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100"/>
    </row>
    <row r="77" spans="1:31" ht="33.75" customHeight="1" x14ac:dyDescent="0.2">
      <c r="A77" s="59">
        <v>69</v>
      </c>
      <c r="B77" s="74" t="s">
        <v>131</v>
      </c>
      <c r="C77" s="61">
        <f t="shared" si="55"/>
        <v>20</v>
      </c>
      <c r="D77" s="61">
        <f t="shared" si="56"/>
        <v>30</v>
      </c>
      <c r="E77" s="61">
        <f t="shared" si="59"/>
        <v>66.666666666666657</v>
      </c>
      <c r="F77" s="61">
        <f t="shared" si="57"/>
        <v>-10</v>
      </c>
      <c r="G77" s="61">
        <v>20</v>
      </c>
      <c r="H77" s="61">
        <v>30</v>
      </c>
      <c r="I77" s="61">
        <f t="shared" si="60"/>
        <v>66.666666666666657</v>
      </c>
      <c r="J77" s="61">
        <f t="shared" si="58"/>
        <v>-10</v>
      </c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70"/>
    </row>
    <row r="78" spans="1:31" ht="28.8" x14ac:dyDescent="0.2">
      <c r="A78" s="59">
        <v>70</v>
      </c>
      <c r="B78" s="74" t="s">
        <v>132</v>
      </c>
      <c r="C78" s="61"/>
      <c r="D78" s="61">
        <f t="shared" si="56"/>
        <v>17.600000000000001</v>
      </c>
      <c r="E78" s="61">
        <f t="shared" si="59"/>
        <v>0</v>
      </c>
      <c r="F78" s="61">
        <f t="shared" si="57"/>
        <v>-17.600000000000001</v>
      </c>
      <c r="G78" s="61"/>
      <c r="H78" s="61">
        <v>17.600000000000001</v>
      </c>
      <c r="I78" s="61"/>
      <c r="J78" s="61">
        <f t="shared" si="58"/>
        <v>-17.600000000000001</v>
      </c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70"/>
    </row>
    <row r="79" spans="1:31" ht="28.8" x14ac:dyDescent="0.2">
      <c r="A79" s="59">
        <v>71</v>
      </c>
      <c r="B79" s="74" t="s">
        <v>133</v>
      </c>
      <c r="C79" s="61">
        <f t="shared" si="55"/>
        <v>10.9</v>
      </c>
      <c r="D79" s="61">
        <f t="shared" si="56"/>
        <v>18.600000000000001</v>
      </c>
      <c r="E79" s="61">
        <f t="shared" si="59"/>
        <v>58.602150537634401</v>
      </c>
      <c r="F79" s="61">
        <f t="shared" si="57"/>
        <v>-7.7000000000000011</v>
      </c>
      <c r="G79" s="61">
        <v>10.9</v>
      </c>
      <c r="H79" s="61">
        <v>18.600000000000001</v>
      </c>
      <c r="I79" s="61">
        <f t="shared" si="60"/>
        <v>58.602150537634401</v>
      </c>
      <c r="J79" s="61">
        <f t="shared" si="58"/>
        <v>-7.7000000000000011</v>
      </c>
      <c r="K79" s="61"/>
      <c r="L79" s="61"/>
      <c r="M79" s="68"/>
      <c r="N79" s="61"/>
      <c r="O79" s="61"/>
      <c r="P79" s="61"/>
      <c r="Q79" s="68"/>
      <c r="R79" s="61"/>
      <c r="S79" s="61"/>
      <c r="T79" s="61"/>
      <c r="U79" s="68"/>
      <c r="V79" s="61"/>
      <c r="W79" s="61"/>
      <c r="X79" s="61"/>
      <c r="Y79" s="68"/>
      <c r="Z79" s="61"/>
      <c r="AA79" s="61"/>
      <c r="AB79" s="61"/>
      <c r="AC79" s="68"/>
      <c r="AD79" s="61"/>
      <c r="AE79" s="70"/>
    </row>
    <row r="80" spans="1:31" ht="28.8" x14ac:dyDescent="0.2">
      <c r="A80" s="59">
        <v>72</v>
      </c>
      <c r="B80" s="74" t="s">
        <v>134</v>
      </c>
      <c r="C80" s="61">
        <f t="shared" si="55"/>
        <v>42.8</v>
      </c>
      <c r="D80" s="61">
        <f t="shared" si="56"/>
        <v>42.2</v>
      </c>
      <c r="E80" s="61">
        <f t="shared" si="59"/>
        <v>101.42180094786728</v>
      </c>
      <c r="F80" s="61">
        <f t="shared" si="57"/>
        <v>0.59999999999999432</v>
      </c>
      <c r="G80" s="61">
        <f>42.9-0.1</f>
        <v>42.8</v>
      </c>
      <c r="H80" s="61">
        <v>42.2</v>
      </c>
      <c r="I80" s="61">
        <f t="shared" si="60"/>
        <v>101.42180094786728</v>
      </c>
      <c r="J80" s="61">
        <f t="shared" si="58"/>
        <v>0.59999999999999432</v>
      </c>
      <c r="K80" s="61"/>
      <c r="L80" s="61"/>
      <c r="M80" s="68"/>
      <c r="N80" s="61"/>
      <c r="O80" s="61"/>
      <c r="P80" s="61"/>
      <c r="Q80" s="68"/>
      <c r="R80" s="61"/>
      <c r="S80" s="61"/>
      <c r="T80" s="61"/>
      <c r="U80" s="68"/>
      <c r="V80" s="61"/>
      <c r="W80" s="61"/>
      <c r="X80" s="61"/>
      <c r="Y80" s="68"/>
      <c r="Z80" s="61"/>
      <c r="AA80" s="61"/>
      <c r="AB80" s="61"/>
      <c r="AC80" s="68"/>
      <c r="AD80" s="61"/>
      <c r="AE80" s="70"/>
    </row>
    <row r="81" spans="1:31" ht="28.8" x14ac:dyDescent="0.2">
      <c r="A81" s="59">
        <v>73</v>
      </c>
      <c r="B81" s="74" t="s">
        <v>135</v>
      </c>
      <c r="C81" s="61">
        <f t="shared" si="55"/>
        <v>10.3</v>
      </c>
      <c r="D81" s="61">
        <f t="shared" si="56"/>
        <v>10.3</v>
      </c>
      <c r="E81" s="61">
        <f t="shared" si="59"/>
        <v>100</v>
      </c>
      <c r="F81" s="61">
        <f t="shared" si="57"/>
        <v>0</v>
      </c>
      <c r="G81" s="61">
        <v>10.3</v>
      </c>
      <c r="H81" s="61">
        <v>10.3</v>
      </c>
      <c r="I81" s="61">
        <f t="shared" si="60"/>
        <v>100</v>
      </c>
      <c r="J81" s="61">
        <f t="shared" si="58"/>
        <v>0</v>
      </c>
      <c r="K81" s="61"/>
      <c r="L81" s="61"/>
      <c r="M81" s="68"/>
      <c r="N81" s="61"/>
      <c r="O81" s="61"/>
      <c r="P81" s="61"/>
      <c r="Q81" s="68"/>
      <c r="R81" s="61"/>
      <c r="S81" s="61"/>
      <c r="T81" s="61"/>
      <c r="U81" s="68"/>
      <c r="V81" s="61"/>
      <c r="W81" s="61"/>
      <c r="X81" s="61"/>
      <c r="Y81" s="68"/>
      <c r="Z81" s="61"/>
      <c r="AA81" s="61"/>
      <c r="AB81" s="61"/>
      <c r="AC81" s="68"/>
      <c r="AD81" s="61"/>
      <c r="AE81" s="70"/>
    </row>
    <row r="82" spans="1:31" ht="34.950000000000003" customHeight="1" x14ac:dyDescent="0.2">
      <c r="A82" s="59">
        <v>74</v>
      </c>
      <c r="B82" s="74" t="s">
        <v>136</v>
      </c>
      <c r="C82" s="61">
        <f t="shared" si="55"/>
        <v>20</v>
      </c>
      <c r="D82" s="61">
        <f t="shared" si="56"/>
        <v>30</v>
      </c>
      <c r="E82" s="61">
        <f t="shared" si="59"/>
        <v>66.666666666666657</v>
      </c>
      <c r="F82" s="61">
        <f t="shared" si="57"/>
        <v>-10</v>
      </c>
      <c r="G82" s="61">
        <v>20</v>
      </c>
      <c r="H82" s="61">
        <v>30</v>
      </c>
      <c r="I82" s="61">
        <f t="shared" si="60"/>
        <v>66.666666666666657</v>
      </c>
      <c r="J82" s="61">
        <f t="shared" si="58"/>
        <v>-10</v>
      </c>
      <c r="K82" s="61"/>
      <c r="L82" s="61"/>
      <c r="M82" s="68"/>
      <c r="N82" s="61"/>
      <c r="O82" s="61"/>
      <c r="P82" s="61"/>
      <c r="Q82" s="68"/>
      <c r="R82" s="61"/>
      <c r="S82" s="61"/>
      <c r="T82" s="61"/>
      <c r="U82" s="68"/>
      <c r="V82" s="61"/>
      <c r="W82" s="61"/>
      <c r="X82" s="61"/>
      <c r="Y82" s="68"/>
      <c r="Z82" s="61"/>
      <c r="AA82" s="61"/>
      <c r="AB82" s="61"/>
      <c r="AC82" s="68"/>
      <c r="AD82" s="61"/>
      <c r="AE82" s="70"/>
    </row>
    <row r="83" spans="1:31" ht="19.2" x14ac:dyDescent="0.2">
      <c r="A83" s="59">
        <v>75</v>
      </c>
      <c r="B83" s="75" t="s">
        <v>137</v>
      </c>
      <c r="C83" s="61">
        <f t="shared" si="55"/>
        <v>0</v>
      </c>
      <c r="D83" s="61">
        <f t="shared" si="56"/>
        <v>0.4</v>
      </c>
      <c r="E83" s="61">
        <f t="shared" si="59"/>
        <v>0</v>
      </c>
      <c r="F83" s="61">
        <f t="shared" si="57"/>
        <v>-0.4</v>
      </c>
      <c r="G83" s="61"/>
      <c r="H83" s="61">
        <v>0.4</v>
      </c>
      <c r="I83" s="61">
        <f t="shared" si="60"/>
        <v>0</v>
      </c>
      <c r="J83" s="61">
        <f t="shared" si="58"/>
        <v>-0.4</v>
      </c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70"/>
    </row>
    <row r="84" spans="1:31" ht="34.950000000000003" customHeight="1" x14ac:dyDescent="0.2">
      <c r="A84" s="59">
        <v>76</v>
      </c>
      <c r="B84" s="74" t="s">
        <v>138</v>
      </c>
      <c r="C84" s="61">
        <f t="shared" si="55"/>
        <v>0</v>
      </c>
      <c r="D84" s="61">
        <f t="shared" si="56"/>
        <v>25.7</v>
      </c>
      <c r="E84" s="61">
        <f t="shared" si="59"/>
        <v>0</v>
      </c>
      <c r="F84" s="61">
        <f t="shared" si="57"/>
        <v>-25.7</v>
      </c>
      <c r="G84" s="61"/>
      <c r="H84" s="61">
        <v>25.7</v>
      </c>
      <c r="I84" s="61">
        <f t="shared" si="60"/>
        <v>0</v>
      </c>
      <c r="J84" s="61">
        <f t="shared" si="58"/>
        <v>-25.7</v>
      </c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70"/>
    </row>
    <row r="85" spans="1:31" ht="28.8" x14ac:dyDescent="0.2">
      <c r="A85" s="59">
        <v>77</v>
      </c>
      <c r="B85" s="74" t="s">
        <v>139</v>
      </c>
      <c r="C85" s="61">
        <f t="shared" si="55"/>
        <v>8</v>
      </c>
      <c r="D85" s="61">
        <f t="shared" si="56"/>
        <v>8</v>
      </c>
      <c r="E85" s="61">
        <f t="shared" si="59"/>
        <v>100</v>
      </c>
      <c r="F85" s="61">
        <f t="shared" si="57"/>
        <v>0</v>
      </c>
      <c r="G85" s="61">
        <v>8</v>
      </c>
      <c r="H85" s="61">
        <v>8</v>
      </c>
      <c r="I85" s="61">
        <f t="shared" si="60"/>
        <v>100</v>
      </c>
      <c r="J85" s="61">
        <f t="shared" si="58"/>
        <v>0</v>
      </c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70"/>
    </row>
    <row r="86" spans="1:31" ht="32.25" customHeight="1" x14ac:dyDescent="0.2">
      <c r="A86" s="59">
        <v>78</v>
      </c>
      <c r="B86" s="74" t="s">
        <v>140</v>
      </c>
      <c r="C86" s="61">
        <f t="shared" si="55"/>
        <v>36.1</v>
      </c>
      <c r="D86" s="61">
        <f t="shared" si="56"/>
        <v>36.1</v>
      </c>
      <c r="E86" s="61">
        <f t="shared" si="59"/>
        <v>100</v>
      </c>
      <c r="F86" s="61">
        <f t="shared" si="57"/>
        <v>0</v>
      </c>
      <c r="G86" s="61">
        <v>36.1</v>
      </c>
      <c r="H86" s="61">
        <v>36.1</v>
      </c>
      <c r="I86" s="61">
        <f t="shared" si="60"/>
        <v>100</v>
      </c>
      <c r="J86" s="61">
        <f t="shared" si="58"/>
        <v>0</v>
      </c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70"/>
    </row>
    <row r="87" spans="1:31" ht="32.25" customHeight="1" x14ac:dyDescent="0.2">
      <c r="A87" s="59">
        <v>79</v>
      </c>
      <c r="B87" s="74" t="s">
        <v>141</v>
      </c>
      <c r="C87" s="61">
        <f t="shared" si="55"/>
        <v>21.1</v>
      </c>
      <c r="D87" s="61">
        <f t="shared" si="56"/>
        <v>35.1</v>
      </c>
      <c r="E87" s="61">
        <f t="shared" si="59"/>
        <v>60.113960113960118</v>
      </c>
      <c r="F87" s="61">
        <f t="shared" si="57"/>
        <v>-14</v>
      </c>
      <c r="G87" s="61">
        <v>21.1</v>
      </c>
      <c r="H87" s="61">
        <v>35.1</v>
      </c>
      <c r="I87" s="61">
        <f t="shared" si="60"/>
        <v>60.113960113960118</v>
      </c>
      <c r="J87" s="61">
        <f t="shared" si="58"/>
        <v>-14</v>
      </c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70"/>
    </row>
    <row r="88" spans="1:31" ht="32.25" customHeight="1" x14ac:dyDescent="0.2">
      <c r="A88" s="59">
        <v>80</v>
      </c>
      <c r="B88" s="74" t="s">
        <v>142</v>
      </c>
      <c r="C88" s="61">
        <f t="shared" si="55"/>
        <v>19.100000000000001</v>
      </c>
      <c r="D88" s="61">
        <f t="shared" si="56"/>
        <v>17.8</v>
      </c>
      <c r="E88" s="61">
        <f t="shared" si="59"/>
        <v>107.30337078651687</v>
      </c>
      <c r="F88" s="61">
        <f t="shared" si="57"/>
        <v>1.3000000000000007</v>
      </c>
      <c r="G88" s="61">
        <v>19.100000000000001</v>
      </c>
      <c r="H88" s="61">
        <v>17.8</v>
      </c>
      <c r="I88" s="61">
        <f t="shared" si="60"/>
        <v>107.30337078651687</v>
      </c>
      <c r="J88" s="61">
        <f t="shared" si="58"/>
        <v>1.3000000000000007</v>
      </c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70"/>
    </row>
    <row r="89" spans="1:31" ht="24.75" customHeight="1" x14ac:dyDescent="0.2">
      <c r="A89" s="59">
        <v>81</v>
      </c>
      <c r="B89" s="76" t="s">
        <v>143</v>
      </c>
      <c r="C89" s="61">
        <f t="shared" si="55"/>
        <v>33.4</v>
      </c>
      <c r="D89" s="61">
        <f t="shared" si="56"/>
        <v>34.700000000000003</v>
      </c>
      <c r="E89" s="61">
        <f t="shared" si="59"/>
        <v>96.253602305475496</v>
      </c>
      <c r="F89" s="61">
        <f t="shared" si="57"/>
        <v>-1.3000000000000043</v>
      </c>
      <c r="G89" s="61">
        <v>33.4</v>
      </c>
      <c r="H89" s="61">
        <v>34.700000000000003</v>
      </c>
      <c r="I89" s="61">
        <f t="shared" si="60"/>
        <v>96.253602305475496</v>
      </c>
      <c r="J89" s="61">
        <f t="shared" si="58"/>
        <v>-1.3000000000000043</v>
      </c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70"/>
    </row>
    <row r="90" spans="1:31" ht="19.2" x14ac:dyDescent="0.2">
      <c r="A90" s="59">
        <v>82</v>
      </c>
      <c r="B90" s="74" t="s">
        <v>144</v>
      </c>
      <c r="C90" s="61">
        <f t="shared" si="55"/>
        <v>115</v>
      </c>
      <c r="D90" s="61">
        <f t="shared" si="56"/>
        <v>88.5</v>
      </c>
      <c r="E90" s="61">
        <f t="shared" si="59"/>
        <v>129.94350282485877</v>
      </c>
      <c r="F90" s="61">
        <f t="shared" si="57"/>
        <v>26.5</v>
      </c>
      <c r="G90" s="61">
        <v>115</v>
      </c>
      <c r="H90" s="61">
        <v>88.5</v>
      </c>
      <c r="I90" s="61">
        <f t="shared" si="60"/>
        <v>129.94350282485877</v>
      </c>
      <c r="J90" s="61">
        <f t="shared" si="58"/>
        <v>26.5</v>
      </c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70"/>
    </row>
    <row r="91" spans="1:31" ht="19.2" x14ac:dyDescent="0.2">
      <c r="A91" s="59">
        <v>83</v>
      </c>
      <c r="B91" s="75" t="s">
        <v>145</v>
      </c>
      <c r="C91" s="61">
        <f t="shared" si="55"/>
        <v>580.6</v>
      </c>
      <c r="D91" s="61">
        <f t="shared" si="56"/>
        <v>393.9</v>
      </c>
      <c r="E91" s="61">
        <f t="shared" si="59"/>
        <v>147.39781670474741</v>
      </c>
      <c r="F91" s="61">
        <f t="shared" si="57"/>
        <v>186.70000000000005</v>
      </c>
      <c r="G91" s="61"/>
      <c r="H91" s="61"/>
      <c r="I91" s="61"/>
      <c r="J91" s="61">
        <f t="shared" si="58"/>
        <v>0</v>
      </c>
      <c r="K91" s="61"/>
      <c r="L91" s="61"/>
      <c r="M91" s="61"/>
      <c r="N91" s="61"/>
      <c r="O91" s="61">
        <v>580.6</v>
      </c>
      <c r="P91" s="61">
        <v>393.9</v>
      </c>
      <c r="Q91" s="61">
        <f>+O91/P91*100</f>
        <v>147.39781670474741</v>
      </c>
      <c r="R91" s="61">
        <f>+O91-P91</f>
        <v>186.70000000000005</v>
      </c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70"/>
    </row>
    <row r="92" spans="1:31" ht="19.2" x14ac:dyDescent="0.2">
      <c r="A92" s="59">
        <v>84</v>
      </c>
      <c r="B92" s="75" t="s">
        <v>146</v>
      </c>
      <c r="C92" s="61">
        <f t="shared" si="55"/>
        <v>101</v>
      </c>
      <c r="D92" s="61">
        <f t="shared" si="56"/>
        <v>101.6</v>
      </c>
      <c r="E92" s="61">
        <f t="shared" si="59"/>
        <v>99.409448818897644</v>
      </c>
      <c r="F92" s="61">
        <f t="shared" si="57"/>
        <v>-0.59999999999999432</v>
      </c>
      <c r="G92" s="61"/>
      <c r="H92" s="61"/>
      <c r="I92" s="61"/>
      <c r="J92" s="61">
        <f t="shared" si="58"/>
        <v>0</v>
      </c>
      <c r="K92" s="61"/>
      <c r="L92" s="61"/>
      <c r="M92" s="61"/>
      <c r="N92" s="61"/>
      <c r="O92" s="61">
        <v>101</v>
      </c>
      <c r="P92" s="61">
        <v>101.6</v>
      </c>
      <c r="Q92" s="61">
        <f>+O92/P92*100</f>
        <v>99.409448818897644</v>
      </c>
      <c r="R92" s="61">
        <f>+O92-P92</f>
        <v>-0.59999999999999432</v>
      </c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70"/>
    </row>
    <row r="93" spans="1:31" ht="12.45" customHeight="1" x14ac:dyDescent="0.2">
      <c r="A93" s="59">
        <v>85</v>
      </c>
      <c r="B93" s="77" t="s">
        <v>147</v>
      </c>
      <c r="C93" s="61">
        <f t="shared" si="55"/>
        <v>64.3</v>
      </c>
      <c r="D93" s="61">
        <f t="shared" si="56"/>
        <v>49.6</v>
      </c>
      <c r="E93" s="61">
        <f t="shared" si="59"/>
        <v>129.63709677419354</v>
      </c>
      <c r="F93" s="61">
        <f t="shared" si="57"/>
        <v>14.699999999999996</v>
      </c>
      <c r="G93" s="61">
        <v>64.3</v>
      </c>
      <c r="H93" s="61">
        <v>49.6</v>
      </c>
      <c r="I93" s="61">
        <f t="shared" ref="I93:I107" si="61">+G93/H93*100</f>
        <v>129.63709677419354</v>
      </c>
      <c r="J93" s="61">
        <f t="shared" si="58"/>
        <v>14.699999999999996</v>
      </c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70"/>
    </row>
    <row r="94" spans="1:31" ht="19.2" x14ac:dyDescent="0.2">
      <c r="A94" s="59">
        <v>86</v>
      </c>
      <c r="B94" s="77" t="s">
        <v>148</v>
      </c>
      <c r="C94" s="61">
        <f t="shared" si="55"/>
        <v>131.6</v>
      </c>
      <c r="D94" s="61">
        <f t="shared" si="56"/>
        <v>125</v>
      </c>
      <c r="E94" s="61">
        <f t="shared" si="59"/>
        <v>105.28</v>
      </c>
      <c r="F94" s="61">
        <f t="shared" si="57"/>
        <v>6.5999999999999943</v>
      </c>
      <c r="G94" s="61">
        <v>131.6</v>
      </c>
      <c r="H94" s="61">
        <v>125</v>
      </c>
      <c r="I94" s="61">
        <f t="shared" si="61"/>
        <v>105.28</v>
      </c>
      <c r="J94" s="61">
        <f t="shared" si="58"/>
        <v>6.5999999999999943</v>
      </c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70"/>
    </row>
    <row r="95" spans="1:31" ht="14.25" customHeight="1" x14ac:dyDescent="0.2">
      <c r="A95" s="59">
        <v>87</v>
      </c>
      <c r="B95" s="75" t="s">
        <v>149</v>
      </c>
      <c r="C95" s="61">
        <f t="shared" si="55"/>
        <v>274.60000000000002</v>
      </c>
      <c r="D95" s="61">
        <f t="shared" si="56"/>
        <v>189.1</v>
      </c>
      <c r="E95" s="61">
        <f t="shared" si="59"/>
        <v>145.21417239555791</v>
      </c>
      <c r="F95" s="61">
        <f t="shared" si="57"/>
        <v>85.500000000000028</v>
      </c>
      <c r="G95" s="61">
        <v>274.60000000000002</v>
      </c>
      <c r="H95" s="61">
        <v>189.1</v>
      </c>
      <c r="I95" s="61">
        <f t="shared" si="61"/>
        <v>145.21417239555791</v>
      </c>
      <c r="J95" s="61">
        <f t="shared" si="58"/>
        <v>85.500000000000028</v>
      </c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70"/>
    </row>
    <row r="96" spans="1:31" ht="19.2" x14ac:dyDescent="0.2">
      <c r="A96" s="59">
        <v>88</v>
      </c>
      <c r="B96" s="77" t="s">
        <v>150</v>
      </c>
      <c r="C96" s="61">
        <f t="shared" si="55"/>
        <v>277.8</v>
      </c>
      <c r="D96" s="61">
        <f t="shared" si="56"/>
        <v>324.2</v>
      </c>
      <c r="E96" s="61">
        <f t="shared" si="59"/>
        <v>85.687847008019745</v>
      </c>
      <c r="F96" s="61">
        <f t="shared" si="57"/>
        <v>-46.399999999999977</v>
      </c>
      <c r="G96" s="61">
        <v>277.8</v>
      </c>
      <c r="H96" s="61">
        <v>324.2</v>
      </c>
      <c r="I96" s="61">
        <f t="shared" si="61"/>
        <v>85.687847008019745</v>
      </c>
      <c r="J96" s="61">
        <f t="shared" si="58"/>
        <v>-46.399999999999977</v>
      </c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70"/>
    </row>
    <row r="97" spans="1:31" ht="24.75" customHeight="1" x14ac:dyDescent="0.2">
      <c r="A97" s="59">
        <v>89</v>
      </c>
      <c r="B97" s="77" t="s">
        <v>151</v>
      </c>
      <c r="C97" s="61">
        <f t="shared" si="55"/>
        <v>44</v>
      </c>
      <c r="D97" s="61">
        <f t="shared" si="56"/>
        <v>44</v>
      </c>
      <c r="E97" s="61">
        <f t="shared" si="59"/>
        <v>100</v>
      </c>
      <c r="F97" s="61">
        <f t="shared" si="57"/>
        <v>0</v>
      </c>
      <c r="G97" s="61">
        <v>44</v>
      </c>
      <c r="H97" s="61">
        <v>44</v>
      </c>
      <c r="I97" s="61">
        <f t="shared" si="61"/>
        <v>100</v>
      </c>
      <c r="J97" s="61">
        <f t="shared" si="58"/>
        <v>0</v>
      </c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70"/>
    </row>
    <row r="98" spans="1:31" ht="19.2" x14ac:dyDescent="0.2">
      <c r="A98" s="59">
        <v>90</v>
      </c>
      <c r="B98" s="77" t="s">
        <v>152</v>
      </c>
      <c r="C98" s="61">
        <f t="shared" si="55"/>
        <v>16</v>
      </c>
      <c r="D98" s="61">
        <f t="shared" si="56"/>
        <v>15.1</v>
      </c>
      <c r="E98" s="61">
        <f t="shared" si="59"/>
        <v>105.96026490066225</v>
      </c>
      <c r="F98" s="61">
        <f t="shared" si="57"/>
        <v>0.90000000000000036</v>
      </c>
      <c r="G98" s="61">
        <v>16</v>
      </c>
      <c r="H98" s="61">
        <v>15.1</v>
      </c>
      <c r="I98" s="61">
        <f t="shared" si="61"/>
        <v>105.96026490066225</v>
      </c>
      <c r="J98" s="61">
        <f t="shared" si="58"/>
        <v>0.90000000000000036</v>
      </c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70"/>
    </row>
    <row r="99" spans="1:31" x14ac:dyDescent="0.2">
      <c r="A99" s="59">
        <v>91</v>
      </c>
      <c r="B99" s="78" t="s">
        <v>153</v>
      </c>
      <c r="C99" s="61">
        <f t="shared" si="55"/>
        <v>52.1</v>
      </c>
      <c r="D99" s="61">
        <f t="shared" si="56"/>
        <v>26.5</v>
      </c>
      <c r="E99" s="61">
        <f t="shared" si="59"/>
        <v>196.60377358490567</v>
      </c>
      <c r="F99" s="61">
        <f t="shared" si="57"/>
        <v>25.6</v>
      </c>
      <c r="G99" s="61">
        <v>52.1</v>
      </c>
      <c r="H99" s="61">
        <v>26.5</v>
      </c>
      <c r="I99" s="61">
        <f t="shared" si="61"/>
        <v>196.60377358490567</v>
      </c>
      <c r="J99" s="61">
        <f t="shared" si="58"/>
        <v>25.6</v>
      </c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70"/>
    </row>
    <row r="100" spans="1:31" ht="28.8" x14ac:dyDescent="0.2">
      <c r="A100" s="59">
        <v>92</v>
      </c>
      <c r="B100" s="78" t="s">
        <v>154</v>
      </c>
      <c r="C100" s="61">
        <f t="shared" si="55"/>
        <v>26.7</v>
      </c>
      <c r="D100" s="61"/>
      <c r="E100" s="61"/>
      <c r="F100" s="61">
        <f t="shared" si="57"/>
        <v>26.7</v>
      </c>
      <c r="G100" s="61">
        <v>26.7</v>
      </c>
      <c r="H100" s="61"/>
      <c r="I100" s="61"/>
      <c r="J100" s="61">
        <f t="shared" si="58"/>
        <v>26.7</v>
      </c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70"/>
    </row>
    <row r="101" spans="1:31" ht="12" customHeight="1" x14ac:dyDescent="0.2">
      <c r="A101" s="59">
        <v>93</v>
      </c>
      <c r="B101" s="74" t="s">
        <v>155</v>
      </c>
      <c r="C101" s="61">
        <f t="shared" si="55"/>
        <v>480</v>
      </c>
      <c r="D101" s="61">
        <f t="shared" ref="D101:D113" si="62">+H101+L101+P101+T101+X101+AB101</f>
        <v>441.9</v>
      </c>
      <c r="E101" s="61">
        <f t="shared" ref="E101:E113" si="63">+C101/D101*100</f>
        <v>108.62186014935506</v>
      </c>
      <c r="F101" s="61">
        <f t="shared" si="57"/>
        <v>38.100000000000023</v>
      </c>
      <c r="G101" s="61">
        <v>480</v>
      </c>
      <c r="H101" s="61">
        <v>441.9</v>
      </c>
      <c r="I101" s="61">
        <f t="shared" si="61"/>
        <v>108.62186014935506</v>
      </c>
      <c r="J101" s="61">
        <f t="shared" si="58"/>
        <v>38.100000000000023</v>
      </c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70"/>
    </row>
    <row r="102" spans="1:31" x14ac:dyDescent="0.2">
      <c r="A102" s="59">
        <v>94</v>
      </c>
      <c r="B102" s="74" t="s">
        <v>156</v>
      </c>
      <c r="C102" s="61">
        <f t="shared" si="55"/>
        <v>35</v>
      </c>
      <c r="D102" s="61">
        <f t="shared" si="62"/>
        <v>33</v>
      </c>
      <c r="E102" s="61">
        <f t="shared" si="63"/>
        <v>106.06060606060606</v>
      </c>
      <c r="F102" s="61">
        <f t="shared" si="57"/>
        <v>2</v>
      </c>
      <c r="G102" s="61">
        <v>35</v>
      </c>
      <c r="H102" s="61">
        <v>33</v>
      </c>
      <c r="I102" s="61">
        <f t="shared" si="61"/>
        <v>106.06060606060606</v>
      </c>
      <c r="J102" s="61">
        <f t="shared" si="58"/>
        <v>2</v>
      </c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70"/>
    </row>
    <row r="103" spans="1:31" ht="34.950000000000003" customHeight="1" x14ac:dyDescent="0.2">
      <c r="A103" s="59">
        <v>95</v>
      </c>
      <c r="B103" s="74" t="s">
        <v>157</v>
      </c>
      <c r="C103" s="61">
        <f t="shared" ref="C103:C137" si="64">+G103+K103+O103+S103+W103+AA103</f>
        <v>0</v>
      </c>
      <c r="D103" s="61">
        <f t="shared" si="62"/>
        <v>1.4</v>
      </c>
      <c r="E103" s="61">
        <f t="shared" si="63"/>
        <v>0</v>
      </c>
      <c r="F103" s="61">
        <f t="shared" si="57"/>
        <v>-1.4</v>
      </c>
      <c r="G103" s="61"/>
      <c r="H103" s="61">
        <v>1.4</v>
      </c>
      <c r="I103" s="61">
        <f t="shared" si="61"/>
        <v>0</v>
      </c>
      <c r="J103" s="61">
        <f t="shared" si="58"/>
        <v>-1.4</v>
      </c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70"/>
    </row>
    <row r="104" spans="1:31" ht="70.2" customHeight="1" x14ac:dyDescent="0.2">
      <c r="A104" s="59">
        <v>96</v>
      </c>
      <c r="B104" s="77" t="s">
        <v>158</v>
      </c>
      <c r="C104" s="61">
        <f t="shared" si="64"/>
        <v>21.3</v>
      </c>
      <c r="D104" s="61">
        <f t="shared" si="62"/>
        <v>17.2</v>
      </c>
      <c r="E104" s="61">
        <f t="shared" si="63"/>
        <v>123.8372093023256</v>
      </c>
      <c r="F104" s="61">
        <f t="shared" si="57"/>
        <v>4.1000000000000014</v>
      </c>
      <c r="G104" s="61">
        <v>21.3</v>
      </c>
      <c r="H104" s="61">
        <v>17.2</v>
      </c>
      <c r="I104" s="61">
        <f t="shared" si="61"/>
        <v>123.8372093023256</v>
      </c>
      <c r="J104" s="61">
        <f t="shared" si="58"/>
        <v>4.1000000000000014</v>
      </c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70"/>
    </row>
    <row r="105" spans="1:31" ht="24" customHeight="1" x14ac:dyDescent="0.2">
      <c r="A105" s="59">
        <v>97</v>
      </c>
      <c r="B105" s="77" t="s">
        <v>159</v>
      </c>
      <c r="C105" s="61">
        <f t="shared" si="64"/>
        <v>10</v>
      </c>
      <c r="D105" s="61">
        <f t="shared" si="62"/>
        <v>9.8000000000000007</v>
      </c>
      <c r="E105" s="61">
        <f t="shared" si="63"/>
        <v>102.04081632653062</v>
      </c>
      <c r="F105" s="61">
        <f t="shared" ref="F105:F137" si="65">+C105-D105</f>
        <v>0.19999999999999929</v>
      </c>
      <c r="G105" s="61">
        <v>10</v>
      </c>
      <c r="H105" s="61">
        <v>9.8000000000000007</v>
      </c>
      <c r="I105" s="61">
        <f t="shared" si="61"/>
        <v>102.04081632653062</v>
      </c>
      <c r="J105" s="61">
        <f t="shared" si="58"/>
        <v>0.19999999999999929</v>
      </c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70"/>
    </row>
    <row r="106" spans="1:31" ht="19.2" x14ac:dyDescent="0.2">
      <c r="A106" s="59">
        <v>98</v>
      </c>
      <c r="B106" s="77" t="s">
        <v>160</v>
      </c>
      <c r="C106" s="61">
        <f t="shared" si="64"/>
        <v>75</v>
      </c>
      <c r="D106" s="61">
        <f t="shared" si="62"/>
        <v>74</v>
      </c>
      <c r="E106" s="61">
        <f t="shared" si="63"/>
        <v>101.35135135135135</v>
      </c>
      <c r="F106" s="61">
        <f t="shared" si="65"/>
        <v>1</v>
      </c>
      <c r="G106" s="61">
        <v>75</v>
      </c>
      <c r="H106" s="61">
        <v>74</v>
      </c>
      <c r="I106" s="61">
        <f t="shared" si="61"/>
        <v>101.35135135135135</v>
      </c>
      <c r="J106" s="61">
        <f t="shared" si="58"/>
        <v>1</v>
      </c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70"/>
    </row>
    <row r="107" spans="1:31" ht="19.2" x14ac:dyDescent="0.2">
      <c r="A107" s="59">
        <v>99</v>
      </c>
      <c r="B107" s="75" t="s">
        <v>161</v>
      </c>
      <c r="C107" s="61">
        <f t="shared" si="64"/>
        <v>2908.9</v>
      </c>
      <c r="D107" s="61">
        <f t="shared" si="62"/>
        <v>4902.7000000000007</v>
      </c>
      <c r="E107" s="61">
        <f t="shared" si="63"/>
        <v>59.332612642013579</v>
      </c>
      <c r="F107" s="61">
        <f t="shared" si="65"/>
        <v>-1993.8000000000006</v>
      </c>
      <c r="G107" s="61">
        <v>2908.9</v>
      </c>
      <c r="H107" s="61">
        <f>4902.6+0.1</f>
        <v>4902.7000000000007</v>
      </c>
      <c r="I107" s="61">
        <f t="shared" si="61"/>
        <v>59.332612642013579</v>
      </c>
      <c r="J107" s="61">
        <f t="shared" si="58"/>
        <v>-1993.8000000000006</v>
      </c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70"/>
    </row>
    <row r="108" spans="1:31" ht="25.95" customHeight="1" x14ac:dyDescent="0.2">
      <c r="A108" s="59">
        <v>100</v>
      </c>
      <c r="B108" s="79" t="s">
        <v>162</v>
      </c>
      <c r="C108" s="61">
        <f t="shared" si="64"/>
        <v>1157.5</v>
      </c>
      <c r="D108" s="61">
        <f t="shared" si="62"/>
        <v>1644.1</v>
      </c>
      <c r="E108" s="61">
        <f t="shared" si="63"/>
        <v>70.403260142327113</v>
      </c>
      <c r="F108" s="61">
        <f t="shared" si="65"/>
        <v>-486.59999999999991</v>
      </c>
      <c r="G108" s="61">
        <v>1157.5</v>
      </c>
      <c r="H108" s="61">
        <v>1644.1</v>
      </c>
      <c r="I108" s="61"/>
      <c r="J108" s="61">
        <f t="shared" si="58"/>
        <v>-486.59999999999991</v>
      </c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70"/>
    </row>
    <row r="109" spans="1:31" ht="12.45" customHeight="1" x14ac:dyDescent="0.2">
      <c r="A109" s="59">
        <v>101</v>
      </c>
      <c r="B109" s="75" t="s">
        <v>163</v>
      </c>
      <c r="C109" s="61">
        <f t="shared" si="64"/>
        <v>2100.6</v>
      </c>
      <c r="D109" s="61">
        <f t="shared" si="62"/>
        <v>4074.2</v>
      </c>
      <c r="E109" s="61">
        <f t="shared" si="63"/>
        <v>51.558588189092333</v>
      </c>
      <c r="F109" s="61">
        <f t="shared" si="65"/>
        <v>-1973.6</v>
      </c>
      <c r="G109" s="61"/>
      <c r="H109" s="61"/>
      <c r="I109" s="61"/>
      <c r="J109" s="61"/>
      <c r="K109" s="61"/>
      <c r="L109" s="61"/>
      <c r="M109" s="61"/>
      <c r="N109" s="61"/>
      <c r="O109" s="61">
        <v>2100.6</v>
      </c>
      <c r="P109" s="61">
        <v>4074.2</v>
      </c>
      <c r="Q109" s="61">
        <f>+O109/P109*100</f>
        <v>51.558588189092333</v>
      </c>
      <c r="R109" s="61">
        <f>+O109-P109</f>
        <v>-1973.6</v>
      </c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70"/>
    </row>
    <row r="110" spans="1:31" ht="12.45" customHeight="1" x14ac:dyDescent="0.2">
      <c r="A110" s="59">
        <v>102</v>
      </c>
      <c r="B110" s="75" t="s">
        <v>164</v>
      </c>
      <c r="C110" s="61">
        <f t="shared" si="64"/>
        <v>2318.1</v>
      </c>
      <c r="D110" s="61">
        <f t="shared" si="62"/>
        <v>2274.5</v>
      </c>
      <c r="E110" s="61">
        <f t="shared" si="63"/>
        <v>101.91690481424489</v>
      </c>
      <c r="F110" s="61">
        <f t="shared" si="65"/>
        <v>43.599999999999909</v>
      </c>
      <c r="G110" s="61"/>
      <c r="H110" s="61"/>
      <c r="I110" s="61"/>
      <c r="J110" s="61"/>
      <c r="K110" s="61"/>
      <c r="L110" s="61"/>
      <c r="M110" s="61"/>
      <c r="N110" s="61"/>
      <c r="O110" s="61">
        <v>2318.1</v>
      </c>
      <c r="P110" s="61">
        <v>2274.5</v>
      </c>
      <c r="Q110" s="61">
        <f>+O110/P110*100</f>
        <v>101.91690481424489</v>
      </c>
      <c r="R110" s="61">
        <f>+O110-P110</f>
        <v>43.599999999999909</v>
      </c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70"/>
    </row>
    <row r="111" spans="1:31" x14ac:dyDescent="0.2">
      <c r="A111" s="59">
        <v>103</v>
      </c>
      <c r="B111" s="78" t="s">
        <v>165</v>
      </c>
      <c r="C111" s="61">
        <f t="shared" si="64"/>
        <v>1703.7</v>
      </c>
      <c r="D111" s="61">
        <f t="shared" si="62"/>
        <v>6878</v>
      </c>
      <c r="E111" s="61">
        <f t="shared" si="63"/>
        <v>24.770282058738005</v>
      </c>
      <c r="F111" s="61">
        <f t="shared" si="65"/>
        <v>-5174.3</v>
      </c>
      <c r="G111" s="61"/>
      <c r="H111" s="61"/>
      <c r="I111" s="61"/>
      <c r="J111" s="61"/>
      <c r="K111" s="61"/>
      <c r="L111" s="61"/>
      <c r="M111" s="61"/>
      <c r="N111" s="61"/>
      <c r="O111" s="61">
        <v>1703.7</v>
      </c>
      <c r="P111" s="61">
        <v>6878</v>
      </c>
      <c r="Q111" s="61">
        <f>+O111/P111*100</f>
        <v>24.770282058738005</v>
      </c>
      <c r="R111" s="61">
        <f>+O111-P111</f>
        <v>-5174.3</v>
      </c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70"/>
    </row>
    <row r="112" spans="1:31" x14ac:dyDescent="0.2">
      <c r="A112" s="59">
        <v>104</v>
      </c>
      <c r="B112" s="78" t="s">
        <v>166</v>
      </c>
      <c r="C112" s="61">
        <f t="shared" si="64"/>
        <v>131.9</v>
      </c>
      <c r="D112" s="61">
        <f t="shared" si="62"/>
        <v>1289.9000000000001</v>
      </c>
      <c r="E112" s="61">
        <f t="shared" si="63"/>
        <v>10.22559888363439</v>
      </c>
      <c r="F112" s="61">
        <f t="shared" si="65"/>
        <v>-1158</v>
      </c>
      <c r="G112" s="61"/>
      <c r="H112" s="61"/>
      <c r="I112" s="61"/>
      <c r="J112" s="61"/>
      <c r="K112" s="61"/>
      <c r="L112" s="61"/>
      <c r="M112" s="61"/>
      <c r="N112" s="61"/>
      <c r="O112" s="61">
        <v>131.9</v>
      </c>
      <c r="P112" s="61">
        <v>1289.9000000000001</v>
      </c>
      <c r="Q112" s="61">
        <f>+O112/P112*100</f>
        <v>10.22559888363439</v>
      </c>
      <c r="R112" s="61">
        <f>+O112-P112</f>
        <v>-1158</v>
      </c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70"/>
    </row>
    <row r="113" spans="1:31" ht="19.2" x14ac:dyDescent="0.2">
      <c r="A113" s="59">
        <v>105</v>
      </c>
      <c r="B113" s="75" t="s">
        <v>167</v>
      </c>
      <c r="C113" s="61">
        <f t="shared" si="64"/>
        <v>20</v>
      </c>
      <c r="D113" s="61">
        <f t="shared" si="62"/>
        <v>30</v>
      </c>
      <c r="E113" s="61">
        <f t="shared" si="63"/>
        <v>66.666666666666657</v>
      </c>
      <c r="F113" s="61">
        <f t="shared" si="65"/>
        <v>-10</v>
      </c>
      <c r="G113" s="61">
        <v>20</v>
      </c>
      <c r="H113" s="61">
        <v>30</v>
      </c>
      <c r="I113" s="61">
        <f>+G113/H113*100</f>
        <v>66.666666666666657</v>
      </c>
      <c r="J113" s="61">
        <f>+G113-H113</f>
        <v>-10</v>
      </c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70"/>
    </row>
    <row r="114" spans="1:31" x14ac:dyDescent="0.2">
      <c r="A114" s="59">
        <v>106</v>
      </c>
      <c r="B114" s="75" t="s">
        <v>168</v>
      </c>
      <c r="C114" s="61">
        <f t="shared" si="64"/>
        <v>10</v>
      </c>
      <c r="D114" s="61"/>
      <c r="E114" s="61"/>
      <c r="F114" s="61">
        <f t="shared" si="65"/>
        <v>10</v>
      </c>
      <c r="G114" s="61">
        <v>10</v>
      </c>
      <c r="H114" s="61"/>
      <c r="I114" s="61"/>
      <c r="J114" s="61">
        <f>+G114-H114</f>
        <v>10</v>
      </c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70"/>
    </row>
    <row r="115" spans="1:31" ht="12" customHeight="1" x14ac:dyDescent="0.2">
      <c r="A115" s="59">
        <v>107</v>
      </c>
      <c r="B115" s="75" t="s">
        <v>169</v>
      </c>
      <c r="C115" s="61">
        <f t="shared" si="64"/>
        <v>285.7</v>
      </c>
      <c r="D115" s="61">
        <f t="shared" ref="D115:D126" si="66">+H115+L115+P115+T115+X115+AB115</f>
        <v>352.6</v>
      </c>
      <c r="E115" s="61">
        <f t="shared" ref="E115:E124" si="67">+C115/D115*100</f>
        <v>81.026659103800341</v>
      </c>
      <c r="F115" s="61">
        <f t="shared" si="65"/>
        <v>-66.900000000000034</v>
      </c>
      <c r="G115" s="61">
        <v>285.7</v>
      </c>
      <c r="H115" s="61">
        <v>352.6</v>
      </c>
      <c r="I115" s="61">
        <f>+G115/H115*100</f>
        <v>81.026659103800341</v>
      </c>
      <c r="J115" s="61">
        <f>+G115-H115</f>
        <v>-66.900000000000034</v>
      </c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70"/>
    </row>
    <row r="116" spans="1:31" ht="15" customHeight="1" x14ac:dyDescent="0.2">
      <c r="A116" s="59">
        <v>108</v>
      </c>
      <c r="B116" s="79" t="s">
        <v>170</v>
      </c>
      <c r="C116" s="61">
        <f t="shared" si="64"/>
        <v>1610.8</v>
      </c>
      <c r="D116" s="61">
        <f t="shared" si="66"/>
        <v>1375</v>
      </c>
      <c r="E116" s="61">
        <f t="shared" si="67"/>
        <v>117.14909090909092</v>
      </c>
      <c r="F116" s="61">
        <f t="shared" si="65"/>
        <v>235.79999999999995</v>
      </c>
      <c r="G116" s="61">
        <f>1610.7+0.1</f>
        <v>1610.8</v>
      </c>
      <c r="H116" s="61">
        <v>1375</v>
      </c>
      <c r="I116" s="61">
        <f>+G116/H116*100</f>
        <v>117.14909090909092</v>
      </c>
      <c r="J116" s="61">
        <f>+G116-H116</f>
        <v>235.79999999999995</v>
      </c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70"/>
    </row>
    <row r="117" spans="1:31" x14ac:dyDescent="0.2">
      <c r="A117" s="59">
        <v>109</v>
      </c>
      <c r="B117" s="79" t="s">
        <v>171</v>
      </c>
      <c r="C117" s="61">
        <f t="shared" si="64"/>
        <v>91</v>
      </c>
      <c r="D117" s="61">
        <f t="shared" si="66"/>
        <v>23.9</v>
      </c>
      <c r="E117" s="61">
        <f t="shared" si="67"/>
        <v>380.75313807531381</v>
      </c>
      <c r="F117" s="61">
        <f t="shared" si="65"/>
        <v>67.099999999999994</v>
      </c>
      <c r="G117" s="61">
        <v>91</v>
      </c>
      <c r="H117" s="61">
        <v>23.9</v>
      </c>
      <c r="I117" s="61">
        <f>+G117/H117*100</f>
        <v>380.75313807531381</v>
      </c>
      <c r="J117" s="61">
        <f>+G117-H117</f>
        <v>67.099999999999994</v>
      </c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70"/>
    </row>
    <row r="118" spans="1:31" ht="38.4" x14ac:dyDescent="0.2">
      <c r="A118" s="59">
        <v>110</v>
      </c>
      <c r="B118" s="75" t="s">
        <v>172</v>
      </c>
      <c r="C118" s="61">
        <f t="shared" si="64"/>
        <v>360</v>
      </c>
      <c r="D118" s="61">
        <f t="shared" si="66"/>
        <v>400</v>
      </c>
      <c r="E118" s="61">
        <f t="shared" si="67"/>
        <v>90</v>
      </c>
      <c r="F118" s="61">
        <f t="shared" si="65"/>
        <v>-40</v>
      </c>
      <c r="G118" s="61"/>
      <c r="H118" s="61"/>
      <c r="I118" s="61"/>
      <c r="J118" s="61"/>
      <c r="K118" s="61"/>
      <c r="L118" s="61"/>
      <c r="M118" s="61"/>
      <c r="N118" s="61"/>
      <c r="O118" s="61">
        <v>360</v>
      </c>
      <c r="P118" s="61">
        <v>400</v>
      </c>
      <c r="Q118" s="61">
        <f>+O118/P118*100</f>
        <v>90</v>
      </c>
      <c r="R118" s="61">
        <f>+O118-P118</f>
        <v>-40</v>
      </c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70"/>
    </row>
    <row r="119" spans="1:31" ht="19.2" x14ac:dyDescent="0.2">
      <c r="A119" s="59">
        <v>111</v>
      </c>
      <c r="B119" s="77" t="s">
        <v>173</v>
      </c>
      <c r="C119" s="61">
        <f t="shared" si="64"/>
        <v>12</v>
      </c>
      <c r="D119" s="61">
        <f t="shared" si="66"/>
        <v>12</v>
      </c>
      <c r="E119" s="61">
        <f t="shared" si="67"/>
        <v>100</v>
      </c>
      <c r="F119" s="61">
        <f t="shared" si="65"/>
        <v>0</v>
      </c>
      <c r="G119" s="61">
        <v>12</v>
      </c>
      <c r="H119" s="61">
        <v>12</v>
      </c>
      <c r="I119" s="61">
        <f>+G119/H119*100</f>
        <v>100</v>
      </c>
      <c r="J119" s="61">
        <f>+G119-H119</f>
        <v>0</v>
      </c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70"/>
    </row>
    <row r="120" spans="1:31" ht="19.2" x14ac:dyDescent="0.2">
      <c r="A120" s="59">
        <v>112</v>
      </c>
      <c r="B120" s="77" t="s">
        <v>174</v>
      </c>
      <c r="C120" s="61">
        <f t="shared" si="64"/>
        <v>-62.3</v>
      </c>
      <c r="D120" s="61">
        <f t="shared" si="66"/>
        <v>147.6</v>
      </c>
      <c r="E120" s="61">
        <f t="shared" si="67"/>
        <v>-42.208672086720867</v>
      </c>
      <c r="F120" s="61">
        <f t="shared" si="65"/>
        <v>-209.89999999999998</v>
      </c>
      <c r="G120" s="61">
        <v>-62.3</v>
      </c>
      <c r="H120" s="61">
        <v>147.6</v>
      </c>
      <c r="I120" s="61">
        <f>+G120/H120*100</f>
        <v>-42.208672086720867</v>
      </c>
      <c r="J120" s="61">
        <f>+G120-H120</f>
        <v>-209.89999999999998</v>
      </c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70"/>
    </row>
    <row r="121" spans="1:31" ht="21" customHeight="1" x14ac:dyDescent="0.2">
      <c r="A121" s="59">
        <v>113</v>
      </c>
      <c r="B121" s="77" t="s">
        <v>175</v>
      </c>
      <c r="C121" s="61">
        <f t="shared" si="64"/>
        <v>20.399999999999999</v>
      </c>
      <c r="D121" s="61">
        <f t="shared" si="66"/>
        <v>12.9</v>
      </c>
      <c r="E121" s="61">
        <f t="shared" si="67"/>
        <v>158.13953488372093</v>
      </c>
      <c r="F121" s="61">
        <f t="shared" si="65"/>
        <v>7.4999999999999982</v>
      </c>
      <c r="G121" s="61">
        <f>20.5-0.1</f>
        <v>20.399999999999999</v>
      </c>
      <c r="H121" s="61">
        <v>12.9</v>
      </c>
      <c r="I121" s="61">
        <f>+G121/H121*100</f>
        <v>158.13953488372093</v>
      </c>
      <c r="J121" s="61">
        <f>+G121-H121</f>
        <v>7.4999999999999982</v>
      </c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70"/>
    </row>
    <row r="122" spans="1:31" x14ac:dyDescent="0.2">
      <c r="A122" s="59">
        <v>114</v>
      </c>
      <c r="B122" s="77" t="s">
        <v>176</v>
      </c>
      <c r="C122" s="61">
        <f t="shared" si="64"/>
        <v>761.8</v>
      </c>
      <c r="D122" s="61">
        <f t="shared" si="66"/>
        <v>563.70000000000005</v>
      </c>
      <c r="E122" s="61">
        <f t="shared" si="67"/>
        <v>135.14280645733544</v>
      </c>
      <c r="F122" s="61">
        <f t="shared" si="65"/>
        <v>198.09999999999991</v>
      </c>
      <c r="G122" s="61">
        <v>761.8</v>
      </c>
      <c r="H122" s="61">
        <v>563.70000000000005</v>
      </c>
      <c r="I122" s="61">
        <f>+G122/H122*100</f>
        <v>135.14280645733544</v>
      </c>
      <c r="J122" s="61">
        <f>+G122-H122</f>
        <v>198.09999999999991</v>
      </c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70"/>
    </row>
    <row r="123" spans="1:31" x14ac:dyDescent="0.2">
      <c r="A123" s="59">
        <v>115</v>
      </c>
      <c r="B123" s="77" t="s">
        <v>177</v>
      </c>
      <c r="C123" s="61">
        <f t="shared" si="64"/>
        <v>14.9</v>
      </c>
      <c r="D123" s="61">
        <f t="shared" si="66"/>
        <v>21.5</v>
      </c>
      <c r="E123" s="61">
        <f t="shared" si="67"/>
        <v>69.302325581395351</v>
      </c>
      <c r="F123" s="61">
        <f t="shared" si="65"/>
        <v>-6.6</v>
      </c>
      <c r="G123" s="61">
        <v>14.9</v>
      </c>
      <c r="H123" s="61">
        <v>21.5</v>
      </c>
      <c r="I123" s="61">
        <f>+G123/H123*100</f>
        <v>69.302325581395351</v>
      </c>
      <c r="J123" s="61">
        <f>+G123-H123</f>
        <v>-6.6</v>
      </c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70"/>
    </row>
    <row r="124" spans="1:31" ht="23.25" customHeight="1" x14ac:dyDescent="0.2">
      <c r="A124" s="59">
        <v>116</v>
      </c>
      <c r="B124" s="79" t="s">
        <v>178</v>
      </c>
      <c r="C124" s="61">
        <f t="shared" si="64"/>
        <v>0</v>
      </c>
      <c r="D124" s="61">
        <f t="shared" si="66"/>
        <v>125.1</v>
      </c>
      <c r="E124" s="61">
        <f t="shared" si="67"/>
        <v>0</v>
      </c>
      <c r="F124" s="61">
        <f t="shared" si="65"/>
        <v>-125.1</v>
      </c>
      <c r="G124" s="61"/>
      <c r="H124" s="61"/>
      <c r="I124" s="61"/>
      <c r="J124" s="61"/>
      <c r="K124" s="61"/>
      <c r="L124" s="61"/>
      <c r="M124" s="61"/>
      <c r="N124" s="61"/>
      <c r="O124" s="61"/>
      <c r="P124" s="61">
        <v>125.1</v>
      </c>
      <c r="Q124" s="61"/>
      <c r="R124" s="61">
        <f t="shared" ref="R124:R133" si="68">+O124-P124</f>
        <v>-125.1</v>
      </c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70"/>
    </row>
    <row r="125" spans="1:31" ht="23.25" customHeight="1" x14ac:dyDescent="0.2">
      <c r="A125" s="59">
        <v>117</v>
      </c>
      <c r="B125" s="79" t="s">
        <v>179</v>
      </c>
      <c r="C125" s="61">
        <f t="shared" si="64"/>
        <v>756.4</v>
      </c>
      <c r="D125" s="61">
        <f t="shared" si="66"/>
        <v>0</v>
      </c>
      <c r="E125" s="61"/>
      <c r="F125" s="61">
        <f t="shared" si="65"/>
        <v>756.4</v>
      </c>
      <c r="G125" s="61"/>
      <c r="H125" s="61"/>
      <c r="I125" s="61"/>
      <c r="J125" s="61"/>
      <c r="K125" s="61"/>
      <c r="L125" s="61"/>
      <c r="M125" s="61"/>
      <c r="N125" s="61"/>
      <c r="O125" s="61">
        <v>756.4</v>
      </c>
      <c r="P125" s="61"/>
      <c r="Q125" s="61"/>
      <c r="R125" s="61">
        <f t="shared" si="68"/>
        <v>756.4</v>
      </c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70"/>
    </row>
    <row r="126" spans="1:31" ht="33.75" customHeight="1" x14ac:dyDescent="0.2">
      <c r="A126" s="59">
        <v>118</v>
      </c>
      <c r="B126" s="79" t="s">
        <v>180</v>
      </c>
      <c r="C126" s="61">
        <f t="shared" si="64"/>
        <v>234.2</v>
      </c>
      <c r="D126" s="61">
        <f t="shared" si="66"/>
        <v>390.3</v>
      </c>
      <c r="E126" s="61">
        <f>+C126/D126*100</f>
        <v>60.005124263387131</v>
      </c>
      <c r="F126" s="61">
        <f t="shared" si="65"/>
        <v>-156.10000000000002</v>
      </c>
      <c r="G126" s="61"/>
      <c r="H126" s="61"/>
      <c r="I126" s="61"/>
      <c r="J126" s="61"/>
      <c r="K126" s="61"/>
      <c r="L126" s="61"/>
      <c r="M126" s="61"/>
      <c r="N126" s="61"/>
      <c r="O126" s="61">
        <v>234.2</v>
      </c>
      <c r="P126" s="61">
        <v>390.3</v>
      </c>
      <c r="Q126" s="61"/>
      <c r="R126" s="61">
        <f t="shared" si="68"/>
        <v>-156.10000000000002</v>
      </c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70"/>
    </row>
    <row r="127" spans="1:31" ht="28.8" x14ac:dyDescent="0.2">
      <c r="A127" s="59">
        <v>119</v>
      </c>
      <c r="B127" s="79" t="s">
        <v>181</v>
      </c>
      <c r="C127" s="61">
        <f t="shared" si="64"/>
        <v>53</v>
      </c>
      <c r="D127" s="61"/>
      <c r="E127" s="61"/>
      <c r="F127" s="61">
        <f t="shared" si="65"/>
        <v>53</v>
      </c>
      <c r="G127" s="61"/>
      <c r="H127" s="61"/>
      <c r="I127" s="61"/>
      <c r="J127" s="61"/>
      <c r="K127" s="61"/>
      <c r="L127" s="61"/>
      <c r="M127" s="61"/>
      <c r="N127" s="61"/>
      <c r="O127" s="61">
        <v>53</v>
      </c>
      <c r="P127" s="61"/>
      <c r="Q127" s="61"/>
      <c r="R127" s="61">
        <f t="shared" si="68"/>
        <v>53</v>
      </c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70"/>
    </row>
    <row r="128" spans="1:31" ht="48" customHeight="1" x14ac:dyDescent="0.2">
      <c r="A128" s="59">
        <v>120</v>
      </c>
      <c r="B128" s="79" t="s">
        <v>182</v>
      </c>
      <c r="C128" s="61">
        <f t="shared" si="64"/>
        <v>101.3</v>
      </c>
      <c r="D128" s="61"/>
      <c r="E128" s="61"/>
      <c r="F128" s="61">
        <f t="shared" si="65"/>
        <v>101.3</v>
      </c>
      <c r="G128" s="61"/>
      <c r="H128" s="61"/>
      <c r="I128" s="61"/>
      <c r="J128" s="61"/>
      <c r="K128" s="61"/>
      <c r="L128" s="61"/>
      <c r="M128" s="61"/>
      <c r="N128" s="61"/>
      <c r="O128" s="61">
        <v>101.3</v>
      </c>
      <c r="P128" s="61"/>
      <c r="Q128" s="61"/>
      <c r="R128" s="61">
        <f t="shared" si="68"/>
        <v>101.3</v>
      </c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70"/>
    </row>
    <row r="129" spans="1:31" ht="21" customHeight="1" x14ac:dyDescent="0.2">
      <c r="A129" s="59">
        <v>121</v>
      </c>
      <c r="B129" s="79" t="s">
        <v>183</v>
      </c>
      <c r="C129" s="61">
        <f t="shared" si="64"/>
        <v>8.6999999999999993</v>
      </c>
      <c r="D129" s="61"/>
      <c r="E129" s="61"/>
      <c r="F129" s="61">
        <f t="shared" si="65"/>
        <v>8.6999999999999993</v>
      </c>
      <c r="G129" s="61"/>
      <c r="H129" s="61"/>
      <c r="I129" s="61"/>
      <c r="J129" s="61"/>
      <c r="K129" s="61"/>
      <c r="L129" s="61"/>
      <c r="M129" s="61"/>
      <c r="N129" s="61"/>
      <c r="O129" s="61">
        <v>8.6999999999999993</v>
      </c>
      <c r="P129" s="61"/>
      <c r="Q129" s="61"/>
      <c r="R129" s="61">
        <f t="shared" si="68"/>
        <v>8.6999999999999993</v>
      </c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70"/>
    </row>
    <row r="130" spans="1:31" ht="28.8" x14ac:dyDescent="0.2">
      <c r="A130" s="59">
        <v>122</v>
      </c>
      <c r="B130" s="79" t="s">
        <v>184</v>
      </c>
      <c r="C130" s="61">
        <f t="shared" si="64"/>
        <v>0</v>
      </c>
      <c r="D130" s="61">
        <f>+H130+L130+P130+T130+X130+AB130</f>
        <v>87.4</v>
      </c>
      <c r="E130" s="61">
        <f>+C130/D130*100</f>
        <v>0</v>
      </c>
      <c r="F130" s="61">
        <f t="shared" si="65"/>
        <v>-87.4</v>
      </c>
      <c r="G130" s="61"/>
      <c r="H130" s="61"/>
      <c r="I130" s="61"/>
      <c r="J130" s="61"/>
      <c r="K130" s="61"/>
      <c r="L130" s="61"/>
      <c r="M130" s="61"/>
      <c r="N130" s="61"/>
      <c r="O130" s="61"/>
      <c r="P130" s="61">
        <v>87.4</v>
      </c>
      <c r="Q130" s="61"/>
      <c r="R130" s="61">
        <f t="shared" si="68"/>
        <v>-87.4</v>
      </c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70"/>
    </row>
    <row r="131" spans="1:31" ht="23.25" customHeight="1" x14ac:dyDescent="0.2">
      <c r="A131" s="59">
        <v>123</v>
      </c>
      <c r="B131" s="79" t="s">
        <v>185</v>
      </c>
      <c r="C131" s="61">
        <f t="shared" si="64"/>
        <v>0</v>
      </c>
      <c r="D131" s="61">
        <f>+H131+L131+P131+T131+X131+AB131</f>
        <v>502.5</v>
      </c>
      <c r="E131" s="61">
        <f>+C131/D131*100</f>
        <v>0</v>
      </c>
      <c r="F131" s="61">
        <f t="shared" si="65"/>
        <v>-502.5</v>
      </c>
      <c r="G131" s="61"/>
      <c r="H131" s="61"/>
      <c r="I131" s="61"/>
      <c r="J131" s="61"/>
      <c r="K131" s="61"/>
      <c r="L131" s="61"/>
      <c r="M131" s="61"/>
      <c r="N131" s="61"/>
      <c r="O131" s="61"/>
      <c r="P131" s="61">
        <v>502.5</v>
      </c>
      <c r="Q131" s="61"/>
      <c r="R131" s="61">
        <f t="shared" si="68"/>
        <v>-502.5</v>
      </c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70"/>
    </row>
    <row r="132" spans="1:31" ht="33.75" customHeight="1" x14ac:dyDescent="0.2">
      <c r="A132" s="59">
        <v>124</v>
      </c>
      <c r="B132" s="79" t="s">
        <v>186</v>
      </c>
      <c r="C132" s="61">
        <f t="shared" si="64"/>
        <v>0</v>
      </c>
      <c r="D132" s="61">
        <f>+H132+L132+P132+T132+X132+AB132</f>
        <v>934.1</v>
      </c>
      <c r="E132" s="61">
        <f>+C132/D132*100</f>
        <v>0</v>
      </c>
      <c r="F132" s="61">
        <f t="shared" si="65"/>
        <v>-934.1</v>
      </c>
      <c r="G132" s="61"/>
      <c r="H132" s="61"/>
      <c r="I132" s="61"/>
      <c r="J132" s="61"/>
      <c r="K132" s="61"/>
      <c r="L132" s="61"/>
      <c r="M132" s="61"/>
      <c r="N132" s="61"/>
      <c r="O132" s="61"/>
      <c r="P132" s="61">
        <v>934.1</v>
      </c>
      <c r="Q132" s="61"/>
      <c r="R132" s="61">
        <f t="shared" si="68"/>
        <v>-934.1</v>
      </c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70"/>
    </row>
    <row r="133" spans="1:31" ht="19.2" x14ac:dyDescent="0.2">
      <c r="A133" s="59">
        <v>125</v>
      </c>
      <c r="B133" s="79" t="s">
        <v>187</v>
      </c>
      <c r="C133" s="61">
        <f t="shared" si="64"/>
        <v>0</v>
      </c>
      <c r="D133" s="61">
        <f>+H133+L133+P133+T133+X133+AB133</f>
        <v>135.69999999999999</v>
      </c>
      <c r="E133" s="61">
        <f>+C133/D133*100</f>
        <v>0</v>
      </c>
      <c r="F133" s="61">
        <f t="shared" si="65"/>
        <v>-135.69999999999999</v>
      </c>
      <c r="G133" s="61"/>
      <c r="H133" s="61"/>
      <c r="I133" s="61"/>
      <c r="J133" s="61"/>
      <c r="K133" s="61"/>
      <c r="L133" s="61"/>
      <c r="M133" s="61"/>
      <c r="N133" s="61"/>
      <c r="O133" s="61"/>
      <c r="P133" s="61">
        <v>135.69999999999999</v>
      </c>
      <c r="Q133" s="61"/>
      <c r="R133" s="61">
        <f t="shared" si="68"/>
        <v>-135.69999999999999</v>
      </c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70"/>
    </row>
    <row r="134" spans="1:31" x14ac:dyDescent="0.2">
      <c r="A134" s="59">
        <v>126</v>
      </c>
      <c r="B134" s="79" t="s">
        <v>188</v>
      </c>
      <c r="C134" s="61">
        <f t="shared" si="64"/>
        <v>48.1</v>
      </c>
      <c r="D134" s="61"/>
      <c r="E134" s="61"/>
      <c r="F134" s="61">
        <f t="shared" si="65"/>
        <v>48.1</v>
      </c>
      <c r="G134" s="61">
        <v>48.1</v>
      </c>
      <c r="H134" s="61"/>
      <c r="I134" s="61"/>
      <c r="J134" s="61">
        <f>+G134-H134</f>
        <v>48.1</v>
      </c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70"/>
    </row>
    <row r="135" spans="1:31" ht="12.45" customHeight="1" x14ac:dyDescent="0.2">
      <c r="A135" s="59">
        <v>127</v>
      </c>
      <c r="B135" s="75" t="s">
        <v>189</v>
      </c>
      <c r="C135" s="61">
        <f t="shared" si="64"/>
        <v>54.6</v>
      </c>
      <c r="D135" s="61">
        <f>+H135+L135+P135+T135+X135+AB135</f>
        <v>48.6</v>
      </c>
      <c r="E135" s="61">
        <f>+C135/D135*100</f>
        <v>112.34567901234568</v>
      </c>
      <c r="F135" s="61">
        <f t="shared" si="65"/>
        <v>6</v>
      </c>
      <c r="G135" s="61">
        <v>54.6</v>
      </c>
      <c r="H135" s="61">
        <v>48.6</v>
      </c>
      <c r="I135" s="61">
        <f>+G135/H135*100</f>
        <v>112.34567901234568</v>
      </c>
      <c r="J135" s="61">
        <f>+G135-H135</f>
        <v>6</v>
      </c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  <c r="AA135" s="61"/>
      <c r="AB135" s="61"/>
      <c r="AC135" s="61"/>
      <c r="AD135" s="61"/>
      <c r="AE135" s="70"/>
    </row>
    <row r="136" spans="1:31" ht="12.45" customHeight="1" x14ac:dyDescent="0.2">
      <c r="A136" s="59">
        <v>128</v>
      </c>
      <c r="B136" s="75" t="s">
        <v>190</v>
      </c>
      <c r="C136" s="61">
        <f t="shared" si="64"/>
        <v>2426.6999999999998</v>
      </c>
      <c r="D136" s="61">
        <f>+H136+L136+P136+T136+X136+AB136</f>
        <v>1136.5999999999999</v>
      </c>
      <c r="E136" s="61">
        <f>+C136/D136*100</f>
        <v>213.50519092028856</v>
      </c>
      <c r="F136" s="61">
        <f t="shared" si="65"/>
        <v>1290.0999999999999</v>
      </c>
      <c r="G136" s="61">
        <v>2426.6999999999998</v>
      </c>
      <c r="H136" s="61">
        <v>1136.5999999999999</v>
      </c>
      <c r="I136" s="61">
        <f>+G136/H136*100</f>
        <v>213.50519092028856</v>
      </c>
      <c r="J136" s="61">
        <f>+G136-H136</f>
        <v>1290.0999999999999</v>
      </c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  <c r="AA136" s="61"/>
      <c r="AB136" s="61"/>
      <c r="AC136" s="61"/>
      <c r="AD136" s="61"/>
      <c r="AE136" s="70"/>
    </row>
    <row r="137" spans="1:31" ht="12.45" customHeight="1" x14ac:dyDescent="0.2">
      <c r="A137" s="59">
        <v>129</v>
      </c>
      <c r="B137" s="75" t="s">
        <v>191</v>
      </c>
      <c r="C137" s="61">
        <f t="shared" si="64"/>
        <v>0</v>
      </c>
      <c r="D137" s="61">
        <f>+H137+L137+P137+T137+X137+AB137</f>
        <v>14.1</v>
      </c>
      <c r="E137" s="61">
        <f>+C137/D137*100</f>
        <v>0</v>
      </c>
      <c r="F137" s="61">
        <f t="shared" si="65"/>
        <v>-14.1</v>
      </c>
      <c r="G137" s="61"/>
      <c r="H137" s="61"/>
      <c r="I137" s="61"/>
      <c r="J137" s="61"/>
      <c r="K137" s="61"/>
      <c r="L137" s="61"/>
      <c r="M137" s="61"/>
      <c r="N137" s="61"/>
      <c r="O137" s="61"/>
      <c r="P137" s="61">
        <v>14.1</v>
      </c>
      <c r="Q137" s="61"/>
      <c r="R137" s="61">
        <f>+O137-P137</f>
        <v>-14.1</v>
      </c>
      <c r="S137" s="61"/>
      <c r="T137" s="61"/>
      <c r="U137" s="61"/>
      <c r="V137" s="61"/>
      <c r="W137" s="61"/>
      <c r="X137" s="61"/>
      <c r="Y137" s="61"/>
      <c r="Z137" s="61"/>
      <c r="AA137" s="61"/>
      <c r="AB137" s="61"/>
      <c r="AC137" s="61"/>
      <c r="AD137" s="61"/>
      <c r="AE137" s="70"/>
    </row>
    <row r="138" spans="1:31" ht="12.45" customHeight="1" x14ac:dyDescent="0.2">
      <c r="A138" s="59">
        <v>130</v>
      </c>
      <c r="B138" s="80" t="s">
        <v>192</v>
      </c>
      <c r="C138" s="50">
        <f>SUM(C72:C137)+C71</f>
        <v>68755.900000000009</v>
      </c>
      <c r="D138" s="50">
        <f>SUM(D72:D137)+D71</f>
        <v>73343.999999999985</v>
      </c>
      <c r="E138" s="50">
        <f>+C138/D138*100</f>
        <v>93.744409904013992</v>
      </c>
      <c r="F138" s="50">
        <f>SUM(F72:F137)+F71</f>
        <v>-4588.1000000000031</v>
      </c>
      <c r="G138" s="50">
        <f>SUM(G72:G136)+G71</f>
        <v>37897.800000000003</v>
      </c>
      <c r="H138" s="50">
        <f>SUM(H72:H136)+H71</f>
        <v>35739.4</v>
      </c>
      <c r="I138" s="50">
        <f>+G138/H138*100</f>
        <v>106.03927318309765</v>
      </c>
      <c r="J138" s="50">
        <f>SUM(J72:J136)+J71</f>
        <v>2158.4</v>
      </c>
      <c r="K138" s="50">
        <f>SUM(K72:K136)+K71</f>
        <v>14616.9</v>
      </c>
      <c r="L138" s="50">
        <f>SUM(L72:L136)+L71</f>
        <v>13052.699999999999</v>
      </c>
      <c r="M138" s="50">
        <f>+K138/L138*100</f>
        <v>111.98372750465421</v>
      </c>
      <c r="N138" s="50">
        <f>SUM(N72:N136)+N71</f>
        <v>1564.2000000000003</v>
      </c>
      <c r="O138" s="50">
        <f>SUM(O72:O137)+O71</f>
        <v>14867.3</v>
      </c>
      <c r="P138" s="50">
        <f>SUM(P72:P137)+P71</f>
        <v>23138.799999999999</v>
      </c>
      <c r="Q138" s="50">
        <f>+O138/P138*100</f>
        <v>64.252683803827338</v>
      </c>
      <c r="R138" s="50">
        <f>SUM(R72:R137)+R71</f>
        <v>-8271.5</v>
      </c>
      <c r="S138" s="50">
        <f>SUM(S72:S136)+S71</f>
        <v>80.2</v>
      </c>
      <c r="T138" s="50">
        <f>SUM(T72:T136)+T71</f>
        <v>103.3</v>
      </c>
      <c r="U138" s="50">
        <f>+S138/T138*100</f>
        <v>77.637947725072607</v>
      </c>
      <c r="V138" s="50">
        <f>SUM(V72:V136)+V71</f>
        <v>-23.099999999999998</v>
      </c>
      <c r="W138" s="50">
        <f>SUM(W72:W136)+W71</f>
        <v>136.79999999999998</v>
      </c>
      <c r="X138" s="50">
        <f>SUM(X72:X136)+X71</f>
        <v>139.69999999999999</v>
      </c>
      <c r="Y138" s="50">
        <f>+W138/X138*100</f>
        <v>97.924123120973505</v>
      </c>
      <c r="Z138" s="50">
        <f>SUM(Z72:Z136)+Z71</f>
        <v>-2.9000000000000021</v>
      </c>
      <c r="AA138" s="50">
        <f>SUM(AA72:AA136)+AA71</f>
        <v>1156.8999999999999</v>
      </c>
      <c r="AB138" s="50">
        <f>SUM(AB72:AB136)+AB71</f>
        <v>1170.0999999999999</v>
      </c>
      <c r="AC138" s="50">
        <f>+AA138/AB138*100</f>
        <v>98.871891291342621</v>
      </c>
      <c r="AD138" s="50">
        <f>SUM(AD72:AD136)+AD71</f>
        <v>-13.199999999999982</v>
      </c>
    </row>
    <row r="139" spans="1:31" ht="13.2" customHeight="1" x14ac:dyDescent="0.2">
      <c r="B139" s="81"/>
      <c r="C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82"/>
      <c r="AA139" s="70"/>
      <c r="AB139" s="70"/>
      <c r="AC139" s="70"/>
      <c r="AD139" s="70"/>
    </row>
    <row r="140" spans="1:31" ht="13.2" customHeight="1" x14ac:dyDescent="0.2">
      <c r="B140" s="81"/>
      <c r="C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83"/>
      <c r="AA140" s="70"/>
      <c r="AB140" s="70"/>
      <c r="AC140" s="70"/>
      <c r="AD140" s="70"/>
    </row>
    <row r="141" spans="1:31" ht="13.2" customHeight="1" x14ac:dyDescent="0.2">
      <c r="B141" s="81"/>
      <c r="C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83"/>
      <c r="AA141" s="70"/>
      <c r="AB141" s="70"/>
      <c r="AC141" s="70"/>
      <c r="AD141" s="70"/>
    </row>
    <row r="142" spans="1:31" ht="13.2" customHeight="1" x14ac:dyDescent="0.2">
      <c r="B142" s="81"/>
      <c r="C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83"/>
      <c r="AA142" s="70"/>
      <c r="AB142" s="70"/>
      <c r="AC142" s="70"/>
      <c r="AD142" s="70"/>
    </row>
    <row r="143" spans="1:31" ht="13.2" customHeight="1" x14ac:dyDescent="0.2">
      <c r="B143" s="81"/>
      <c r="C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83"/>
      <c r="AA143" s="70"/>
      <c r="AB143" s="70"/>
      <c r="AC143" s="70"/>
      <c r="AD143" s="70"/>
    </row>
    <row r="144" spans="1:31" ht="13.2" customHeight="1" x14ac:dyDescent="0.2">
      <c r="B144" s="81"/>
      <c r="C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83"/>
      <c r="AA144" s="70"/>
      <c r="AB144" s="70"/>
      <c r="AC144" s="70"/>
      <c r="AD144" s="70"/>
    </row>
    <row r="145" spans="2:30" ht="13.2" customHeight="1" x14ac:dyDescent="0.2">
      <c r="B145" s="81"/>
      <c r="C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83"/>
      <c r="AA145" s="70"/>
      <c r="AB145" s="70"/>
      <c r="AC145" s="70"/>
      <c r="AD145" s="70"/>
    </row>
    <row r="146" spans="2:30" ht="13.2" customHeight="1" x14ac:dyDescent="0.2">
      <c r="B146" s="81"/>
      <c r="C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83"/>
      <c r="AA146" s="70"/>
      <c r="AB146" s="70"/>
      <c r="AC146" s="70"/>
      <c r="AD146" s="70"/>
    </row>
    <row r="147" spans="2:30" ht="13.2" customHeight="1" x14ac:dyDescent="0.2">
      <c r="B147" s="81"/>
      <c r="C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83"/>
      <c r="AA147" s="70"/>
      <c r="AB147" s="70"/>
      <c r="AC147" s="70"/>
      <c r="AD147" s="70"/>
    </row>
    <row r="148" spans="2:30" ht="13.2" customHeight="1" x14ac:dyDescent="0.2">
      <c r="B148" s="81"/>
      <c r="C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83"/>
      <c r="AA148" s="70"/>
      <c r="AB148" s="70"/>
      <c r="AC148" s="70"/>
      <c r="AD148" s="70"/>
    </row>
    <row r="149" spans="2:30" ht="13.2" customHeight="1" x14ac:dyDescent="0.2">
      <c r="B149" s="81"/>
      <c r="C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83"/>
      <c r="AA149" s="70"/>
      <c r="AB149" s="70"/>
      <c r="AC149" s="70"/>
      <c r="AD149" s="70"/>
    </row>
    <row r="150" spans="2:30" ht="13.2" customHeight="1" x14ac:dyDescent="0.2">
      <c r="B150" s="81"/>
      <c r="C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83"/>
      <c r="AA150" s="70"/>
      <c r="AB150" s="70"/>
      <c r="AC150" s="70"/>
      <c r="AD150" s="70"/>
    </row>
    <row r="151" spans="2:30" ht="13.2" customHeight="1" x14ac:dyDescent="0.2">
      <c r="B151" s="81"/>
      <c r="C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83"/>
      <c r="AA151" s="70"/>
      <c r="AB151" s="70"/>
      <c r="AC151" s="70"/>
      <c r="AD151" s="70"/>
    </row>
    <row r="152" spans="2:30" ht="13.2" customHeight="1" x14ac:dyDescent="0.2">
      <c r="B152" s="81"/>
      <c r="C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83"/>
      <c r="AA152" s="70"/>
      <c r="AB152" s="70"/>
      <c r="AC152" s="70"/>
      <c r="AD152" s="70"/>
    </row>
    <row r="153" spans="2:30" ht="13.2" customHeight="1" x14ac:dyDescent="0.2">
      <c r="G153" s="85"/>
      <c r="H153" s="85"/>
      <c r="Z153" s="83"/>
    </row>
    <row r="154" spans="2:30" ht="13.2" customHeight="1" x14ac:dyDescent="0.2">
      <c r="G154" s="70"/>
      <c r="H154" s="70"/>
      <c r="Z154" s="83"/>
    </row>
    <row r="155" spans="2:30" x14ac:dyDescent="0.2">
      <c r="Z155" s="83"/>
    </row>
    <row r="156" spans="2:30" x14ac:dyDescent="0.2">
      <c r="Z156" s="83"/>
    </row>
    <row r="157" spans="2:30" x14ac:dyDescent="0.2">
      <c r="Z157" s="83"/>
    </row>
    <row r="158" spans="2:30" x14ac:dyDescent="0.2">
      <c r="Z158" s="83"/>
    </row>
    <row r="159" spans="2:30" x14ac:dyDescent="0.2">
      <c r="Z159" s="83"/>
    </row>
    <row r="160" spans="2:30" x14ac:dyDescent="0.2">
      <c r="Z160" s="83"/>
    </row>
    <row r="161" spans="26:26" x14ac:dyDescent="0.2">
      <c r="Z161" s="83"/>
    </row>
    <row r="162" spans="26:26" x14ac:dyDescent="0.2">
      <c r="Z162" s="83"/>
    </row>
    <row r="163" spans="26:26" x14ac:dyDescent="0.2">
      <c r="Z163" s="83"/>
    </row>
    <row r="164" spans="26:26" x14ac:dyDescent="0.2">
      <c r="Z164" s="83"/>
    </row>
    <row r="165" spans="26:26" x14ac:dyDescent="0.2">
      <c r="Z165" s="82"/>
    </row>
    <row r="166" spans="26:26" x14ac:dyDescent="0.2">
      <c r="Z166" s="83"/>
    </row>
    <row r="167" spans="26:26" x14ac:dyDescent="0.2">
      <c r="Z167" s="83"/>
    </row>
    <row r="168" spans="26:26" x14ac:dyDescent="0.2">
      <c r="Z168" s="83"/>
    </row>
    <row r="169" spans="26:26" x14ac:dyDescent="0.2">
      <c r="Z169" s="83"/>
    </row>
    <row r="170" spans="26:26" x14ac:dyDescent="0.2">
      <c r="Z170" s="83"/>
    </row>
    <row r="171" spans="26:26" x14ac:dyDescent="0.2">
      <c r="Z171" s="83"/>
    </row>
    <row r="172" spans="26:26" x14ac:dyDescent="0.2">
      <c r="Z172" s="83"/>
    </row>
    <row r="173" spans="26:26" x14ac:dyDescent="0.2">
      <c r="Z173" s="83"/>
    </row>
    <row r="174" spans="26:26" x14ac:dyDescent="0.2">
      <c r="Z174" s="86"/>
    </row>
    <row r="175" spans="26:26" x14ac:dyDescent="0.2">
      <c r="Z175" s="83"/>
    </row>
    <row r="176" spans="26:26" x14ac:dyDescent="0.2">
      <c r="Z176" s="83"/>
    </row>
    <row r="177" spans="26:26" x14ac:dyDescent="0.2">
      <c r="Z177" s="83"/>
    </row>
    <row r="178" spans="26:26" x14ac:dyDescent="0.2">
      <c r="Z178" s="83"/>
    </row>
    <row r="179" spans="26:26" x14ac:dyDescent="0.2">
      <c r="Z179" s="83"/>
    </row>
    <row r="180" spans="26:26" x14ac:dyDescent="0.2">
      <c r="Z180" s="83"/>
    </row>
    <row r="181" spans="26:26" x14ac:dyDescent="0.2">
      <c r="Z181" s="82"/>
    </row>
    <row r="182" spans="26:26" x14ac:dyDescent="0.2">
      <c r="Z182" s="83"/>
    </row>
    <row r="183" spans="26:26" x14ac:dyDescent="0.2">
      <c r="Z183" s="83"/>
    </row>
    <row r="184" spans="26:26" x14ac:dyDescent="0.2">
      <c r="Z184" s="83"/>
    </row>
    <row r="185" spans="26:26" x14ac:dyDescent="0.2">
      <c r="Z185" s="83"/>
    </row>
    <row r="186" spans="26:26" x14ac:dyDescent="0.2">
      <c r="Z186" s="83"/>
    </row>
    <row r="187" spans="26:26" x14ac:dyDescent="0.2">
      <c r="Z187" s="83"/>
    </row>
    <row r="188" spans="26:26" x14ac:dyDescent="0.2">
      <c r="Z188" s="83"/>
    </row>
    <row r="189" spans="26:26" x14ac:dyDescent="0.2">
      <c r="Z189" s="83"/>
    </row>
    <row r="190" spans="26:26" x14ac:dyDescent="0.2">
      <c r="Z190" s="83"/>
    </row>
    <row r="191" spans="26:26" x14ac:dyDescent="0.2">
      <c r="Z191" s="83"/>
    </row>
    <row r="192" spans="26:26" x14ac:dyDescent="0.2">
      <c r="Z192" s="83"/>
    </row>
    <row r="193" spans="26:26" x14ac:dyDescent="0.2">
      <c r="Z193" s="82"/>
    </row>
    <row r="194" spans="26:26" x14ac:dyDescent="0.2">
      <c r="Z194" s="83"/>
    </row>
    <row r="195" spans="26:26" x14ac:dyDescent="0.2">
      <c r="Z195" s="83"/>
    </row>
    <row r="196" spans="26:26" x14ac:dyDescent="0.2">
      <c r="Z196" s="83"/>
    </row>
    <row r="197" spans="26:26" x14ac:dyDescent="0.2">
      <c r="Z197" s="86"/>
    </row>
    <row r="198" spans="26:26" x14ac:dyDescent="0.2">
      <c r="Z198" s="83"/>
    </row>
    <row r="199" spans="26:26" x14ac:dyDescent="0.2">
      <c r="Z199" s="83"/>
    </row>
    <row r="200" spans="26:26" x14ac:dyDescent="0.2">
      <c r="Z200" s="83"/>
    </row>
    <row r="201" spans="26:26" x14ac:dyDescent="0.2">
      <c r="Z201" s="83"/>
    </row>
    <row r="202" spans="26:26" x14ac:dyDescent="0.2">
      <c r="Z202" s="83"/>
    </row>
    <row r="203" spans="26:26" x14ac:dyDescent="0.2">
      <c r="Z203" s="83"/>
    </row>
    <row r="204" spans="26:26" x14ac:dyDescent="0.2">
      <c r="Z204" s="83"/>
    </row>
    <row r="205" spans="26:26" x14ac:dyDescent="0.2">
      <c r="Z205" s="83"/>
    </row>
    <row r="206" spans="26:26" x14ac:dyDescent="0.2">
      <c r="Z206" s="83"/>
    </row>
    <row r="207" spans="26:26" x14ac:dyDescent="0.2">
      <c r="Z207" s="83"/>
    </row>
    <row r="208" spans="26:26" x14ac:dyDescent="0.2">
      <c r="Z208" s="83"/>
    </row>
    <row r="209" spans="26:26" x14ac:dyDescent="0.2">
      <c r="Z209" s="83"/>
    </row>
    <row r="210" spans="26:26" x14ac:dyDescent="0.2">
      <c r="Z210" s="83"/>
    </row>
    <row r="211" spans="26:26" x14ac:dyDescent="0.2">
      <c r="Z211" s="83"/>
    </row>
    <row r="212" spans="26:26" x14ac:dyDescent="0.2">
      <c r="Z212" s="83"/>
    </row>
    <row r="213" spans="26:26" x14ac:dyDescent="0.2">
      <c r="Z213" s="83"/>
    </row>
    <row r="214" spans="26:26" x14ac:dyDescent="0.2">
      <c r="Z214" s="83"/>
    </row>
    <row r="215" spans="26:26" x14ac:dyDescent="0.2">
      <c r="Z215" s="83"/>
    </row>
    <row r="216" spans="26:26" x14ac:dyDescent="0.2">
      <c r="Z216" s="83"/>
    </row>
    <row r="217" spans="26:26" x14ac:dyDescent="0.2">
      <c r="Z217" s="83"/>
    </row>
    <row r="218" spans="26:26" x14ac:dyDescent="0.2">
      <c r="Z218" s="83"/>
    </row>
    <row r="219" spans="26:26" x14ac:dyDescent="0.2">
      <c r="Z219" s="83"/>
    </row>
    <row r="220" spans="26:26" x14ac:dyDescent="0.2">
      <c r="Z220" s="83"/>
    </row>
    <row r="221" spans="26:26" x14ac:dyDescent="0.2">
      <c r="Z221" s="83"/>
    </row>
    <row r="222" spans="26:26" x14ac:dyDescent="0.2">
      <c r="Z222" s="83"/>
    </row>
    <row r="223" spans="26:26" x14ac:dyDescent="0.2">
      <c r="Z223" s="83"/>
    </row>
    <row r="224" spans="26:26" x14ac:dyDescent="0.2">
      <c r="Z224" s="83"/>
    </row>
    <row r="225" spans="26:26" x14ac:dyDescent="0.2">
      <c r="Z225" s="83"/>
    </row>
    <row r="226" spans="26:26" x14ac:dyDescent="0.2">
      <c r="Z226" s="83"/>
    </row>
    <row r="227" spans="26:26" x14ac:dyDescent="0.2">
      <c r="Z227" s="83"/>
    </row>
    <row r="228" spans="26:26" x14ac:dyDescent="0.2">
      <c r="Z228" s="83"/>
    </row>
    <row r="229" spans="26:26" x14ac:dyDescent="0.2">
      <c r="Z229" s="83"/>
    </row>
    <row r="230" spans="26:26" x14ac:dyDescent="0.2">
      <c r="Z230" s="83"/>
    </row>
    <row r="231" spans="26:26" x14ac:dyDescent="0.2">
      <c r="Z231" s="83"/>
    </row>
    <row r="232" spans="26:26" x14ac:dyDescent="0.2">
      <c r="Z232" s="83"/>
    </row>
    <row r="233" spans="26:26" x14ac:dyDescent="0.2">
      <c r="Z233" s="83"/>
    </row>
    <row r="234" spans="26:26" x14ac:dyDescent="0.2">
      <c r="Z234" s="83"/>
    </row>
    <row r="235" spans="26:26" x14ac:dyDescent="0.2">
      <c r="Z235" s="83"/>
    </row>
    <row r="236" spans="26:26" x14ac:dyDescent="0.2">
      <c r="Z236" s="83"/>
    </row>
    <row r="237" spans="26:26" x14ac:dyDescent="0.2">
      <c r="Z237" s="83"/>
    </row>
    <row r="238" spans="26:26" x14ac:dyDescent="0.2">
      <c r="Z238" s="83"/>
    </row>
    <row r="239" spans="26:26" x14ac:dyDescent="0.2">
      <c r="Z239" s="83"/>
    </row>
    <row r="240" spans="26:26" x14ac:dyDescent="0.2">
      <c r="Z240" s="83"/>
    </row>
    <row r="241" spans="7:26" x14ac:dyDescent="0.2">
      <c r="Z241" s="83"/>
    </row>
    <row r="242" spans="7:26" x14ac:dyDescent="0.2">
      <c r="Z242" s="86"/>
    </row>
    <row r="243" spans="7:26" x14ac:dyDescent="0.2">
      <c r="G243" s="51">
        <f>+AE24</f>
        <v>0</v>
      </c>
    </row>
  </sheetData>
  <mergeCells count="40">
    <mergeCell ref="M3:N3"/>
    <mergeCell ref="AC3:AD3"/>
    <mergeCell ref="A4:A7"/>
    <mergeCell ref="B4:B7"/>
    <mergeCell ref="C4:F4"/>
    <mergeCell ref="G4:J4"/>
    <mergeCell ref="K4:N4"/>
    <mergeCell ref="O4:R4"/>
    <mergeCell ref="S4:V4"/>
    <mergeCell ref="W4:Z4"/>
    <mergeCell ref="AA4:AD4"/>
    <mergeCell ref="C5:C6"/>
    <mergeCell ref="D5:D6"/>
    <mergeCell ref="E5:F5"/>
    <mergeCell ref="G5:G6"/>
    <mergeCell ref="H5:H6"/>
    <mergeCell ref="I5:J5"/>
    <mergeCell ref="T5:T6"/>
    <mergeCell ref="U5:V5"/>
    <mergeCell ref="U6:V6"/>
    <mergeCell ref="K5:K6"/>
    <mergeCell ref="L5:L6"/>
    <mergeCell ref="M5:N5"/>
    <mergeCell ref="O5:O6"/>
    <mergeCell ref="AC6:AD6"/>
    <mergeCell ref="C1:W1"/>
    <mergeCell ref="AB5:AB6"/>
    <mergeCell ref="AC5:AD5"/>
    <mergeCell ref="E6:F6"/>
    <mergeCell ref="I6:J6"/>
    <mergeCell ref="M6:N6"/>
    <mergeCell ref="Q6:R6"/>
    <mergeCell ref="W5:W6"/>
    <mergeCell ref="X5:X6"/>
    <mergeCell ref="Y5:Z5"/>
    <mergeCell ref="AA5:AA6"/>
    <mergeCell ref="Y6:Z6"/>
    <mergeCell ref="P5:P6"/>
    <mergeCell ref="Q5:R5"/>
    <mergeCell ref="S5:S6"/>
  </mergeCells>
  <pageMargins left="0.47244094488188981" right="7.874015748031496E-2" top="0.74803149606299213" bottom="0.74803149606299213" header="0.31496062992125984" footer="0.31496062992125984"/>
  <pageSetup paperSize="8" scale="89" fitToWidth="2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O15" sqref="O15"/>
    </sheetView>
  </sheetViews>
  <sheetFormatPr defaultColWidth="9.33203125" defaultRowHeight="12" x14ac:dyDescent="0.25"/>
  <cols>
    <col min="1" max="1" width="11.33203125" style="42" customWidth="1"/>
    <col min="2" max="2" width="8.6640625" style="42" customWidth="1"/>
    <col min="3" max="3" width="8.88671875" style="42" customWidth="1"/>
    <col min="4" max="4" width="8.33203125" style="42" customWidth="1"/>
    <col min="5" max="5" width="7.44140625" style="42" customWidth="1"/>
    <col min="6" max="6" width="9" style="42" customWidth="1"/>
    <col min="7" max="7" width="7.33203125" style="42" customWidth="1"/>
    <col min="8" max="8" width="9.33203125" style="42"/>
    <col min="9" max="10" width="7.33203125" style="42" customWidth="1"/>
    <col min="11" max="256" width="9.33203125" style="42"/>
    <col min="257" max="257" width="11.33203125" style="42" customWidth="1"/>
    <col min="258" max="258" width="8.6640625" style="42" customWidth="1"/>
    <col min="259" max="259" width="8.88671875" style="42" customWidth="1"/>
    <col min="260" max="260" width="8.33203125" style="42" customWidth="1"/>
    <col min="261" max="261" width="7.44140625" style="42" customWidth="1"/>
    <col min="262" max="262" width="9" style="42" customWidth="1"/>
    <col min="263" max="263" width="7.33203125" style="42" customWidth="1"/>
    <col min="264" max="264" width="9.33203125" style="42"/>
    <col min="265" max="266" width="7.33203125" style="42" customWidth="1"/>
    <col min="267" max="512" width="9.33203125" style="42"/>
    <col min="513" max="513" width="11.33203125" style="42" customWidth="1"/>
    <col min="514" max="514" width="8.6640625" style="42" customWidth="1"/>
    <col min="515" max="515" width="8.88671875" style="42" customWidth="1"/>
    <col min="516" max="516" width="8.33203125" style="42" customWidth="1"/>
    <col min="517" max="517" width="7.44140625" style="42" customWidth="1"/>
    <col min="518" max="518" width="9" style="42" customWidth="1"/>
    <col min="519" max="519" width="7.33203125" style="42" customWidth="1"/>
    <col min="520" max="520" width="9.33203125" style="42"/>
    <col min="521" max="522" width="7.33203125" style="42" customWidth="1"/>
    <col min="523" max="768" width="9.33203125" style="42"/>
    <col min="769" max="769" width="11.33203125" style="42" customWidth="1"/>
    <col min="770" max="770" width="8.6640625" style="42" customWidth="1"/>
    <col min="771" max="771" width="8.88671875" style="42" customWidth="1"/>
    <col min="772" max="772" width="8.33203125" style="42" customWidth="1"/>
    <col min="773" max="773" width="7.44140625" style="42" customWidth="1"/>
    <col min="774" max="774" width="9" style="42" customWidth="1"/>
    <col min="775" max="775" width="7.33203125" style="42" customWidth="1"/>
    <col min="776" max="776" width="9.33203125" style="42"/>
    <col min="777" max="778" width="7.33203125" style="42" customWidth="1"/>
    <col min="779" max="1024" width="9.33203125" style="42"/>
    <col min="1025" max="1025" width="11.33203125" style="42" customWidth="1"/>
    <col min="1026" max="1026" width="8.6640625" style="42" customWidth="1"/>
    <col min="1027" max="1027" width="8.88671875" style="42" customWidth="1"/>
    <col min="1028" max="1028" width="8.33203125" style="42" customWidth="1"/>
    <col min="1029" max="1029" width="7.44140625" style="42" customWidth="1"/>
    <col min="1030" max="1030" width="9" style="42" customWidth="1"/>
    <col min="1031" max="1031" width="7.33203125" style="42" customWidth="1"/>
    <col min="1032" max="1032" width="9.33203125" style="42"/>
    <col min="1033" max="1034" width="7.33203125" style="42" customWidth="1"/>
    <col min="1035" max="1280" width="9.33203125" style="42"/>
    <col min="1281" max="1281" width="11.33203125" style="42" customWidth="1"/>
    <col min="1282" max="1282" width="8.6640625" style="42" customWidth="1"/>
    <col min="1283" max="1283" width="8.88671875" style="42" customWidth="1"/>
    <col min="1284" max="1284" width="8.33203125" style="42" customWidth="1"/>
    <col min="1285" max="1285" width="7.44140625" style="42" customWidth="1"/>
    <col min="1286" max="1286" width="9" style="42" customWidth="1"/>
    <col min="1287" max="1287" width="7.33203125" style="42" customWidth="1"/>
    <col min="1288" max="1288" width="9.33203125" style="42"/>
    <col min="1289" max="1290" width="7.33203125" style="42" customWidth="1"/>
    <col min="1291" max="1536" width="9.33203125" style="42"/>
    <col min="1537" max="1537" width="11.33203125" style="42" customWidth="1"/>
    <col min="1538" max="1538" width="8.6640625" style="42" customWidth="1"/>
    <col min="1539" max="1539" width="8.88671875" style="42" customWidth="1"/>
    <col min="1540" max="1540" width="8.33203125" style="42" customWidth="1"/>
    <col min="1541" max="1541" width="7.44140625" style="42" customWidth="1"/>
    <col min="1542" max="1542" width="9" style="42" customWidth="1"/>
    <col min="1543" max="1543" width="7.33203125" style="42" customWidth="1"/>
    <col min="1544" max="1544" width="9.33203125" style="42"/>
    <col min="1545" max="1546" width="7.33203125" style="42" customWidth="1"/>
    <col min="1547" max="1792" width="9.33203125" style="42"/>
    <col min="1793" max="1793" width="11.33203125" style="42" customWidth="1"/>
    <col min="1794" max="1794" width="8.6640625" style="42" customWidth="1"/>
    <col min="1795" max="1795" width="8.88671875" style="42" customWidth="1"/>
    <col min="1796" max="1796" width="8.33203125" style="42" customWidth="1"/>
    <col min="1797" max="1797" width="7.44140625" style="42" customWidth="1"/>
    <col min="1798" max="1798" width="9" style="42" customWidth="1"/>
    <col min="1799" max="1799" width="7.33203125" style="42" customWidth="1"/>
    <col min="1800" max="1800" width="9.33203125" style="42"/>
    <col min="1801" max="1802" width="7.33203125" style="42" customWidth="1"/>
    <col min="1803" max="2048" width="9.33203125" style="42"/>
    <col min="2049" max="2049" width="11.33203125" style="42" customWidth="1"/>
    <col min="2050" max="2050" width="8.6640625" style="42" customWidth="1"/>
    <col min="2051" max="2051" width="8.88671875" style="42" customWidth="1"/>
    <col min="2052" max="2052" width="8.33203125" style="42" customWidth="1"/>
    <col min="2053" max="2053" width="7.44140625" style="42" customWidth="1"/>
    <col min="2054" max="2054" width="9" style="42" customWidth="1"/>
    <col min="2055" max="2055" width="7.33203125" style="42" customWidth="1"/>
    <col min="2056" max="2056" width="9.33203125" style="42"/>
    <col min="2057" max="2058" width="7.33203125" style="42" customWidth="1"/>
    <col min="2059" max="2304" width="9.33203125" style="42"/>
    <col min="2305" max="2305" width="11.33203125" style="42" customWidth="1"/>
    <col min="2306" max="2306" width="8.6640625" style="42" customWidth="1"/>
    <col min="2307" max="2307" width="8.88671875" style="42" customWidth="1"/>
    <col min="2308" max="2308" width="8.33203125" style="42" customWidth="1"/>
    <col min="2309" max="2309" width="7.44140625" style="42" customWidth="1"/>
    <col min="2310" max="2310" width="9" style="42" customWidth="1"/>
    <col min="2311" max="2311" width="7.33203125" style="42" customWidth="1"/>
    <col min="2312" max="2312" width="9.33203125" style="42"/>
    <col min="2313" max="2314" width="7.33203125" style="42" customWidth="1"/>
    <col min="2315" max="2560" width="9.33203125" style="42"/>
    <col min="2561" max="2561" width="11.33203125" style="42" customWidth="1"/>
    <col min="2562" max="2562" width="8.6640625" style="42" customWidth="1"/>
    <col min="2563" max="2563" width="8.88671875" style="42" customWidth="1"/>
    <col min="2564" max="2564" width="8.33203125" style="42" customWidth="1"/>
    <col min="2565" max="2565" width="7.44140625" style="42" customWidth="1"/>
    <col min="2566" max="2566" width="9" style="42" customWidth="1"/>
    <col min="2567" max="2567" width="7.33203125" style="42" customWidth="1"/>
    <col min="2568" max="2568" width="9.33203125" style="42"/>
    <col min="2569" max="2570" width="7.33203125" style="42" customWidth="1"/>
    <col min="2571" max="2816" width="9.33203125" style="42"/>
    <col min="2817" max="2817" width="11.33203125" style="42" customWidth="1"/>
    <col min="2818" max="2818" width="8.6640625" style="42" customWidth="1"/>
    <col min="2819" max="2819" width="8.88671875" style="42" customWidth="1"/>
    <col min="2820" max="2820" width="8.33203125" style="42" customWidth="1"/>
    <col min="2821" max="2821" width="7.44140625" style="42" customWidth="1"/>
    <col min="2822" max="2822" width="9" style="42" customWidth="1"/>
    <col min="2823" max="2823" width="7.33203125" style="42" customWidth="1"/>
    <col min="2824" max="2824" width="9.33203125" style="42"/>
    <col min="2825" max="2826" width="7.33203125" style="42" customWidth="1"/>
    <col min="2827" max="3072" width="9.33203125" style="42"/>
    <col min="3073" max="3073" width="11.33203125" style="42" customWidth="1"/>
    <col min="3074" max="3074" width="8.6640625" style="42" customWidth="1"/>
    <col min="3075" max="3075" width="8.88671875" style="42" customWidth="1"/>
    <col min="3076" max="3076" width="8.33203125" style="42" customWidth="1"/>
    <col min="3077" max="3077" width="7.44140625" style="42" customWidth="1"/>
    <col min="3078" max="3078" width="9" style="42" customWidth="1"/>
    <col min="3079" max="3079" width="7.33203125" style="42" customWidth="1"/>
    <col min="3080" max="3080" width="9.33203125" style="42"/>
    <col min="3081" max="3082" width="7.33203125" style="42" customWidth="1"/>
    <col min="3083" max="3328" width="9.33203125" style="42"/>
    <col min="3329" max="3329" width="11.33203125" style="42" customWidth="1"/>
    <col min="3330" max="3330" width="8.6640625" style="42" customWidth="1"/>
    <col min="3331" max="3331" width="8.88671875" style="42" customWidth="1"/>
    <col min="3332" max="3332" width="8.33203125" style="42" customWidth="1"/>
    <col min="3333" max="3333" width="7.44140625" style="42" customWidth="1"/>
    <col min="3334" max="3334" width="9" style="42" customWidth="1"/>
    <col min="3335" max="3335" width="7.33203125" style="42" customWidth="1"/>
    <col min="3336" max="3336" width="9.33203125" style="42"/>
    <col min="3337" max="3338" width="7.33203125" style="42" customWidth="1"/>
    <col min="3339" max="3584" width="9.33203125" style="42"/>
    <col min="3585" max="3585" width="11.33203125" style="42" customWidth="1"/>
    <col min="3586" max="3586" width="8.6640625" style="42" customWidth="1"/>
    <col min="3587" max="3587" width="8.88671875" style="42" customWidth="1"/>
    <col min="3588" max="3588" width="8.33203125" style="42" customWidth="1"/>
    <col min="3589" max="3589" width="7.44140625" style="42" customWidth="1"/>
    <col min="3590" max="3590" width="9" style="42" customWidth="1"/>
    <col min="3591" max="3591" width="7.33203125" style="42" customWidth="1"/>
    <col min="3592" max="3592" width="9.33203125" style="42"/>
    <col min="3593" max="3594" width="7.33203125" style="42" customWidth="1"/>
    <col min="3595" max="3840" width="9.33203125" style="42"/>
    <col min="3841" max="3841" width="11.33203125" style="42" customWidth="1"/>
    <col min="3842" max="3842" width="8.6640625" style="42" customWidth="1"/>
    <col min="3843" max="3843" width="8.88671875" style="42" customWidth="1"/>
    <col min="3844" max="3844" width="8.33203125" style="42" customWidth="1"/>
    <col min="3845" max="3845" width="7.44140625" style="42" customWidth="1"/>
    <col min="3846" max="3846" width="9" style="42" customWidth="1"/>
    <col min="3847" max="3847" width="7.33203125" style="42" customWidth="1"/>
    <col min="3848" max="3848" width="9.33203125" style="42"/>
    <col min="3849" max="3850" width="7.33203125" style="42" customWidth="1"/>
    <col min="3851" max="4096" width="9.33203125" style="42"/>
    <col min="4097" max="4097" width="11.33203125" style="42" customWidth="1"/>
    <col min="4098" max="4098" width="8.6640625" style="42" customWidth="1"/>
    <col min="4099" max="4099" width="8.88671875" style="42" customWidth="1"/>
    <col min="4100" max="4100" width="8.33203125" style="42" customWidth="1"/>
    <col min="4101" max="4101" width="7.44140625" style="42" customWidth="1"/>
    <col min="4102" max="4102" width="9" style="42" customWidth="1"/>
    <col min="4103" max="4103" width="7.33203125" style="42" customWidth="1"/>
    <col min="4104" max="4104" width="9.33203125" style="42"/>
    <col min="4105" max="4106" width="7.33203125" style="42" customWidth="1"/>
    <col min="4107" max="4352" width="9.33203125" style="42"/>
    <col min="4353" max="4353" width="11.33203125" style="42" customWidth="1"/>
    <col min="4354" max="4354" width="8.6640625" style="42" customWidth="1"/>
    <col min="4355" max="4355" width="8.88671875" style="42" customWidth="1"/>
    <col min="4356" max="4356" width="8.33203125" style="42" customWidth="1"/>
    <col min="4357" max="4357" width="7.44140625" style="42" customWidth="1"/>
    <col min="4358" max="4358" width="9" style="42" customWidth="1"/>
    <col min="4359" max="4359" width="7.33203125" style="42" customWidth="1"/>
    <col min="4360" max="4360" width="9.33203125" style="42"/>
    <col min="4361" max="4362" width="7.33203125" style="42" customWidth="1"/>
    <col min="4363" max="4608" width="9.33203125" style="42"/>
    <col min="4609" max="4609" width="11.33203125" style="42" customWidth="1"/>
    <col min="4610" max="4610" width="8.6640625" style="42" customWidth="1"/>
    <col min="4611" max="4611" width="8.88671875" style="42" customWidth="1"/>
    <col min="4612" max="4612" width="8.33203125" style="42" customWidth="1"/>
    <col min="4613" max="4613" width="7.44140625" style="42" customWidth="1"/>
    <col min="4614" max="4614" width="9" style="42" customWidth="1"/>
    <col min="4615" max="4615" width="7.33203125" style="42" customWidth="1"/>
    <col min="4616" max="4616" width="9.33203125" style="42"/>
    <col min="4617" max="4618" width="7.33203125" style="42" customWidth="1"/>
    <col min="4619" max="4864" width="9.33203125" style="42"/>
    <col min="4865" max="4865" width="11.33203125" style="42" customWidth="1"/>
    <col min="4866" max="4866" width="8.6640625" style="42" customWidth="1"/>
    <col min="4867" max="4867" width="8.88671875" style="42" customWidth="1"/>
    <col min="4868" max="4868" width="8.33203125" style="42" customWidth="1"/>
    <col min="4869" max="4869" width="7.44140625" style="42" customWidth="1"/>
    <col min="4870" max="4870" width="9" style="42" customWidth="1"/>
    <col min="4871" max="4871" width="7.33203125" style="42" customWidth="1"/>
    <col min="4872" max="4872" width="9.33203125" style="42"/>
    <col min="4873" max="4874" width="7.33203125" style="42" customWidth="1"/>
    <col min="4875" max="5120" width="9.33203125" style="42"/>
    <col min="5121" max="5121" width="11.33203125" style="42" customWidth="1"/>
    <col min="5122" max="5122" width="8.6640625" style="42" customWidth="1"/>
    <col min="5123" max="5123" width="8.88671875" style="42" customWidth="1"/>
    <col min="5124" max="5124" width="8.33203125" style="42" customWidth="1"/>
    <col min="5125" max="5125" width="7.44140625" style="42" customWidth="1"/>
    <col min="5126" max="5126" width="9" style="42" customWidth="1"/>
    <col min="5127" max="5127" width="7.33203125" style="42" customWidth="1"/>
    <col min="5128" max="5128" width="9.33203125" style="42"/>
    <col min="5129" max="5130" width="7.33203125" style="42" customWidth="1"/>
    <col min="5131" max="5376" width="9.33203125" style="42"/>
    <col min="5377" max="5377" width="11.33203125" style="42" customWidth="1"/>
    <col min="5378" max="5378" width="8.6640625" style="42" customWidth="1"/>
    <col min="5379" max="5379" width="8.88671875" style="42" customWidth="1"/>
    <col min="5380" max="5380" width="8.33203125" style="42" customWidth="1"/>
    <col min="5381" max="5381" width="7.44140625" style="42" customWidth="1"/>
    <col min="5382" max="5382" width="9" style="42" customWidth="1"/>
    <col min="5383" max="5383" width="7.33203125" style="42" customWidth="1"/>
    <col min="5384" max="5384" width="9.33203125" style="42"/>
    <col min="5385" max="5386" width="7.33203125" style="42" customWidth="1"/>
    <col min="5387" max="5632" width="9.33203125" style="42"/>
    <col min="5633" max="5633" width="11.33203125" style="42" customWidth="1"/>
    <col min="5634" max="5634" width="8.6640625" style="42" customWidth="1"/>
    <col min="5635" max="5635" width="8.88671875" style="42" customWidth="1"/>
    <col min="5636" max="5636" width="8.33203125" style="42" customWidth="1"/>
    <col min="5637" max="5637" width="7.44140625" style="42" customWidth="1"/>
    <col min="5638" max="5638" width="9" style="42" customWidth="1"/>
    <col min="5639" max="5639" width="7.33203125" style="42" customWidth="1"/>
    <col min="5640" max="5640" width="9.33203125" style="42"/>
    <col min="5641" max="5642" width="7.33203125" style="42" customWidth="1"/>
    <col min="5643" max="5888" width="9.33203125" style="42"/>
    <col min="5889" max="5889" width="11.33203125" style="42" customWidth="1"/>
    <col min="5890" max="5890" width="8.6640625" style="42" customWidth="1"/>
    <col min="5891" max="5891" width="8.88671875" style="42" customWidth="1"/>
    <col min="5892" max="5892" width="8.33203125" style="42" customWidth="1"/>
    <col min="5893" max="5893" width="7.44140625" style="42" customWidth="1"/>
    <col min="5894" max="5894" width="9" style="42" customWidth="1"/>
    <col min="5895" max="5895" width="7.33203125" style="42" customWidth="1"/>
    <col min="5896" max="5896" width="9.33203125" style="42"/>
    <col min="5897" max="5898" width="7.33203125" style="42" customWidth="1"/>
    <col min="5899" max="6144" width="9.33203125" style="42"/>
    <col min="6145" max="6145" width="11.33203125" style="42" customWidth="1"/>
    <col min="6146" max="6146" width="8.6640625" style="42" customWidth="1"/>
    <col min="6147" max="6147" width="8.88671875" style="42" customWidth="1"/>
    <col min="6148" max="6148" width="8.33203125" style="42" customWidth="1"/>
    <col min="6149" max="6149" width="7.44140625" style="42" customWidth="1"/>
    <col min="6150" max="6150" width="9" style="42" customWidth="1"/>
    <col min="6151" max="6151" width="7.33203125" style="42" customWidth="1"/>
    <col min="6152" max="6152" width="9.33203125" style="42"/>
    <col min="6153" max="6154" width="7.33203125" style="42" customWidth="1"/>
    <col min="6155" max="6400" width="9.33203125" style="42"/>
    <col min="6401" max="6401" width="11.33203125" style="42" customWidth="1"/>
    <col min="6402" max="6402" width="8.6640625" style="42" customWidth="1"/>
    <col min="6403" max="6403" width="8.88671875" style="42" customWidth="1"/>
    <col min="6404" max="6404" width="8.33203125" style="42" customWidth="1"/>
    <col min="6405" max="6405" width="7.44140625" style="42" customWidth="1"/>
    <col min="6406" max="6406" width="9" style="42" customWidth="1"/>
    <col min="6407" max="6407" width="7.33203125" style="42" customWidth="1"/>
    <col min="6408" max="6408" width="9.33203125" style="42"/>
    <col min="6409" max="6410" width="7.33203125" style="42" customWidth="1"/>
    <col min="6411" max="6656" width="9.33203125" style="42"/>
    <col min="6657" max="6657" width="11.33203125" style="42" customWidth="1"/>
    <col min="6658" max="6658" width="8.6640625" style="42" customWidth="1"/>
    <col min="6659" max="6659" width="8.88671875" style="42" customWidth="1"/>
    <col min="6660" max="6660" width="8.33203125" style="42" customWidth="1"/>
    <col min="6661" max="6661" width="7.44140625" style="42" customWidth="1"/>
    <col min="6662" max="6662" width="9" style="42" customWidth="1"/>
    <col min="6663" max="6663" width="7.33203125" style="42" customWidth="1"/>
    <col min="6664" max="6664" width="9.33203125" style="42"/>
    <col min="6665" max="6666" width="7.33203125" style="42" customWidth="1"/>
    <col min="6667" max="6912" width="9.33203125" style="42"/>
    <col min="6913" max="6913" width="11.33203125" style="42" customWidth="1"/>
    <col min="6914" max="6914" width="8.6640625" style="42" customWidth="1"/>
    <col min="6915" max="6915" width="8.88671875" style="42" customWidth="1"/>
    <col min="6916" max="6916" width="8.33203125" style="42" customWidth="1"/>
    <col min="6917" max="6917" width="7.44140625" style="42" customWidth="1"/>
    <col min="6918" max="6918" width="9" style="42" customWidth="1"/>
    <col min="6919" max="6919" width="7.33203125" style="42" customWidth="1"/>
    <col min="6920" max="6920" width="9.33203125" style="42"/>
    <col min="6921" max="6922" width="7.33203125" style="42" customWidth="1"/>
    <col min="6923" max="7168" width="9.33203125" style="42"/>
    <col min="7169" max="7169" width="11.33203125" style="42" customWidth="1"/>
    <col min="7170" max="7170" width="8.6640625" style="42" customWidth="1"/>
    <col min="7171" max="7171" width="8.88671875" style="42" customWidth="1"/>
    <col min="7172" max="7172" width="8.33203125" style="42" customWidth="1"/>
    <col min="7173" max="7173" width="7.44140625" style="42" customWidth="1"/>
    <col min="7174" max="7174" width="9" style="42" customWidth="1"/>
    <col min="7175" max="7175" width="7.33203125" style="42" customWidth="1"/>
    <col min="7176" max="7176" width="9.33203125" style="42"/>
    <col min="7177" max="7178" width="7.33203125" style="42" customWidth="1"/>
    <col min="7179" max="7424" width="9.33203125" style="42"/>
    <col min="7425" max="7425" width="11.33203125" style="42" customWidth="1"/>
    <col min="7426" max="7426" width="8.6640625" style="42" customWidth="1"/>
    <col min="7427" max="7427" width="8.88671875" style="42" customWidth="1"/>
    <col min="7428" max="7428" width="8.33203125" style="42" customWidth="1"/>
    <col min="7429" max="7429" width="7.44140625" style="42" customWidth="1"/>
    <col min="7430" max="7430" width="9" style="42" customWidth="1"/>
    <col min="7431" max="7431" width="7.33203125" style="42" customWidth="1"/>
    <col min="7432" max="7432" width="9.33203125" style="42"/>
    <col min="7433" max="7434" width="7.33203125" style="42" customWidth="1"/>
    <col min="7435" max="7680" width="9.33203125" style="42"/>
    <col min="7681" max="7681" width="11.33203125" style="42" customWidth="1"/>
    <col min="7682" max="7682" width="8.6640625" style="42" customWidth="1"/>
    <col min="7683" max="7683" width="8.88671875" style="42" customWidth="1"/>
    <col min="7684" max="7684" width="8.33203125" style="42" customWidth="1"/>
    <col min="7685" max="7685" width="7.44140625" style="42" customWidth="1"/>
    <col min="7686" max="7686" width="9" style="42" customWidth="1"/>
    <col min="7687" max="7687" width="7.33203125" style="42" customWidth="1"/>
    <col min="7688" max="7688" width="9.33203125" style="42"/>
    <col min="7689" max="7690" width="7.33203125" style="42" customWidth="1"/>
    <col min="7691" max="7936" width="9.33203125" style="42"/>
    <col min="7937" max="7937" width="11.33203125" style="42" customWidth="1"/>
    <col min="7938" max="7938" width="8.6640625" style="42" customWidth="1"/>
    <col min="7939" max="7939" width="8.88671875" style="42" customWidth="1"/>
    <col min="7940" max="7940" width="8.33203125" style="42" customWidth="1"/>
    <col min="7941" max="7941" width="7.44140625" style="42" customWidth="1"/>
    <col min="7942" max="7942" width="9" style="42" customWidth="1"/>
    <col min="7943" max="7943" width="7.33203125" style="42" customWidth="1"/>
    <col min="7944" max="7944" width="9.33203125" style="42"/>
    <col min="7945" max="7946" width="7.33203125" style="42" customWidth="1"/>
    <col min="7947" max="8192" width="9.33203125" style="42"/>
    <col min="8193" max="8193" width="11.33203125" style="42" customWidth="1"/>
    <col min="8194" max="8194" width="8.6640625" style="42" customWidth="1"/>
    <col min="8195" max="8195" width="8.88671875" style="42" customWidth="1"/>
    <col min="8196" max="8196" width="8.33203125" style="42" customWidth="1"/>
    <col min="8197" max="8197" width="7.44140625" style="42" customWidth="1"/>
    <col min="8198" max="8198" width="9" style="42" customWidth="1"/>
    <col min="8199" max="8199" width="7.33203125" style="42" customWidth="1"/>
    <col min="8200" max="8200" width="9.33203125" style="42"/>
    <col min="8201" max="8202" width="7.33203125" style="42" customWidth="1"/>
    <col min="8203" max="8448" width="9.33203125" style="42"/>
    <col min="8449" max="8449" width="11.33203125" style="42" customWidth="1"/>
    <col min="8450" max="8450" width="8.6640625" style="42" customWidth="1"/>
    <col min="8451" max="8451" width="8.88671875" style="42" customWidth="1"/>
    <col min="8452" max="8452" width="8.33203125" style="42" customWidth="1"/>
    <col min="8453" max="8453" width="7.44140625" style="42" customWidth="1"/>
    <col min="8454" max="8454" width="9" style="42" customWidth="1"/>
    <col min="8455" max="8455" width="7.33203125" style="42" customWidth="1"/>
    <col min="8456" max="8456" width="9.33203125" style="42"/>
    <col min="8457" max="8458" width="7.33203125" style="42" customWidth="1"/>
    <col min="8459" max="8704" width="9.33203125" style="42"/>
    <col min="8705" max="8705" width="11.33203125" style="42" customWidth="1"/>
    <col min="8706" max="8706" width="8.6640625" style="42" customWidth="1"/>
    <col min="8707" max="8707" width="8.88671875" style="42" customWidth="1"/>
    <col min="8708" max="8708" width="8.33203125" style="42" customWidth="1"/>
    <col min="8709" max="8709" width="7.44140625" style="42" customWidth="1"/>
    <col min="8710" max="8710" width="9" style="42" customWidth="1"/>
    <col min="8711" max="8711" width="7.33203125" style="42" customWidth="1"/>
    <col min="8712" max="8712" width="9.33203125" style="42"/>
    <col min="8713" max="8714" width="7.33203125" style="42" customWidth="1"/>
    <col min="8715" max="8960" width="9.33203125" style="42"/>
    <col min="8961" max="8961" width="11.33203125" style="42" customWidth="1"/>
    <col min="8962" max="8962" width="8.6640625" style="42" customWidth="1"/>
    <col min="8963" max="8963" width="8.88671875" style="42" customWidth="1"/>
    <col min="8964" max="8964" width="8.33203125" style="42" customWidth="1"/>
    <col min="8965" max="8965" width="7.44140625" style="42" customWidth="1"/>
    <col min="8966" max="8966" width="9" style="42" customWidth="1"/>
    <col min="8967" max="8967" width="7.33203125" style="42" customWidth="1"/>
    <col min="8968" max="8968" width="9.33203125" style="42"/>
    <col min="8969" max="8970" width="7.33203125" style="42" customWidth="1"/>
    <col min="8971" max="9216" width="9.33203125" style="42"/>
    <col min="9217" max="9217" width="11.33203125" style="42" customWidth="1"/>
    <col min="9218" max="9218" width="8.6640625" style="42" customWidth="1"/>
    <col min="9219" max="9219" width="8.88671875" style="42" customWidth="1"/>
    <col min="9220" max="9220" width="8.33203125" style="42" customWidth="1"/>
    <col min="9221" max="9221" width="7.44140625" style="42" customWidth="1"/>
    <col min="9222" max="9222" width="9" style="42" customWidth="1"/>
    <col min="9223" max="9223" width="7.33203125" style="42" customWidth="1"/>
    <col min="9224" max="9224" width="9.33203125" style="42"/>
    <col min="9225" max="9226" width="7.33203125" style="42" customWidth="1"/>
    <col min="9227" max="9472" width="9.33203125" style="42"/>
    <col min="9473" max="9473" width="11.33203125" style="42" customWidth="1"/>
    <col min="9474" max="9474" width="8.6640625" style="42" customWidth="1"/>
    <col min="9475" max="9475" width="8.88671875" style="42" customWidth="1"/>
    <col min="9476" max="9476" width="8.33203125" style="42" customWidth="1"/>
    <col min="9477" max="9477" width="7.44140625" style="42" customWidth="1"/>
    <col min="9478" max="9478" width="9" style="42" customWidth="1"/>
    <col min="9479" max="9479" width="7.33203125" style="42" customWidth="1"/>
    <col min="9480" max="9480" width="9.33203125" style="42"/>
    <col min="9481" max="9482" width="7.33203125" style="42" customWidth="1"/>
    <col min="9483" max="9728" width="9.33203125" style="42"/>
    <col min="9729" max="9729" width="11.33203125" style="42" customWidth="1"/>
    <col min="9730" max="9730" width="8.6640625" style="42" customWidth="1"/>
    <col min="9731" max="9731" width="8.88671875" style="42" customWidth="1"/>
    <col min="9732" max="9732" width="8.33203125" style="42" customWidth="1"/>
    <col min="9733" max="9733" width="7.44140625" style="42" customWidth="1"/>
    <col min="9734" max="9734" width="9" style="42" customWidth="1"/>
    <col min="9735" max="9735" width="7.33203125" style="42" customWidth="1"/>
    <col min="9736" max="9736" width="9.33203125" style="42"/>
    <col min="9737" max="9738" width="7.33203125" style="42" customWidth="1"/>
    <col min="9739" max="9984" width="9.33203125" style="42"/>
    <col min="9985" max="9985" width="11.33203125" style="42" customWidth="1"/>
    <col min="9986" max="9986" width="8.6640625" style="42" customWidth="1"/>
    <col min="9987" max="9987" width="8.88671875" style="42" customWidth="1"/>
    <col min="9988" max="9988" width="8.33203125" style="42" customWidth="1"/>
    <col min="9989" max="9989" width="7.44140625" style="42" customWidth="1"/>
    <col min="9990" max="9990" width="9" style="42" customWidth="1"/>
    <col min="9991" max="9991" width="7.33203125" style="42" customWidth="1"/>
    <col min="9992" max="9992" width="9.33203125" style="42"/>
    <col min="9993" max="9994" width="7.33203125" style="42" customWidth="1"/>
    <col min="9995" max="10240" width="9.33203125" style="42"/>
    <col min="10241" max="10241" width="11.33203125" style="42" customWidth="1"/>
    <col min="10242" max="10242" width="8.6640625" style="42" customWidth="1"/>
    <col min="10243" max="10243" width="8.88671875" style="42" customWidth="1"/>
    <col min="10244" max="10244" width="8.33203125" style="42" customWidth="1"/>
    <col min="10245" max="10245" width="7.44140625" style="42" customWidth="1"/>
    <col min="10246" max="10246" width="9" style="42" customWidth="1"/>
    <col min="10247" max="10247" width="7.33203125" style="42" customWidth="1"/>
    <col min="10248" max="10248" width="9.33203125" style="42"/>
    <col min="10249" max="10250" width="7.33203125" style="42" customWidth="1"/>
    <col min="10251" max="10496" width="9.33203125" style="42"/>
    <col min="10497" max="10497" width="11.33203125" style="42" customWidth="1"/>
    <col min="10498" max="10498" width="8.6640625" style="42" customWidth="1"/>
    <col min="10499" max="10499" width="8.88671875" style="42" customWidth="1"/>
    <col min="10500" max="10500" width="8.33203125" style="42" customWidth="1"/>
    <col min="10501" max="10501" width="7.44140625" style="42" customWidth="1"/>
    <col min="10502" max="10502" width="9" style="42" customWidth="1"/>
    <col min="10503" max="10503" width="7.33203125" style="42" customWidth="1"/>
    <col min="10504" max="10504" width="9.33203125" style="42"/>
    <col min="10505" max="10506" width="7.33203125" style="42" customWidth="1"/>
    <col min="10507" max="10752" width="9.33203125" style="42"/>
    <col min="10753" max="10753" width="11.33203125" style="42" customWidth="1"/>
    <col min="10754" max="10754" width="8.6640625" style="42" customWidth="1"/>
    <col min="10755" max="10755" width="8.88671875" style="42" customWidth="1"/>
    <col min="10756" max="10756" width="8.33203125" style="42" customWidth="1"/>
    <col min="10757" max="10757" width="7.44140625" style="42" customWidth="1"/>
    <col min="10758" max="10758" width="9" style="42" customWidth="1"/>
    <col min="10759" max="10759" width="7.33203125" style="42" customWidth="1"/>
    <col min="10760" max="10760" width="9.33203125" style="42"/>
    <col min="10761" max="10762" width="7.33203125" style="42" customWidth="1"/>
    <col min="10763" max="11008" width="9.33203125" style="42"/>
    <col min="11009" max="11009" width="11.33203125" style="42" customWidth="1"/>
    <col min="11010" max="11010" width="8.6640625" style="42" customWidth="1"/>
    <col min="11011" max="11011" width="8.88671875" style="42" customWidth="1"/>
    <col min="11012" max="11012" width="8.33203125" style="42" customWidth="1"/>
    <col min="11013" max="11013" width="7.44140625" style="42" customWidth="1"/>
    <col min="11014" max="11014" width="9" style="42" customWidth="1"/>
    <col min="11015" max="11015" width="7.33203125" style="42" customWidth="1"/>
    <col min="11016" max="11016" width="9.33203125" style="42"/>
    <col min="11017" max="11018" width="7.33203125" style="42" customWidth="1"/>
    <col min="11019" max="11264" width="9.33203125" style="42"/>
    <col min="11265" max="11265" width="11.33203125" style="42" customWidth="1"/>
    <col min="11266" max="11266" width="8.6640625" style="42" customWidth="1"/>
    <col min="11267" max="11267" width="8.88671875" style="42" customWidth="1"/>
    <col min="11268" max="11268" width="8.33203125" style="42" customWidth="1"/>
    <col min="11269" max="11269" width="7.44140625" style="42" customWidth="1"/>
    <col min="11270" max="11270" width="9" style="42" customWidth="1"/>
    <col min="11271" max="11271" width="7.33203125" style="42" customWidth="1"/>
    <col min="11272" max="11272" width="9.33203125" style="42"/>
    <col min="11273" max="11274" width="7.33203125" style="42" customWidth="1"/>
    <col min="11275" max="11520" width="9.33203125" style="42"/>
    <col min="11521" max="11521" width="11.33203125" style="42" customWidth="1"/>
    <col min="11522" max="11522" width="8.6640625" style="42" customWidth="1"/>
    <col min="11523" max="11523" width="8.88671875" style="42" customWidth="1"/>
    <col min="11524" max="11524" width="8.33203125" style="42" customWidth="1"/>
    <col min="11525" max="11525" width="7.44140625" style="42" customWidth="1"/>
    <col min="11526" max="11526" width="9" style="42" customWidth="1"/>
    <col min="11527" max="11527" width="7.33203125" style="42" customWidth="1"/>
    <col min="11528" max="11528" width="9.33203125" style="42"/>
    <col min="11529" max="11530" width="7.33203125" style="42" customWidth="1"/>
    <col min="11531" max="11776" width="9.33203125" style="42"/>
    <col min="11777" max="11777" width="11.33203125" style="42" customWidth="1"/>
    <col min="11778" max="11778" width="8.6640625" style="42" customWidth="1"/>
    <col min="11779" max="11779" width="8.88671875" style="42" customWidth="1"/>
    <col min="11780" max="11780" width="8.33203125" style="42" customWidth="1"/>
    <col min="11781" max="11781" width="7.44140625" style="42" customWidth="1"/>
    <col min="11782" max="11782" width="9" style="42" customWidth="1"/>
    <col min="11783" max="11783" width="7.33203125" style="42" customWidth="1"/>
    <col min="11784" max="11784" width="9.33203125" style="42"/>
    <col min="11785" max="11786" width="7.33203125" style="42" customWidth="1"/>
    <col min="11787" max="12032" width="9.33203125" style="42"/>
    <col min="12033" max="12033" width="11.33203125" style="42" customWidth="1"/>
    <col min="12034" max="12034" width="8.6640625" style="42" customWidth="1"/>
    <col min="12035" max="12035" width="8.88671875" style="42" customWidth="1"/>
    <col min="12036" max="12036" width="8.33203125" style="42" customWidth="1"/>
    <col min="12037" max="12037" width="7.44140625" style="42" customWidth="1"/>
    <col min="12038" max="12038" width="9" style="42" customWidth="1"/>
    <col min="12039" max="12039" width="7.33203125" style="42" customWidth="1"/>
    <col min="12040" max="12040" width="9.33203125" style="42"/>
    <col min="12041" max="12042" width="7.33203125" style="42" customWidth="1"/>
    <col min="12043" max="12288" width="9.33203125" style="42"/>
    <col min="12289" max="12289" width="11.33203125" style="42" customWidth="1"/>
    <col min="12290" max="12290" width="8.6640625" style="42" customWidth="1"/>
    <col min="12291" max="12291" width="8.88671875" style="42" customWidth="1"/>
    <col min="12292" max="12292" width="8.33203125" style="42" customWidth="1"/>
    <col min="12293" max="12293" width="7.44140625" style="42" customWidth="1"/>
    <col min="12294" max="12294" width="9" style="42" customWidth="1"/>
    <col min="12295" max="12295" width="7.33203125" style="42" customWidth="1"/>
    <col min="12296" max="12296" width="9.33203125" style="42"/>
    <col min="12297" max="12298" width="7.33203125" style="42" customWidth="1"/>
    <col min="12299" max="12544" width="9.33203125" style="42"/>
    <col min="12545" max="12545" width="11.33203125" style="42" customWidth="1"/>
    <col min="12546" max="12546" width="8.6640625" style="42" customWidth="1"/>
    <col min="12547" max="12547" width="8.88671875" style="42" customWidth="1"/>
    <col min="12548" max="12548" width="8.33203125" style="42" customWidth="1"/>
    <col min="12549" max="12549" width="7.44140625" style="42" customWidth="1"/>
    <col min="12550" max="12550" width="9" style="42" customWidth="1"/>
    <col min="12551" max="12551" width="7.33203125" style="42" customWidth="1"/>
    <col min="12552" max="12552" width="9.33203125" style="42"/>
    <col min="12553" max="12554" width="7.33203125" style="42" customWidth="1"/>
    <col min="12555" max="12800" width="9.33203125" style="42"/>
    <col min="12801" max="12801" width="11.33203125" style="42" customWidth="1"/>
    <col min="12802" max="12802" width="8.6640625" style="42" customWidth="1"/>
    <col min="12803" max="12803" width="8.88671875" style="42" customWidth="1"/>
    <col min="12804" max="12804" width="8.33203125" style="42" customWidth="1"/>
    <col min="12805" max="12805" width="7.44140625" style="42" customWidth="1"/>
    <col min="12806" max="12806" width="9" style="42" customWidth="1"/>
    <col min="12807" max="12807" width="7.33203125" style="42" customWidth="1"/>
    <col min="12808" max="12808" width="9.33203125" style="42"/>
    <col min="12809" max="12810" width="7.33203125" style="42" customWidth="1"/>
    <col min="12811" max="13056" width="9.33203125" style="42"/>
    <col min="13057" max="13057" width="11.33203125" style="42" customWidth="1"/>
    <col min="13058" max="13058" width="8.6640625" style="42" customWidth="1"/>
    <col min="13059" max="13059" width="8.88671875" style="42" customWidth="1"/>
    <col min="13060" max="13060" width="8.33203125" style="42" customWidth="1"/>
    <col min="13061" max="13061" width="7.44140625" style="42" customWidth="1"/>
    <col min="13062" max="13062" width="9" style="42" customWidth="1"/>
    <col min="13063" max="13063" width="7.33203125" style="42" customWidth="1"/>
    <col min="13064" max="13064" width="9.33203125" style="42"/>
    <col min="13065" max="13066" width="7.33203125" style="42" customWidth="1"/>
    <col min="13067" max="13312" width="9.33203125" style="42"/>
    <col min="13313" max="13313" width="11.33203125" style="42" customWidth="1"/>
    <col min="13314" max="13314" width="8.6640625" style="42" customWidth="1"/>
    <col min="13315" max="13315" width="8.88671875" style="42" customWidth="1"/>
    <col min="13316" max="13316" width="8.33203125" style="42" customWidth="1"/>
    <col min="13317" max="13317" width="7.44140625" style="42" customWidth="1"/>
    <col min="13318" max="13318" width="9" style="42" customWidth="1"/>
    <col min="13319" max="13319" width="7.33203125" style="42" customWidth="1"/>
    <col min="13320" max="13320" width="9.33203125" style="42"/>
    <col min="13321" max="13322" width="7.33203125" style="42" customWidth="1"/>
    <col min="13323" max="13568" width="9.33203125" style="42"/>
    <col min="13569" max="13569" width="11.33203125" style="42" customWidth="1"/>
    <col min="13570" max="13570" width="8.6640625" style="42" customWidth="1"/>
    <col min="13571" max="13571" width="8.88671875" style="42" customWidth="1"/>
    <col min="13572" max="13572" width="8.33203125" style="42" customWidth="1"/>
    <col min="13573" max="13573" width="7.44140625" style="42" customWidth="1"/>
    <col min="13574" max="13574" width="9" style="42" customWidth="1"/>
    <col min="13575" max="13575" width="7.33203125" style="42" customWidth="1"/>
    <col min="13576" max="13576" width="9.33203125" style="42"/>
    <col min="13577" max="13578" width="7.33203125" style="42" customWidth="1"/>
    <col min="13579" max="13824" width="9.33203125" style="42"/>
    <col min="13825" max="13825" width="11.33203125" style="42" customWidth="1"/>
    <col min="13826" max="13826" width="8.6640625" style="42" customWidth="1"/>
    <col min="13827" max="13827" width="8.88671875" style="42" customWidth="1"/>
    <col min="13828" max="13828" width="8.33203125" style="42" customWidth="1"/>
    <col min="13829" max="13829" width="7.44140625" style="42" customWidth="1"/>
    <col min="13830" max="13830" width="9" style="42" customWidth="1"/>
    <col min="13831" max="13831" width="7.33203125" style="42" customWidth="1"/>
    <col min="13832" max="13832" width="9.33203125" style="42"/>
    <col min="13833" max="13834" width="7.33203125" style="42" customWidth="1"/>
    <col min="13835" max="14080" width="9.33203125" style="42"/>
    <col min="14081" max="14081" width="11.33203125" style="42" customWidth="1"/>
    <col min="14082" max="14082" width="8.6640625" style="42" customWidth="1"/>
    <col min="14083" max="14083" width="8.88671875" style="42" customWidth="1"/>
    <col min="14084" max="14084" width="8.33203125" style="42" customWidth="1"/>
    <col min="14085" max="14085" width="7.44140625" style="42" customWidth="1"/>
    <col min="14086" max="14086" width="9" style="42" customWidth="1"/>
    <col min="14087" max="14087" width="7.33203125" style="42" customWidth="1"/>
    <col min="14088" max="14088" width="9.33203125" style="42"/>
    <col min="14089" max="14090" width="7.33203125" style="42" customWidth="1"/>
    <col min="14091" max="14336" width="9.33203125" style="42"/>
    <col min="14337" max="14337" width="11.33203125" style="42" customWidth="1"/>
    <col min="14338" max="14338" width="8.6640625" style="42" customWidth="1"/>
    <col min="14339" max="14339" width="8.88671875" style="42" customWidth="1"/>
    <col min="14340" max="14340" width="8.33203125" style="42" customWidth="1"/>
    <col min="14341" max="14341" width="7.44140625" style="42" customWidth="1"/>
    <col min="14342" max="14342" width="9" style="42" customWidth="1"/>
    <col min="14343" max="14343" width="7.33203125" style="42" customWidth="1"/>
    <col min="14344" max="14344" width="9.33203125" style="42"/>
    <col min="14345" max="14346" width="7.33203125" style="42" customWidth="1"/>
    <col min="14347" max="14592" width="9.33203125" style="42"/>
    <col min="14593" max="14593" width="11.33203125" style="42" customWidth="1"/>
    <col min="14594" max="14594" width="8.6640625" style="42" customWidth="1"/>
    <col min="14595" max="14595" width="8.88671875" style="42" customWidth="1"/>
    <col min="14596" max="14596" width="8.33203125" style="42" customWidth="1"/>
    <col min="14597" max="14597" width="7.44140625" style="42" customWidth="1"/>
    <col min="14598" max="14598" width="9" style="42" customWidth="1"/>
    <col min="14599" max="14599" width="7.33203125" style="42" customWidth="1"/>
    <col min="14600" max="14600" width="9.33203125" style="42"/>
    <col min="14601" max="14602" width="7.33203125" style="42" customWidth="1"/>
    <col min="14603" max="14848" width="9.33203125" style="42"/>
    <col min="14849" max="14849" width="11.33203125" style="42" customWidth="1"/>
    <col min="14850" max="14850" width="8.6640625" style="42" customWidth="1"/>
    <col min="14851" max="14851" width="8.88671875" style="42" customWidth="1"/>
    <col min="14852" max="14852" width="8.33203125" style="42" customWidth="1"/>
    <col min="14853" max="14853" width="7.44140625" style="42" customWidth="1"/>
    <col min="14854" max="14854" width="9" style="42" customWidth="1"/>
    <col min="14855" max="14855" width="7.33203125" style="42" customWidth="1"/>
    <col min="14856" max="14856" width="9.33203125" style="42"/>
    <col min="14857" max="14858" width="7.33203125" style="42" customWidth="1"/>
    <col min="14859" max="15104" width="9.33203125" style="42"/>
    <col min="15105" max="15105" width="11.33203125" style="42" customWidth="1"/>
    <col min="15106" max="15106" width="8.6640625" style="42" customWidth="1"/>
    <col min="15107" max="15107" width="8.88671875" style="42" customWidth="1"/>
    <col min="15108" max="15108" width="8.33203125" style="42" customWidth="1"/>
    <col min="15109" max="15109" width="7.44140625" style="42" customWidth="1"/>
    <col min="15110" max="15110" width="9" style="42" customWidth="1"/>
    <col min="15111" max="15111" width="7.33203125" style="42" customWidth="1"/>
    <col min="15112" max="15112" width="9.33203125" style="42"/>
    <col min="15113" max="15114" width="7.33203125" style="42" customWidth="1"/>
    <col min="15115" max="15360" width="9.33203125" style="42"/>
    <col min="15361" max="15361" width="11.33203125" style="42" customWidth="1"/>
    <col min="15362" max="15362" width="8.6640625" style="42" customWidth="1"/>
    <col min="15363" max="15363" width="8.88671875" style="42" customWidth="1"/>
    <col min="15364" max="15364" width="8.33203125" style="42" customWidth="1"/>
    <col min="15365" max="15365" width="7.44140625" style="42" customWidth="1"/>
    <col min="15366" max="15366" width="9" style="42" customWidth="1"/>
    <col min="15367" max="15367" width="7.33203125" style="42" customWidth="1"/>
    <col min="15368" max="15368" width="9.33203125" style="42"/>
    <col min="15369" max="15370" width="7.33203125" style="42" customWidth="1"/>
    <col min="15371" max="15616" width="9.33203125" style="42"/>
    <col min="15617" max="15617" width="11.33203125" style="42" customWidth="1"/>
    <col min="15618" max="15618" width="8.6640625" style="42" customWidth="1"/>
    <col min="15619" max="15619" width="8.88671875" style="42" customWidth="1"/>
    <col min="15620" max="15620" width="8.33203125" style="42" customWidth="1"/>
    <col min="15621" max="15621" width="7.44140625" style="42" customWidth="1"/>
    <col min="15622" max="15622" width="9" style="42" customWidth="1"/>
    <col min="15623" max="15623" width="7.33203125" style="42" customWidth="1"/>
    <col min="15624" max="15624" width="9.33203125" style="42"/>
    <col min="15625" max="15626" width="7.33203125" style="42" customWidth="1"/>
    <col min="15627" max="15872" width="9.33203125" style="42"/>
    <col min="15873" max="15873" width="11.33203125" style="42" customWidth="1"/>
    <col min="15874" max="15874" width="8.6640625" style="42" customWidth="1"/>
    <col min="15875" max="15875" width="8.88671875" style="42" customWidth="1"/>
    <col min="15876" max="15876" width="8.33203125" style="42" customWidth="1"/>
    <col min="15877" max="15877" width="7.44140625" style="42" customWidth="1"/>
    <col min="15878" max="15878" width="9" style="42" customWidth="1"/>
    <col min="15879" max="15879" width="7.33203125" style="42" customWidth="1"/>
    <col min="15880" max="15880" width="9.33203125" style="42"/>
    <col min="15881" max="15882" width="7.33203125" style="42" customWidth="1"/>
    <col min="15883" max="16128" width="9.33203125" style="42"/>
    <col min="16129" max="16129" width="11.33203125" style="42" customWidth="1"/>
    <col min="16130" max="16130" width="8.6640625" style="42" customWidth="1"/>
    <col min="16131" max="16131" width="8.88671875" style="42" customWidth="1"/>
    <col min="16132" max="16132" width="8.33203125" style="42" customWidth="1"/>
    <col min="16133" max="16133" width="7.44140625" style="42" customWidth="1"/>
    <col min="16134" max="16134" width="9" style="42" customWidth="1"/>
    <col min="16135" max="16135" width="7.33203125" style="42" customWidth="1"/>
    <col min="16136" max="16136" width="9.33203125" style="42"/>
    <col min="16137" max="16138" width="7.33203125" style="42" customWidth="1"/>
    <col min="16139" max="16384" width="9.33203125" style="42"/>
  </cols>
  <sheetData>
    <row r="1" spans="1:12" x14ac:dyDescent="0.25">
      <c r="I1" s="122" t="s">
        <v>217</v>
      </c>
      <c r="J1" s="122"/>
    </row>
    <row r="2" spans="1:12" ht="12.75" customHeight="1" x14ac:dyDescent="0.25">
      <c r="C2" s="123" t="s">
        <v>193</v>
      </c>
      <c r="D2" s="123"/>
      <c r="E2" s="123"/>
      <c r="F2" s="123"/>
      <c r="G2" s="123"/>
      <c r="H2" s="123"/>
      <c r="I2" s="123"/>
      <c r="J2" s="123"/>
    </row>
    <row r="4" spans="1:12" x14ac:dyDescent="0.25">
      <c r="B4" s="87" t="s">
        <v>194</v>
      </c>
      <c r="J4" s="43"/>
    </row>
    <row r="5" spans="1:12" x14ac:dyDescent="0.25">
      <c r="J5" s="42" t="s">
        <v>195</v>
      </c>
    </row>
    <row r="6" spans="1:12" s="90" customFormat="1" ht="48" x14ac:dyDescent="0.3">
      <c r="A6" s="88" t="s">
        <v>196</v>
      </c>
      <c r="B6" s="89" t="s">
        <v>197</v>
      </c>
      <c r="C6" s="46" t="s">
        <v>198</v>
      </c>
      <c r="D6" s="46" t="s">
        <v>199</v>
      </c>
      <c r="E6" s="46" t="s">
        <v>188</v>
      </c>
      <c r="F6" s="46" t="s">
        <v>200</v>
      </c>
      <c r="G6" s="46" t="s">
        <v>201</v>
      </c>
      <c r="H6" s="89" t="s">
        <v>202</v>
      </c>
      <c r="I6" s="89" t="s">
        <v>203</v>
      </c>
      <c r="J6" s="46" t="s">
        <v>204</v>
      </c>
    </row>
    <row r="7" spans="1:12" ht="36" x14ac:dyDescent="0.25">
      <c r="A7" s="91" t="s">
        <v>205</v>
      </c>
      <c r="B7" s="44"/>
      <c r="C7" s="44"/>
      <c r="D7" s="44"/>
      <c r="E7" s="44"/>
      <c r="F7" s="44"/>
      <c r="G7" s="44"/>
      <c r="H7" s="44"/>
      <c r="I7" s="44"/>
      <c r="J7" s="44"/>
    </row>
    <row r="8" spans="1:12" x14ac:dyDescent="0.25">
      <c r="A8" s="92">
        <v>2021</v>
      </c>
      <c r="B8" s="44">
        <f>SUM(C8:J8)</f>
        <v>7030.6</v>
      </c>
      <c r="C8" s="44">
        <v>3219.7</v>
      </c>
      <c r="D8" s="44">
        <v>952.1</v>
      </c>
      <c r="E8" s="44">
        <v>48.1</v>
      </c>
      <c r="F8" s="44">
        <v>58.4</v>
      </c>
      <c r="G8" s="44">
        <v>152.69999999999999</v>
      </c>
      <c r="H8" s="44">
        <v>54.6</v>
      </c>
      <c r="I8" s="44">
        <v>2426.6999999999998</v>
      </c>
      <c r="J8" s="44">
        <v>118.3</v>
      </c>
      <c r="L8" s="47"/>
    </row>
    <row r="9" spans="1:12" x14ac:dyDescent="0.25">
      <c r="A9" s="92">
        <v>2020</v>
      </c>
      <c r="B9" s="44">
        <v>5965.6</v>
      </c>
      <c r="C9" s="44">
        <v>2982.4</v>
      </c>
      <c r="D9" s="44">
        <v>1068.9000000000001</v>
      </c>
      <c r="E9" s="44"/>
      <c r="F9" s="44">
        <v>58.6</v>
      </c>
      <c r="G9" s="44">
        <v>610.79999999999995</v>
      </c>
      <c r="H9" s="44">
        <v>48.6</v>
      </c>
      <c r="I9" s="44">
        <v>1136.5999999999999</v>
      </c>
      <c r="J9" s="44">
        <v>59.7</v>
      </c>
      <c r="L9" s="47"/>
    </row>
    <row r="10" spans="1:12" x14ac:dyDescent="0.25">
      <c r="A10" s="92" t="s">
        <v>206</v>
      </c>
      <c r="B10" s="44">
        <f t="shared" ref="B10:J10" si="0">B8/B9*100</f>
        <v>117.85235349336193</v>
      </c>
      <c r="C10" s="44">
        <f t="shared" si="0"/>
        <v>107.95667918454934</v>
      </c>
      <c r="D10" s="44">
        <f t="shared" si="0"/>
        <v>89.07287866030498</v>
      </c>
      <c r="E10" s="44"/>
      <c r="F10" s="44">
        <f t="shared" si="0"/>
        <v>99.658703071672349</v>
      </c>
      <c r="G10" s="44">
        <f t="shared" si="0"/>
        <v>25</v>
      </c>
      <c r="H10" s="44">
        <f t="shared" si="0"/>
        <v>112.34567901234568</v>
      </c>
      <c r="I10" s="44">
        <f t="shared" si="0"/>
        <v>213.50519092028856</v>
      </c>
      <c r="J10" s="44">
        <f t="shared" si="0"/>
        <v>198.15745393634842</v>
      </c>
      <c r="L10" s="47"/>
    </row>
    <row r="11" spans="1:12" x14ac:dyDescent="0.25">
      <c r="A11" s="93" t="s">
        <v>207</v>
      </c>
      <c r="B11" s="48"/>
      <c r="C11" s="48"/>
      <c r="D11" s="48"/>
      <c r="E11" s="48"/>
      <c r="F11" s="48"/>
      <c r="G11" s="48"/>
      <c r="H11" s="48"/>
      <c r="I11" s="48"/>
      <c r="J11" s="48"/>
      <c r="L11" s="47"/>
    </row>
    <row r="12" spans="1:12" x14ac:dyDescent="0.25">
      <c r="A12" s="92">
        <v>2021</v>
      </c>
      <c r="B12" s="44">
        <f>SUM(C12:J12)</f>
        <v>74.499999999999986</v>
      </c>
      <c r="C12" s="44">
        <v>64.599999999999994</v>
      </c>
      <c r="D12" s="44">
        <v>9.6</v>
      </c>
      <c r="E12" s="44"/>
      <c r="F12" s="44">
        <v>0.3</v>
      </c>
      <c r="G12" s="44"/>
      <c r="H12" s="44"/>
      <c r="I12" s="44"/>
      <c r="J12" s="44"/>
      <c r="L12" s="47"/>
    </row>
    <row r="13" spans="1:12" x14ac:dyDescent="0.25">
      <c r="A13" s="92">
        <v>2020</v>
      </c>
      <c r="B13" s="44">
        <f>SUM(C13:J13)</f>
        <v>56.2</v>
      </c>
      <c r="C13" s="44">
        <v>48.7</v>
      </c>
      <c r="D13" s="44">
        <v>7.5</v>
      </c>
      <c r="E13" s="44"/>
      <c r="F13" s="44"/>
      <c r="G13" s="44"/>
      <c r="H13" s="44"/>
      <c r="I13" s="44"/>
      <c r="J13" s="44"/>
      <c r="L13" s="47"/>
    </row>
    <row r="14" spans="1:12" x14ac:dyDescent="0.25">
      <c r="A14" s="92" t="s">
        <v>206</v>
      </c>
      <c r="B14" s="44">
        <f>B12/B13*100</f>
        <v>132.56227758007114</v>
      </c>
      <c r="C14" s="44">
        <f>C12/C13*100</f>
        <v>132.6488706365503</v>
      </c>
      <c r="D14" s="44">
        <f>D12/D13*100</f>
        <v>128</v>
      </c>
      <c r="E14" s="44"/>
      <c r="F14" s="44"/>
      <c r="G14" s="44"/>
      <c r="H14" s="44"/>
      <c r="I14" s="44"/>
      <c r="J14" s="44"/>
      <c r="L14" s="47"/>
    </row>
    <row r="15" spans="1:12" ht="36" x14ac:dyDescent="0.25">
      <c r="A15" s="91" t="s">
        <v>208</v>
      </c>
      <c r="B15" s="48"/>
      <c r="C15" s="48"/>
      <c r="D15" s="48"/>
      <c r="E15" s="48"/>
      <c r="F15" s="48"/>
      <c r="G15" s="48"/>
      <c r="H15" s="48"/>
      <c r="I15" s="48"/>
      <c r="J15" s="48"/>
      <c r="L15" s="47"/>
    </row>
    <row r="16" spans="1:12" x14ac:dyDescent="0.25">
      <c r="A16" s="92">
        <v>2021</v>
      </c>
      <c r="B16" s="44">
        <f>SUM(C16:J16)</f>
        <v>1102.8</v>
      </c>
      <c r="C16" s="44">
        <v>1017.8</v>
      </c>
      <c r="D16" s="44">
        <v>68.599999999999994</v>
      </c>
      <c r="E16" s="44"/>
      <c r="F16" s="44">
        <v>4.4000000000000004</v>
      </c>
      <c r="G16" s="44">
        <f>+'[1]2020-2019 pagal funk'!X18</f>
        <v>12</v>
      </c>
      <c r="H16" s="44"/>
      <c r="I16" s="44"/>
      <c r="J16" s="44"/>
      <c r="L16" s="47"/>
    </row>
    <row r="17" spans="1:12" x14ac:dyDescent="0.25">
      <c r="A17" s="92">
        <v>2020</v>
      </c>
      <c r="B17" s="44">
        <f>SUM(C17:J17)</f>
        <v>985.9</v>
      </c>
      <c r="C17" s="44">
        <v>900</v>
      </c>
      <c r="D17" s="44">
        <v>71.8</v>
      </c>
      <c r="E17" s="44"/>
      <c r="F17" s="44">
        <v>2.1</v>
      </c>
      <c r="G17" s="44">
        <v>12</v>
      </c>
      <c r="H17" s="44"/>
      <c r="I17" s="44"/>
      <c r="J17" s="44"/>
      <c r="L17" s="47"/>
    </row>
    <row r="18" spans="1:12" x14ac:dyDescent="0.25">
      <c r="A18" s="92" t="s">
        <v>206</v>
      </c>
      <c r="B18" s="44">
        <f>B16/B17*100</f>
        <v>111.85718632721371</v>
      </c>
      <c r="C18" s="44">
        <f>C16/C17*100</f>
        <v>113.08888888888889</v>
      </c>
      <c r="D18" s="44">
        <f>D16/D17*100</f>
        <v>95.543175487465177</v>
      </c>
      <c r="E18" s="44"/>
      <c r="F18" s="44">
        <f>F16/F17*100</f>
        <v>209.52380952380955</v>
      </c>
      <c r="G18" s="44">
        <f>G16/G17*100</f>
        <v>100</v>
      </c>
      <c r="H18" s="44"/>
      <c r="I18" s="44"/>
      <c r="J18" s="44"/>
      <c r="L18" s="47"/>
    </row>
    <row r="19" spans="1:12" x14ac:dyDescent="0.25">
      <c r="A19" s="93" t="s">
        <v>209</v>
      </c>
      <c r="B19" s="48"/>
      <c r="C19" s="48"/>
      <c r="D19" s="48"/>
      <c r="E19" s="48"/>
      <c r="F19" s="48"/>
      <c r="G19" s="48"/>
      <c r="H19" s="48"/>
      <c r="I19" s="48"/>
      <c r="J19" s="48"/>
      <c r="L19" s="47"/>
    </row>
    <row r="20" spans="1:12" x14ac:dyDescent="0.25">
      <c r="A20" s="92">
        <v>2021</v>
      </c>
      <c r="B20" s="44">
        <f>SUM(C20:J20)</f>
        <v>6748.2</v>
      </c>
      <c r="C20" s="44">
        <v>383.2</v>
      </c>
      <c r="D20" s="44">
        <v>1502.5</v>
      </c>
      <c r="E20" s="44"/>
      <c r="F20" s="44">
        <v>0.3</v>
      </c>
      <c r="G20" s="44">
        <v>999.5</v>
      </c>
      <c r="H20" s="44"/>
      <c r="I20" s="44"/>
      <c r="J20" s="44">
        <v>3862.7</v>
      </c>
      <c r="L20" s="47"/>
    </row>
    <row r="21" spans="1:12" x14ac:dyDescent="0.25">
      <c r="A21" s="92">
        <v>2020</v>
      </c>
      <c r="B21" s="44">
        <f>SUM(C21:J21)</f>
        <v>15193.599999999999</v>
      </c>
      <c r="C21" s="44">
        <v>393.3</v>
      </c>
      <c r="D21" s="44">
        <v>2640.4</v>
      </c>
      <c r="E21" s="44"/>
      <c r="F21" s="44">
        <v>0.6</v>
      </c>
      <c r="G21" s="44">
        <v>780.5</v>
      </c>
      <c r="H21" s="44"/>
      <c r="I21" s="44"/>
      <c r="J21" s="44">
        <v>11378.8</v>
      </c>
      <c r="L21" s="47"/>
    </row>
    <row r="22" spans="1:12" x14ac:dyDescent="0.25">
      <c r="A22" s="92" t="s">
        <v>206</v>
      </c>
      <c r="B22" s="44">
        <f>B20/B21*100</f>
        <v>44.414753580454928</v>
      </c>
      <c r="C22" s="44">
        <f>C20/C21*100</f>
        <v>97.431985761505203</v>
      </c>
      <c r="D22" s="44">
        <f>D20/D21*100</f>
        <v>56.904256930768057</v>
      </c>
      <c r="E22" s="44"/>
      <c r="F22" s="44">
        <f>F20/F21*100</f>
        <v>50</v>
      </c>
      <c r="G22" s="44">
        <f>G20/G21*100</f>
        <v>128.05893657911597</v>
      </c>
      <c r="H22" s="44"/>
      <c r="I22" s="44"/>
      <c r="J22" s="44">
        <f>J20/J21*100</f>
        <v>33.946461841318943</v>
      </c>
      <c r="L22" s="47"/>
    </row>
    <row r="23" spans="1:12" ht="24" x14ac:dyDescent="0.25">
      <c r="A23" s="91" t="s">
        <v>210</v>
      </c>
      <c r="B23" s="48"/>
      <c r="C23" s="48"/>
      <c r="D23" s="48"/>
      <c r="E23" s="48"/>
      <c r="F23" s="48"/>
      <c r="G23" s="48"/>
      <c r="H23" s="48"/>
      <c r="I23" s="48"/>
      <c r="J23" s="48"/>
      <c r="L23" s="47"/>
    </row>
    <row r="24" spans="1:12" x14ac:dyDescent="0.25">
      <c r="A24" s="92">
        <v>2021</v>
      </c>
      <c r="B24" s="44">
        <f>SUM(C24:J24)</f>
        <v>4447.7</v>
      </c>
      <c r="C24" s="44">
        <v>569.6</v>
      </c>
      <c r="D24" s="44">
        <v>3150.1</v>
      </c>
      <c r="E24" s="44"/>
      <c r="F24" s="44">
        <v>5.3</v>
      </c>
      <c r="G24" s="44">
        <v>59.1</v>
      </c>
      <c r="H24" s="44"/>
      <c r="I24" s="44"/>
      <c r="J24" s="44">
        <v>663.6</v>
      </c>
      <c r="L24" s="47"/>
    </row>
    <row r="25" spans="1:12" x14ac:dyDescent="0.25">
      <c r="A25" s="92">
        <v>2020</v>
      </c>
      <c r="B25" s="44">
        <f>SUM(C25:J25)</f>
        <v>4021.3999999999996</v>
      </c>
      <c r="C25" s="44">
        <v>504.9</v>
      </c>
      <c r="D25" s="44">
        <v>2784.5</v>
      </c>
      <c r="E25" s="44"/>
      <c r="F25" s="44">
        <v>1.7</v>
      </c>
      <c r="G25" s="44">
        <v>55.7</v>
      </c>
      <c r="H25" s="44"/>
      <c r="I25" s="44"/>
      <c r="J25" s="44">
        <v>674.6</v>
      </c>
      <c r="L25" s="47"/>
    </row>
    <row r="26" spans="1:12" x14ac:dyDescent="0.25">
      <c r="A26" s="92" t="s">
        <v>206</v>
      </c>
      <c r="B26" s="44">
        <f>B24/B25*100</f>
        <v>110.60078579599144</v>
      </c>
      <c r="C26" s="44">
        <f>C24/C25*100</f>
        <v>112.81441869677164</v>
      </c>
      <c r="D26" s="44">
        <f>D24/D25*100</f>
        <v>113.12982582151194</v>
      </c>
      <c r="E26" s="44"/>
      <c r="F26" s="44">
        <f>F24/F25*100</f>
        <v>311.76470588235293</v>
      </c>
      <c r="G26" s="44">
        <f>G24/G25*100</f>
        <v>106.10412926391382</v>
      </c>
      <c r="H26" s="44"/>
      <c r="I26" s="44"/>
      <c r="J26" s="44">
        <f>J24/J25*100</f>
        <v>98.36940409131337</v>
      </c>
      <c r="L26" s="47"/>
    </row>
    <row r="27" spans="1:12" ht="34.950000000000003" customHeight="1" x14ac:dyDescent="0.25">
      <c r="A27" s="91" t="s">
        <v>211</v>
      </c>
      <c r="B27" s="48"/>
      <c r="C27" s="48"/>
      <c r="D27" s="48"/>
      <c r="E27" s="48"/>
      <c r="F27" s="48"/>
      <c r="G27" s="48"/>
      <c r="H27" s="48"/>
      <c r="I27" s="48"/>
      <c r="J27" s="48"/>
      <c r="L27" s="47"/>
    </row>
    <row r="28" spans="1:12" x14ac:dyDescent="0.25">
      <c r="A28" s="92">
        <v>2021</v>
      </c>
      <c r="B28" s="44">
        <f>SUM(C28:J28)</f>
        <v>1765</v>
      </c>
      <c r="C28" s="44">
        <v>413</v>
      </c>
      <c r="D28" s="44">
        <v>924.2</v>
      </c>
      <c r="E28" s="44"/>
      <c r="F28" s="44">
        <v>1.9</v>
      </c>
      <c r="G28" s="44"/>
      <c r="H28" s="44"/>
      <c r="I28" s="44"/>
      <c r="J28" s="44">
        <v>425.9</v>
      </c>
      <c r="L28" s="47"/>
    </row>
    <row r="29" spans="1:12" x14ac:dyDescent="0.25">
      <c r="A29" s="92">
        <v>2020</v>
      </c>
      <c r="B29" s="44">
        <f>SUM(C29:J29)</f>
        <v>2049.4</v>
      </c>
      <c r="C29" s="44">
        <v>365.3</v>
      </c>
      <c r="D29" s="44">
        <v>1184.7</v>
      </c>
      <c r="E29" s="44"/>
      <c r="F29" s="44">
        <v>2.7</v>
      </c>
      <c r="G29" s="44"/>
      <c r="H29" s="44"/>
      <c r="I29" s="44"/>
      <c r="J29" s="44">
        <v>496.7</v>
      </c>
      <c r="L29" s="47"/>
    </row>
    <row r="30" spans="1:12" x14ac:dyDescent="0.25">
      <c r="A30" s="92" t="s">
        <v>206</v>
      </c>
      <c r="B30" s="44">
        <f>B28/B29*100</f>
        <v>86.12276763930906</v>
      </c>
      <c r="C30" s="44">
        <f>C28/C29*100</f>
        <v>113.05776074459348</v>
      </c>
      <c r="D30" s="44">
        <f>D28/D29*100</f>
        <v>78.011310880391662</v>
      </c>
      <c r="E30" s="44"/>
      <c r="F30" s="44">
        <f>F28/F29*100</f>
        <v>70.370370370370367</v>
      </c>
      <c r="G30" s="44"/>
      <c r="H30" s="44"/>
      <c r="I30" s="44"/>
      <c r="J30" s="44">
        <f>J28/J29*100</f>
        <v>85.74592309240991</v>
      </c>
      <c r="L30" s="47"/>
    </row>
    <row r="31" spans="1:12" ht="24" x14ac:dyDescent="0.25">
      <c r="A31" s="91" t="s">
        <v>212</v>
      </c>
      <c r="B31" s="48"/>
      <c r="C31" s="48"/>
      <c r="D31" s="48"/>
      <c r="E31" s="48"/>
      <c r="F31" s="48"/>
      <c r="G31" s="48"/>
      <c r="H31" s="48"/>
      <c r="I31" s="48"/>
      <c r="J31" s="48"/>
      <c r="L31" s="47"/>
    </row>
    <row r="32" spans="1:12" x14ac:dyDescent="0.25">
      <c r="A32" s="92">
        <v>2021</v>
      </c>
      <c r="B32" s="44">
        <f>SUM(C32:J32)</f>
        <v>1690.2</v>
      </c>
      <c r="C32" s="44">
        <v>384.6</v>
      </c>
      <c r="D32" s="44">
        <v>189</v>
      </c>
      <c r="E32" s="44"/>
      <c r="F32" s="44">
        <v>1.1000000000000001</v>
      </c>
      <c r="G32" s="44">
        <v>1071.2</v>
      </c>
      <c r="H32" s="44"/>
      <c r="I32" s="44"/>
      <c r="J32" s="44">
        <v>44.3</v>
      </c>
      <c r="L32" s="47"/>
    </row>
    <row r="33" spans="1:12" x14ac:dyDescent="0.25">
      <c r="A33" s="92">
        <v>2020</v>
      </c>
      <c r="B33" s="44">
        <f>SUM(C33:J33)</f>
        <v>1651.3000000000002</v>
      </c>
      <c r="C33" s="44">
        <v>388.7</v>
      </c>
      <c r="D33" s="44">
        <v>200.8</v>
      </c>
      <c r="E33" s="44"/>
      <c r="F33" s="44">
        <v>0.2</v>
      </c>
      <c r="G33" s="44">
        <v>393.4</v>
      </c>
      <c r="H33" s="44"/>
      <c r="I33" s="44"/>
      <c r="J33" s="44">
        <v>668.2</v>
      </c>
      <c r="L33" s="47"/>
    </row>
    <row r="34" spans="1:12" x14ac:dyDescent="0.25">
      <c r="A34" s="92" t="s">
        <v>206</v>
      </c>
      <c r="B34" s="44">
        <f>B32/B33*100</f>
        <v>102.35571973596561</v>
      </c>
      <c r="C34" s="44">
        <f>C32/C33*100</f>
        <v>98.945201955235405</v>
      </c>
      <c r="D34" s="44">
        <f>D32/D33*100</f>
        <v>94.123505976095615</v>
      </c>
      <c r="E34" s="44"/>
      <c r="F34" s="44">
        <f>F32/F33*100</f>
        <v>550</v>
      </c>
      <c r="G34" s="44">
        <f>G32/G33*100</f>
        <v>272.29283172343673</v>
      </c>
      <c r="H34" s="44"/>
      <c r="I34" s="44"/>
      <c r="J34" s="44">
        <f>J32/J33*100</f>
        <v>6.6297515713858113</v>
      </c>
      <c r="L34" s="47"/>
    </row>
    <row r="35" spans="1:12" s="95" customFormat="1" ht="24" x14ac:dyDescent="0.25">
      <c r="A35" s="91" t="s">
        <v>213</v>
      </c>
      <c r="B35" s="94"/>
      <c r="C35" s="94"/>
      <c r="D35" s="94"/>
      <c r="E35" s="94"/>
      <c r="F35" s="94"/>
      <c r="G35" s="94"/>
      <c r="H35" s="94"/>
      <c r="I35" s="94"/>
      <c r="J35" s="94"/>
      <c r="L35" s="47"/>
    </row>
    <row r="36" spans="1:12" x14ac:dyDescent="0.25">
      <c r="A36" s="92">
        <v>2021</v>
      </c>
      <c r="B36" s="44">
        <f>SUM(C36:J36)</f>
        <v>7422.2999999999993</v>
      </c>
      <c r="C36" s="44">
        <v>3069.8</v>
      </c>
      <c r="D36" s="44">
        <v>1274.2</v>
      </c>
      <c r="E36" s="44"/>
      <c r="F36" s="44">
        <v>29.8</v>
      </c>
      <c r="G36" s="44">
        <v>746.9</v>
      </c>
      <c r="H36" s="44"/>
      <c r="I36" s="44"/>
      <c r="J36" s="44">
        <v>2301.6</v>
      </c>
      <c r="L36" s="47"/>
    </row>
    <row r="37" spans="1:12" x14ac:dyDescent="0.25">
      <c r="A37" s="92">
        <v>2020</v>
      </c>
      <c r="B37" s="44">
        <f>SUM(C37:J37)</f>
        <v>7256.2999999999993</v>
      </c>
      <c r="C37" s="44">
        <v>2231.6</v>
      </c>
      <c r="D37" s="44">
        <v>559.79999999999995</v>
      </c>
      <c r="E37" s="44"/>
      <c r="F37" s="44">
        <v>18.600000000000001</v>
      </c>
      <c r="G37" s="44">
        <v>674.5</v>
      </c>
      <c r="H37" s="44"/>
      <c r="I37" s="44"/>
      <c r="J37" s="44">
        <v>3771.8</v>
      </c>
      <c r="L37" s="47"/>
    </row>
    <row r="38" spans="1:12" x14ac:dyDescent="0.25">
      <c r="A38" s="92" t="s">
        <v>206</v>
      </c>
      <c r="B38" s="44">
        <f>B36/B37*100</f>
        <v>102.2876672684426</v>
      </c>
      <c r="C38" s="44">
        <f>C36/C37*100</f>
        <v>137.56049471231404</v>
      </c>
      <c r="D38" s="44">
        <f>D36/D37*100</f>
        <v>227.61700607359776</v>
      </c>
      <c r="E38" s="44"/>
      <c r="F38" s="44">
        <f>F36/F37*100</f>
        <v>160.21505376344086</v>
      </c>
      <c r="G38" s="44">
        <f>G36/G37*100</f>
        <v>110.73387694588584</v>
      </c>
      <c r="H38" s="44"/>
      <c r="I38" s="44"/>
      <c r="J38" s="44">
        <f>J36/J37*100</f>
        <v>61.021263057426154</v>
      </c>
      <c r="L38" s="47"/>
    </row>
    <row r="39" spans="1:12" x14ac:dyDescent="0.25">
      <c r="A39" s="93" t="s">
        <v>214</v>
      </c>
      <c r="B39" s="48"/>
      <c r="C39" s="48"/>
      <c r="D39" s="48"/>
      <c r="E39" s="48"/>
      <c r="F39" s="48"/>
      <c r="G39" s="48"/>
      <c r="H39" s="48"/>
      <c r="I39" s="48"/>
      <c r="J39" s="48"/>
      <c r="L39" s="47"/>
    </row>
    <row r="40" spans="1:12" x14ac:dyDescent="0.25">
      <c r="A40" s="92">
        <v>2021</v>
      </c>
      <c r="B40" s="44">
        <f>SUM(C40:J40)</f>
        <v>28412.1</v>
      </c>
      <c r="C40" s="44">
        <v>23327.1</v>
      </c>
      <c r="D40" s="44">
        <v>2884.4</v>
      </c>
      <c r="E40" s="44"/>
      <c r="F40" s="44">
        <v>458.3</v>
      </c>
      <c r="G40" s="44">
        <v>323.8</v>
      </c>
      <c r="H40" s="44"/>
      <c r="I40" s="44"/>
      <c r="J40" s="44">
        <v>1418.5</v>
      </c>
      <c r="L40" s="47"/>
    </row>
    <row r="41" spans="1:12" x14ac:dyDescent="0.25">
      <c r="A41" s="92">
        <v>2020</v>
      </c>
      <c r="B41" s="44">
        <f>SUM(C41:J41)</f>
        <v>27260.1</v>
      </c>
      <c r="C41" s="44">
        <v>21525.5</v>
      </c>
      <c r="D41" s="44">
        <v>2781.7</v>
      </c>
      <c r="E41" s="44"/>
      <c r="F41" s="44">
        <v>523.6</v>
      </c>
      <c r="G41" s="44">
        <v>380.7</v>
      </c>
      <c r="H41" s="44"/>
      <c r="I41" s="44"/>
      <c r="J41" s="44">
        <v>2048.6</v>
      </c>
      <c r="L41" s="47"/>
    </row>
    <row r="42" spans="1:12" x14ac:dyDescent="0.25">
      <c r="A42" s="92" t="s">
        <v>206</v>
      </c>
      <c r="B42" s="44">
        <f>B40/B41*100</f>
        <v>104.22595661791409</v>
      </c>
      <c r="C42" s="44">
        <f>C40/C41*100</f>
        <v>108.36960813918375</v>
      </c>
      <c r="D42" s="44">
        <f>D40/D41*100</f>
        <v>103.69198691447676</v>
      </c>
      <c r="E42" s="44"/>
      <c r="F42" s="44">
        <f>F40/F41*100</f>
        <v>87.528647822765464</v>
      </c>
      <c r="G42" s="44">
        <f>G40/G41*100</f>
        <v>85.053848174415563</v>
      </c>
      <c r="H42" s="44"/>
      <c r="I42" s="44"/>
      <c r="J42" s="44">
        <f>J40/J41*100</f>
        <v>69.242409450356348</v>
      </c>
      <c r="L42" s="47"/>
    </row>
    <row r="43" spans="1:12" ht="24" x14ac:dyDescent="0.25">
      <c r="A43" s="91" t="s">
        <v>215</v>
      </c>
      <c r="B43" s="48"/>
      <c r="C43" s="48"/>
      <c r="D43" s="48"/>
      <c r="E43" s="48"/>
      <c r="F43" s="48"/>
      <c r="G43" s="48"/>
      <c r="H43" s="48"/>
      <c r="I43" s="48"/>
      <c r="J43" s="48"/>
      <c r="L43" s="47"/>
    </row>
    <row r="44" spans="1:12" x14ac:dyDescent="0.25">
      <c r="A44" s="92">
        <v>2021</v>
      </c>
      <c r="B44" s="44">
        <f>SUM(C44:J44)</f>
        <v>10062.5</v>
      </c>
      <c r="C44" s="44">
        <v>4410</v>
      </c>
      <c r="D44" s="44">
        <v>765.9</v>
      </c>
      <c r="E44" s="44"/>
      <c r="F44" s="44">
        <v>3636.6</v>
      </c>
      <c r="G44" s="44">
        <v>1223</v>
      </c>
      <c r="H44" s="44"/>
      <c r="I44" s="44"/>
      <c r="J44" s="44">
        <v>27</v>
      </c>
      <c r="L44" s="47"/>
    </row>
    <row r="45" spans="1:12" x14ac:dyDescent="0.25">
      <c r="A45" s="92">
        <v>2020</v>
      </c>
      <c r="B45" s="44">
        <f>SUM(C45:J45)</f>
        <v>8904.2000000000007</v>
      </c>
      <c r="C45" s="44">
        <v>3585.5</v>
      </c>
      <c r="D45" s="44">
        <v>908.8</v>
      </c>
      <c r="E45" s="44"/>
      <c r="F45" s="44">
        <v>2718.5</v>
      </c>
      <c r="G45" s="44">
        <v>939.1</v>
      </c>
      <c r="H45" s="44"/>
      <c r="I45" s="44"/>
      <c r="J45" s="44">
        <v>752.3</v>
      </c>
      <c r="L45" s="47"/>
    </row>
    <row r="46" spans="1:12" x14ac:dyDescent="0.25">
      <c r="A46" s="92" t="s">
        <v>206</v>
      </c>
      <c r="B46" s="44">
        <f>B44/B45*100</f>
        <v>113.00846791401808</v>
      </c>
      <c r="C46" s="44">
        <f>C44/C45*100</f>
        <v>122.99539813136242</v>
      </c>
      <c r="D46" s="44">
        <f>D44/D45*100</f>
        <v>84.275968309859167</v>
      </c>
      <c r="E46" s="44"/>
      <c r="F46" s="44">
        <f>F44/F45*100</f>
        <v>133.77230090123228</v>
      </c>
      <c r="G46" s="44">
        <f>G44/G45*100</f>
        <v>130.23107230326909</v>
      </c>
      <c r="H46" s="44"/>
      <c r="I46" s="44"/>
      <c r="J46" s="44">
        <f>J44/J45*100</f>
        <v>3.5889937524923567</v>
      </c>
      <c r="L46" s="47"/>
    </row>
    <row r="47" spans="1:12" s="43" customFormat="1" ht="24.6" customHeight="1" x14ac:dyDescent="0.25">
      <c r="A47" s="91" t="s">
        <v>216</v>
      </c>
      <c r="B47" s="96"/>
      <c r="C47" s="96"/>
      <c r="D47" s="96"/>
      <c r="E47" s="96"/>
      <c r="F47" s="96"/>
      <c r="G47" s="96"/>
      <c r="H47" s="96"/>
      <c r="I47" s="96"/>
      <c r="J47" s="96"/>
      <c r="L47" s="47"/>
    </row>
    <row r="48" spans="1:12" s="43" customFormat="1" x14ac:dyDescent="0.25">
      <c r="A48" s="97">
        <v>2021</v>
      </c>
      <c r="B48" s="45">
        <f t="shared" ref="B48:J48" si="1">+B12+B32+B24+B36+B28+B44+B40+B20+B16+B8</f>
        <v>68755.899999999994</v>
      </c>
      <c r="C48" s="45">
        <f t="shared" si="1"/>
        <v>36859.399999999994</v>
      </c>
      <c r="D48" s="45">
        <f>+D12+D32+D24+D36+D28+D44+D40+D20+D16+D8</f>
        <v>11720.6</v>
      </c>
      <c r="E48" s="45">
        <f t="shared" si="1"/>
        <v>48.1</v>
      </c>
      <c r="F48" s="45">
        <f t="shared" si="1"/>
        <v>4196.3999999999996</v>
      </c>
      <c r="G48" s="45">
        <f t="shared" si="1"/>
        <v>4588.2</v>
      </c>
      <c r="H48" s="45">
        <f t="shared" si="1"/>
        <v>54.6</v>
      </c>
      <c r="I48" s="45">
        <f t="shared" si="1"/>
        <v>2426.6999999999998</v>
      </c>
      <c r="J48" s="45">
        <f t="shared" si="1"/>
        <v>8861.8999999999978</v>
      </c>
      <c r="L48" s="47"/>
    </row>
    <row r="49" spans="1:12" s="43" customFormat="1" x14ac:dyDescent="0.25">
      <c r="A49" s="97">
        <v>2020</v>
      </c>
      <c r="B49" s="45">
        <f t="shared" ref="B49:J49" si="2">+B9+B17+B21+B41+B45+B29+B37+B25+B33+B13</f>
        <v>73343.999999999985</v>
      </c>
      <c r="C49" s="45">
        <f t="shared" si="2"/>
        <v>32925.899999999994</v>
      </c>
      <c r="D49" s="45">
        <f t="shared" si="2"/>
        <v>12208.9</v>
      </c>
      <c r="E49" s="45"/>
      <c r="F49" s="45">
        <f t="shared" si="2"/>
        <v>3326.5999999999995</v>
      </c>
      <c r="G49" s="45">
        <f t="shared" si="2"/>
        <v>3846.7</v>
      </c>
      <c r="H49" s="45">
        <f t="shared" si="2"/>
        <v>48.6</v>
      </c>
      <c r="I49" s="45">
        <f t="shared" si="2"/>
        <v>1136.5999999999999</v>
      </c>
      <c r="J49" s="45">
        <f t="shared" si="2"/>
        <v>19850.7</v>
      </c>
      <c r="L49" s="47"/>
    </row>
    <row r="50" spans="1:12" s="43" customFormat="1" x14ac:dyDescent="0.25">
      <c r="A50" s="97" t="s">
        <v>206</v>
      </c>
      <c r="B50" s="45">
        <f t="shared" ref="B50:J50" si="3">B48/B49*100</f>
        <v>93.744409904013963</v>
      </c>
      <c r="C50" s="45">
        <f t="shared" si="3"/>
        <v>111.94652234259352</v>
      </c>
      <c r="D50" s="45">
        <f t="shared" si="3"/>
        <v>96.000458681781325</v>
      </c>
      <c r="E50" s="45"/>
      <c r="F50" s="45">
        <f t="shared" si="3"/>
        <v>126.14681656947033</v>
      </c>
      <c r="G50" s="45">
        <f t="shared" si="3"/>
        <v>119.27626277068657</v>
      </c>
      <c r="H50" s="45">
        <f t="shared" si="3"/>
        <v>112.34567901234568</v>
      </c>
      <c r="I50" s="45">
        <f t="shared" si="3"/>
        <v>213.50519092028856</v>
      </c>
      <c r="J50" s="45">
        <f t="shared" si="3"/>
        <v>44.642758189887502</v>
      </c>
      <c r="L50" s="47"/>
    </row>
    <row r="54" spans="1:12" x14ac:dyDescent="0.25">
      <c r="B54" s="49"/>
      <c r="C54" s="49"/>
      <c r="D54" s="49"/>
      <c r="E54" s="49"/>
      <c r="F54" s="49"/>
      <c r="G54" s="49"/>
      <c r="H54" s="49"/>
      <c r="I54" s="49"/>
      <c r="J54" s="49"/>
    </row>
    <row r="63" spans="1:12" ht="11.4" customHeight="1" x14ac:dyDescent="0.25"/>
  </sheetData>
  <mergeCells count="2">
    <mergeCell ref="I1:J1"/>
    <mergeCell ref="C2:J2"/>
  </mergeCells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5</vt:i4>
      </vt:variant>
    </vt:vector>
  </HeadingPairs>
  <TitlesOfParts>
    <vt:vector size="8" baseType="lpstr">
      <vt:lpstr>lentelė Nr.1</vt:lpstr>
      <vt:lpstr>lentelė Nr.2</vt:lpstr>
      <vt:lpstr>lentelė Nr.3</vt:lpstr>
      <vt:lpstr>'lentelė Nr.1'!Print_Area</vt:lpstr>
      <vt:lpstr>'lentelė Nr.2'!Print_Area</vt:lpstr>
      <vt:lpstr>'lentelė Nr.3'!Print_Area</vt:lpstr>
      <vt:lpstr>'lentelė Nr.1'!Print_Titles</vt:lpstr>
      <vt:lpstr>'lentelė Nr.2'!Print_Titles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</dc:creator>
  <cp:lastModifiedBy>Vartotoja</cp:lastModifiedBy>
  <cp:lastPrinted>2022-09-13T06:41:46Z</cp:lastPrinted>
  <dcterms:created xsi:type="dcterms:W3CDTF">2015-06-05T18:19:34Z</dcterms:created>
  <dcterms:modified xsi:type="dcterms:W3CDTF">2022-09-13T06:41:51Z</dcterms:modified>
</cp:coreProperties>
</file>