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\Desktop\45 POSĖDIS\SP\"/>
    </mc:Choice>
  </mc:AlternateContent>
  <bookViews>
    <workbookView xWindow="0" yWindow="0" windowWidth="19200" windowHeight="7248" tabRatio="897"/>
  </bookViews>
  <sheets>
    <sheet name="1 pr" sheetId="75" r:id="rId1"/>
    <sheet name="2 pr" sheetId="57" r:id="rId2"/>
    <sheet name="3 pr" sheetId="76" r:id="rId3"/>
    <sheet name="4 pr" sheetId="58" r:id="rId4"/>
    <sheet name="5 pr" sheetId="62" r:id="rId5"/>
    <sheet name="6 pr" sheetId="60" r:id="rId6"/>
    <sheet name="7 pr" sheetId="77" r:id="rId7"/>
    <sheet name="8 pr" sheetId="78" r:id="rId8"/>
    <sheet name="9 pr" sheetId="68" r:id="rId9"/>
    <sheet name="10 pr" sheetId="79" r:id="rId10"/>
    <sheet name="11 pr" sheetId="80" r:id="rId11"/>
    <sheet name="12 pr" sheetId="82" r:id="rId12"/>
    <sheet name="13 pr" sheetId="81" r:id="rId13"/>
  </sheets>
  <definedNames>
    <definedName name="_xlnm.Print_Area" localSheetId="0">'1 pr'!$A$1:$C$92</definedName>
    <definedName name="_xlnm.Print_Area" localSheetId="9">'10 pr'!$A$1:$F$37</definedName>
    <definedName name="_xlnm.Print_Area" localSheetId="10">'11 pr'!$A$1:$F$26</definedName>
    <definedName name="_xlnm.Print_Area" localSheetId="1">'2 pr'!$A$1:$F$68</definedName>
    <definedName name="_xlnm.Print_Area" localSheetId="2">'3 pr'!$A$1:$F$296</definedName>
    <definedName name="_xlnm.Print_Area" localSheetId="3">'4 pr'!$A$1:$F$55</definedName>
    <definedName name="_xlnm.Print_Area" localSheetId="4">'5 pr'!$A$1:$F$59</definedName>
    <definedName name="_xlnm.Print_Area" localSheetId="5">'6 pr'!$A$1:$F$47</definedName>
    <definedName name="_xlnm.Print_Area" localSheetId="6">'7 pr'!$A$1:$F$39</definedName>
    <definedName name="_xlnm.Print_Area" localSheetId="7">'8 pr'!$A$1:$F$104</definedName>
    <definedName name="_xlnm.Print_Area" localSheetId="8">'9 pr'!$A$1:$F$55</definedName>
    <definedName name="_xlnm.Print_Titles" localSheetId="0">'1 pr'!$7:$7</definedName>
    <definedName name="_xlnm.Print_Titles" localSheetId="9">'10 pr'!$9:$9</definedName>
    <definedName name="_xlnm.Print_Titles" localSheetId="10">'11 pr'!$9:$9</definedName>
    <definedName name="_xlnm.Print_Titles" localSheetId="1">'2 pr'!$9:$9</definedName>
    <definedName name="_xlnm.Print_Titles" localSheetId="2">'3 pr'!$9:$9</definedName>
    <definedName name="_xlnm.Print_Titles" localSheetId="3">'4 pr'!$8:$8</definedName>
    <definedName name="_xlnm.Print_Titles" localSheetId="4">'5 pr'!$8:$8</definedName>
    <definedName name="_xlnm.Print_Titles" localSheetId="5">'6 pr'!$9:$9</definedName>
    <definedName name="_xlnm.Print_Titles" localSheetId="6">'7 pr'!$9:$9</definedName>
    <definedName name="_xlnm.Print_Titles" localSheetId="7">'8 pr'!$9:$9</definedName>
    <definedName name="_xlnm.Print_Titles" localSheetId="8">'9 pr'!$9:$9</definedName>
  </definedNames>
  <calcPr calcId="181029"/>
  <fileRecoveryPr autoRecover="0"/>
</workbook>
</file>

<file path=xl/calcChain.xml><?xml version="1.0" encoding="utf-8"?>
<calcChain xmlns="http://schemas.openxmlformats.org/spreadsheetml/2006/main">
  <c r="E10" i="79" l="1"/>
  <c r="E35" i="79" s="1"/>
  <c r="E11" i="79"/>
  <c r="F11" i="79"/>
  <c r="F10" i="79" s="1"/>
  <c r="C49" i="75"/>
  <c r="F27" i="79" l="1"/>
  <c r="E27" i="79"/>
  <c r="F42" i="76"/>
  <c r="E42" i="76"/>
  <c r="E38" i="76"/>
  <c r="E47" i="76"/>
  <c r="E234" i="76"/>
  <c r="F58" i="78" l="1"/>
  <c r="E58" i="78"/>
  <c r="E71" i="78"/>
  <c r="F74" i="78"/>
  <c r="E74" i="78"/>
  <c r="F37" i="77"/>
  <c r="E37" i="77"/>
  <c r="C19" i="75"/>
  <c r="F25" i="79" l="1"/>
  <c r="E25" i="79"/>
  <c r="E196" i="76"/>
  <c r="E20" i="77"/>
  <c r="C20" i="75" l="1"/>
  <c r="C87" i="75"/>
  <c r="C74" i="75"/>
  <c r="F23" i="79"/>
  <c r="E23" i="79"/>
  <c r="F21" i="79"/>
  <c r="E21" i="79"/>
  <c r="F33" i="79"/>
  <c r="F32" i="79" s="1"/>
  <c r="E33" i="79"/>
  <c r="E32" i="79" s="1"/>
  <c r="F30" i="79"/>
  <c r="F29" i="79" s="1"/>
  <c r="E30" i="79"/>
  <c r="E29" i="79" s="1"/>
  <c r="D30" i="81" l="1"/>
  <c r="D25" i="81"/>
  <c r="D83" i="81"/>
  <c r="D82" i="81" s="1"/>
  <c r="D78" i="81"/>
  <c r="D67" i="81"/>
  <c r="D64" i="81"/>
  <c r="D50" i="81"/>
  <c r="D49" i="81" s="1"/>
  <c r="D33" i="81"/>
  <c r="D37" i="81" s="1"/>
  <c r="D19" i="81"/>
  <c r="D16" i="81"/>
  <c r="E27" i="77"/>
  <c r="E24" i="77"/>
  <c r="E23" i="77" s="1"/>
  <c r="F20" i="77"/>
  <c r="F19" i="77" s="1"/>
  <c r="E19" i="77"/>
  <c r="D20" i="81" l="1"/>
  <c r="D101" i="81"/>
  <c r="C80" i="75"/>
  <c r="E23" i="80"/>
  <c r="F18" i="80"/>
  <c r="E18" i="80"/>
  <c r="F17" i="80"/>
  <c r="E17" i="80"/>
  <c r="E105" i="76" l="1"/>
  <c r="E89" i="76" s="1"/>
  <c r="E87" i="76" l="1"/>
  <c r="E41" i="76"/>
  <c r="F22" i="78"/>
  <c r="F124" i="76"/>
  <c r="E124" i="76"/>
  <c r="F19" i="79"/>
  <c r="E19" i="79"/>
  <c r="F17" i="79"/>
  <c r="E17" i="79"/>
  <c r="E10" i="60"/>
  <c r="F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9" i="60"/>
  <c r="E30" i="60"/>
  <c r="E32" i="60"/>
  <c r="E33" i="60"/>
  <c r="E34" i="60"/>
  <c r="E35" i="60"/>
  <c r="E36" i="60"/>
  <c r="E37" i="60"/>
  <c r="F37" i="60"/>
  <c r="F44" i="60" s="1"/>
  <c r="E38" i="60"/>
  <c r="F38" i="60"/>
  <c r="E39" i="60"/>
  <c r="F39" i="60"/>
  <c r="E40" i="60"/>
  <c r="F40" i="60"/>
  <c r="E41" i="60"/>
  <c r="E42" i="60"/>
  <c r="F42" i="60"/>
  <c r="E43" i="60"/>
  <c r="E44" i="60"/>
  <c r="E235" i="76"/>
  <c r="F120" i="76" l="1"/>
  <c r="E120" i="76"/>
  <c r="F119" i="76"/>
  <c r="E119" i="76"/>
  <c r="E24" i="76" l="1"/>
  <c r="E56" i="62" l="1"/>
  <c r="E55" i="62"/>
  <c r="E54" i="62"/>
  <c r="E53" i="62"/>
  <c r="E52" i="62"/>
  <c r="E51" i="62"/>
  <c r="E49" i="62"/>
  <c r="E48" i="62"/>
  <c r="E47" i="62"/>
  <c r="E46" i="62"/>
  <c r="E45" i="62"/>
  <c r="E43" i="62"/>
  <c r="E42" i="62"/>
  <c r="E41" i="62"/>
  <c r="E39" i="62"/>
  <c r="E36" i="62"/>
  <c r="E34" i="62"/>
  <c r="E31" i="62"/>
  <c r="E25" i="62"/>
  <c r="E23" i="62"/>
  <c r="E22" i="62"/>
  <c r="E21" i="62"/>
  <c r="E20" i="62"/>
  <c r="E17" i="62"/>
  <c r="E16" i="62"/>
  <c r="E15" i="62"/>
  <c r="E14" i="62"/>
  <c r="E13" i="62"/>
  <c r="E10" i="62"/>
  <c r="E51" i="58"/>
  <c r="E47" i="58"/>
  <c r="E44" i="58"/>
  <c r="E28" i="58"/>
  <c r="E30" i="58"/>
  <c r="E49" i="58"/>
  <c r="E41" i="58"/>
  <c r="E40" i="58"/>
  <c r="E39" i="58"/>
  <c r="E38" i="58"/>
  <c r="E36" i="58"/>
  <c r="E35" i="58"/>
  <c r="E34" i="58"/>
  <c r="E26" i="58"/>
  <c r="E32" i="58"/>
  <c r="E24" i="58"/>
  <c r="E23" i="58"/>
  <c r="E22" i="58"/>
  <c r="E18" i="58"/>
  <c r="E17" i="58"/>
  <c r="E16" i="58"/>
  <c r="E15" i="58"/>
  <c r="E14" i="58"/>
  <c r="E12" i="58"/>
  <c r="E179" i="76" l="1"/>
  <c r="F128" i="76" l="1"/>
  <c r="E128" i="76"/>
  <c r="F126" i="76" l="1"/>
  <c r="E126" i="76"/>
  <c r="F122" i="76"/>
  <c r="E122" i="76"/>
  <c r="F117" i="76"/>
  <c r="E117" i="76"/>
  <c r="F115" i="76"/>
  <c r="E115" i="76"/>
  <c r="F112" i="76"/>
  <c r="E112" i="76"/>
  <c r="F110" i="76"/>
  <c r="E110" i="76"/>
  <c r="F45" i="78"/>
  <c r="E45" i="78"/>
  <c r="E21" i="82"/>
  <c r="F11" i="82"/>
  <c r="E11" i="82"/>
  <c r="C70" i="75" l="1"/>
  <c r="E133" i="76" l="1"/>
  <c r="F272" i="76"/>
  <c r="E272" i="76"/>
  <c r="F78" i="76"/>
  <c r="E78" i="76"/>
  <c r="F11" i="77"/>
  <c r="F27" i="77"/>
  <c r="C78" i="75"/>
  <c r="F10" i="82"/>
  <c r="F15" i="82"/>
  <c r="F14" i="82" s="1"/>
  <c r="E15" i="82"/>
  <c r="E14" i="82" s="1"/>
  <c r="F18" i="82"/>
  <c r="F17" i="82" s="1"/>
  <c r="E18" i="82"/>
  <c r="E17" i="82" s="1"/>
  <c r="F24" i="82"/>
  <c r="F23" i="82" s="1"/>
  <c r="E24" i="82"/>
  <c r="E23" i="82" s="1"/>
  <c r="F21" i="82"/>
  <c r="E20" i="82"/>
  <c r="F20" i="82"/>
  <c r="F26" i="82" l="1"/>
  <c r="E81" i="76"/>
  <c r="F64" i="76"/>
  <c r="E164" i="76"/>
  <c r="E62" i="76" l="1"/>
  <c r="E35" i="76"/>
  <c r="F144" i="76" l="1"/>
  <c r="E144" i="76"/>
  <c r="F35" i="77" l="1"/>
  <c r="F34" i="77" s="1"/>
  <c r="E35" i="77"/>
  <c r="E34" i="77" s="1"/>
  <c r="F21" i="80"/>
  <c r="F20" i="80" s="1"/>
  <c r="E21" i="80"/>
  <c r="E20" i="80" s="1"/>
  <c r="E258" i="76" l="1"/>
  <c r="E134" i="76"/>
  <c r="E11" i="77" l="1"/>
  <c r="E11" i="80" l="1"/>
  <c r="E10" i="80" s="1"/>
  <c r="E10" i="82"/>
  <c r="E26" i="82" s="1"/>
  <c r="F37" i="68"/>
  <c r="F11" i="68" s="1"/>
  <c r="E37" i="68"/>
  <c r="E11" i="68" s="1"/>
  <c r="F48" i="68"/>
  <c r="F47" i="68" s="1"/>
  <c r="E48" i="68"/>
  <c r="E47" i="68" s="1"/>
  <c r="E18" i="78"/>
  <c r="E28" i="78"/>
  <c r="C22" i="75"/>
  <c r="E41" i="78"/>
  <c r="F41" i="78"/>
  <c r="F11" i="78"/>
  <c r="C32" i="57"/>
  <c r="F10" i="77"/>
  <c r="F15" i="79"/>
  <c r="F14" i="79" s="1"/>
  <c r="F35" i="79" s="1"/>
  <c r="E195" i="76"/>
  <c r="E194" i="76" s="1"/>
  <c r="C30" i="57"/>
  <c r="E29" i="58"/>
  <c r="E33" i="58"/>
  <c r="C38" i="57"/>
  <c r="C39" i="57"/>
  <c r="C22" i="57"/>
  <c r="E35" i="62"/>
  <c r="E9" i="62"/>
  <c r="C66" i="75"/>
  <c r="C40" i="57"/>
  <c r="C24" i="57"/>
  <c r="E65" i="57"/>
  <c r="E15" i="79"/>
  <c r="E14" i="79" s="1"/>
  <c r="F45" i="68"/>
  <c r="E45" i="68"/>
  <c r="F97" i="78"/>
  <c r="E97" i="78"/>
  <c r="F95" i="78"/>
  <c r="E95" i="78"/>
  <c r="F93" i="78"/>
  <c r="E93" i="78"/>
  <c r="F91" i="78"/>
  <c r="E91" i="78"/>
  <c r="E89" i="78"/>
  <c r="F89" i="78"/>
  <c r="F87" i="78"/>
  <c r="E87" i="78"/>
  <c r="F85" i="78"/>
  <c r="E85" i="78"/>
  <c r="F83" i="78"/>
  <c r="E83" i="78"/>
  <c r="F81" i="78"/>
  <c r="E81" i="78"/>
  <c r="F79" i="78"/>
  <c r="E79" i="78"/>
  <c r="F77" i="78"/>
  <c r="E77" i="78"/>
  <c r="F75" i="78"/>
  <c r="E75" i="78"/>
  <c r="F99" i="78"/>
  <c r="E99" i="78"/>
  <c r="F71" i="78"/>
  <c r="F59" i="78"/>
  <c r="E59" i="78"/>
  <c r="F43" i="78"/>
  <c r="E43" i="78"/>
  <c r="F28" i="78"/>
  <c r="F26" i="78"/>
  <c r="E26" i="78"/>
  <c r="F24" i="78"/>
  <c r="E24" i="78"/>
  <c r="F18" i="78"/>
  <c r="F15" i="78"/>
  <c r="E15" i="78"/>
  <c r="F13" i="78"/>
  <c r="E13" i="78"/>
  <c r="E11" i="78"/>
  <c r="C61" i="75"/>
  <c r="C47" i="75"/>
  <c r="C15" i="75"/>
  <c r="C11" i="75"/>
  <c r="F15" i="80"/>
  <c r="F14" i="80" s="1"/>
  <c r="E15" i="80"/>
  <c r="E14" i="80" s="1"/>
  <c r="F11" i="80"/>
  <c r="F10" i="80" s="1"/>
  <c r="F23" i="80" s="1"/>
  <c r="C23" i="57"/>
  <c r="E187" i="76"/>
  <c r="E182" i="76" s="1"/>
  <c r="E178" i="76" s="1"/>
  <c r="F47" i="76"/>
  <c r="F31" i="77"/>
  <c r="F30" i="77" s="1"/>
  <c r="E31" i="77"/>
  <c r="E30" i="77" s="1"/>
  <c r="F26" i="77"/>
  <c r="F17" i="77"/>
  <c r="F16" i="77" s="1"/>
  <c r="E17" i="77"/>
  <c r="E16" i="77" s="1"/>
  <c r="E10" i="77"/>
  <c r="F265" i="76"/>
  <c r="F264" i="76" s="1"/>
  <c r="E265" i="76"/>
  <c r="E264" i="76" s="1"/>
  <c r="F258" i="76"/>
  <c r="F256" i="76" s="1"/>
  <c r="F255" i="76" s="1"/>
  <c r="F240" i="76"/>
  <c r="F232" i="76" s="1"/>
  <c r="F231" i="76" s="1"/>
  <c r="F196" i="76"/>
  <c r="F195" i="76" s="1"/>
  <c r="F194" i="76" s="1"/>
  <c r="F187" i="76"/>
  <c r="F182" i="76" s="1"/>
  <c r="F178" i="76" s="1"/>
  <c r="F173" i="76"/>
  <c r="F166" i="76" s="1"/>
  <c r="F156" i="76" s="1"/>
  <c r="F134" i="76"/>
  <c r="F105" i="76"/>
  <c r="F89" i="76" s="1"/>
  <c r="F61" i="76"/>
  <c r="F48" i="58"/>
  <c r="E42" i="58"/>
  <c r="C58" i="57"/>
  <c r="E44" i="62"/>
  <c r="C59" i="57"/>
  <c r="E48" i="58"/>
  <c r="C46" i="57"/>
  <c r="C48" i="57"/>
  <c r="C50" i="57"/>
  <c r="C49" i="57"/>
  <c r="C21" i="57"/>
  <c r="C19" i="57"/>
  <c r="F9" i="58"/>
  <c r="C25" i="57"/>
  <c r="C28" i="57"/>
  <c r="C27" i="57"/>
  <c r="C14" i="57"/>
  <c r="C13" i="57"/>
  <c r="C17" i="57"/>
  <c r="C10" i="57"/>
  <c r="C15" i="57"/>
  <c r="F44" i="62"/>
  <c r="F35" i="62"/>
  <c r="E33" i="62"/>
  <c r="F33" i="62"/>
  <c r="F9" i="62"/>
  <c r="C64" i="57"/>
  <c r="C63" i="57"/>
  <c r="C62" i="57"/>
  <c r="C61" i="57"/>
  <c r="C60" i="57"/>
  <c r="C57" i="57"/>
  <c r="C56" i="57"/>
  <c r="C55" i="57"/>
  <c r="C54" i="57"/>
  <c r="C53" i="57"/>
  <c r="C52" i="57"/>
  <c r="C51" i="57"/>
  <c r="C47" i="57"/>
  <c r="C45" i="57"/>
  <c r="C44" i="57"/>
  <c r="C43" i="57"/>
  <c r="C42" i="57"/>
  <c r="C41" i="57"/>
  <c r="C37" i="57"/>
  <c r="C36" i="57"/>
  <c r="C35" i="57"/>
  <c r="C34" i="57"/>
  <c r="C33" i="57"/>
  <c r="C31" i="57"/>
  <c r="C29" i="57"/>
  <c r="C26" i="57"/>
  <c r="C18" i="57"/>
  <c r="C16" i="57"/>
  <c r="C12" i="57"/>
  <c r="C11" i="57"/>
  <c r="F31" i="58"/>
  <c r="E31" i="58"/>
  <c r="F42" i="58"/>
  <c r="F33" i="58"/>
  <c r="F29" i="58"/>
  <c r="F27" i="58"/>
  <c r="E27" i="58"/>
  <c r="F65" i="57"/>
  <c r="E9" i="58"/>
  <c r="E64" i="76"/>
  <c r="E173" i="76"/>
  <c r="E166" i="76" s="1"/>
  <c r="E240" i="76"/>
  <c r="E256" i="76"/>
  <c r="E255" i="76" s="1"/>
  <c r="D65" i="57"/>
  <c r="C20" i="57"/>
  <c r="F10" i="76" l="1"/>
  <c r="F17" i="78"/>
  <c r="C60" i="75"/>
  <c r="C8" i="75"/>
  <c r="E17" i="78"/>
  <c r="E232" i="76"/>
  <c r="E231" i="76" s="1"/>
  <c r="F81" i="76"/>
  <c r="F132" i="76"/>
  <c r="F130" i="76" s="1"/>
  <c r="E10" i="76"/>
  <c r="E10" i="68"/>
  <c r="E50" i="68" s="1"/>
  <c r="F10" i="68"/>
  <c r="F50" i="68" s="1"/>
  <c r="F10" i="78"/>
  <c r="C21" i="75"/>
  <c r="C65" i="57"/>
  <c r="F57" i="62"/>
  <c r="E10" i="78"/>
  <c r="E26" i="77"/>
  <c r="E57" i="62"/>
  <c r="E132" i="76"/>
  <c r="E130" i="76" s="1"/>
  <c r="E52" i="58"/>
  <c r="F52" i="58"/>
  <c r="E269" i="76"/>
  <c r="F269" i="76"/>
  <c r="E156" i="76"/>
  <c r="E61" i="76"/>
  <c r="E293" i="76" l="1"/>
  <c r="C18" i="75"/>
  <c r="C17" i="75" s="1"/>
  <c r="C77" i="75" s="1"/>
  <c r="F293" i="76"/>
  <c r="E101" i="78"/>
  <c r="F101" i="78"/>
  <c r="C79" i="75" l="1"/>
  <c r="C90" i="75" l="1"/>
</calcChain>
</file>

<file path=xl/sharedStrings.xml><?xml version="1.0" encoding="utf-8"?>
<sst xmlns="http://schemas.openxmlformats.org/spreadsheetml/2006/main" count="1836" uniqueCount="906">
  <si>
    <t>Eil. Nr.</t>
  </si>
  <si>
    <t>Kėdainių bendruomenės socialinis centras</t>
  </si>
  <si>
    <t>Dotnuvos slaugos namai</t>
  </si>
  <si>
    <t xml:space="preserve">Kėdainių rajono savivaldybės administracija </t>
  </si>
  <si>
    <t>Kėdainių rajono savivaldybės administracijos Dotnuvos seniūnija</t>
  </si>
  <si>
    <t>Kėdainių rajono savivaldybės administracijos Gudžiūnų seniūnija</t>
  </si>
  <si>
    <t>Kėdainių rajono savivaldybės administracijos Krakių seniūnija</t>
  </si>
  <si>
    <t>Kėdainių rajono savivaldybės administracijos Josvainių seniūnija</t>
  </si>
  <si>
    <t>Kėdainių rajono savivaldybės administracijos Kėdainių miesto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</si>
  <si>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</si>
  <si>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</si>
  <si>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Šėtos seniūnija</t>
  </si>
  <si>
    <t>Kėdainių rajono savivaldybės administracijos Surviliškio seniūnija</t>
  </si>
  <si>
    <t>Kėdainių rajono savivaldybės administracijos Truskavos seniūnija</t>
  </si>
  <si>
    <t>Kėdainių rajono savivaldybės administracijos Vilainių seniūnija</t>
  </si>
  <si>
    <t>Josvainių socialinis ir ugdymo centras</t>
  </si>
  <si>
    <t>Asignavimų valdytojas</t>
  </si>
  <si>
    <t>Iš viso</t>
  </si>
  <si>
    <t>2</t>
  </si>
  <si>
    <t>Šėtos socialinis ir ugdymo  centras</t>
  </si>
  <si>
    <t>Iš viso asignavimų</t>
  </si>
  <si>
    <t>03</t>
  </si>
  <si>
    <t>SOCIALINĖS APSAUGOS PLĖTOJIMAS</t>
  </si>
  <si>
    <t>10.04.01.01</t>
  </si>
  <si>
    <t>10.01.02.02</t>
  </si>
  <si>
    <t>11</t>
  </si>
  <si>
    <t>SAVIVALDYBĖS VALDYMO TOBULINIMAS</t>
  </si>
  <si>
    <t>Kėdainių rajono savivaldybės priešgaisrinė tarnyba</t>
  </si>
  <si>
    <t>03.02.01.01</t>
  </si>
  <si>
    <t>iš jų darbo užmokesčiui</t>
  </si>
  <si>
    <t>4</t>
  </si>
  <si>
    <t>10.04.01.40</t>
  </si>
  <si>
    <t>09</t>
  </si>
  <si>
    <t xml:space="preserve"> ŽEMĖS ŪKIO PLĖTRA IR MELIORACIJA</t>
  </si>
  <si>
    <t>11.1</t>
  </si>
  <si>
    <t>11.2</t>
  </si>
  <si>
    <t>11.3</t>
  </si>
  <si>
    <t>11.4</t>
  </si>
  <si>
    <t>01.06.01.02</t>
  </si>
  <si>
    <t>04.01.02.01</t>
  </si>
  <si>
    <t>Kėdainių r. Krakių Mikalojaus Katkaus gimnazija</t>
  </si>
  <si>
    <t>Kėdainių r. Dotnuvos pagrindinė mokykla</t>
  </si>
  <si>
    <t>Kėdainių r. Surviliškio Vinco Svirskio pagrindinė mokykla</t>
  </si>
  <si>
    <t>Kėdainių krašto muziejus</t>
  </si>
  <si>
    <t>Kėdainių kultūros centras</t>
  </si>
  <si>
    <t>Krakių kultūros centras</t>
  </si>
  <si>
    <t>Kėdainių šviesioji gimnazija</t>
  </si>
  <si>
    <t>Kėdainių kalbų mokykla</t>
  </si>
  <si>
    <t>Kėdainių muzikos  mokykla</t>
  </si>
  <si>
    <t>Akademijos kultūros centras</t>
  </si>
  <si>
    <t>Josvainių kultūros centras</t>
  </si>
  <si>
    <t>Šėtos kultūros centras</t>
  </si>
  <si>
    <t>Truskavos kultūros centras</t>
  </si>
  <si>
    <t>Kėdainių rajono savivaldybės Mikalojaus Daukšos viešoji biblioteka</t>
  </si>
  <si>
    <t>Kėdainių dailės mokykla</t>
  </si>
  <si>
    <t>Funkcijos kodas</t>
  </si>
  <si>
    <t>01</t>
  </si>
  <si>
    <t>ŠVIETIMAS IR UGDYMAS</t>
  </si>
  <si>
    <t>09.01.01.01</t>
  </si>
  <si>
    <t>09.01.02.01</t>
  </si>
  <si>
    <t>09.02.02.01</t>
  </si>
  <si>
    <t>09.02.01.01</t>
  </si>
  <si>
    <t>09.05.01.01</t>
  </si>
  <si>
    <t>09.08.01.01</t>
  </si>
  <si>
    <t>09.06.01.01</t>
  </si>
  <si>
    <t>02</t>
  </si>
  <si>
    <t>SVEIKATOS APSAUGA</t>
  </si>
  <si>
    <t>07.01.03.01</t>
  </si>
  <si>
    <t>07.03.01.01</t>
  </si>
  <si>
    <t>07.06.01.02</t>
  </si>
  <si>
    <t>10.01.02.02
10.07.01.01
10.09.01.01</t>
  </si>
  <si>
    <t>10.02.01.02</t>
  </si>
  <si>
    <t>10.07.01.01</t>
  </si>
  <si>
    <t>10.06.01.01</t>
  </si>
  <si>
    <t>09.06.01.01
10.01.02.40
10.02.01.40</t>
  </si>
  <si>
    <t>10.01.02.40</t>
  </si>
  <si>
    <t>04</t>
  </si>
  <si>
    <t>08.01.01.03</t>
  </si>
  <si>
    <t>05</t>
  </si>
  <si>
    <t>KULTŪROS VEIKLOS PLĖTRA</t>
  </si>
  <si>
    <t>08.02.01.08</t>
  </si>
  <si>
    <t>08.02.01.01</t>
  </si>
  <si>
    <t>08.02.01.02</t>
  </si>
  <si>
    <t>08.04.01.01</t>
  </si>
  <si>
    <t>07</t>
  </si>
  <si>
    <t>INFRASTRUKTŪROS OBJEKTŲ  PRIEŽIŪRA IR PLĖTRA</t>
  </si>
  <si>
    <t>06.04.01.01</t>
  </si>
  <si>
    <t>04.05.01.02 06.04.01.01</t>
  </si>
  <si>
    <t>06.01.01.01</t>
  </si>
  <si>
    <t>08</t>
  </si>
  <si>
    <t>APLINKOS APSAUGA</t>
  </si>
  <si>
    <t xml:space="preserve">05.01.01.01
06.02.01.01                       </t>
  </si>
  <si>
    <t>05.01.01.01</t>
  </si>
  <si>
    <t xml:space="preserve">05.01.01.01  05.02.01.01
06.03.01.01                       </t>
  </si>
  <si>
    <t xml:space="preserve">05.01.01.01               </t>
  </si>
  <si>
    <t>10</t>
  </si>
  <si>
    <t>PARAMA VERSLUI IR VERSLO PLĖTRA</t>
  </si>
  <si>
    <t>04.01.01.01</t>
  </si>
  <si>
    <t>Kėdainių rajono savivaldybės kontrolės ir audito tarnyba</t>
  </si>
  <si>
    <t xml:space="preserve">Kėdainių rajono savivaldybės administracija  </t>
  </si>
  <si>
    <t>03.01.01.01</t>
  </si>
  <si>
    <t>04.05.01.01</t>
  </si>
  <si>
    <t>01.07.01.01</t>
  </si>
  <si>
    <t xml:space="preserve">10.02.01.02 </t>
  </si>
  <si>
    <t>06</t>
  </si>
  <si>
    <t>KULTŪROS PAVELDO IŠSAUGOJIMAS, TURIZMO SKATINIMAS IR VYSTYMAS</t>
  </si>
  <si>
    <t>04.07.03.01</t>
  </si>
  <si>
    <t>10.01.02.01</t>
  </si>
  <si>
    <t xml:space="preserve">                                                               ___________________________________________</t>
  </si>
  <si>
    <t>07.06.01.09</t>
  </si>
  <si>
    <t>01.01.01.09</t>
  </si>
  <si>
    <t>Kėdainių suaugusiųjų ir jaunimo mokymo centras</t>
  </si>
  <si>
    <t>Kėdainių sporto centras</t>
  </si>
  <si>
    <t xml:space="preserve">                                                                                         ___________________________</t>
  </si>
  <si>
    <t xml:space="preserve">10.06.01.01 10.07.01.01
10.09.01.09 </t>
  </si>
  <si>
    <t>3 priedas</t>
  </si>
  <si>
    <t>08.02.01.07</t>
  </si>
  <si>
    <t>7 priedas</t>
  </si>
  <si>
    <t>Eil.   Nr.</t>
  </si>
  <si>
    <t>09.02.02.01
09.05.01.01</t>
  </si>
  <si>
    <t>Kėdainių Juozo Paukštelio progimnazija</t>
  </si>
  <si>
    <t>01.06.01.04</t>
  </si>
  <si>
    <t>Remontuoti objektus pagal administracijos direktoriaus įsakymus</t>
  </si>
  <si>
    <t>Likviduoti avarinius židinius</t>
  </si>
  <si>
    <t>Remontuoti biudžetinių įstaigų kiemus</t>
  </si>
  <si>
    <t>Remontuoti viešųjų ir biudžetinių įstaigų stogus</t>
  </si>
  <si>
    <t>08.06.01.01</t>
  </si>
  <si>
    <t>07.06.01.06</t>
  </si>
  <si>
    <t>04.09.01.01</t>
  </si>
  <si>
    <t>(tūkst. Eur)</t>
  </si>
  <si>
    <t>01.01.01.02
01.01.01.09
01.03.02.09
01.06.01.02
04.05.06.09 06.06.01.01
06.06.01.09</t>
  </si>
  <si>
    <t>05.03.01.01</t>
  </si>
  <si>
    <t>08.06.01.09</t>
  </si>
  <si>
    <t xml:space="preserve">Kėdainių švietimo pagalbos tarnyba </t>
  </si>
  <si>
    <t>Kėdainių r. Akademijos gimnazija</t>
  </si>
  <si>
    <t>Kėdainių r. Josvainių gimnazija</t>
  </si>
  <si>
    <t>Kėdainių r. Labūnavos pagrindinė mokykla</t>
  </si>
  <si>
    <t>Kėdainių r. Šėtos  gimnazija</t>
  </si>
  <si>
    <t xml:space="preserve">09.08.01.09    </t>
  </si>
  <si>
    <t xml:space="preserve">Rengti infrastruktūros objektų tvarkymo investicinius projektus, paraiškas, kitą techninę dokumentaciją  Europos Sąjungos fondų paramai gauti </t>
  </si>
  <si>
    <t>Įgyvendinti Kėdainių rajono savivaldybės bažnyčių rėmimo programą</t>
  </si>
  <si>
    <t>08.02.01.06
08.06.01.09</t>
  </si>
  <si>
    <t>08.04.01.02</t>
  </si>
  <si>
    <t>05.06.01.01</t>
  </si>
  <si>
    <t>05.02.01.01.</t>
  </si>
  <si>
    <t>Vykdyti savivaldybės viešųjų teritorijų tvarkymą</t>
  </si>
  <si>
    <t>Įgyvendinti priemones, finansuojamas iš Savivaldybės administracijos direktoriaus rezervo</t>
  </si>
  <si>
    <t>Kėdainių r. Miegėnų pagrindinė mokykla</t>
  </si>
  <si>
    <t>Kėdainių pagalbos šeimai centras</t>
  </si>
  <si>
    <t xml:space="preserve">                                                                  Kėdainių rajono savivaldybės tarybos</t>
  </si>
  <si>
    <t>09.05.01.01  09.05.01.02 09.05.01.03</t>
  </si>
  <si>
    <t>Atnaujinti Lietuvos sporto universiteto Kėdainių  „Aušros“ progimnaziją, kuriant modernias ir saugias erdves</t>
  </si>
  <si>
    <t xml:space="preserve">Užtikrinti socialinio būsto fondo plėtrą Kėdainiuose </t>
  </si>
  <si>
    <t>Atnaujinti ir plėsti komunalinių atliekų tvarkymo infrastruktūrą Kėdainių rajono savivaldybėje</t>
  </si>
  <si>
    <t>06.03.01.01</t>
  </si>
  <si>
    <t>Rekonstruoti ir plėsti vandentiekio ir buitinių nuotekų infrastruktūrą Šėtos miestelyje, Kunionių kaime bei Kėdainių mieste</t>
  </si>
  <si>
    <t>09.</t>
  </si>
  <si>
    <t>01-10</t>
  </si>
  <si>
    <t>Kėdainių lopšelis-darželis „Pasaka“</t>
  </si>
  <si>
    <t>Kėdainių lopšelis-darželis „Puriena“</t>
  </si>
  <si>
    <t>Kėdainių lopšelis-darželis „Varpelis“</t>
  </si>
  <si>
    <t>Kėdainių lopšelis-darželis „Vyturėlis“</t>
  </si>
  <si>
    <t>Kėdainių lopšelis-darželis „Žilvitis“</t>
  </si>
  <si>
    <t>Kėdainių lopšelis-darželis „Vaikystė“</t>
  </si>
  <si>
    <t>Lietuvos sporto universiteto Kėdainių „Aušros“ progimnazija</t>
  </si>
  <si>
    <t>Kėdainių „Ryto“ progimnazija</t>
  </si>
  <si>
    <t>Kėdainių „Atžalyno“ gimnazija</t>
  </si>
  <si>
    <t>Kėdainių lopšelis-darželis „Aviliukas“</t>
  </si>
  <si>
    <t xml:space="preserve">Kėdainių rajono savivaldybės administracija iš viso: </t>
  </si>
  <si>
    <t>Skatinti  savivaldybės gabius mokinius</t>
  </si>
  <si>
    <t>Kėdainių rajono savivaldybės visuomenės sveikatos biuras iš viso:</t>
  </si>
  <si>
    <t xml:space="preserve">07.04.01.02 </t>
  </si>
  <si>
    <t xml:space="preserve">Vykdyti ambulatorinės akušerinės ir ginekologinės pagalbos kokybės gerinimo Kėdainių rajono savivaldybės moterims 2019-2024 m. programą </t>
  </si>
  <si>
    <t xml:space="preserve">Didinti pirminės asmens sveikatos priežiūros veiklos efektyvumą VšĮ Kėdainių pirminės sveikatos priežiūros centre </t>
  </si>
  <si>
    <t>Aktualizuoti Kėdainių krašto muziejų, padidinant kultūros paveldo aktualumą, lankomumą ir žinomumą (įskaitant ekspozicijų atnaujinimą)</t>
  </si>
  <si>
    <t>Kėdainių rajono savivaldybės administracija iš viso :</t>
  </si>
  <si>
    <t xml:space="preserve">Finansuoti žvyro įsigijimą seniūnijų keliams prižiūrėti </t>
  </si>
  <si>
    <t xml:space="preserve">Finansuoti prevencinę programą „Saugios aplinkos kūrimas ir bendruomenės teisėtvarkos kūrimas" </t>
  </si>
  <si>
    <t>15.1</t>
  </si>
  <si>
    <t>07.02.01.01</t>
  </si>
  <si>
    <t>10.06.01.40 06.01.01.01</t>
  </si>
  <si>
    <t>Gerinti pirminės asmens sveikatos priežiūros paslaugų teikimo prieinamumą tuberkuliozės srityje</t>
  </si>
  <si>
    <t xml:space="preserve">iš jų: teikti integralią pagalbą į namus Kėdainių rajone </t>
  </si>
  <si>
    <t>Kėdainių rajono savivaldybės administracija iš viso:</t>
  </si>
  <si>
    <t>Finansuoti VšĮ Kėdainių turizmo ir verslo informacijos centro turizmo veiklos programą</t>
  </si>
  <si>
    <t>11.5</t>
  </si>
  <si>
    <t>Mokesčiai už valstybinius gamtos išteklius</t>
  </si>
  <si>
    <t>Kėdainių r. Vilainių mokykla-darželis „Obelėlė“</t>
  </si>
  <si>
    <t>Finansuoti vaikų dienos centrų veiklos programas</t>
  </si>
  <si>
    <t>Pritaikyti viešąją aplinką specialiųjų poreikių turintiems gyventojams</t>
  </si>
  <si>
    <t>Užtikrinti rajono nevyriausybinių organizacijų (įskaitant bendruomenines organizacijas) plėtrą, finansuojant projektus socialinio, pilietinio, kultūros paveldo pažinimo, etninės kultūros puoselėjimo, užimtumo bei verslumo srityse</t>
  </si>
  <si>
    <t>Vykdyti atliekų tvarkymo sistemos organizavimo funkciją</t>
  </si>
  <si>
    <t>Likviduoti apleistus (bešeimininkius ar savivaldybei nuosavybės teise priklausančius) pastatus ir kitus aplinką žalojančius objektus</t>
  </si>
  <si>
    <t>Rengti projektus ir remontuoti gyvenviečių lietaus nuotekų-drenažų sistemas</t>
  </si>
  <si>
    <t>Finansuoti VšĮ Kėdainių turizmo ir verslo informacijos centro viešųjų paslaugų verslui  programą</t>
  </si>
  <si>
    <t xml:space="preserve">                                                                           Kėdainių rajono savivaldybės tarybos</t>
  </si>
  <si>
    <t>Mokėti palūkanas</t>
  </si>
  <si>
    <t xml:space="preserve">SPORTO VEIKLOS PLĖTRA </t>
  </si>
  <si>
    <t>Įgyvendinti priemones, skirtas žemo slenksčio paslaugų kokybės gerinimui Kėdainių rajono savivaldybėje</t>
  </si>
  <si>
    <t>07.06.01.05</t>
  </si>
  <si>
    <t>05.02.01.01 
06.03.01.01</t>
  </si>
  <si>
    <t>05.02.01.01</t>
  </si>
  <si>
    <t>Dalyvauti Kauno regiono plėtros agentūros veikloje</t>
  </si>
  <si>
    <t>Vykdyti endoskopinių paslaugų prieinamumo ir kokybės gerinimo Kėdainių rajono savivaldybėje 2020-2025 m. programą</t>
  </si>
  <si>
    <t>Rekonstruoti Kėdainių miesto nuotekų valyklą</t>
  </si>
  <si>
    <t>Kita tikslinė dotacija mokyklos specialiųjų ugdymosi poreikių turintiems mokiniams</t>
  </si>
  <si>
    <t xml:space="preserve">                                                                                   Kėdainių rajono savivaldybės tarybos  </t>
  </si>
  <si>
    <t>2 priedas</t>
  </si>
  <si>
    <t>Aisgnavimų valdytojas</t>
  </si>
  <si>
    <t xml:space="preserve">Iš jų: </t>
  </si>
  <si>
    <t>prekės ir paslaugos</t>
  </si>
  <si>
    <t xml:space="preserve"> ilgalaikio ir trumpalaikio materialiojo turto nuoma</t>
  </si>
  <si>
    <t>už išlaikymą švietimo, socialinės apsaugos ir kitose įstaigose</t>
  </si>
  <si>
    <t>Kėdainių lopšelis-darželis  „Aviliukas“</t>
  </si>
  <si>
    <t>Kėdainių r. Šėtos gimnazija</t>
  </si>
  <si>
    <t>Kėdainių r. Miegenų pagrindinė mokykla</t>
  </si>
  <si>
    <t>Kėdainių švietimo pagalbos tarnyba</t>
  </si>
  <si>
    <t xml:space="preserve">Šėtos socialinis ir ugdymo centras </t>
  </si>
  <si>
    <t>Kėdainių rajono savivaldybės visuomenės sveikatos biuras</t>
  </si>
  <si>
    <t>Iš viso pajamų</t>
  </si>
  <si>
    <t xml:space="preserve">                                                                   _____________________________________                                                                                       </t>
  </si>
  <si>
    <t>4 priedas</t>
  </si>
  <si>
    <t xml:space="preserve">09.02.01.01   </t>
  </si>
  <si>
    <t>09.05.01.03</t>
  </si>
  <si>
    <t>07.04.01.02</t>
  </si>
  <si>
    <t>10.01.02.02 10.07.01.01</t>
  </si>
  <si>
    <t xml:space="preserve">05.01.01.01 </t>
  </si>
  <si>
    <t>06.02.01.01</t>
  </si>
  <si>
    <t>01.03.02.09</t>
  </si>
  <si>
    <t xml:space="preserve">01.03.02.09  </t>
  </si>
  <si>
    <t xml:space="preserve">                                                             ____________________________________</t>
  </si>
  <si>
    <t>6 priedas</t>
  </si>
  <si>
    <t xml:space="preserve">                                                                    ___________________________________________</t>
  </si>
  <si>
    <t>8 priedas</t>
  </si>
  <si>
    <t>02.1</t>
  </si>
  <si>
    <t>02.2</t>
  </si>
  <si>
    <t>02.3</t>
  </si>
  <si>
    <t>Neveiksnių asmenų būklės peržiūrėjimui</t>
  </si>
  <si>
    <t>03.1</t>
  </si>
  <si>
    <t>Socialinėms paslaugoms:
Socialinei globai asmenims su sunkia negalia</t>
  </si>
  <si>
    <t>03.2</t>
  </si>
  <si>
    <t>Socialinėms paslaugoms:
 Socialinei priežiūrai socialinės rizikos šeimoms</t>
  </si>
  <si>
    <t>03.3</t>
  </si>
  <si>
    <t>Socialinių išmokų ir kompensacijų skaičiavimas ir mokėjimas</t>
  </si>
  <si>
    <t xml:space="preserve">10.03.01.01
10.07.01.01
10.09.01.09 </t>
  </si>
  <si>
    <t>03.4</t>
  </si>
  <si>
    <t>Išlaidoms už įsigytus produktus, mokinio reikmenis ir socialinei paramai mokiniams administruoti</t>
  </si>
  <si>
    <t>03.5</t>
  </si>
  <si>
    <t>Būsto nuomos ar išperkamosios būsto nuomos mokesčių dalies kompensacijoms</t>
  </si>
  <si>
    <t>09.1</t>
  </si>
  <si>
    <t>Žemės ūkio funkcijoms vykdyti</t>
  </si>
  <si>
    <t>04.02.01.04</t>
  </si>
  <si>
    <t>09.2</t>
  </si>
  <si>
    <t>iš jų: polderiams eksploatuoti</t>
  </si>
  <si>
    <t>04.02.01.01</t>
  </si>
  <si>
    <t>Tvarkyti erdvinių duomenų rinkinį</t>
  </si>
  <si>
    <t>Priešgaisrinių tarnybų organizavimas</t>
  </si>
  <si>
    <t>Gyventojų registro tvarkymas ir duomenų valstybės registrui teikimas</t>
  </si>
  <si>
    <t>01.03.03.02</t>
  </si>
  <si>
    <t>Archyvinių dokumentų tvarkymas</t>
  </si>
  <si>
    <t>Civilinės būklės aktų registravimas</t>
  </si>
  <si>
    <t>Civilinės saugos organizavimas</t>
  </si>
  <si>
    <t>02.02.01.01</t>
  </si>
  <si>
    <t>11.6</t>
  </si>
  <si>
    <t>Valstybinės kalbos vartojimo ir taisyklingumo kontrolė</t>
  </si>
  <si>
    <t>11.7</t>
  </si>
  <si>
    <t>Mobilizacijos administravimas</t>
  </si>
  <si>
    <t>02.01.01.04</t>
  </si>
  <si>
    <t>11.9</t>
  </si>
  <si>
    <t>Jaunimo teisių apsauga</t>
  </si>
  <si>
    <t>11.10</t>
  </si>
  <si>
    <t>Pirminė teisinė pagalba</t>
  </si>
  <si>
    <t>11.11</t>
  </si>
  <si>
    <t>11.12</t>
  </si>
  <si>
    <t>Gyvenamosios vietos deklaravimas</t>
  </si>
  <si>
    <t xml:space="preserve">                                                                                               ________________________________</t>
  </si>
  <si>
    <t>Vykdyti aplinkos apsaugos rėmimo specialiąją programą (pridedama 13 priedas)</t>
  </si>
  <si>
    <t>Vykdyti mamografijos paslaugų tęstinumo, kokybės gerinimo Kėdainių rajono savivaldybėje 2020-2025 m. programą</t>
  </si>
  <si>
    <t>5 priedas</t>
  </si>
  <si>
    <t>Kėdainių "Ryto" progimnazija</t>
  </si>
  <si>
    <t xml:space="preserve">                                                                 ___________________________________________</t>
  </si>
  <si>
    <t>Specialioji tikslinė dotacija ugdymo reikmėms finansuoti</t>
  </si>
  <si>
    <t>09.02.01.01
09.02.02.01</t>
  </si>
  <si>
    <t>Kėdainių švietimo pagalbos tarnyba iš viso:</t>
  </si>
  <si>
    <t>Šėtos socialinis ir ugdymo centras</t>
  </si>
  <si>
    <t xml:space="preserve">  </t>
  </si>
  <si>
    <t xml:space="preserve">06.02.01.01                       </t>
  </si>
  <si>
    <t xml:space="preserve">Finansuoti vaikų vasaros stovyklų ir kitų neformaliojo vaikų švietimo veiklų programas  </t>
  </si>
  <si>
    <t>Teikti vienkartinę išmoką gimus vaikui Lietuvos Respublikos teritorijoje ir gyvenančiam Kėdainių rajono savivaldybėje</t>
  </si>
  <si>
    <t>Sudaryti saugias ugdymo sąlygas įstaigose, vykdančiose ugdymo programas</t>
  </si>
  <si>
    <t>Įrengti vėdinimo  ir kondicionavimo sistemas savivaldybės ugdymo įstaigose</t>
  </si>
  <si>
    <t>Atnaujinti ir (arba) plėsti bendruomeninę fizinio aktyvumo infrastruktūrą  mieste ir rajone, pritaikant ją bendruomenės poreikiams bei laisvalaikiui</t>
  </si>
  <si>
    <t>Finansuoti Kėdainių rajono vietos veiklos grupės teritorijos vietos plėtros 2015-2023 m. strategijos įgyvendinimą</t>
  </si>
  <si>
    <t>Atlikti Paberžės klebonijos ir svirno restauravimo ir remonto darbus</t>
  </si>
  <si>
    <t>Įrengti  valstybinės reikšmės kelių nuorodas į savivaldybės kultūros paveldo objektus</t>
  </si>
  <si>
    <t>Įgyvendinti projektą "Kėdainių gatvių apšvietimo modernizavimas"</t>
  </si>
  <si>
    <t>13.1</t>
  </si>
  <si>
    <t>Kėdainių krašto muziejus iš viso:</t>
  </si>
  <si>
    <t>06.04.01.01.</t>
  </si>
  <si>
    <t>Grąžinti valstybės biudžeto lėšas (dotaciją)</t>
  </si>
  <si>
    <t>iš jų: užimtumo didinimo programai įgyvendinti</t>
  </si>
  <si>
    <t>01.1</t>
  </si>
  <si>
    <t>01.2</t>
  </si>
  <si>
    <t>iš jų: modernizuoti Kėdainių krašto muziejaus Daugiakultūrio centrą</t>
  </si>
  <si>
    <t>09.08.01.09</t>
  </si>
  <si>
    <t>Koordinuotai teikiamų paslaugų vaikams nuo gimimo iki 18 metų (turintiems didelių ir labai didelių specialiųjų ugdymosi poreikių − iki 21 metų) ir vaiko atstovams koordinavimas</t>
  </si>
  <si>
    <t>01.08.01.02</t>
  </si>
  <si>
    <t>Rekonstruoti Kėdainių rajono savivaldybės kultūros centro pastatą Kėdainiuose, J. Basanavičiaus g. 24</t>
  </si>
  <si>
    <t>04.1</t>
  </si>
  <si>
    <t xml:space="preserve">                                                                      Kėdainių rajono savivaldybės tarybos</t>
  </si>
  <si>
    <t xml:space="preserve">                                                 1 priedas</t>
  </si>
  <si>
    <t xml:space="preserve">             Pajamų pavadinimas</t>
  </si>
  <si>
    <t>Suma (tūkst. Eur)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</si>
  <si>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</si>
  <si>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</si>
  <si>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</si>
  <si>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</si>
  <si>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</si>
  <si>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Dotacija savivaldybėms iš Europos Sąjungos, kitos tarptautinės finansinės paramos ir bendrojo finansavimo lėšų einamiesiems tikslams</t>
  </si>
  <si>
    <t>Dotacija savivaldybėms iš Europos Sąjungos, kitos tarptautinės finansinės paramos ir bendrojo finansavimo lėšų turtui įsigyti</t>
  </si>
  <si>
    <t xml:space="preserve">     dalyvauti rengiant ir vykdant mobilizaciją</t>
  </si>
  <si>
    <t xml:space="preserve">     valstybinės kalbos vartojimo ir taisyklingumo kontrolei</t>
  </si>
  <si>
    <t xml:space="preserve">     socialinėms išmokoms ir kompensacijoms skaičiuoti ir mokėti </t>
  </si>
  <si>
    <t xml:space="preserve">     socialinei paramai mokiniams </t>
  </si>
  <si>
    <t xml:space="preserve">     socialinėms paslaugoms</t>
  </si>
  <si>
    <t xml:space="preserve">     jaunimo teisių apsaugai</t>
  </si>
  <si>
    <t xml:space="preserve">     būsto nuomos ar išperkamosios būsto nuomos mokesčių dalies kompensacijoms</t>
  </si>
  <si>
    <t xml:space="preserve">     civilinės būklės aktams registruoti</t>
  </si>
  <si>
    <t xml:space="preserve">     gyventojų registrui tvarkyti ir duomenims valstybės registrams teikti</t>
  </si>
  <si>
    <t xml:space="preserve">     civilinei saugai</t>
  </si>
  <si>
    <t xml:space="preserve">     priešgaisrinei saugai</t>
  </si>
  <si>
    <t xml:space="preserve">     žemės ūkio funkcijoms atlikti</t>
  </si>
  <si>
    <t xml:space="preserve">     melioracijai</t>
  </si>
  <si>
    <t xml:space="preserve">     savivaldybėms priskirtiems archyviniems dokumentams tvarkyti</t>
  </si>
  <si>
    <t xml:space="preserve">     neveiksnių asmenų būklės peržiūrėjimui</t>
  </si>
  <si>
    <t>Kita tikslinė dotacija, iš jos:</t>
  </si>
  <si>
    <t xml:space="preserve">     mokyklos specialiųjų ugdymosi poreikių turintiems mokiniams</t>
  </si>
  <si>
    <t>Kitos dotacijos, iš jų: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</si>
  <si>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</si>
  <si>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</si>
  <si>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</si>
  <si>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</si>
  <si>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</si>
  <si>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</si>
  <si>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Valstybės rinkliava</t>
  </si>
  <si>
    <t>Vietinė rinkliava</t>
  </si>
  <si>
    <t>Pajamos iš baudų ir konfiskacijos</t>
  </si>
  <si>
    <t>Materialiojo ir nematerialiojo turto realizavimo pajamos</t>
  </si>
  <si>
    <t>FINANSINIŲ ĮSIPAREIGOJIMŲ PRISIĖMIMO (SKOLINIMOSI) PAJAMOS</t>
  </si>
  <si>
    <t xml:space="preserve">Biudžeto apyvartos </t>
  </si>
  <si>
    <t>Prekių ir paslaugų</t>
  </si>
  <si>
    <t>Ilgalaikio ir trumpalaikio materialiojo turto nuomos</t>
  </si>
  <si>
    <t>Įmokų už išlaikymą švietimo, socialinės apsaugos ir kitose įstaigose</t>
  </si>
  <si>
    <t xml:space="preserve">Aplinkos apsaugos rėmimo programos apyvartos </t>
  </si>
  <si>
    <t>Pajamų už vietinę rinkliavą</t>
  </si>
  <si>
    <t>Pajamų už parduotą turtą</t>
  </si>
  <si>
    <t>Dotacija savivaldybėms iš Europos Sąjungos, kitos tarptautinės finansinės paramos ir bendrojo finansavimo lėšų turtui įsigyti iš jų:</t>
  </si>
  <si>
    <t>IŠ VISO (34+35)</t>
  </si>
  <si>
    <t>________________________________________________</t>
  </si>
  <si>
    <t xml:space="preserve">                                                                 Kėdainių rajono savivaldybės tarybos</t>
  </si>
  <si>
    <t>09.02.01.01
09.02.02.01 
09.05.01.01
09.05.01.02</t>
  </si>
  <si>
    <t>16.1</t>
  </si>
  <si>
    <t>Organizuoti ir vykdyti mokymosi pasiekimų patikrinimus</t>
  </si>
  <si>
    <t>Kėdainių švietimo pagalbos tarnyba (pedagoginė - psichologinė tarnyba)</t>
  </si>
  <si>
    <t xml:space="preserve"> VšĮ Alternatyviojo ugdymo centras</t>
  </si>
  <si>
    <t xml:space="preserve"> VšĮ „Pažinimo taku“</t>
  </si>
  <si>
    <t>Kėdainių „Spindulio“ mokykla</t>
  </si>
  <si>
    <t>Progra- mos kodas</t>
  </si>
  <si>
    <t xml:space="preserve">                                                               Kėdainių rajono savivaldybės tarybos</t>
  </si>
  <si>
    <t>9 priedas</t>
  </si>
  <si>
    <t xml:space="preserve">                                                              Kėdainių rajono savivaldybės tarybos</t>
  </si>
  <si>
    <t>10 priedas</t>
  </si>
  <si>
    <t xml:space="preserve">                                                    Kėdainių rajono savivaldybės tarybos</t>
  </si>
  <si>
    <t>Remontuoti Kėdainių „Ryto“ progimnaziją, kuriant šiuolaikines mokymosi erdves</t>
  </si>
  <si>
    <t xml:space="preserve">Modernizuoti Kėdainių šviesiosios gimnazijos pastatą Kėdainiuose, Didžioji g. 60 </t>
  </si>
  <si>
    <t>Vykdyti E. sveikatos informacinės sistemos diegimo,  palaikymo ir tobulinimo VšĮ PSPC  ir VšĮ Kėdainių ligoninėje 2022 -2026 m. programą</t>
  </si>
  <si>
    <t>Vykdyti anestezijos paslaugų vaikams ir suaugusiesiems kokybės gerinimo Kėdainių rajono savivaldybėje 2022-2027 m. programą</t>
  </si>
  <si>
    <t>Vykdyti rentgeno paslaugų atnaujinimo, kokybės gerinimo Kėdainių rajono savivaldybėje 2022-2027 m. programą</t>
  </si>
  <si>
    <t>Organizuoti  nemokamą socialiai remtinų vaikų maitinimą ikimokyklinėse įstaigose</t>
  </si>
  <si>
    <t>Kompensuoti nemokamo mokinių maitinimo kainą bendrojo lavinimo mokyklose</t>
  </si>
  <si>
    <t xml:space="preserve">Organizuoti socialinės reabilitacijos paslaugų neįgaliesiems bendruomenėje projektų konkursus </t>
  </si>
  <si>
    <t>Dengti kainų skirtumą gyventojams už šildymą</t>
  </si>
  <si>
    <t>Kompensuoti  karšto ir šalto vandens pardavimo kainą socialiai remtiniems  asmenims</t>
  </si>
  <si>
    <t>Kompensuoti kelionės išlaidas už lengvatinį keleivių vežimą</t>
  </si>
  <si>
    <t xml:space="preserve">Remontuoti savivaldybės ir socialinį būstą </t>
  </si>
  <si>
    <t>Sudaryti sąlygas bendruomeninių organizacijų veiklai</t>
  </si>
  <si>
    <t>Skatinti nevyriausybinių organizacijų, bendruomeninių organizacijų plėtrą rajone</t>
  </si>
  <si>
    <t xml:space="preserve"> </t>
  </si>
  <si>
    <t>Atlikti archeologinius ir kitus tyrinėjimus kultūros paveldo teritorijose, vykdyti paveldo objektams parengtų tvarkybos projektų ekspertizę, parengti sąmatas</t>
  </si>
  <si>
    <t>Teikti finansinę paramą verslą pradedantiems ar sunkumų patiriantiems SVV subjektams Kėdainių rajone per Savivaldybės smulkiojo verslo rėmimo fondą</t>
  </si>
  <si>
    <t xml:space="preserve">Kompensuoti UAB "Kėdbusas" nuostolingus  maršrutus </t>
  </si>
  <si>
    <t xml:space="preserve">Įgyvendinti priemones, finansuojamas iš Savivaldybės mero fondo </t>
  </si>
  <si>
    <t>Rengti specialiuosius, bendruosius, detaliuosius, geodezinius planus bei  topografines nuotraukas</t>
  </si>
  <si>
    <t xml:space="preserve">Atlikti turto inventorizavimą, teisinę registraciją, parengti  dokumentus turto pardavimui  </t>
  </si>
  <si>
    <t xml:space="preserve">Plėsti vandentiekio ir nuotekų tinklus Šlapaberžės kaime </t>
  </si>
  <si>
    <t>Parengti nuotekų tinklų įrengimo Josvainių mstl. P.Cvirkos g. projektą</t>
  </si>
  <si>
    <t>Finansuoti inžinerines paslaugas, darbus ir įrengimus</t>
  </si>
  <si>
    <t>Apmokėti Europos Sąjungos projektų,  kuriems taikomas apmokėjimas kompensavimo būdu, išlaidas</t>
  </si>
  <si>
    <t xml:space="preserve"> MOKESČIAI (2+3+4+8)</t>
  </si>
  <si>
    <t>Gyventojų pajamų mokestis, mokamas už pajamas, gautas iš veiklos, kuria verčiamasi turint verslo liudijimą</t>
  </si>
  <si>
    <t>Turto mokesčiai (5+6+7)</t>
  </si>
  <si>
    <t>Prekių ir paslaugų mokesčiai (9)</t>
  </si>
  <si>
    <t>DOTACIJOS (11+12+16)</t>
  </si>
  <si>
    <t>Dotacija savivaldybėms iš Europos Sąjungos, kitos tarptautinės finansinės paramos ir bendrojo finansavimo lėšų (11.1+11.2 )</t>
  </si>
  <si>
    <t>Speciali tikslinė dotacija (13+14+15), iš jos:</t>
  </si>
  <si>
    <t>Valstybinėms (perduotoms savivaldybėms) funkcijoms atlikti, iš jos: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</si>
  <si>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</si>
  <si>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</si>
  <si>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</si>
  <si>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</si>
  <si>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</si>
  <si>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</si>
  <si>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</si>
  <si>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</si>
  <si>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</si>
  <si>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</si>
  <si>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</si>
  <si>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</si>
  <si>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</si>
  <si>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</si>
  <si>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</si>
  <si>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</si>
  <si>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</si>
  <si>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</si>
  <si>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</si>
  <si>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</si>
  <si>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 xml:space="preserve">     sveikos gyvensenos plėtojimui ir stiprinimui, visuomenės sveikatos stebėsenai</t>
  </si>
  <si>
    <t>13.22</t>
  </si>
  <si>
    <t>13.23</t>
  </si>
  <si>
    <t>Ugdymo reikmėms finansuoti</t>
  </si>
  <si>
    <t>KITOS PAJAMOS (18+23+27+30+31+32)</t>
  </si>
  <si>
    <t>Turto pajamos (19+20+21+22)</t>
  </si>
  <si>
    <t>Pajamos už prekes ir paslaugas (24+25+26)</t>
  </si>
  <si>
    <t>Rinkliavos (28+29 )</t>
  </si>
  <si>
    <t xml:space="preserve">                                       IŠ VISO PAJAMŲ IR DOTACIJŲ (1+10+17)</t>
  </si>
  <si>
    <t>IŠ VISO (33+34)</t>
  </si>
  <si>
    <t>iš jų: aprūpinti ikimokyklinio ugdymo įstaigų sveikatos kabinetus metodinėmis priemonėmis</t>
  </si>
  <si>
    <t>6.1</t>
  </si>
  <si>
    <t>11.8</t>
  </si>
  <si>
    <t xml:space="preserve">Parengti vandentiekio ir nuotekų tinklų išplėtimo Mantviliškio  kaime techninį projektą </t>
  </si>
  <si>
    <t xml:space="preserve"> Sveikos gyvensenos plėtojimui ir stiprinimui, visuomenės sveikatos stebėsenai</t>
  </si>
  <si>
    <t xml:space="preserve">                                                        </t>
  </si>
  <si>
    <t>04.01.02.09</t>
  </si>
  <si>
    <t xml:space="preserve">Įgyvendinti kultūros paveldo objektų, esančių Kėdainių rajono savivaldybės teritorijoje ir kultūros paveldo statinių, esančių Kėdainių senamiesčio dalyje išsaugojimo darbų finansavimo programą </t>
  </si>
  <si>
    <t>03.6</t>
  </si>
  <si>
    <t xml:space="preserve">Teikti apdovanojimus aukšto meistriškumo sportininkams ir jų treneriams už sporto pasiekimus </t>
  </si>
  <si>
    <t xml:space="preserve">Parengti Senojo Upytės kelio specialųjį planą ("Isos slėnis") </t>
  </si>
  <si>
    <t>Sutvarkyti namų ūkiuose susidariusias asbesto atliekas</t>
  </si>
  <si>
    <t xml:space="preserve">Socialinėms paslaugoms:
Teikti šeimoms individualios priežiūros darbuotojų paslaugas </t>
  </si>
  <si>
    <t>Vykdyti Kėdainių lopšelio-darželio „Žilvitis“ infrastruktūros modernizavimo projektą</t>
  </si>
  <si>
    <t xml:space="preserve">                                                             Kėdainių rajono savivaldybės tarybos</t>
  </si>
  <si>
    <t>11 priedas</t>
  </si>
  <si>
    <t>10.01.02.01
10.01.02.02
10.06.01.01
10.09.01.01 
10.09.01.09</t>
  </si>
  <si>
    <t>12 priedas</t>
  </si>
  <si>
    <t>13 priedas</t>
  </si>
  <si>
    <t xml:space="preserve">                 KĖDAINIŲ RAJONO SAVIVALDYBĖS APLINKOS APSAUGOS RĖMIMO</t>
  </si>
  <si>
    <t xml:space="preserve">1. Informacija apie Savivaldybės aplinkos apsaugos rėmimo specialiosios </t>
  </si>
  <si>
    <t>programos (toliau - Programa) lėšas</t>
  </si>
  <si>
    <t>(1) Programos finansavimo šaltiniai</t>
  </si>
  <si>
    <t>Pajamos,      tūkst. Eur</t>
  </si>
  <si>
    <t>1.1.</t>
  </si>
  <si>
    <t>Mokesčiai už teršalų išmetimą į aplinką</t>
  </si>
  <si>
    <t>1.2.</t>
  </si>
  <si>
    <t>1.3.</t>
  </si>
  <si>
    <t>Lėšos, gautos kaip želdinių atkuriamosios vertės kompensacija</t>
  </si>
  <si>
    <t>1.4.</t>
  </si>
  <si>
    <t>Savanoriškos juridinių ir fizinių asmenų įmokos ir kitos teisėtai gautos lėšos</t>
  </si>
  <si>
    <t>1.5.</t>
  </si>
  <si>
    <t>1.6.</t>
  </si>
  <si>
    <t>Mokesčiai, sumokėti už medžiojamųjų gyvūnų išteklių naudojimą</t>
  </si>
  <si>
    <t>1.7.</t>
  </si>
  <si>
    <t xml:space="preserve">Ankstesnio ataskaitinio laikotarpio ataskaitos atitinkamų lėšų likutis </t>
  </si>
  <si>
    <t>1.8.</t>
  </si>
  <si>
    <t>(2) Savivaldybės visuomenės sveikatos rėmimo specialiajai programai skirtinos lėšos</t>
  </si>
  <si>
    <t>Lėšos,                 tūkst. Eur</t>
  </si>
  <si>
    <t>1.10.</t>
  </si>
  <si>
    <t>20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</si>
  <si>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1.11.</t>
  </si>
  <si>
    <t>(3) Kitoms Programos priemonėms skirtinos lėšos</t>
  </si>
  <si>
    <t>80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</si>
  <si>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Priemonės pavadinimas</t>
  </si>
  <si>
    <t>2.1.</t>
  </si>
  <si>
    <t>Žemės sklypų, kuriuose medžioklė nėra uždrausta, savininkų, valdytojų ir naudotojų, įgyvendinamos žalos prevencijos priemonės, kuriomis jie siekia išvengti medžiojamųjų gyvūnų daromos žalos</t>
  </si>
  <si>
    <t>2.1.1.</t>
  </si>
  <si>
    <t>Miškų savininkams, naudotojams, valdytojams želdinių apdorojimui repelentais, aptvėrimui tvoromis, želdinių, gerinančių laukinių gyvūnų mitybos sąlygas, ir kt. priemonėms</t>
  </si>
  <si>
    <t>2.1.2.</t>
  </si>
  <si>
    <t>Informacijai apie parengtą preliminarų medžioklės plotų vieneto sudarymo ar jo ribų keitimo projektą paskelbti šalies ir vietinėje spaudoje</t>
  </si>
  <si>
    <t>2.2.</t>
  </si>
  <si>
    <t>Kartografinės ir kitos medžiagos, reikalingos pagal Medžioklės įstatymo reikalavimus rengiamiems medžioklės plotų vienetų sudarymo ar jų ribų pakeitimo projektų parengimo priemonės</t>
  </si>
  <si>
    <t>3. Programos lėšos, skirtos savivaldybės visuomenės sveikatos rėmimo specialiajai programai</t>
  </si>
  <si>
    <t>Programos pavadinimas</t>
  </si>
  <si>
    <t>Lėšos, tūkst. Eur</t>
  </si>
  <si>
    <t>Savivaldybės visuomenės sveikatos rėmimo specialioji programa</t>
  </si>
  <si>
    <t>4. Kitos aplinkosaugos priemonės, kurioms įgyvendinti panaudotos programos lėšos</t>
  </si>
  <si>
    <t>Lėšos,  tūkst. Eur</t>
  </si>
  <si>
    <t>4.1.</t>
  </si>
  <si>
    <t>Aplinkos kokybės gerinimo ir apsaugos priemonės</t>
  </si>
  <si>
    <t>4.1.1.</t>
  </si>
  <si>
    <t>Sosnovskio barščio naikinimui Kėdainių rajone:</t>
  </si>
  <si>
    <t>4.1.1.1.</t>
  </si>
  <si>
    <t xml:space="preserve">Dotnuvos seniūnijai </t>
  </si>
  <si>
    <t>4.1.1.2.</t>
  </si>
  <si>
    <t>Krakių seniūnijai</t>
  </si>
  <si>
    <t>4.1.1.3.</t>
  </si>
  <si>
    <t>Pelėdnagių seniūnijai</t>
  </si>
  <si>
    <t>4.1.1.4.</t>
  </si>
  <si>
    <t>Šėtos seniūnijai</t>
  </si>
  <si>
    <t>4.1.1.5.</t>
  </si>
  <si>
    <t xml:space="preserve">Vilainių seniūnijai </t>
  </si>
  <si>
    <t>4.1.1.6.</t>
  </si>
  <si>
    <t xml:space="preserve">Kėdainių miesto seniūnijai </t>
  </si>
  <si>
    <t>4.1.1.7.</t>
  </si>
  <si>
    <t>Surviliškio seniūnijai</t>
  </si>
  <si>
    <t>4.1.1.8.</t>
  </si>
  <si>
    <t>Gudžiūnų seniūnijai</t>
  </si>
  <si>
    <t>4.1.2</t>
  </si>
  <si>
    <t>Sosnovskio barsčio naikinimui Kėdainių r. pagal gausos reguliavimo veiksmų planą</t>
  </si>
  <si>
    <t>4.1.3</t>
  </si>
  <si>
    <t>Kraujupio upelio minimaliam debitui papildyti Nevėžio upės vandeniu</t>
  </si>
  <si>
    <t>4.1.4.</t>
  </si>
  <si>
    <t>Individualių nuotekų valymo įrenginių kompensavimui Kėdainių r. sav.</t>
  </si>
  <si>
    <t>4.1.5.</t>
  </si>
  <si>
    <t>4.1.6.</t>
  </si>
  <si>
    <t>Kėdainių miesto gatvių plovimo, laistymo darbams</t>
  </si>
  <si>
    <t>4.2.</t>
  </si>
  <si>
    <t>Atliekų, kurių turėtojo nustatyti neįmanoma arba kuris nebeegzistuoja, tvarkymo priemonės</t>
  </si>
  <si>
    <t>4.2.1.</t>
  </si>
  <si>
    <t>Atliekų, kuriomis užteršta teritorija, nustatymo ir atliekomis užterštos teritorijos išvalymo ir sutvarkymo darbai</t>
  </si>
  <si>
    <t>4.3.</t>
  </si>
  <si>
    <t>Aplinkos monitoringo, prevencinės, aplinkos atkūrimo priemonės</t>
  </si>
  <si>
    <t>4.3.1.</t>
  </si>
  <si>
    <t>Gelbėjimo ir cheminių avarijų padariniams likviduoti ir priemonėms finansuoti</t>
  </si>
  <si>
    <t>4.3.2.</t>
  </si>
  <si>
    <t>4.3.3.</t>
  </si>
  <si>
    <t>Aplinkos oro, dirvožemio, požeminio ir paviršinio vandens nuotekų tyrimų atlikimui Kėdainių r.</t>
  </si>
  <si>
    <t>4.3.4.</t>
  </si>
  <si>
    <t>Nevėžio upės pakrančių valymui, tvarkymui Kėdainių m.</t>
  </si>
  <si>
    <t>4.3.5.</t>
  </si>
  <si>
    <t>Dotnuvėlės upelio pakrančių valymui, tvarkymui Kėdainių m.</t>
  </si>
  <si>
    <t>4.3.6.</t>
  </si>
  <si>
    <t>Jūrinių erelių perimviečių stebėjimui Kėdainių rajone</t>
  </si>
  <si>
    <t>4.3.7.</t>
  </si>
  <si>
    <t>Upių vandens tyrimams atlikti Kėdainių r. sav.</t>
  </si>
  <si>
    <t>4.3.8.</t>
  </si>
  <si>
    <t>4.3.9.</t>
  </si>
  <si>
    <t>4.3.10.</t>
  </si>
  <si>
    <t>Pažeistų Dotnuvėlės upės krantų tvirtinimui</t>
  </si>
  <si>
    <t>4.4.</t>
  </si>
  <si>
    <t>Visuomenės švietimo ir mokymo aplinkosaugos klausimais priemonės</t>
  </si>
  <si>
    <t>4.4.1.</t>
  </si>
  <si>
    <t>Kėdainių r. sav. aplinkosauginio švietimo  įgyvendinimui</t>
  </si>
  <si>
    <t>4.4.2.</t>
  </si>
  <si>
    <t>Prenumeruoti spaudos leidinius aplinkosaugine tema ugdymo įstaigoms</t>
  </si>
  <si>
    <t>4.4.3.</t>
  </si>
  <si>
    <t>Konkursui „Gražiausiai tvarkoma aplinka“ rengti</t>
  </si>
  <si>
    <t>4.5.</t>
  </si>
  <si>
    <t>Želdynų ir želdinių apsaugos, tvarkymo, būklės stebėsenos, želdynų kūrimo, želdinių veisimo ir inventorizavimo priemonės</t>
  </si>
  <si>
    <t>4.5.1.</t>
  </si>
  <si>
    <t>Medeliams ir želdiniams sodinti ir prižiūrėti:</t>
  </si>
  <si>
    <t>4.5.1.1.</t>
  </si>
  <si>
    <t>4.5.1.2.</t>
  </si>
  <si>
    <t xml:space="preserve">Gudžiūnų seniūnijai </t>
  </si>
  <si>
    <t>4.5.1.3.</t>
  </si>
  <si>
    <t xml:space="preserve">Josvainių seniūnijai </t>
  </si>
  <si>
    <t>4.5.1.4.</t>
  </si>
  <si>
    <t>4.5.1.5.</t>
  </si>
  <si>
    <t>4.5.1.6.</t>
  </si>
  <si>
    <t>4.5.1.7.</t>
  </si>
  <si>
    <t xml:space="preserve">Pernaravos seniūnijai </t>
  </si>
  <si>
    <t>4.5.1.8.</t>
  </si>
  <si>
    <t>4.5.1.9.</t>
  </si>
  <si>
    <t>4.5.1.10.</t>
  </si>
  <si>
    <t>Truskavos seniūnijai</t>
  </si>
  <si>
    <t>4.5.1.11.</t>
  </si>
  <si>
    <t>4.5.2.</t>
  </si>
  <si>
    <t>Kaštoninio karšelio gaudyklėms įsigyti</t>
  </si>
  <si>
    <t>4.5.3.</t>
  </si>
  <si>
    <t>Kėdainių miesto parko želdynų inventorizacijai ir apskaitai Kėdainių m. sen.</t>
  </si>
  <si>
    <t>4.5.4.</t>
  </si>
  <si>
    <t>Viešųjų erdvių apželdinimas Kėdainių m.</t>
  </si>
  <si>
    <t>4.5.5.</t>
  </si>
  <si>
    <t>4.6.</t>
  </si>
  <si>
    <t>Kitos išlaidos</t>
  </si>
  <si>
    <t>Iš viso:</t>
  </si>
  <si>
    <t xml:space="preserve">                                                __________________________</t>
  </si>
  <si>
    <t>Rekonstruoti/įrengti/modernizuoti Kėdainių miesto ir rajono  gatvių apšvietimą</t>
  </si>
  <si>
    <t xml:space="preserve">                                                                 2023 m. sausio 27 d. sprendimo Nr. TS-</t>
  </si>
  <si>
    <t xml:space="preserve">                                                                                          2023 m. sausio 27 d. sprendimo Nr. TS-</t>
  </si>
  <si>
    <t xml:space="preserve">                                                                              2023 m. sausio 27 d. sprendimo Nr. TS-</t>
  </si>
  <si>
    <t xml:space="preserve">                                                                    2023 m. sausio 27 d. sprendimo Nr. TS-</t>
  </si>
  <si>
    <t xml:space="preserve">                                                                           2023 m. sausio 27 d. sprendimo Nr. TS-</t>
  </si>
  <si>
    <t xml:space="preserve">                                                                                  2023 m. sausio 27 d. sprendimo Nr. TS-</t>
  </si>
  <si>
    <t xml:space="preserve">                                                          2023 m. sausio 27 d. sprendimo Nr. TS-</t>
  </si>
  <si>
    <t xml:space="preserve">                                                                2023 m. sausio 27 d. sprendimo Nr. TS-</t>
  </si>
  <si>
    <t xml:space="preserve">                                                                  2023 m. sausio 27 d. sprendimo Nr. TS-</t>
  </si>
  <si>
    <t xml:space="preserve">                                                           2023 m. sausio 27 d. sprendimo Nr. TS-</t>
  </si>
  <si>
    <t xml:space="preserve">                 SPECIALIOSIOS PROGRAMOS 2023 METŲ PRIEMONIŲ SĄMATA                                                                                                                 </t>
  </si>
  <si>
    <t>2023 METŲ VALSTYBĖS BIUDŽETO DOTACIJOS IŠ KITŲ VALDYMO LYGIŲ SAVIVALDYBĖS BIUDŽETUI PROJEKTAMS FINANSUOTI  ASIGNAVIMAI</t>
  </si>
  <si>
    <t xml:space="preserve">2023 METŲ VALSTYBĖS BIUDŽETO SPECIALIOS TIKSLINĖS DOTACIJOS SAVIVALDYBĖS BIUDŽETUI KITI ASIGNAVIMAI </t>
  </si>
  <si>
    <t>2023 METŲ VALSTYBĖS BIUDŽETO SPECIALIOS TIKSLINĖS DOTACIJOS SAVIVALDYBĖS BIUDŽETUI UGDYMO REIKMĖMS FINANSUOTI ASIGNAVIMAI</t>
  </si>
  <si>
    <t>2023 METŲ VALSTYBĖS BIUDŽETO SPECIALIOS TIKSLINĖS DOTACIJOS SAVIVALDYBĖS BIUDŽETUI VALSTYBINĖMS (VALSTYBĖS PERDUOTOMS SAVIVALDYBEI) FUNKCIJOMS ATLIKTI ASIGNAVIMAI</t>
  </si>
  <si>
    <t xml:space="preserve">KĖDAINIŲ RAJONO SAVIVALDYBĖS 2023 METŲ BIUDŽETO ASIGNAVIMAI PROJEKTAMS FINANSUOTI EUROPOS SĄJUNGOS LĖŠOMIS </t>
  </si>
  <si>
    <t>2023 METŲ ASIGNAVIMAI ĮSTAIGOMS IŠ PAJAMŲ, GAUTŲ UŽ IŠLAIKYMĄ ŠVIETIMO, SOCIALINĖS APSAUGOS IR KITOSE ĮSTAIGOSE</t>
  </si>
  <si>
    <t xml:space="preserve"> 2023 METŲ ASIGNAVIMAI ĮSTAIGOMS IŠ PAJAMŲ, GAUTŲ UŽ ILGALAIKIO IR TRUMPALAIKIO MATERIALIOJO TURTO NUOMĄ</t>
  </si>
  <si>
    <t xml:space="preserve"> 2023 METŲ ASIGNAVIMAI ĮSTAIGOMS IŠ PAJAMŲ, GAUTŲ UŽ PREKES IR PASLAUGAS </t>
  </si>
  <si>
    <t>KĖDAINIŲ RAJONO SAVIVALDYBĖS 2023 METŲ BIUDŽETO ASIGNAVIMAI  SAVARANKIŠKOMS FUNKCIJOMS ATLIKTI</t>
  </si>
  <si>
    <t xml:space="preserve">IŠ BIUDŽETO IŠLAIKOMŲ ĮSTAIGŲ 2023 METŲ PAJAMOS UŽ PREKES IR  PASLAUGAS, UŽ ILGALAIKIO IR TRUMPALAIKIO MATERIALIOJO TURTO NUOMĄ IR UŽ IŠLAIKYMĄ ŠVIETIMO, SOCIALINĖS APSAUGOS IR KITOSE ĮSTAIGOSE </t>
  </si>
  <si>
    <t xml:space="preserve">          KĖDAINIŲ RAJONO SAVIVALDYBĖS 2023 METŲ BIUDŽETO PAJAMOS</t>
  </si>
  <si>
    <t>Kėdainių rajono savivaldybės 2023 m. biudžeto asignavimai investicijų projektams ir remonto darbams finansuoti pagal objektus:</t>
  </si>
  <si>
    <t>iš jų: vykdyti socialinės paramos 2023 m. programą</t>
  </si>
  <si>
    <t>28.1</t>
  </si>
  <si>
    <t>28.2</t>
  </si>
  <si>
    <t>28.3</t>
  </si>
  <si>
    <t>28.4</t>
  </si>
  <si>
    <t>28.5</t>
  </si>
  <si>
    <t>Ugdymo finansavimo poreikių skirtumams sumažinti</t>
  </si>
  <si>
    <t xml:space="preserve">Įdiegti saulės elektrinės pagamintos  energijos kaupimo įrenginį Kėdainių r. Šėtos gimnazijoje </t>
  </si>
  <si>
    <t>Didinti Kėdainių lopšelio-darželio „Varpelis“ (Pavasario g. 8, Kėdainiai) pastato energinį efektyvumą, modernizuoti vidaus erdves</t>
  </si>
  <si>
    <t>Didinti Kėdainių lopšelio-darželio „Vyturėlis“ (Josvainių g. 53, Kėdainiai) pastato energinį efektyvumą, modernizuoti vidaus erdves</t>
  </si>
  <si>
    <t xml:space="preserve">Didinti ugdymo prieinamumą atskirtį patiriantiems vaikams </t>
  </si>
  <si>
    <t>Plėtoti įvairialypį švietimą, vykdant visos dienos mokyklos veiklą</t>
  </si>
  <si>
    <t xml:space="preserve">Vykdyti Kėdainių rajono tuberkuliozės prevencijos, ankstyvosios diagnostikos, gydymo ir kontrolės 2023–2027 m. programą </t>
  </si>
  <si>
    <t>Vykdyti pirminės asmens sveikatos priežiūros paslaugų prieinamumo ir kokybės užtikrinimo Kėdainių rajono kaimiškųjų vietovių gyventojams 2017–2025 m. programą</t>
  </si>
  <si>
    <t>Įgyvendinti žemo slenksčio paslaugų kokybės  Kėdainių rajone užtikrinimo 2023-2027 m. programą</t>
  </si>
  <si>
    <t>Stiprinti vaikų, turinčių  autizmo spektro ir kitų raidos sutrikimų, sveikatą, sudaryti galimybes siekti asmeninės pažangos, užtikrinti pilnaverčio socialinio dalyvavimo prielaidas</t>
  </si>
  <si>
    <t xml:space="preserve">Teikti pagalbą į krizines situacijas patekusiems, smurtą artimoje aplinkoje patyrusiems asmenims ir jų šeimų nariams </t>
  </si>
  <si>
    <t>Įgyvendinti savarankiško gyvenimo namų paslaugų senyvo amžiaus asmenims teikimo programą</t>
  </si>
  <si>
    <t xml:space="preserve">Užtikrinti laisvės atėmimo bausmę atlikusių asmenų integraciją į visuomenę </t>
  </si>
  <si>
    <t>Plėsti Kėdainių rajono savivaldybės socialines paslaugas teikiančių įstaigų informacinių technologijų aplinką bei elektronines paslaugas</t>
  </si>
  <si>
    <t>Futbolo komandos Kėdainių „Nevėžis“ klubinio futbolo vystymo programai</t>
  </si>
  <si>
    <t>Bokso sporto šakos vystymo programai</t>
  </si>
  <si>
    <t>Kėdainių rajono vaikų ir jaunimo futbolo plėtros programai</t>
  </si>
  <si>
    <t>3 prieš 3 krepšinio plėtros programai</t>
  </si>
  <si>
    <t>Moterų futbolo komandos Kėdainių „Nevėžis“ programai</t>
  </si>
  <si>
    <t>Finansuoti sporto projektus</t>
  </si>
  <si>
    <t>Rengti techninę dokumentaciją  Kėdainių miesto ir rajono ugdymo įstaigų stadionų /sporto aikštynų atnaujinimui</t>
  </si>
  <si>
    <t xml:space="preserve">Kėdainių krepšinio komandos „Nevėžis-Optibet“ klubinio krepšinio vystymo programai </t>
  </si>
  <si>
    <t>iš jų: dalyvauti Žydų kultūros paveldo kelio asociacijos veikloje ir puoselėti žydų kultūros paveldo atminimą Kėdainiuose</t>
  </si>
  <si>
    <t xml:space="preserve">Įsigyti Janinos Monkutės-Marks pastatą </t>
  </si>
  <si>
    <t xml:space="preserve">Parengti Nekilnojamųjų kultūros vertybių vertinimo medžiagą,  nekilnojamųjų kultūros paveldo objektų, vietovių  individualius apsaugos reglamentus </t>
  </si>
  <si>
    <t>Rengti dokumentaciją, atlikti lankytinų objektų,  kultūros paveldo objektų ar objektų, esančių kultūros paveldo teritorijų prieigose, tvarkybos, atnaujinimo, restauravimo darbus seniūnijose</t>
  </si>
  <si>
    <t>Įrengti, rekonstruoti, išplėsti vandentiekio ir/ar nuotekų tinklus Kėdainių mieste ( Šviesos, g. Pievų g.)</t>
  </si>
  <si>
    <t xml:space="preserve">Įrengti biologinius nuotekų valymo įrenginius </t>
  </si>
  <si>
    <t>Parengti  nuotekų tinklų ir nuotekų valyklos įrengimo  Okainių k. techninį projektą</t>
  </si>
  <si>
    <t>Parengti vandentiekio ir nuotekų tinklų, nuotekų valyklos įrengimo  Langakių k. techninį projektą</t>
  </si>
  <si>
    <t>Sutvarkyti naudotas padangas, kurių turėtojų nustatyti neįmanoma arba kurie neegzistuoja</t>
  </si>
  <si>
    <t>Vykdyti Kėdainių rajono Dotnuvos seniūnijos Kruostos upės Vaidatonių tvenkinio hidrotechnikos statinių rekonstrukciją ir techninės priežiūros paslaugas</t>
  </si>
  <si>
    <t>Dalyvauti projekto „MSNA „Daukšių drenažas“ nariams priklausančių ir valstybinių melioracijos statinių rekonstravimas“ įgyvendinime</t>
  </si>
  <si>
    <t xml:space="preserve">Parengti techninę dokumentaciją ir atlikti Kėdainių miesto hidrotechnikos statinio ant Dotnuvėlės upės remonto darbus </t>
  </si>
  <si>
    <t>Didinti piliečių įtraukimo į biudžeto formavimą galimybes, įgyvendinant dalyvaujamojo biudžeto iniciatyvas</t>
  </si>
  <si>
    <t>Kėdainių r. sav. teritorijoje esančių saugomų teritorijų apsaugos ir tvarkymo darbai (šienavimas, menkaverčių krūmų iškirtimas)</t>
  </si>
  <si>
    <t>Kėdainių r. sav. 2019–2024 m. aplinkos monitoringo programos 2023 m. paslaugų įgyvendinimui</t>
  </si>
  <si>
    <t>Vandens telkinių tvarkymo darbų projektų parengimas</t>
  </si>
  <si>
    <t>Krakių tvenkinių valymui Krakių mstl., Krakių sen.</t>
  </si>
  <si>
    <t>Želdinių būklės ekspertizės paslaugos</t>
  </si>
  <si>
    <t xml:space="preserve">Kita dotacija kompleksinėms paslaugoms šeimai organizuoti 2023 metais </t>
  </si>
  <si>
    <t>2022 METŲ NEPANAUDOTOS BIUDŽETO PAJAMOS, IŠ JŲ:</t>
  </si>
  <si>
    <t>Kėdainių rajono savivaldybės 2023 m. valstybei nuosavybės teise priklausančių melioracijos statinių priežiūrai ir remonto darbams įskaitant priešprojektinius tyrinėjimus, techninės sąmatinės dokumentacijos sudarymą, ekspertizę, darbų techninę priežiūrą bei kitus susijusius darbus</t>
  </si>
  <si>
    <t>31.1</t>
  </si>
  <si>
    <t>31.2</t>
  </si>
  <si>
    <t>31.3</t>
  </si>
  <si>
    <t>31.4</t>
  </si>
  <si>
    <t>31.5</t>
  </si>
  <si>
    <t>31.5.1</t>
  </si>
  <si>
    <t>31.5.2</t>
  </si>
  <si>
    <t>31.5.3</t>
  </si>
  <si>
    <t>31.5.4</t>
  </si>
  <si>
    <t>31.5.5</t>
  </si>
  <si>
    <t>31.5.6</t>
  </si>
  <si>
    <t>31.5.7</t>
  </si>
  <si>
    <t>31.5.8</t>
  </si>
  <si>
    <t>31.5.9</t>
  </si>
  <si>
    <t>31.5.10</t>
  </si>
  <si>
    <t>34.1</t>
  </si>
  <si>
    <t>34.2</t>
  </si>
  <si>
    <t>34.3</t>
  </si>
  <si>
    <t>34.4</t>
  </si>
  <si>
    <t>34.5</t>
  </si>
  <si>
    <t>34.6</t>
  </si>
  <si>
    <t>34.7</t>
  </si>
  <si>
    <t>34.8</t>
  </si>
  <si>
    <t>34.9</t>
  </si>
  <si>
    <t>34.10</t>
  </si>
  <si>
    <t>34.11</t>
  </si>
  <si>
    <t>34.12</t>
  </si>
  <si>
    <t>34.13</t>
  </si>
  <si>
    <t>34.14</t>
  </si>
  <si>
    <t>34.14.1</t>
  </si>
  <si>
    <t>34.14.2</t>
  </si>
  <si>
    <t>41.1</t>
  </si>
  <si>
    <t>41.2</t>
  </si>
  <si>
    <t>41.3</t>
  </si>
  <si>
    <t>41.4</t>
  </si>
  <si>
    <t>41.5</t>
  </si>
  <si>
    <t>41.6</t>
  </si>
  <si>
    <t>41.7</t>
  </si>
  <si>
    <t>41.8</t>
  </si>
  <si>
    <t>41.9</t>
  </si>
  <si>
    <t>41.10</t>
  </si>
  <si>
    <t>41.11</t>
  </si>
  <si>
    <t>41.12</t>
  </si>
  <si>
    <t>41.13</t>
  </si>
  <si>
    <t>41.14</t>
  </si>
  <si>
    <t>41.15</t>
  </si>
  <si>
    <t>55.1</t>
  </si>
  <si>
    <t>55.2</t>
  </si>
  <si>
    <t>55.3</t>
  </si>
  <si>
    <t>55.4</t>
  </si>
  <si>
    <t>55.5</t>
  </si>
  <si>
    <t>55.6</t>
  </si>
  <si>
    <t>55.6.1</t>
  </si>
  <si>
    <t>55.6.2</t>
  </si>
  <si>
    <t>74.1</t>
  </si>
  <si>
    <t>74.2</t>
  </si>
  <si>
    <t>74.3</t>
  </si>
  <si>
    <t>74.4</t>
  </si>
  <si>
    <t>74.5</t>
  </si>
  <si>
    <t>74.6</t>
  </si>
  <si>
    <t>74.7</t>
  </si>
  <si>
    <t>74.7.1</t>
  </si>
  <si>
    <t>74.7.2</t>
  </si>
  <si>
    <t>74.7.3</t>
  </si>
  <si>
    <t>78.1</t>
  </si>
  <si>
    <t>Finansuoti sporto šakų programas, iš jų:</t>
  </si>
  <si>
    <t>78.2</t>
  </si>
  <si>
    <t>78.3</t>
  </si>
  <si>
    <t>78.4</t>
  </si>
  <si>
    <t>80.1</t>
  </si>
  <si>
    <t>80.1.1</t>
  </si>
  <si>
    <t>80.1.2</t>
  </si>
  <si>
    <t>80.1.3</t>
  </si>
  <si>
    <t>80.1.4</t>
  </si>
  <si>
    <t>80.1.5</t>
  </si>
  <si>
    <t>80.1.6</t>
  </si>
  <si>
    <t>80.1.7</t>
  </si>
  <si>
    <t>80.1.8</t>
  </si>
  <si>
    <t>80.1.9</t>
  </si>
  <si>
    <t>80.1.10</t>
  </si>
  <si>
    <t>80.1.11</t>
  </si>
  <si>
    <t>80.1.12</t>
  </si>
  <si>
    <t>80.1.13</t>
  </si>
  <si>
    <t>80.1.14</t>
  </si>
  <si>
    <t>80.1.15</t>
  </si>
  <si>
    <t>80.1.16</t>
  </si>
  <si>
    <t>80.1.17</t>
  </si>
  <si>
    <t>80.1.18</t>
  </si>
  <si>
    <t>80.1.19</t>
  </si>
  <si>
    <t>80.1.20</t>
  </si>
  <si>
    <t>80.1.21</t>
  </si>
  <si>
    <t>80.1.22</t>
  </si>
  <si>
    <t>93.1</t>
  </si>
  <si>
    <t>93.2</t>
  </si>
  <si>
    <t>93.3</t>
  </si>
  <si>
    <t>93.4</t>
  </si>
  <si>
    <t>93.5</t>
  </si>
  <si>
    <t>93.6</t>
  </si>
  <si>
    <t>93.7</t>
  </si>
  <si>
    <t>93.8</t>
  </si>
  <si>
    <t>93.8.1</t>
  </si>
  <si>
    <t>93.8.2</t>
  </si>
  <si>
    <t>93.8.3</t>
  </si>
  <si>
    <t>106.1</t>
  </si>
  <si>
    <t>106.2</t>
  </si>
  <si>
    <t>106.2.1</t>
  </si>
  <si>
    <t>106.2.2</t>
  </si>
  <si>
    <t>106.2.3</t>
  </si>
  <si>
    <t>106.2.4</t>
  </si>
  <si>
    <t>106.2.5</t>
  </si>
  <si>
    <t>108.1</t>
  </si>
  <si>
    <t>108.2</t>
  </si>
  <si>
    <t>108.3</t>
  </si>
  <si>
    <t>112.1</t>
  </si>
  <si>
    <t>112.2</t>
  </si>
  <si>
    <t>112.3</t>
  </si>
  <si>
    <t>112.4</t>
  </si>
  <si>
    <t>112.5</t>
  </si>
  <si>
    <t>112.6</t>
  </si>
  <si>
    <t>112.7</t>
  </si>
  <si>
    <t>112.8</t>
  </si>
  <si>
    <t>112.9</t>
  </si>
  <si>
    <t>2.1</t>
  </si>
  <si>
    <t>2.2</t>
  </si>
  <si>
    <t>2.3</t>
  </si>
  <si>
    <t>2.4</t>
  </si>
  <si>
    <t>3</t>
  </si>
  <si>
    <t>4.1</t>
  </si>
  <si>
    <t>8.1</t>
  </si>
  <si>
    <t>10.1</t>
  </si>
  <si>
    <t>5</t>
  </si>
  <si>
    <t>6</t>
  </si>
  <si>
    <t>Didinti ikimokyklinių įstaigų pastatų energinį efektyvumą, modernizuoti vidaus erdves</t>
  </si>
  <si>
    <t xml:space="preserve">KĖDAINIŲ RAJONO SAVIVALDYBĖS  2023 METŲ BIUDŽETO ASIGNAVIMAI INVESTICIJŲ PROJEKTAMS FINANSUOTI  PASKOLŲ LĖŠOMIS </t>
  </si>
  <si>
    <t>10.</t>
  </si>
  <si>
    <t xml:space="preserve">01.03.02.09
</t>
  </si>
  <si>
    <t>Vykdyti kompiuterinės tomografijos paslaugų kokybės gerinimo Kėdainių rajono savivaldybėje 2023-2030 m. programą</t>
  </si>
  <si>
    <t xml:space="preserve">     užimtumo didinimo programoms įgyvendinti</t>
  </si>
  <si>
    <t>Užimtumo didinimo programų įgyvendinimas</t>
  </si>
  <si>
    <t xml:space="preserve">   pirminei valstybės garantuojamai teisinei pagalbai teikti</t>
  </si>
  <si>
    <t xml:space="preserve">     gyvenamosios vietos deklaravimo duomenų ir gyvenamosios vietos nedeklaravusių asmenų apskaitos duomenims tvarkyti</t>
  </si>
  <si>
    <t xml:space="preserve">     erdvinių duomenų rinkiniui tvarkyti</t>
  </si>
  <si>
    <t xml:space="preserve">     duomenų teikimas suteiktos valstybės pagalbos registrui</t>
  </si>
  <si>
    <t>Duomenų teikimas suteiktos valstybės pagalbos registrui</t>
  </si>
  <si>
    <t xml:space="preserve">     psichosocialinės pagalbos ir savižudžių prevencijos priemonių įgyvendinimui</t>
  </si>
  <si>
    <t xml:space="preserve"> Psichosocialinės pagalbos ir savižudžių prevencijos priemonių įgyvendinimui</t>
  </si>
  <si>
    <t xml:space="preserve">     koordinuotai teikiamų paslaugų vaikams nuo gimimo iki 18 metų (turintiems didelių ir labai didelių specialiųjų ugdymosi poreikių − iki 21 metų) ir vaiko atstovams koordinavimui</t>
  </si>
  <si>
    <t>1.12.</t>
  </si>
  <si>
    <t>03.7</t>
  </si>
  <si>
    <t xml:space="preserve">04.01.02.01 10.06.01.01 10.07.01.01
10.09.01.09 </t>
  </si>
  <si>
    <t>04.01.02.01 10.06.01.01 10.07.01.01
10.09.01.09</t>
  </si>
  <si>
    <t>iš jų: parengti Kėdainių evangelikų ir reformatų bažnyčios tvarkybos darbų projektą ir atlikti tvarkybos darbus</t>
  </si>
  <si>
    <t xml:space="preserve"> 10.06.01.01 10.07.01.01
10.09.01.09</t>
  </si>
  <si>
    <t>16.2</t>
  </si>
  <si>
    <t>16.3</t>
  </si>
  <si>
    <t xml:space="preserve">      valstybės biudžeto lėšos, skirtos 2023 metais socialinės reabilitacijos paslaugų neįgaliesiems teikimo bendruomenėje organizuoti, teikti ir administruoti</t>
  </si>
  <si>
    <t>Kita dotacija 2023 metais socialinės reabilitacijos paslaugų neįgaliesiems teikimo bendruomenėje organizuoti, teikti ir administruoti</t>
  </si>
  <si>
    <t>Kita dotacija 2023 m. akredituotai vaikų dienos socialinei priežiūrai organizuoti, teikti ir administruot</t>
  </si>
  <si>
    <t>Įgyvendinti mokytojų ir pagalbos mokiniui specialistų  motyvacijos programą</t>
  </si>
  <si>
    <t>Prisidėti prie savivaldybei priklausančio būsto renovacijos savivaldybės biudžeto lėšomis</t>
  </si>
  <si>
    <t>31.5.11</t>
  </si>
  <si>
    <t>Koofinansuoti  ugdymo įstaigų dalyvavimą infrastruktūros gerinimo/modernizavimo projektuose</t>
  </si>
  <si>
    <t xml:space="preserve">Įrengti pėsčiųjų ir dviračių takus Pramonės g. Kėdainių mieste  </t>
  </si>
  <si>
    <t>04.05.01.02</t>
  </si>
  <si>
    <t>Kompleksiškai sutvarkyti ir pritaikyti bendruomenei ir verslui Kėdainių miesto viešąsias erdves</t>
  </si>
  <si>
    <t>8</t>
  </si>
  <si>
    <t>7</t>
  </si>
  <si>
    <t>4.2.2.</t>
  </si>
  <si>
    <t>Bešeimininkėms atliekoms ir nelegalioms sąvartoms tvarkyti, rekreacinių teritorijų tvarkai užtikrinti seniūnijose</t>
  </si>
  <si>
    <t>4.5.6.</t>
  </si>
  <si>
    <t>Želdynų kūrimo ir tvarkymo projektų rengimui</t>
  </si>
  <si>
    <t>Iš viso (1.1 + 1.2):</t>
  </si>
  <si>
    <t>Iš viso (1.4 + 1.5):</t>
  </si>
  <si>
    <t>Faktinės Programos lėšos (1.3 + 1.6)</t>
  </si>
  <si>
    <t>Iš viso (2.1 + 2.2):</t>
  </si>
  <si>
    <t>13</t>
  </si>
  <si>
    <t>05.1</t>
  </si>
  <si>
    <t>Kita dotacija savivaldybės viešajai bibliotekai dokumentams 2022 metais įsigyti</t>
  </si>
  <si>
    <t xml:space="preserve">  savivaldybės viešajai bibliotekai dokumentams 2023 m. įsigyti</t>
  </si>
  <si>
    <t xml:space="preserve">     valstybės biudžeto lėšos, skirtos 2023 m. apmokėti būstų nuomai iš fizinių ar juridinių asmenų</t>
  </si>
  <si>
    <t xml:space="preserve">     valstybės biudžeto lėšos, skirtos 2023 m. asmeninei pagalbai teikti ir administruoti</t>
  </si>
  <si>
    <t xml:space="preserve">     valstybės biudžeto lėšos, skirtos vykdyti Nevėžio upės vientisumo atkūrimą, nugriaunant neeksploatuojamus hidroelektrinės statinius ir techninės priežiūros paslaugas </t>
  </si>
  <si>
    <t>16.4</t>
  </si>
  <si>
    <t>16.5</t>
  </si>
  <si>
    <t>16.6</t>
  </si>
  <si>
    <t>16.7</t>
  </si>
  <si>
    <t>08.1</t>
  </si>
  <si>
    <t xml:space="preserve">Kita dotacija  vykdyti Nevėžio upės vientisumo atkūrimą, nugriaunant neeksploatuojamus hidroelektrinės statinius ir techninės priežiūros paslaugas </t>
  </si>
  <si>
    <t>Kita dotacija 2023 metais asmeninei pagalbai teikti ir administruoti</t>
  </si>
  <si>
    <t>Kita dotacija 2023 m. apmokėti būstų nuomai iš fizinių ar juridinių asmenų</t>
  </si>
  <si>
    <t>prioritetinės ir neprioritetinės infrastruktūros įmokos</t>
  </si>
  <si>
    <t>Kitos neišvardytos pajamos, iš jų:</t>
  </si>
  <si>
    <t>Teikti kompleksines paslaugas šeimai Kėdainių rajone</t>
  </si>
  <si>
    <t>Rengti infrastruktūros plėtros  technines dokumentacijas</t>
  </si>
  <si>
    <t>Mokėti išmokas pagal savivaldybės infrastruktūros plėtros sutartis</t>
  </si>
  <si>
    <t>6.2</t>
  </si>
  <si>
    <t>80.1.23</t>
  </si>
  <si>
    <t>12.1</t>
  </si>
  <si>
    <t>12.2</t>
  </si>
  <si>
    <t>14.1</t>
  </si>
  <si>
    <t>10.2</t>
  </si>
  <si>
    <t>14</t>
  </si>
  <si>
    <t>Infrastruktūros objektų investicijoms</t>
  </si>
  <si>
    <t>16.8</t>
  </si>
  <si>
    <t xml:space="preserve">  valstybės biudžeto lėšos, skirtos 2023 m. akredituotai vaikų dienos socialinei priežiūrai organizuoti, teikti ir administruoti</t>
  </si>
  <si>
    <t xml:space="preserve">  valstybės biudžeto lėšos kompleksinėms paslaugoms šeimai organizuoti 2023 metais </t>
  </si>
  <si>
    <t xml:space="preserve">    valstybės biudžeto lėšos, skirtos savivaldybės administracijai vienkartinėms išmokoms įsikurti gyvenamojoje vietoje savivaldybės teritorijoje ir (ar) mėnesinėms kompensacijoms atlyginimui švietimo teikėjui už vaiko, ugdymo pagal ikimokyklinio ir priešmokyklinio ugdymo programą išlaidoms</t>
  </si>
  <si>
    <t>Kita dotacija  vienkartinėms išmokoms įsikurti gyvenamojoje vietoje savivaldybės teritorijoje ir (ar) mėnesinėms kompensacijoms atlyginimui švietimo teikėjui už vaiko, ugdymo pagal ikimokyklinio ir priešmokyklinio ugdymo programą išlaidoms</t>
  </si>
  <si>
    <t xml:space="preserve">Teikti ir administruoti asmeninę pagalbą </t>
  </si>
  <si>
    <t>41.16</t>
  </si>
  <si>
    <t>41.16.1</t>
  </si>
  <si>
    <t>41.16.2</t>
  </si>
  <si>
    <t>41.16.3</t>
  </si>
  <si>
    <t>41.16.4</t>
  </si>
  <si>
    <t>Įrengti gamtos ir technologijų mokslų laboratorijas</t>
  </si>
  <si>
    <t>Atnaujinti Kėdainių muzikos mokyklos pastato fasadą, laiptus į rūsį</t>
  </si>
  <si>
    <t>Parengti Akademijos parko tvarkybos  techninį projektą</t>
  </si>
  <si>
    <t>78.5</t>
  </si>
  <si>
    <t>78.5.1</t>
  </si>
  <si>
    <t>78.5.2</t>
  </si>
  <si>
    <t>78.5.3</t>
  </si>
  <si>
    <t>78.5.4</t>
  </si>
  <si>
    <t>78.5.5</t>
  </si>
  <si>
    <t>78.5.6</t>
  </si>
  <si>
    <t>iš jų: vykdyti socialinio - emocinio ugdymo programas</t>
  </si>
  <si>
    <t>31.5.12</t>
  </si>
  <si>
    <t>31.5.13</t>
  </si>
  <si>
    <t>Kita dotacija už būsto suteikimą užsieniečiams, pasitraukusiems iš Ukrainos dėl Rusijos federacijos karinės agresijos, finansuoti</t>
  </si>
  <si>
    <t>16.9</t>
  </si>
  <si>
    <t xml:space="preserve">     kompensuoti išlaidas už būsto suteikimą užsieniečiams, pasitraukusiems iš Ukrainos dėl Rusijos federacijos karinės agresijos</t>
  </si>
  <si>
    <t xml:space="preserve">    valstybės biudžeto lėšos, skirtos neformaliajam vaikų švietimui </t>
  </si>
  <si>
    <t>16.10</t>
  </si>
  <si>
    <t>Kita dotacija neformaliajam vaikų švietimui</t>
  </si>
  <si>
    <t xml:space="preserve"> 09.05.01.03</t>
  </si>
  <si>
    <t>Kėdainių rajono savivaldybės administracija</t>
  </si>
  <si>
    <t xml:space="preserve"> 09.05.01.01</t>
  </si>
  <si>
    <t>iš jų: kurti modernias ir šiuolaikines mokymosi erdves Kėdainių kalbų mokykloje</t>
  </si>
  <si>
    <t>11.13</t>
  </si>
  <si>
    <t>Įgyvendinti savarankiško gyvenimo namų paslaugų asmenims su sutrikusiu intelekĮgyvendinti savarankiško gyvenimo namų paslaugų asmenims su sutrikusiu intelektu teikimo programą</t>
  </si>
  <si>
    <t xml:space="preserve">Finansuoti vaikų mokymo plaukti veiklos programą, dalyvaujant projekte „Mokėk plaukti ir saugiau elgtis vandenyje“ </t>
  </si>
  <si>
    <t>Užtikrinti Kėdainių miesto vietos veiklos grupės 2023–2027 m. vietos plėtros strategijos parengimą ir programos "Vietos plėtros strategijos rengimo ir įgyvendinimo programa" įgyvendinimą</t>
  </si>
  <si>
    <t>Parengti bendrojo ir ikimokyklinio ugdymo įstaigų (skyrių) pastatų modernizavimo technines dokumentacijas</t>
  </si>
  <si>
    <t>Įsigyti tekstilės atliekų surinkimo konteinerius</t>
  </si>
  <si>
    <t>Parengti projektus hidrotechninių įrenginių atnaujinimui</t>
  </si>
  <si>
    <t>1.9</t>
  </si>
  <si>
    <t>Iš viso (1.8+1.9):</t>
  </si>
  <si>
    <t>1.13.</t>
  </si>
  <si>
    <t>Iš viso (1.11 + 1.12):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</si>
</sst>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0.0_ ;\-0.0\ "/>
    <numFmt numFmtId="170" formatCode="#,##0.0_ ;\-#,##0.0\ "/>
    <numFmt numFmtId="171" formatCode="0.0;\-0.0;"/>
    <numFmt numFmtId="172" formatCode="0.0;\-0.0;;"/>
  </numFmts>
  <fonts count="21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Calibri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8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0070C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0" fontId="7" fillId="0" borderId="0"/>
    <xf numFmtId="0" fontId="1" fillId="0" borderId="0"/>
    <xf numFmtId="0" fontId="7" fillId="0" borderId="0"/>
    <xf numFmtId="0" fontId="15" fillId="0" borderId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283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167" fontId="1" fillId="0" borderId="0" xfId="0" applyNumberFormat="1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1" fillId="0" borderId="2" xfId="0" applyNumberFormat="1" applyFont="1" applyBorder="1" applyAlignment="1">
      <alignment vertical="center"/>
    </xf>
    <xf numFmtId="167" fontId="1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vertical="center"/>
    </xf>
    <xf numFmtId="170" fontId="2" fillId="0" borderId="1" xfId="0" applyNumberFormat="1" applyFont="1" applyBorder="1" applyAlignment="1">
      <alignment horizontal="right" vertical="center"/>
    </xf>
    <xf numFmtId="170" fontId="1" fillId="0" borderId="1" xfId="0" applyNumberFormat="1" applyFont="1" applyBorder="1" applyAlignment="1">
      <alignment horizontal="right" vertical="center"/>
    </xf>
    <xf numFmtId="167" fontId="1" fillId="0" borderId="3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horizontal="left" vertical="center" wrapText="1"/>
    </xf>
    <xf numFmtId="17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49" fontId="1" fillId="0" borderId="4" xfId="20" applyNumberForma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/>
    </xf>
    <xf numFmtId="168" fontId="1" fillId="0" borderId="1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horizontal="left" vertical="center"/>
    </xf>
    <xf numFmtId="167" fontId="1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168" fontId="1" fillId="0" borderId="0" xfId="0" applyNumberFormat="1" applyFont="1"/>
    <xf numFmtId="168" fontId="1" fillId="0" borderId="1" xfId="0" applyNumberFormat="1" applyFont="1" applyBorder="1" applyAlignment="1">
      <alignment horizontal="right" vertical="center" wrapText="1"/>
    </xf>
    <xf numFmtId="167" fontId="1" fillId="0" borderId="3" xfId="0" applyNumberFormat="1" applyFont="1" applyBorder="1" applyAlignment="1">
      <alignment vertical="center"/>
    </xf>
    <xf numFmtId="168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7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0" fontId="1" fillId="0" borderId="1" xfId="0" applyNumberFormat="1" applyFont="1" applyBorder="1" applyAlignment="1">
      <alignment horizontal="right" vertical="center" wrapText="1"/>
    </xf>
    <xf numFmtId="170" fontId="1" fillId="0" borderId="0" xfId="0" applyNumberFormat="1" applyFont="1" applyAlignment="1">
      <alignment vertical="center"/>
    </xf>
    <xf numFmtId="167" fontId="1" fillId="0" borderId="1" xfId="20" applyNumberForma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167" fontId="1" fillId="0" borderId="5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right" vertical="center"/>
    </xf>
    <xf numFmtId="168" fontId="1" fillId="0" borderId="0" xfId="0" applyNumberFormat="1" applyFont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167" fontId="1" fillId="0" borderId="5" xfId="0" applyNumberFormat="1" applyFont="1" applyBorder="1" applyAlignment="1">
      <alignment vertical="center" wrapText="1"/>
    </xf>
    <xf numFmtId="1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170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71" fontId="1" fillId="0" borderId="1" xfId="20" applyNumberFormat="1" applyBorder="1" applyAlignment="1">
      <alignment horizontal="right" vertical="center"/>
    </xf>
    <xf numFmtId="0" fontId="9" fillId="0" borderId="0" xfId="0" applyFont="1"/>
    <xf numFmtId="49" fontId="1" fillId="0" borderId="5" xfId="0" applyNumberFormat="1" applyFont="1" applyBorder="1" applyAlignment="1">
      <alignment vertical="center" wrapText="1"/>
    </xf>
    <xf numFmtId="167" fontId="1" fillId="0" borderId="2" xfId="0" applyNumberFormat="1" applyFont="1" applyBorder="1" applyAlignment="1">
      <alignment horizontal="left" vertical="center" wrapText="1"/>
    </xf>
    <xf numFmtId="170" fontId="1" fillId="0" borderId="1" xfId="20" applyNumberForma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right"/>
    </xf>
    <xf numFmtId="167" fontId="9" fillId="0" borderId="0" xfId="0" applyNumberFormat="1" applyFont="1"/>
    <xf numFmtId="0" fontId="3" fillId="0" borderId="0" xfId="0" applyFont="1"/>
    <xf numFmtId="168" fontId="2" fillId="0" borderId="0" xfId="0" applyNumberFormat="1" applyFont="1"/>
    <xf numFmtId="167" fontId="2" fillId="0" borderId="0" xfId="0" applyNumberFormat="1" applyFont="1"/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67" fontId="1" fillId="0" borderId="3" xfId="20" applyNumberFormat="1" applyBorder="1" applyAlignment="1">
      <alignment vertical="center"/>
    </xf>
    <xf numFmtId="167" fontId="1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right" vertic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168" fontId="2" fillId="0" borderId="1" xfId="0" applyNumberFormat="1" applyFont="1" applyBorder="1"/>
    <xf numFmtId="168" fontId="2" fillId="0" borderId="1" xfId="0" applyNumberFormat="1" applyFont="1" applyBorder="1" applyAlignment="1">
      <alignment vertical="center"/>
    </xf>
    <xf numFmtId="18" fontId="1" fillId="0" borderId="0" xfId="0" applyNumberFormat="1" applyFont="1"/>
    <xf numFmtId="0" fontId="2" fillId="0" borderId="1" xfId="1" applyFont="1" applyBorder="1" applyAlignment="1">
      <alignment vertical="center" wrapText="1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vertical="center" wrapText="1"/>
    </xf>
    <xf numFmtId="167" fontId="16" fillId="0" borderId="0" xfId="0" applyNumberFormat="1" applyFont="1"/>
    <xf numFmtId="16" fontId="1" fillId="0" borderId="1" xfId="1" applyNumberFormat="1" applyFont="1" applyBorder="1" applyAlignment="1">
      <alignment horizontal="right" vertical="center"/>
    </xf>
    <xf numFmtId="168" fontId="16" fillId="0" borderId="0" xfId="0" applyNumberFormat="1" applyFont="1"/>
    <xf numFmtId="0" fontId="16" fillId="0" borderId="0" xfId="0" applyFont="1"/>
    <xf numFmtId="0" fontId="1" fillId="0" borderId="1" xfId="1" applyFont="1" applyBorder="1" applyAlignment="1">
      <alignment horizontal="left" vertical="center" wrapText="1"/>
    </xf>
    <xf numFmtId="168" fontId="18" fillId="0" borderId="1" xfId="0" applyNumberFormat="1" applyFont="1" applyBorder="1" applyAlignment="1">
      <alignment vertical="center"/>
    </xf>
    <xf numFmtId="168" fontId="1" fillId="0" borderId="1" xfId="0" applyNumberFormat="1" applyFont="1" applyBorder="1"/>
    <xf numFmtId="49" fontId="1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1" applyFont="1" applyBorder="1" applyAlignment="1">
      <alignment horizontal="justify" vertical="center" wrapText="1"/>
    </xf>
    <xf numFmtId="0" fontId="2" fillId="0" borderId="1" xfId="1" applyFont="1" applyBorder="1" applyAlignment="1">
      <alignment horizontal="right" vertical="center"/>
    </xf>
    <xf numFmtId="167" fontId="11" fillId="0" borderId="0" xfId="0" applyNumberFormat="1" applyFont="1"/>
    <xf numFmtId="168" fontId="20" fillId="0" borderId="0" xfId="0" applyNumberFormat="1" applyFont="1" applyAlignment="1">
      <alignment vertical="center"/>
    </xf>
    <xf numFmtId="168" fontId="20" fillId="0" borderId="0" xfId="0" applyNumberFormat="1" applyFont="1"/>
    <xf numFmtId="167" fontId="1" fillId="0" borderId="0" xfId="0" applyNumberFormat="1" applyFont="1" applyAlignment="1">
      <alignment vertical="center" wrapText="1"/>
    </xf>
    <xf numFmtId="168" fontId="2" fillId="0" borderId="1" xfId="1" applyNumberFormat="1" applyFont="1" applyBorder="1" applyAlignment="1">
      <alignment vertical="center"/>
    </xf>
    <xf numFmtId="0" fontId="1" fillId="0" borderId="0" xfId="1" applyFont="1" applyAlignment="1">
      <alignment horizontal="right"/>
    </xf>
    <xf numFmtId="168" fontId="2" fillId="0" borderId="0" xfId="1" applyNumberFormat="1" applyFont="1"/>
    <xf numFmtId="168" fontId="19" fillId="0" borderId="0" xfId="0" applyNumberFormat="1" applyFont="1"/>
    <xf numFmtId="168" fontId="2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167" fontId="1" fillId="0" borderId="1" xfId="20" applyNumberFormat="1" applyBorder="1" applyAlignment="1">
      <alignment horizontal="left" vertical="center" wrapText="1"/>
    </xf>
    <xf numFmtId="168" fontId="1" fillId="0" borderId="1" xfId="20" applyNumberForma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168" fontId="1" fillId="0" borderId="1" xfId="20" applyNumberFormat="1" applyBorder="1" applyAlignment="1">
      <alignment horizontal="center" vertical="center"/>
    </xf>
    <xf numFmtId="168" fontId="2" fillId="0" borderId="1" xfId="2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167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left"/>
    </xf>
    <xf numFmtId="168" fontId="6" fillId="0" borderId="1" xfId="0" applyNumberFormat="1" applyFont="1" applyBorder="1" applyAlignment="1">
      <alignment horizontal="right" vertical="center" wrapText="1"/>
    </xf>
    <xf numFmtId="167" fontId="12" fillId="0" borderId="0" xfId="0" applyNumberFormat="1" applyFont="1"/>
    <xf numFmtId="168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8" fontId="2" fillId="0" borderId="0" xfId="0" applyNumberFormat="1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 vertical="center" wrapText="1"/>
    </xf>
    <xf numFmtId="49" fontId="1" fillId="0" borderId="4" xfId="0" applyNumberFormat="1" applyFont="1" applyBorder="1" applyAlignment="1">
      <alignment horizontal="right" vertical="center"/>
    </xf>
    <xf numFmtId="17" fontId="9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7" fontId="1" fillId="0" borderId="1" xfId="19" applyNumberFormat="1" applyBorder="1" applyAlignment="1">
      <alignment vertical="center" wrapText="1"/>
    </xf>
    <xf numFmtId="168" fontId="6" fillId="0" borderId="0" xfId="0" applyNumberFormat="1" applyFont="1" applyAlignment="1">
      <alignment horizontal="right" vertical="center"/>
    </xf>
    <xf numFmtId="170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left" vertical="center" wrapText="1"/>
    </xf>
    <xf numFmtId="0" fontId="1" fillId="0" borderId="0" xfId="1" applyFont="1" applyAlignment="1">
      <alignment vertical="center" wrapText="1"/>
    </xf>
    <xf numFmtId="49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16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right" vertical="center" wrapText="1"/>
    </xf>
    <xf numFmtId="167" fontId="1" fillId="0" borderId="1" xfId="20" applyNumberFormat="1" applyBorder="1" applyAlignment="1">
      <alignment vertical="center" wrapText="1"/>
    </xf>
    <xf numFmtId="49" fontId="9" fillId="0" borderId="1" xfId="0" applyNumberFormat="1" applyFont="1" applyBorder="1" applyAlignment="1">
      <alignment horizontal="right" vertical="center"/>
    </xf>
    <xf numFmtId="49" fontId="11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" fillId="0" borderId="1" xfId="18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20" applyNumberFormat="1" applyBorder="1" applyAlignment="1">
      <alignment horizontal="center" vertical="center"/>
    </xf>
    <xf numFmtId="49" fontId="1" fillId="0" borderId="1" xfId="20" applyNumberFormat="1" applyBorder="1" applyAlignment="1">
      <alignment horizontal="center" vertical="center" wrapText="1"/>
    </xf>
    <xf numFmtId="168" fontId="2" fillId="0" borderId="1" xfId="20" applyNumberFormat="1" applyFont="1" applyBorder="1" applyAlignment="1">
      <alignment horizontal="right" vertical="center"/>
    </xf>
    <xf numFmtId="0" fontId="6" fillId="0" borderId="1" xfId="18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170" fontId="1" fillId="0" borderId="1" xfId="0" applyNumberFormat="1" applyFont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18" applyNumberFormat="1" applyBorder="1" applyAlignment="1">
      <alignment horizontal="center" vertical="center" wrapText="1"/>
    </xf>
    <xf numFmtId="49" fontId="2" fillId="0" borderId="1" xfId="2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right" vertical="center" wrapText="1"/>
    </xf>
    <xf numFmtId="169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 vertical="center"/>
    </xf>
    <xf numFmtId="0" fontId="1" fillId="0" borderId="0" xfId="0" applyFont="1" applyFill="1"/>
    <xf numFmtId="0" fontId="14" fillId="0" borderId="0" xfId="0" applyFont="1" applyFill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167" fontId="3" fillId="0" borderId="0" xfId="0" applyNumberFormat="1" applyFont="1" applyFill="1" applyAlignment="1">
      <alignment vertical="center"/>
    </xf>
    <xf numFmtId="167" fontId="2" fillId="0" borderId="1" xfId="0" applyNumberFormat="1" applyFont="1" applyFill="1" applyBorder="1" applyAlignment="1">
      <alignment horizontal="left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left" vertical="center" wrapText="1"/>
    </xf>
    <xf numFmtId="168" fontId="1" fillId="0" borderId="1" xfId="0" applyNumberFormat="1" applyFont="1" applyFill="1" applyBorder="1" applyAlignment="1">
      <alignment horizontal="right" vertical="center" wrapText="1"/>
    </xf>
    <xf numFmtId="168" fontId="2" fillId="0" borderId="1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Fill="1"/>
    <xf numFmtId="168" fontId="1" fillId="0" borderId="0" xfId="0" applyNumberFormat="1" applyFont="1" applyFill="1"/>
    <xf numFmtId="167" fontId="2" fillId="0" borderId="0" xfId="0" applyNumberFormat="1" applyFont="1" applyFill="1"/>
    <xf numFmtId="167" fontId="1" fillId="0" borderId="7" xfId="0" applyNumberFormat="1" applyFont="1" applyFill="1" applyBorder="1" applyAlignment="1">
      <alignment horizontal="left" vertical="center" wrapText="1"/>
    </xf>
    <xf numFmtId="167" fontId="1" fillId="0" borderId="0" xfId="0" applyNumberFormat="1" applyFont="1" applyFill="1" applyAlignment="1">
      <alignment horizontal="left" vertical="center" wrapText="1"/>
    </xf>
    <xf numFmtId="167" fontId="1" fillId="0" borderId="8" xfId="0" applyNumberFormat="1" applyFont="1" applyFill="1" applyBorder="1" applyAlignment="1">
      <alignment horizontal="center" vertical="center" wrapText="1"/>
    </xf>
    <xf numFmtId="167" fontId="1" fillId="0" borderId="9" xfId="0" applyNumberFormat="1" applyFont="1" applyFill="1" applyBorder="1" applyAlignment="1">
      <alignment horizontal="left" vertical="center" wrapText="1"/>
    </xf>
    <xf numFmtId="167" fontId="1" fillId="0" borderId="6" xfId="0" applyNumberFormat="1" applyFont="1" applyFill="1" applyBorder="1" applyAlignment="1">
      <alignment horizontal="left" vertical="center" wrapText="1"/>
    </xf>
    <xf numFmtId="167" fontId="1" fillId="0" borderId="10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right" vertical="center" wrapText="1"/>
    </xf>
    <xf numFmtId="167" fontId="2" fillId="0" borderId="0" xfId="0" applyNumberFormat="1" applyFont="1" applyFill="1" applyAlignment="1">
      <alignment horizontal="left" vertical="center" wrapText="1"/>
    </xf>
    <xf numFmtId="167" fontId="2" fillId="0" borderId="0" xfId="0" applyNumberFormat="1" applyFont="1" applyFill="1" applyAlignment="1">
      <alignment horizontal="right" vertical="center" wrapText="1"/>
    </xf>
    <xf numFmtId="168" fontId="1" fillId="0" borderId="0" xfId="0" applyNumberFormat="1" applyFont="1" applyFill="1" applyAlignment="1">
      <alignment horizontal="right" vertical="center" wrapText="1"/>
    </xf>
    <xf numFmtId="167" fontId="1" fillId="0" borderId="0" xfId="0" applyNumberFormat="1" applyFont="1" applyFill="1" applyAlignment="1">
      <alignment horizontal="right" vertical="center" wrapText="1"/>
    </xf>
    <xf numFmtId="167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 vertical="justify"/>
    </xf>
    <xf numFmtId="167" fontId="1" fillId="0" borderId="1" xfId="0" applyNumberFormat="1" applyFont="1" applyFill="1" applyBorder="1"/>
    <xf numFmtId="168" fontId="3" fillId="0" borderId="0" xfId="0" applyNumberFormat="1" applyFont="1" applyFill="1"/>
    <xf numFmtId="0" fontId="0" fillId="0" borderId="0" xfId="0" applyFill="1"/>
    <xf numFmtId="168" fontId="1" fillId="0" borderId="1" xfId="0" applyNumberFormat="1" applyFont="1" applyFill="1" applyBorder="1" applyAlignment="1">
      <alignment vertical="center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right" vertical="center"/>
    </xf>
    <xf numFmtId="49" fontId="9" fillId="0" borderId="12" xfId="0" applyNumberFormat="1" applyFont="1" applyBorder="1" applyAlignment="1">
      <alignment horizontal="right" vertical="center"/>
    </xf>
    <xf numFmtId="49" fontId="9" fillId="0" borderId="11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left" vertical="center" wrapText="1"/>
    </xf>
    <xf numFmtId="167" fontId="1" fillId="0" borderId="1" xfId="0" applyNumberFormat="1" applyFont="1" applyFill="1" applyBorder="1" applyAlignment="1">
      <alignment horizontal="left" vertical="center" wrapText="1"/>
    </xf>
    <xf numFmtId="167" fontId="2" fillId="0" borderId="0" xfId="0" applyNumberFormat="1" applyFont="1" applyFill="1" applyAlignment="1">
      <alignment horizontal="left" vertical="center" wrapText="1"/>
    </xf>
    <xf numFmtId="0" fontId="3" fillId="0" borderId="0" xfId="1" applyFont="1" applyFill="1"/>
    <xf numFmtId="0" fontId="3" fillId="0" borderId="0" xfId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top" wrapText="1"/>
    </xf>
  </cellXfs>
  <cellStyles count="22">
    <cellStyle name="Įprastas" xfId="0" builtinId="0"/>
    <cellStyle name="Įprastas 2" xfId="1"/>
    <cellStyle name="Įprastas 3" xfId="2"/>
    <cellStyle name="Įprastas 4" xfId="3"/>
    <cellStyle name="Įprastas 5" xfId="4"/>
    <cellStyle name="Kablelis 2" xfId="5"/>
    <cellStyle name="Kablelis 2 2" xfId="6"/>
    <cellStyle name="Kablelis 2 2 2" xfId="7"/>
    <cellStyle name="Kablelis 3" xfId="8"/>
    <cellStyle name="Kablelis 4" xfId="9"/>
    <cellStyle name="Kablelis 4 2" xfId="10"/>
    <cellStyle name="Kablelis 4 3" xfId="11"/>
    <cellStyle name="Kablelis 4 3 2" xfId="12"/>
    <cellStyle name="Kablelis 5" xfId="13"/>
    <cellStyle name="Kablelis 5 2" xfId="14"/>
    <cellStyle name="Normal 2" xfId="15"/>
    <cellStyle name="Normal 3" xfId="16"/>
    <cellStyle name="Normal_biudžetas 6" xfId="17"/>
    <cellStyle name="Normal_biudžetas 6_2009 m 02 men biudzetas." xfId="18"/>
    <cellStyle name="Normal_Sheet1" xfId="19"/>
    <cellStyle name="Normal_Sheet1_2009 m 02 men biudzetas." xfId="20"/>
    <cellStyle name="Paprastas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tabSelected="1" topLeftCell="A58" zoomScaleNormal="100" workbookViewId="0">
      <selection activeCell="C78" sqref="C78"/>
    </sheetView>
  </sheetViews>
  <sheetFormatPr defaultColWidth="9.109375" defaultRowHeight="13.2" x14ac:dyDescent="0.25"/>
  <cols>
    <col min="1" max="1" width="6.33203125" style="3" customWidth="1"/>
    <col min="2" max="2" width="62" style="2" customWidth="1"/>
    <col min="3" max="3" width="14.5546875" style="2" bestFit="1" customWidth="1"/>
    <col min="4" max="4" width="9.33203125" style="2" customWidth="1"/>
    <col min="5" max="5" width="11.6640625" style="2" bestFit="1" customWidth="1"/>
    <col min="6" max="6" width="15.109375" style="2" customWidth="1"/>
    <col min="7" max="16384" width="9.109375" style="2"/>
  </cols>
  <sheetData>
    <row r="1" spans="1:15" ht="15.6" x14ac:dyDescent="0.3">
      <c r="A1" s="82"/>
      <c r="B1" s="240" t="s">
        <v>359</v>
      </c>
      <c r="C1" s="240"/>
    </row>
    <row r="2" spans="1:15" ht="15.6" x14ac:dyDescent="0.3">
      <c r="A2" s="82"/>
      <c r="B2" s="241" t="s">
        <v>586</v>
      </c>
      <c r="C2" s="241"/>
    </row>
    <row r="3" spans="1:15" ht="15.6" x14ac:dyDescent="0.3">
      <c r="A3" s="242" t="s">
        <v>310</v>
      </c>
      <c r="B3" s="242"/>
      <c r="C3" s="242"/>
    </row>
    <row r="4" spans="1:15" ht="15.6" x14ac:dyDescent="0.3">
      <c r="A4" s="84"/>
      <c r="B4" s="83"/>
      <c r="C4" s="83"/>
    </row>
    <row r="5" spans="1:15" x14ac:dyDescent="0.25">
      <c r="A5" s="82"/>
      <c r="B5" s="85" t="s">
        <v>607</v>
      </c>
      <c r="C5" s="86"/>
    </row>
    <row r="6" spans="1:15" x14ac:dyDescent="0.25">
      <c r="A6" s="82"/>
      <c r="B6" s="86"/>
      <c r="C6" s="86"/>
    </row>
    <row r="7" spans="1:15" s="3" customFormat="1" x14ac:dyDescent="0.25">
      <c r="A7" s="87" t="s">
        <v>0</v>
      </c>
      <c r="B7" s="88" t="s">
        <v>311</v>
      </c>
      <c r="C7" s="88" t="s">
        <v>312</v>
      </c>
    </row>
    <row r="8" spans="1:15" ht="12.6" customHeight="1" x14ac:dyDescent="0.25">
      <c r="A8" s="89">
        <v>1</v>
      </c>
      <c r="B8" s="87" t="s">
        <v>398</v>
      </c>
      <c r="C8" s="90">
        <f>+C9+C10+C11+C15</f>
        <v>42384</v>
      </c>
      <c r="E8" s="4"/>
      <c r="G8" s="38"/>
    </row>
    <row r="9" spans="1:15" ht="12.6" customHeight="1" x14ac:dyDescent="0.25">
      <c r="A9" s="89">
        <v>2</v>
      </c>
      <c r="B9" s="87" t="s">
        <v>313</v>
      </c>
      <c r="C9" s="91">
        <v>39669</v>
      </c>
      <c r="D9" s="92"/>
      <c r="E9" s="38"/>
      <c r="G9" s="38"/>
    </row>
    <row r="10" spans="1:15" ht="26.4" x14ac:dyDescent="0.25">
      <c r="A10" s="89">
        <v>3</v>
      </c>
      <c r="B10" s="93" t="s">
        <v>399</v>
      </c>
      <c r="C10" s="91">
        <v>50</v>
      </c>
      <c r="D10" s="92"/>
      <c r="E10" s="38"/>
      <c r="F10" s="73"/>
    </row>
    <row r="11" spans="1:15" ht="12.6" customHeight="1" x14ac:dyDescent="0.25">
      <c r="A11" s="89">
        <v>4</v>
      </c>
      <c r="B11" s="87" t="s">
        <v>400</v>
      </c>
      <c r="C11" s="91">
        <f>+C12+C14+C13</f>
        <v>2415</v>
      </c>
      <c r="D11" s="92"/>
      <c r="F11" s="73"/>
      <c r="G11" s="38"/>
    </row>
    <row r="12" spans="1:15" ht="12.6" customHeight="1" x14ac:dyDescent="0.25">
      <c r="A12" s="89">
        <v>5</v>
      </c>
      <c r="B12" s="94" t="s">
        <v>314</v>
      </c>
      <c r="C12" s="34">
        <v>900</v>
      </c>
      <c r="D12" s="4"/>
      <c r="F12" s="72"/>
      <c r="G12" s="38"/>
    </row>
    <row r="13" spans="1:15" ht="12.6" customHeight="1" x14ac:dyDescent="0.25">
      <c r="A13" s="89">
        <v>6</v>
      </c>
      <c r="B13" s="94" t="s">
        <v>315</v>
      </c>
      <c r="C13" s="34">
        <v>15</v>
      </c>
      <c r="D13" s="4"/>
      <c r="F13" s="72"/>
    </row>
    <row r="14" spans="1:15" ht="12.6" customHeight="1" x14ac:dyDescent="0.25">
      <c r="A14" s="89">
        <v>7</v>
      </c>
      <c r="B14" s="94" t="s">
        <v>316</v>
      </c>
      <c r="C14" s="34">
        <v>1500</v>
      </c>
      <c r="D14" s="4"/>
      <c r="F14" s="73"/>
      <c r="O14" s="4"/>
    </row>
    <row r="15" spans="1:15" ht="12.6" customHeight="1" x14ac:dyDescent="0.25">
      <c r="A15" s="89">
        <v>8</v>
      </c>
      <c r="B15" s="87" t="s">
        <v>401</v>
      </c>
      <c r="C15" s="90">
        <f>+C16</f>
        <v>250</v>
      </c>
      <c r="D15" s="92"/>
    </row>
    <row r="16" spans="1:15" ht="12.6" customHeight="1" x14ac:dyDescent="0.25">
      <c r="A16" s="89">
        <v>9</v>
      </c>
      <c r="B16" s="94" t="s">
        <v>317</v>
      </c>
      <c r="C16" s="34">
        <v>250</v>
      </c>
    </row>
    <row r="17" spans="1:8" x14ac:dyDescent="0.25">
      <c r="A17" s="89">
        <v>10</v>
      </c>
      <c r="B17" s="87" t="s">
        <v>402</v>
      </c>
      <c r="C17" s="90">
        <f>+C21+C49+C18</f>
        <v>27743.800000000003</v>
      </c>
      <c r="D17" s="4"/>
    </row>
    <row r="18" spans="1:8" ht="26.4" x14ac:dyDescent="0.25">
      <c r="A18" s="89">
        <v>11</v>
      </c>
      <c r="B18" s="93" t="s">
        <v>403</v>
      </c>
      <c r="C18" s="90">
        <f>+C19+C20</f>
        <v>1766</v>
      </c>
      <c r="D18" s="4"/>
    </row>
    <row r="19" spans="1:8" ht="26.4" x14ac:dyDescent="0.25">
      <c r="A19" s="89" t="s">
        <v>34</v>
      </c>
      <c r="B19" s="95" t="s">
        <v>318</v>
      </c>
      <c r="C19" s="34">
        <f>1941.5-213.2</f>
        <v>1728.3</v>
      </c>
      <c r="D19" s="4"/>
      <c r="E19" s="96"/>
      <c r="F19" s="92"/>
      <c r="G19" s="2" t="s">
        <v>387</v>
      </c>
      <c r="H19" s="38"/>
    </row>
    <row r="20" spans="1:8" ht="26.4" x14ac:dyDescent="0.25">
      <c r="A20" s="89" t="s">
        <v>35</v>
      </c>
      <c r="B20" s="95" t="s">
        <v>319</v>
      </c>
      <c r="C20" s="34">
        <f>38.1-0.4</f>
        <v>37.700000000000003</v>
      </c>
      <c r="D20" s="4"/>
      <c r="E20" s="92"/>
      <c r="F20" s="92"/>
      <c r="H20" s="38"/>
    </row>
    <row r="21" spans="1:8" ht="12.6" customHeight="1" x14ac:dyDescent="0.25">
      <c r="A21" s="89">
        <v>12</v>
      </c>
      <c r="B21" s="87" t="s">
        <v>404</v>
      </c>
      <c r="C21" s="91">
        <f>+C22+C46+C47</f>
        <v>24911.4</v>
      </c>
      <c r="D21" s="4"/>
    </row>
    <row r="22" spans="1:8" ht="12.6" customHeight="1" x14ac:dyDescent="0.25">
      <c r="A22" s="89">
        <v>13</v>
      </c>
      <c r="B22" s="94" t="s">
        <v>405</v>
      </c>
      <c r="C22" s="34">
        <f>SUM(C23:C45)</f>
        <v>5825.1999999999989</v>
      </c>
      <c r="D22" s="4"/>
      <c r="E22" s="92"/>
      <c r="F22" s="57"/>
    </row>
    <row r="23" spans="1:8" ht="12.6" customHeight="1" x14ac:dyDescent="0.25">
      <c r="A23" s="97" t="s">
        <v>296</v>
      </c>
      <c r="B23" s="94" t="s">
        <v>320</v>
      </c>
      <c r="C23" s="34">
        <v>32.6</v>
      </c>
      <c r="D23" s="4"/>
      <c r="E23" s="92"/>
      <c r="G23" s="4"/>
    </row>
    <row r="24" spans="1:8" ht="12.6" customHeight="1" x14ac:dyDescent="0.25">
      <c r="A24" s="89" t="s">
        <v>406</v>
      </c>
      <c r="B24" s="94" t="s">
        <v>321</v>
      </c>
      <c r="C24" s="34">
        <v>9</v>
      </c>
      <c r="D24" s="4"/>
      <c r="E24" s="92"/>
      <c r="G24" s="4"/>
    </row>
    <row r="25" spans="1:8" ht="12.6" customHeight="1" x14ac:dyDescent="0.25">
      <c r="A25" s="97" t="s">
        <v>407</v>
      </c>
      <c r="B25" s="94" t="s">
        <v>322</v>
      </c>
      <c r="C25" s="34">
        <v>398.5</v>
      </c>
      <c r="E25" s="96"/>
      <c r="F25" s="98"/>
      <c r="G25" s="4"/>
    </row>
    <row r="26" spans="1:8" ht="12.6" customHeight="1" x14ac:dyDescent="0.25">
      <c r="A26" s="89" t="s">
        <v>408</v>
      </c>
      <c r="B26" s="94" t="s">
        <v>323</v>
      </c>
      <c r="C26" s="34">
        <v>947.6</v>
      </c>
      <c r="E26" s="96"/>
    </row>
    <row r="27" spans="1:8" ht="12.6" customHeight="1" x14ac:dyDescent="0.25">
      <c r="A27" s="97" t="s">
        <v>409</v>
      </c>
      <c r="B27" s="94" t="s">
        <v>324</v>
      </c>
      <c r="C27" s="34">
        <v>1658.1</v>
      </c>
      <c r="D27" s="4"/>
      <c r="E27" s="4"/>
      <c r="F27" s="99"/>
      <c r="G27" s="4"/>
    </row>
    <row r="28" spans="1:8" x14ac:dyDescent="0.25">
      <c r="A28" s="89" t="s">
        <v>410</v>
      </c>
      <c r="B28" s="94" t="s">
        <v>325</v>
      </c>
      <c r="C28" s="34">
        <v>19.5</v>
      </c>
      <c r="D28" s="4"/>
    </row>
    <row r="29" spans="1:8" ht="26.4" x14ac:dyDescent="0.25">
      <c r="A29" s="97" t="s">
        <v>411</v>
      </c>
      <c r="B29" s="95" t="s">
        <v>326</v>
      </c>
      <c r="C29" s="34">
        <v>11.1</v>
      </c>
      <c r="D29" s="4"/>
      <c r="E29" s="57"/>
    </row>
    <row r="30" spans="1:8" ht="12.6" customHeight="1" x14ac:dyDescent="0.25">
      <c r="A30" s="89" t="s">
        <v>412</v>
      </c>
      <c r="B30" s="100" t="s">
        <v>795</v>
      </c>
      <c r="C30" s="34">
        <v>190.1</v>
      </c>
      <c r="D30" s="4"/>
    </row>
    <row r="31" spans="1:8" ht="12.6" customHeight="1" x14ac:dyDescent="0.25">
      <c r="A31" s="97" t="s">
        <v>413</v>
      </c>
      <c r="B31" s="100" t="s">
        <v>327</v>
      </c>
      <c r="C31" s="34">
        <v>35.5</v>
      </c>
      <c r="D31" s="4"/>
    </row>
    <row r="32" spans="1:8" ht="12.6" customHeight="1" x14ac:dyDescent="0.25">
      <c r="A32" s="89" t="s">
        <v>414</v>
      </c>
      <c r="B32" s="100" t="s">
        <v>797</v>
      </c>
      <c r="C32" s="34">
        <v>12.2</v>
      </c>
      <c r="D32" s="4"/>
    </row>
    <row r="33" spans="1:7" ht="12.6" customHeight="1" x14ac:dyDescent="0.25">
      <c r="A33" s="97" t="s">
        <v>415</v>
      </c>
      <c r="B33" s="100" t="s">
        <v>328</v>
      </c>
      <c r="C33" s="34">
        <v>0.8</v>
      </c>
      <c r="D33" s="4"/>
    </row>
    <row r="34" spans="1:7" ht="12.6" customHeight="1" x14ac:dyDescent="0.25">
      <c r="A34" s="89" t="s">
        <v>416</v>
      </c>
      <c r="B34" s="100" t="s">
        <v>329</v>
      </c>
      <c r="C34" s="34">
        <v>57.8</v>
      </c>
      <c r="D34" s="4"/>
    </row>
    <row r="35" spans="1:7" x14ac:dyDescent="0.25">
      <c r="A35" s="97" t="s">
        <v>417</v>
      </c>
      <c r="B35" s="100" t="s">
        <v>330</v>
      </c>
      <c r="C35" s="34">
        <v>1234.5999999999999</v>
      </c>
      <c r="D35" s="4"/>
    </row>
    <row r="36" spans="1:7" ht="26.4" x14ac:dyDescent="0.25">
      <c r="A36" s="89" t="s">
        <v>418</v>
      </c>
      <c r="B36" s="100" t="s">
        <v>798</v>
      </c>
      <c r="C36" s="34">
        <v>5</v>
      </c>
      <c r="D36" s="4"/>
    </row>
    <row r="37" spans="1:7" ht="12.6" customHeight="1" x14ac:dyDescent="0.25">
      <c r="A37" s="97" t="s">
        <v>419</v>
      </c>
      <c r="B37" s="100" t="s">
        <v>331</v>
      </c>
      <c r="C37" s="34">
        <v>254.8</v>
      </c>
      <c r="D37" s="4"/>
    </row>
    <row r="38" spans="1:7" ht="12.6" customHeight="1" x14ac:dyDescent="0.25">
      <c r="A38" s="89" t="s">
        <v>420</v>
      </c>
      <c r="B38" s="94" t="s">
        <v>332</v>
      </c>
      <c r="C38" s="34">
        <v>360</v>
      </c>
      <c r="D38" s="4"/>
    </row>
    <row r="39" spans="1:7" ht="12.6" customHeight="1" x14ac:dyDescent="0.25">
      <c r="A39" s="97" t="s">
        <v>421</v>
      </c>
      <c r="B39" s="94" t="s">
        <v>799</v>
      </c>
      <c r="C39" s="101">
        <v>22.1</v>
      </c>
      <c r="D39" s="4"/>
    </row>
    <row r="40" spans="1:7" ht="12.6" customHeight="1" x14ac:dyDescent="0.25">
      <c r="A40" s="97" t="s">
        <v>422</v>
      </c>
      <c r="B40" s="94" t="s">
        <v>333</v>
      </c>
      <c r="C40" s="34">
        <v>47.9</v>
      </c>
      <c r="D40" s="4"/>
    </row>
    <row r="41" spans="1:7" ht="12.6" customHeight="1" x14ac:dyDescent="0.25">
      <c r="A41" s="97" t="s">
        <v>423</v>
      </c>
      <c r="B41" s="95" t="s">
        <v>800</v>
      </c>
      <c r="C41" s="34">
        <v>1.2</v>
      </c>
      <c r="D41" s="4"/>
    </row>
    <row r="42" spans="1:7" ht="26.4" x14ac:dyDescent="0.25">
      <c r="A42" s="89" t="s">
        <v>424</v>
      </c>
      <c r="B42" s="95" t="s">
        <v>426</v>
      </c>
      <c r="C42" s="34">
        <v>416.4</v>
      </c>
      <c r="D42" s="4"/>
    </row>
    <row r="43" spans="1:7" ht="15.75" customHeight="1" x14ac:dyDescent="0.25">
      <c r="A43" s="97" t="s">
        <v>425</v>
      </c>
      <c r="B43" s="95" t="s">
        <v>334</v>
      </c>
      <c r="C43" s="34">
        <v>1.8</v>
      </c>
      <c r="D43" s="4"/>
    </row>
    <row r="44" spans="1:7" ht="12.75" customHeight="1" x14ac:dyDescent="0.25">
      <c r="A44" s="89" t="s">
        <v>427</v>
      </c>
      <c r="B44" s="95" t="s">
        <v>802</v>
      </c>
      <c r="C44" s="34">
        <v>88.4</v>
      </c>
      <c r="D44" s="4"/>
    </row>
    <row r="45" spans="1:7" ht="39.6" x14ac:dyDescent="0.25">
      <c r="A45" s="97" t="s">
        <v>428</v>
      </c>
      <c r="B45" s="95" t="s">
        <v>804</v>
      </c>
      <c r="C45" s="34">
        <v>20.2</v>
      </c>
      <c r="D45" s="4"/>
    </row>
    <row r="46" spans="1:7" x14ac:dyDescent="0.25">
      <c r="A46" s="89">
        <v>14</v>
      </c>
      <c r="B46" s="94" t="s">
        <v>429</v>
      </c>
      <c r="C46" s="34">
        <v>18397.8</v>
      </c>
      <c r="D46" s="4"/>
      <c r="E46" s="92"/>
      <c r="F46" s="57"/>
      <c r="G46" s="4"/>
    </row>
    <row r="47" spans="1:7" ht="12.6" customHeight="1" x14ac:dyDescent="0.25">
      <c r="A47" s="89">
        <v>15</v>
      </c>
      <c r="B47" s="94" t="s">
        <v>335</v>
      </c>
      <c r="C47" s="102">
        <f>+C48</f>
        <v>688.4</v>
      </c>
      <c r="D47" s="4"/>
      <c r="E47" s="92"/>
      <c r="F47" s="57"/>
      <c r="G47" s="4"/>
    </row>
    <row r="48" spans="1:7" ht="12.6" customHeight="1" x14ac:dyDescent="0.25">
      <c r="A48" s="103" t="s">
        <v>178</v>
      </c>
      <c r="B48" s="95" t="s">
        <v>336</v>
      </c>
      <c r="C48" s="34">
        <v>688.4</v>
      </c>
      <c r="D48" s="4"/>
      <c r="F48" s="57"/>
      <c r="G48" s="4"/>
    </row>
    <row r="49" spans="1:14" ht="12.6" customHeight="1" x14ac:dyDescent="0.25">
      <c r="A49" s="89">
        <v>16</v>
      </c>
      <c r="B49" s="87" t="s">
        <v>337</v>
      </c>
      <c r="C49" s="91">
        <f>SUM(C50:C59)</f>
        <v>1066.4000000000001</v>
      </c>
      <c r="D49" s="4"/>
      <c r="E49" s="4"/>
    </row>
    <row r="50" spans="1:14" ht="12.6" customHeight="1" x14ac:dyDescent="0.25">
      <c r="A50" s="89" t="s">
        <v>361</v>
      </c>
      <c r="B50" s="94" t="s">
        <v>888</v>
      </c>
      <c r="C50" s="34">
        <v>261.60000000000002</v>
      </c>
      <c r="D50" s="4"/>
      <c r="E50" s="4"/>
    </row>
    <row r="51" spans="1:14" ht="26.4" x14ac:dyDescent="0.25">
      <c r="A51" s="89" t="s">
        <v>811</v>
      </c>
      <c r="B51" s="95" t="s">
        <v>863</v>
      </c>
      <c r="C51" s="34">
        <v>45.9</v>
      </c>
      <c r="E51" s="4"/>
    </row>
    <row r="52" spans="1:14" ht="26.4" x14ac:dyDescent="0.25">
      <c r="A52" s="89" t="s">
        <v>812</v>
      </c>
      <c r="B52" s="95" t="s">
        <v>862</v>
      </c>
      <c r="C52" s="34">
        <v>160.69999999999999</v>
      </c>
      <c r="D52" s="4"/>
      <c r="E52" s="4"/>
    </row>
    <row r="53" spans="1:14" ht="39.6" x14ac:dyDescent="0.25">
      <c r="A53" s="89" t="s">
        <v>840</v>
      </c>
      <c r="B53" s="95" t="s">
        <v>813</v>
      </c>
      <c r="C53" s="34">
        <v>102.6</v>
      </c>
      <c r="D53" s="4"/>
      <c r="E53" s="4"/>
    </row>
    <row r="54" spans="1:14" ht="26.4" x14ac:dyDescent="0.25">
      <c r="A54" s="89" t="s">
        <v>841</v>
      </c>
      <c r="B54" s="95" t="s">
        <v>838</v>
      </c>
      <c r="C54" s="34">
        <v>132.80000000000001</v>
      </c>
      <c r="D54" s="4"/>
      <c r="E54" s="4"/>
    </row>
    <row r="55" spans="1:14" ht="26.4" x14ac:dyDescent="0.25">
      <c r="A55" s="89" t="s">
        <v>842</v>
      </c>
      <c r="B55" s="95" t="s">
        <v>837</v>
      </c>
      <c r="C55" s="34">
        <v>0.7</v>
      </c>
      <c r="D55" s="4"/>
      <c r="E55" s="4"/>
    </row>
    <row r="56" spans="1:14" ht="52.8" x14ac:dyDescent="0.25">
      <c r="A56" s="89" t="s">
        <v>843</v>
      </c>
      <c r="B56" s="95" t="s">
        <v>864</v>
      </c>
      <c r="C56" s="34">
        <v>0.6</v>
      </c>
      <c r="D56" s="4"/>
      <c r="E56" s="4"/>
    </row>
    <row r="57" spans="1:14" ht="26.4" x14ac:dyDescent="0.25">
      <c r="A57" s="89" t="s">
        <v>861</v>
      </c>
      <c r="B57" s="95" t="s">
        <v>887</v>
      </c>
      <c r="C57" s="34">
        <v>24.9</v>
      </c>
      <c r="D57" s="4"/>
      <c r="E57" s="4"/>
    </row>
    <row r="58" spans="1:14" x14ac:dyDescent="0.25">
      <c r="A58" s="89" t="s">
        <v>886</v>
      </c>
      <c r="B58" s="94" t="s">
        <v>836</v>
      </c>
      <c r="C58" s="34">
        <v>54.6</v>
      </c>
      <c r="D58" s="4"/>
      <c r="E58" s="4"/>
    </row>
    <row r="59" spans="1:14" ht="39.6" x14ac:dyDescent="0.25">
      <c r="A59" s="89" t="s">
        <v>889</v>
      </c>
      <c r="B59" s="95" t="s">
        <v>839</v>
      </c>
      <c r="C59" s="34">
        <v>282</v>
      </c>
      <c r="D59" s="4"/>
      <c r="E59" s="4"/>
      <c r="G59" s="79"/>
      <c r="H59" s="79"/>
      <c r="I59" s="79"/>
      <c r="J59" s="79"/>
      <c r="K59" s="79"/>
      <c r="L59" s="79"/>
      <c r="M59" s="79"/>
      <c r="N59" s="79"/>
    </row>
    <row r="60" spans="1:14" x14ac:dyDescent="0.25">
      <c r="A60" s="89">
        <v>17</v>
      </c>
      <c r="B60" s="87" t="s">
        <v>430</v>
      </c>
      <c r="C60" s="91">
        <f>C61+C66+C70+C73+C74+C76</f>
        <v>4832</v>
      </c>
      <c r="D60" s="4"/>
      <c r="G60" s="38"/>
    </row>
    <row r="61" spans="1:14" x14ac:dyDescent="0.25">
      <c r="A61" s="89">
        <v>18</v>
      </c>
      <c r="B61" s="87" t="s">
        <v>431</v>
      </c>
      <c r="C61" s="91">
        <f>C63+C64+C65+C62</f>
        <v>720</v>
      </c>
      <c r="D61" s="92"/>
    </row>
    <row r="62" spans="1:14" x14ac:dyDescent="0.25">
      <c r="A62" s="89">
        <v>19</v>
      </c>
      <c r="B62" s="104" t="s">
        <v>338</v>
      </c>
      <c r="C62" s="34">
        <v>20</v>
      </c>
      <c r="D62" s="4"/>
    </row>
    <row r="63" spans="1:14" ht="26.4" x14ac:dyDescent="0.25">
      <c r="A63" s="89">
        <v>20</v>
      </c>
      <c r="B63" s="95" t="s">
        <v>339</v>
      </c>
      <c r="C63" s="34">
        <v>600</v>
      </c>
      <c r="D63" s="4"/>
    </row>
    <row r="64" spans="1:14" x14ac:dyDescent="0.25">
      <c r="A64" s="89">
        <v>21</v>
      </c>
      <c r="B64" s="94" t="s">
        <v>340</v>
      </c>
      <c r="C64" s="34">
        <v>50</v>
      </c>
      <c r="D64" s="92"/>
    </row>
    <row r="65" spans="1:8" x14ac:dyDescent="0.25">
      <c r="A65" s="89">
        <v>22</v>
      </c>
      <c r="B65" s="105" t="s">
        <v>186</v>
      </c>
      <c r="C65" s="34">
        <v>50</v>
      </c>
      <c r="D65" s="92"/>
    </row>
    <row r="66" spans="1:8" x14ac:dyDescent="0.25">
      <c r="A66" s="89">
        <v>23</v>
      </c>
      <c r="B66" s="87" t="s">
        <v>432</v>
      </c>
      <c r="C66" s="91">
        <f>+C68+C67+C69</f>
        <v>2083</v>
      </c>
      <c r="D66" s="4"/>
    </row>
    <row r="67" spans="1:8" x14ac:dyDescent="0.25">
      <c r="A67" s="89">
        <v>24</v>
      </c>
      <c r="B67" s="94" t="s">
        <v>341</v>
      </c>
      <c r="C67" s="34">
        <v>259.10000000000002</v>
      </c>
      <c r="D67" s="92"/>
      <c r="E67" s="92"/>
      <c r="F67" s="57"/>
    </row>
    <row r="68" spans="1:8" x14ac:dyDescent="0.25">
      <c r="A68" s="89">
        <v>25</v>
      </c>
      <c r="B68" s="94" t="s">
        <v>342</v>
      </c>
      <c r="C68" s="34">
        <v>148.69999999999999</v>
      </c>
      <c r="D68" s="92"/>
      <c r="E68" s="92"/>
      <c r="F68" s="57"/>
    </row>
    <row r="69" spans="1:8" x14ac:dyDescent="0.25">
      <c r="A69" s="89">
        <v>26</v>
      </c>
      <c r="B69" s="94" t="s">
        <v>343</v>
      </c>
      <c r="C69" s="34">
        <v>1675.2</v>
      </c>
      <c r="D69" s="92"/>
      <c r="E69" s="92"/>
      <c r="F69" s="57"/>
    </row>
    <row r="70" spans="1:8" x14ac:dyDescent="0.25">
      <c r="A70" s="89">
        <v>27</v>
      </c>
      <c r="B70" s="87" t="s">
        <v>433</v>
      </c>
      <c r="C70" s="90">
        <f>+C71+C72</f>
        <v>1645</v>
      </c>
      <c r="D70" s="4"/>
      <c r="E70" s="57"/>
      <c r="F70" s="57"/>
    </row>
    <row r="71" spans="1:8" x14ac:dyDescent="0.25">
      <c r="A71" s="89">
        <v>28</v>
      </c>
      <c r="B71" s="94" t="s">
        <v>344</v>
      </c>
      <c r="C71" s="34">
        <v>45</v>
      </c>
      <c r="D71" s="4"/>
      <c r="G71" s="38"/>
    </row>
    <row r="72" spans="1:8" x14ac:dyDescent="0.25">
      <c r="A72" s="89">
        <v>29</v>
      </c>
      <c r="B72" s="94" t="s">
        <v>345</v>
      </c>
      <c r="C72" s="34">
        <v>1600</v>
      </c>
      <c r="E72" s="92"/>
    </row>
    <row r="73" spans="1:8" x14ac:dyDescent="0.25">
      <c r="A73" s="89">
        <v>30</v>
      </c>
      <c r="B73" s="87" t="s">
        <v>346</v>
      </c>
      <c r="C73" s="91">
        <v>50</v>
      </c>
      <c r="D73" s="4"/>
      <c r="E73" s="57"/>
      <c r="F73" s="57"/>
    </row>
    <row r="74" spans="1:8" x14ac:dyDescent="0.25">
      <c r="A74" s="89">
        <v>31</v>
      </c>
      <c r="B74" s="87" t="s">
        <v>849</v>
      </c>
      <c r="C74" s="91">
        <f>8+C75</f>
        <v>233</v>
      </c>
      <c r="D74" s="4"/>
      <c r="E74" s="4"/>
    </row>
    <row r="75" spans="1:8" x14ac:dyDescent="0.25">
      <c r="A75" s="89" t="s">
        <v>658</v>
      </c>
      <c r="B75" s="94" t="s">
        <v>848</v>
      </c>
      <c r="C75" s="34">
        <v>225</v>
      </c>
      <c r="D75" s="4"/>
      <c r="E75" s="4"/>
    </row>
    <row r="76" spans="1:8" x14ac:dyDescent="0.25">
      <c r="A76" s="89">
        <v>32</v>
      </c>
      <c r="B76" s="87" t="s">
        <v>347</v>
      </c>
      <c r="C76" s="91">
        <v>101</v>
      </c>
      <c r="D76" s="4"/>
    </row>
    <row r="77" spans="1:8" ht="13.8" x14ac:dyDescent="0.3">
      <c r="A77" s="89">
        <v>33</v>
      </c>
      <c r="B77" s="106" t="s">
        <v>434</v>
      </c>
      <c r="C77" s="91">
        <f>+C8+C17+C60</f>
        <v>74959.8</v>
      </c>
      <c r="D77" s="107"/>
      <c r="E77" s="4"/>
      <c r="G77" s="108"/>
      <c r="H77" s="109"/>
    </row>
    <row r="78" spans="1:8" ht="12.6" customHeight="1" x14ac:dyDescent="0.25">
      <c r="A78" s="89">
        <v>34</v>
      </c>
      <c r="B78" s="93" t="s">
        <v>348</v>
      </c>
      <c r="C78" s="90">
        <f>1836.7+426+532+1046</f>
        <v>3840.7</v>
      </c>
      <c r="D78" s="72"/>
      <c r="F78" s="4"/>
    </row>
    <row r="79" spans="1:8" ht="12.6" customHeight="1" x14ac:dyDescent="0.25">
      <c r="A79" s="89">
        <v>35</v>
      </c>
      <c r="B79" s="106" t="s">
        <v>435</v>
      </c>
      <c r="C79" s="91">
        <f>+C77+C78</f>
        <v>78800.5</v>
      </c>
      <c r="D79" s="4"/>
      <c r="E79" s="4"/>
      <c r="F79" s="4"/>
      <c r="G79" s="4"/>
    </row>
    <row r="80" spans="1:8" ht="12.6" customHeight="1" x14ac:dyDescent="0.25">
      <c r="A80" s="89">
        <v>36</v>
      </c>
      <c r="B80" s="87" t="s">
        <v>656</v>
      </c>
      <c r="C80" s="91">
        <f>+C81+C83+C82+C84+C85+C86+C87+C88+C89</f>
        <v>7355.7999999999993</v>
      </c>
      <c r="E80" s="4"/>
      <c r="F80" s="4"/>
      <c r="G80" s="4"/>
    </row>
    <row r="81" spans="1:8" x14ac:dyDescent="0.25">
      <c r="A81" s="89">
        <v>37</v>
      </c>
      <c r="B81" s="94" t="s">
        <v>349</v>
      </c>
      <c r="C81" s="34">
        <v>6100.4</v>
      </c>
      <c r="D81" s="4"/>
      <c r="E81" s="4"/>
      <c r="F81" s="96"/>
      <c r="G81" s="96"/>
      <c r="H81" s="38"/>
    </row>
    <row r="82" spans="1:8" ht="12.6" customHeight="1" x14ac:dyDescent="0.25">
      <c r="A82" s="89">
        <v>38</v>
      </c>
      <c r="B82" s="94" t="s">
        <v>350</v>
      </c>
      <c r="C82" s="34">
        <v>109.5</v>
      </c>
      <c r="D82" s="92"/>
      <c r="E82" s="92"/>
      <c r="F82" s="4"/>
      <c r="G82" s="4"/>
    </row>
    <row r="83" spans="1:8" ht="12.6" customHeight="1" x14ac:dyDescent="0.25">
      <c r="A83" s="89">
        <v>39</v>
      </c>
      <c r="B83" s="94" t="s">
        <v>351</v>
      </c>
      <c r="C83" s="34">
        <v>49.3</v>
      </c>
      <c r="D83" s="92"/>
      <c r="E83" s="92"/>
      <c r="F83" s="4"/>
      <c r="G83" s="4"/>
    </row>
    <row r="84" spans="1:8" ht="12.6" customHeight="1" x14ac:dyDescent="0.25">
      <c r="A84" s="89">
        <v>40</v>
      </c>
      <c r="B84" s="95" t="s">
        <v>352</v>
      </c>
      <c r="C84" s="34">
        <v>193.8</v>
      </c>
      <c r="D84" s="92"/>
      <c r="E84" s="92"/>
      <c r="F84" s="4"/>
      <c r="G84" s="4"/>
    </row>
    <row r="85" spans="1:8" ht="12.6" customHeight="1" x14ac:dyDescent="0.25">
      <c r="A85" s="89">
        <v>41</v>
      </c>
      <c r="B85" s="94" t="s">
        <v>353</v>
      </c>
      <c r="C85" s="34">
        <v>331.2</v>
      </c>
      <c r="D85" s="4"/>
      <c r="G85" s="4"/>
    </row>
    <row r="86" spans="1:8" ht="12.6" customHeight="1" x14ac:dyDescent="0.25">
      <c r="A86" s="89">
        <v>42</v>
      </c>
      <c r="B86" s="94" t="s">
        <v>354</v>
      </c>
      <c r="C86" s="34">
        <v>13</v>
      </c>
      <c r="D86" s="4"/>
      <c r="E86" s="92"/>
      <c r="F86" s="4"/>
      <c r="G86" s="4"/>
    </row>
    <row r="87" spans="1:8" ht="12.6" customHeight="1" x14ac:dyDescent="0.25">
      <c r="A87" s="89">
        <v>43</v>
      </c>
      <c r="B87" s="94" t="s">
        <v>355</v>
      </c>
      <c r="C87" s="34">
        <f>+(224.1+69.8-73.9)+(295.8+10.2-181)</f>
        <v>345</v>
      </c>
      <c r="D87" s="4"/>
      <c r="E87" s="110"/>
      <c r="F87" s="4"/>
      <c r="G87" s="4"/>
    </row>
    <row r="88" spans="1:8" ht="12.6" customHeight="1" x14ac:dyDescent="0.25">
      <c r="A88" s="89">
        <v>44</v>
      </c>
      <c r="B88" s="100" t="s">
        <v>318</v>
      </c>
      <c r="C88" s="34">
        <v>213.2</v>
      </c>
      <c r="D88" s="4"/>
      <c r="E88" s="92"/>
      <c r="F88" s="92"/>
      <c r="G88" s="4"/>
    </row>
    <row r="89" spans="1:8" ht="12.6" customHeight="1" x14ac:dyDescent="0.25">
      <c r="A89" s="89">
        <v>45</v>
      </c>
      <c r="B89" s="100" t="s">
        <v>356</v>
      </c>
      <c r="C89" s="34">
        <v>0.4</v>
      </c>
      <c r="D89" s="4"/>
      <c r="E89" s="92"/>
      <c r="F89" s="92"/>
      <c r="G89" s="4"/>
    </row>
    <row r="90" spans="1:8" ht="12.6" customHeight="1" x14ac:dyDescent="0.25">
      <c r="A90" s="89">
        <v>46</v>
      </c>
      <c r="B90" s="106" t="s">
        <v>357</v>
      </c>
      <c r="C90" s="111">
        <f>+C79+C80</f>
        <v>86156.3</v>
      </c>
      <c r="D90" s="73"/>
      <c r="G90" s="38"/>
    </row>
    <row r="91" spans="1:8" ht="12.6" customHeight="1" x14ac:dyDescent="0.25">
      <c r="A91" s="82"/>
      <c r="B91" s="112" t="s">
        <v>358</v>
      </c>
      <c r="C91" s="113"/>
    </row>
    <row r="92" spans="1:8" ht="12.6" customHeight="1" x14ac:dyDescent="0.25">
      <c r="A92" s="82"/>
      <c r="B92" s="112"/>
      <c r="C92" s="72"/>
    </row>
    <row r="93" spans="1:8" ht="12.6" customHeight="1" x14ac:dyDescent="0.25">
      <c r="A93" s="82"/>
      <c r="B93" s="112"/>
      <c r="C93" s="72"/>
    </row>
    <row r="94" spans="1:8" x14ac:dyDescent="0.25">
      <c r="B94" s="59"/>
      <c r="C94" s="72"/>
      <c r="G94" s="38"/>
    </row>
    <row r="95" spans="1:8" x14ac:dyDescent="0.25">
      <c r="B95" s="59"/>
      <c r="C95" s="72"/>
      <c r="G95" s="38"/>
    </row>
    <row r="96" spans="1:8" x14ac:dyDescent="0.25">
      <c r="B96" s="59"/>
      <c r="C96" s="72"/>
      <c r="D96" s="72"/>
      <c r="F96" s="4"/>
      <c r="G96" s="38"/>
    </row>
    <row r="97" spans="2:7" x14ac:dyDescent="0.25">
      <c r="B97" s="59"/>
      <c r="C97" s="72"/>
      <c r="D97" s="38"/>
    </row>
    <row r="98" spans="2:7" x14ac:dyDescent="0.25">
      <c r="B98" s="59"/>
      <c r="C98" s="72"/>
    </row>
    <row r="99" spans="2:7" ht="15.6" x14ac:dyDescent="0.3">
      <c r="B99" s="71"/>
      <c r="C99" s="72"/>
    </row>
    <row r="100" spans="2:7" ht="15.6" x14ac:dyDescent="0.3">
      <c r="B100" s="71"/>
      <c r="C100" s="114"/>
      <c r="G100" s="38"/>
    </row>
    <row r="106" spans="2:7" x14ac:dyDescent="0.25">
      <c r="G106" s="38"/>
    </row>
    <row r="108" spans="2:7" ht="12" customHeight="1" x14ac:dyDescent="0.25"/>
    <row r="109" spans="2:7" ht="12" customHeight="1" x14ac:dyDescent="0.25"/>
    <row r="110" spans="2:7" ht="12" customHeight="1" x14ac:dyDescent="0.25"/>
    <row r="111" spans="2:7" ht="12" customHeight="1" x14ac:dyDescent="0.25"/>
    <row r="112" spans="2:7" ht="12" customHeight="1" x14ac:dyDescent="0.25"/>
    <row r="113" spans="5:5" ht="12" customHeight="1" x14ac:dyDescent="0.25"/>
    <row r="114" spans="5:5" ht="12" customHeight="1" x14ac:dyDescent="0.25"/>
    <row r="115" spans="5:5" ht="12" customHeight="1" x14ac:dyDescent="0.25"/>
    <row r="116" spans="5:5" x14ac:dyDescent="0.25">
      <c r="E116" s="98"/>
    </row>
  </sheetData>
  <mergeCells count="3">
    <mergeCell ref="B1:C1"/>
    <mergeCell ref="B2:C2"/>
    <mergeCell ref="A3:C3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zoomScaleNormal="100" workbookViewId="0">
      <selection activeCell="O17" sqref="O17"/>
    </sheetView>
  </sheetViews>
  <sheetFormatPr defaultColWidth="9.109375" defaultRowHeight="13.2" x14ac:dyDescent="0.25"/>
  <cols>
    <col min="1" max="1" width="4.6640625" style="3" customWidth="1"/>
    <col min="2" max="2" width="7" style="7" customWidth="1"/>
    <col min="3" max="3" width="48.109375" style="149" customWidth="1"/>
    <col min="4" max="4" width="10.5546875" style="6" customWidth="1"/>
    <col min="5" max="5" width="10.44140625" style="5" customWidth="1"/>
    <col min="6" max="6" width="11.33203125" style="5" customWidth="1"/>
    <col min="7" max="8" width="9.109375" style="4"/>
    <col min="9" max="16384" width="9.109375" style="2"/>
  </cols>
  <sheetData>
    <row r="1" spans="1:8" ht="15.6" x14ac:dyDescent="0.3">
      <c r="C1" s="246" t="s">
        <v>372</v>
      </c>
      <c r="D1" s="246"/>
      <c r="E1" s="246"/>
      <c r="F1" s="246"/>
    </row>
    <row r="2" spans="1:8" ht="15" customHeight="1" x14ac:dyDescent="0.3">
      <c r="C2" s="246" t="s">
        <v>592</v>
      </c>
      <c r="D2" s="246"/>
      <c r="E2" s="246"/>
      <c r="F2" s="246"/>
    </row>
    <row r="3" spans="1:8" ht="15.6" x14ac:dyDescent="0.3">
      <c r="C3" s="55"/>
      <c r="D3" s="55"/>
      <c r="E3" s="271" t="s">
        <v>371</v>
      </c>
      <c r="F3" s="271"/>
    </row>
    <row r="4" spans="1:8" ht="15.6" x14ac:dyDescent="0.25">
      <c r="E4" s="37"/>
      <c r="F4" s="37"/>
    </row>
    <row r="5" spans="1:8" ht="35.25" customHeight="1" x14ac:dyDescent="0.25">
      <c r="A5" s="249" t="s">
        <v>598</v>
      </c>
      <c r="B5" s="249"/>
      <c r="C5" s="249"/>
      <c r="D5" s="249"/>
      <c r="E5" s="249"/>
      <c r="F5" s="249"/>
    </row>
    <row r="6" spans="1:8" x14ac:dyDescent="0.25">
      <c r="A6" s="81"/>
      <c r="B6" s="81"/>
      <c r="C6" s="81"/>
      <c r="D6" s="81"/>
      <c r="E6" s="81"/>
      <c r="F6" s="81"/>
    </row>
    <row r="7" spans="1:8" x14ac:dyDescent="0.25">
      <c r="A7" s="151"/>
      <c r="B7" s="152"/>
      <c r="C7" s="153"/>
      <c r="D7" s="154"/>
      <c r="E7" s="155"/>
      <c r="F7" s="54" t="s">
        <v>129</v>
      </c>
    </row>
    <row r="8" spans="1:8" ht="39.6" x14ac:dyDescent="0.25">
      <c r="A8" s="8" t="s">
        <v>118</v>
      </c>
      <c r="B8" s="9" t="s">
        <v>367</v>
      </c>
      <c r="C8" s="8" t="s">
        <v>16</v>
      </c>
      <c r="D8" s="9" t="s">
        <v>55</v>
      </c>
      <c r="E8" s="8" t="s">
        <v>17</v>
      </c>
      <c r="F8" s="8" t="s">
        <v>29</v>
      </c>
    </row>
    <row r="9" spans="1:8" s="42" customFormat="1" ht="12.75" customHeight="1" x14ac:dyDescent="0.25">
      <c r="A9" s="10">
        <v>1</v>
      </c>
      <c r="B9" s="11" t="s">
        <v>18</v>
      </c>
      <c r="C9" s="8">
        <v>3</v>
      </c>
      <c r="D9" s="9">
        <v>4</v>
      </c>
      <c r="E9" s="8">
        <v>5</v>
      </c>
      <c r="F9" s="8">
        <v>6</v>
      </c>
      <c r="G9" s="140"/>
      <c r="H9" s="140"/>
    </row>
    <row r="10" spans="1:8" s="42" customFormat="1" ht="12.75" customHeight="1" x14ac:dyDescent="0.25">
      <c r="A10" s="12">
        <v>1</v>
      </c>
      <c r="B10" s="11" t="s">
        <v>56</v>
      </c>
      <c r="C10" s="13" t="s">
        <v>57</v>
      </c>
      <c r="D10" s="8"/>
      <c r="E10" s="115">
        <f>+E11</f>
        <v>261.60000000000002</v>
      </c>
      <c r="F10" s="115">
        <f>+F11</f>
        <v>7.7</v>
      </c>
      <c r="G10" s="140"/>
      <c r="H10" s="140"/>
    </row>
    <row r="11" spans="1:8" s="42" customFormat="1" ht="12.75" customHeight="1" x14ac:dyDescent="0.25">
      <c r="A11" s="12">
        <v>2</v>
      </c>
      <c r="B11" s="14" t="s">
        <v>301</v>
      </c>
      <c r="C11" s="157" t="s">
        <v>890</v>
      </c>
      <c r="D11" s="18"/>
      <c r="E11" s="144">
        <f>+E12+E13</f>
        <v>261.60000000000002</v>
      </c>
      <c r="F11" s="144">
        <f>+F12+F13</f>
        <v>7.7</v>
      </c>
      <c r="G11" s="140"/>
      <c r="H11" s="4"/>
    </row>
    <row r="12" spans="1:8" s="42" customFormat="1" ht="12.75" customHeight="1" x14ac:dyDescent="0.25">
      <c r="A12" s="12">
        <v>3</v>
      </c>
      <c r="B12" s="1"/>
      <c r="C12" s="134" t="s">
        <v>216</v>
      </c>
      <c r="D12" s="14" t="s">
        <v>891</v>
      </c>
      <c r="E12" s="19">
        <v>253.8</v>
      </c>
      <c r="F12" s="19"/>
      <c r="G12" s="140"/>
      <c r="H12" s="140"/>
    </row>
    <row r="13" spans="1:8" s="42" customFormat="1" ht="12.75" customHeight="1" x14ac:dyDescent="0.25">
      <c r="A13" s="12">
        <v>4</v>
      </c>
      <c r="B13" s="1"/>
      <c r="C13" s="16" t="s">
        <v>892</v>
      </c>
      <c r="D13" s="14" t="s">
        <v>893</v>
      </c>
      <c r="E13" s="19">
        <v>7.8</v>
      </c>
      <c r="F13" s="19">
        <v>7.7</v>
      </c>
      <c r="G13" s="140"/>
      <c r="H13" s="140"/>
    </row>
    <row r="14" spans="1:8" ht="18" customHeight="1" x14ac:dyDescent="0.25">
      <c r="A14" s="12">
        <v>5</v>
      </c>
      <c r="B14" s="11" t="s">
        <v>21</v>
      </c>
      <c r="C14" s="17" t="s">
        <v>22</v>
      </c>
      <c r="D14" s="14"/>
      <c r="E14" s="121">
        <f>+E15+E17+E19+E21+E23+E25+E27</f>
        <v>468.2</v>
      </c>
      <c r="F14" s="121">
        <f>+F15+F17+F19+F21+F23+F25+F27</f>
        <v>54.400000000000006</v>
      </c>
    </row>
    <row r="15" spans="1:8" ht="26.4" x14ac:dyDescent="0.25">
      <c r="A15" s="12">
        <v>6</v>
      </c>
      <c r="B15" s="1" t="s">
        <v>238</v>
      </c>
      <c r="C15" s="157" t="s">
        <v>655</v>
      </c>
      <c r="D15" s="14"/>
      <c r="E15" s="144">
        <f>+E16</f>
        <v>45.9</v>
      </c>
      <c r="F15" s="144">
        <f>+F16</f>
        <v>45.2</v>
      </c>
    </row>
    <row r="16" spans="1:8" x14ac:dyDescent="0.25">
      <c r="A16" s="12">
        <v>7</v>
      </c>
      <c r="B16" s="1"/>
      <c r="C16" s="35" t="s">
        <v>148</v>
      </c>
      <c r="D16" s="14" t="s">
        <v>23</v>
      </c>
      <c r="E16" s="19">
        <v>45.9</v>
      </c>
      <c r="F16" s="19">
        <v>45.2</v>
      </c>
    </row>
    <row r="17" spans="1:6" ht="26.4" x14ac:dyDescent="0.25">
      <c r="A17" s="12">
        <v>8</v>
      </c>
      <c r="B17" s="1" t="s">
        <v>240</v>
      </c>
      <c r="C17" s="157" t="s">
        <v>815</v>
      </c>
      <c r="D17" s="14"/>
      <c r="E17" s="144">
        <f>+E18</f>
        <v>160.69999999999999</v>
      </c>
      <c r="F17" s="144">
        <f>+F18</f>
        <v>3.1</v>
      </c>
    </row>
    <row r="18" spans="1:6" x14ac:dyDescent="0.25">
      <c r="A18" s="12">
        <v>9</v>
      </c>
      <c r="B18" s="1"/>
      <c r="C18" s="35" t="s">
        <v>3</v>
      </c>
      <c r="D18" s="14" t="s">
        <v>23</v>
      </c>
      <c r="E18" s="19">
        <v>160.69999999999999</v>
      </c>
      <c r="F18" s="19">
        <v>3.1</v>
      </c>
    </row>
    <row r="19" spans="1:6" ht="39.6" x14ac:dyDescent="0.25">
      <c r="A19" s="12">
        <v>10</v>
      </c>
      <c r="B19" s="1" t="s">
        <v>242</v>
      </c>
      <c r="C19" s="124" t="s">
        <v>814</v>
      </c>
      <c r="D19" s="171"/>
      <c r="E19" s="144">
        <f>+E20</f>
        <v>102.6</v>
      </c>
      <c r="F19" s="144">
        <f>+F20</f>
        <v>3</v>
      </c>
    </row>
    <row r="20" spans="1:6" x14ac:dyDescent="0.25">
      <c r="A20" s="12">
        <v>11</v>
      </c>
      <c r="B20" s="1"/>
      <c r="C20" s="35" t="s">
        <v>3</v>
      </c>
      <c r="D20" s="14" t="s">
        <v>792</v>
      </c>
      <c r="E20" s="19">
        <v>102.6</v>
      </c>
      <c r="F20" s="19">
        <v>3</v>
      </c>
    </row>
    <row r="21" spans="1:6" ht="26.4" x14ac:dyDescent="0.25">
      <c r="A21" s="12">
        <v>12</v>
      </c>
      <c r="B21" s="1" t="s">
        <v>245</v>
      </c>
      <c r="C21" s="124" t="s">
        <v>846</v>
      </c>
      <c r="D21" s="171"/>
      <c r="E21" s="144">
        <f>+E22</f>
        <v>132.80000000000001</v>
      </c>
      <c r="F21" s="144">
        <f>+F22</f>
        <v>2.6</v>
      </c>
    </row>
    <row r="22" spans="1:6" x14ac:dyDescent="0.25">
      <c r="A22" s="12">
        <v>13</v>
      </c>
      <c r="B22" s="1"/>
      <c r="C22" s="15" t="s">
        <v>3</v>
      </c>
      <c r="D22" s="14" t="s">
        <v>792</v>
      </c>
      <c r="E22" s="19">
        <v>132.80000000000001</v>
      </c>
      <c r="F22" s="19">
        <v>2.6</v>
      </c>
    </row>
    <row r="23" spans="1:6" ht="26.4" x14ac:dyDescent="0.25">
      <c r="A23" s="12">
        <v>14</v>
      </c>
      <c r="B23" s="1" t="s">
        <v>247</v>
      </c>
      <c r="C23" s="124" t="s">
        <v>847</v>
      </c>
      <c r="D23" s="171"/>
      <c r="E23" s="144">
        <f>+E24</f>
        <v>0.7</v>
      </c>
      <c r="F23" s="144">
        <f>+F24</f>
        <v>0</v>
      </c>
    </row>
    <row r="24" spans="1:6" x14ac:dyDescent="0.25">
      <c r="A24" s="12">
        <v>15</v>
      </c>
      <c r="B24" s="1"/>
      <c r="C24" s="15" t="s">
        <v>3</v>
      </c>
      <c r="D24" s="14" t="s">
        <v>792</v>
      </c>
      <c r="E24" s="19">
        <v>0.7</v>
      </c>
      <c r="F24" s="19"/>
    </row>
    <row r="25" spans="1:6" ht="66" x14ac:dyDescent="0.25">
      <c r="A25" s="12">
        <v>16</v>
      </c>
      <c r="B25" s="1" t="s">
        <v>444</v>
      </c>
      <c r="C25" s="124" t="s">
        <v>865</v>
      </c>
      <c r="D25" s="171"/>
      <c r="E25" s="144">
        <f>+E26</f>
        <v>0.6</v>
      </c>
      <c r="F25" s="144">
        <f>+F26</f>
        <v>0</v>
      </c>
    </row>
    <row r="26" spans="1:6" x14ac:dyDescent="0.25">
      <c r="A26" s="12">
        <v>17</v>
      </c>
      <c r="B26" s="1"/>
      <c r="C26" s="15" t="s">
        <v>3</v>
      </c>
      <c r="D26" s="14" t="s">
        <v>792</v>
      </c>
      <c r="E26" s="19">
        <v>0.6</v>
      </c>
      <c r="F26" s="19"/>
    </row>
    <row r="27" spans="1:6" ht="39.6" x14ac:dyDescent="0.25">
      <c r="A27" s="12">
        <v>18</v>
      </c>
      <c r="B27" s="1" t="s">
        <v>806</v>
      </c>
      <c r="C27" s="124" t="s">
        <v>885</v>
      </c>
      <c r="D27" s="14"/>
      <c r="E27" s="144">
        <f>+E28</f>
        <v>24.9</v>
      </c>
      <c r="F27" s="144">
        <f>+F28</f>
        <v>0.5</v>
      </c>
    </row>
    <row r="28" spans="1:6" x14ac:dyDescent="0.25">
      <c r="A28" s="12">
        <v>19</v>
      </c>
      <c r="B28" s="1"/>
      <c r="C28" s="15" t="s">
        <v>3</v>
      </c>
      <c r="D28" s="14" t="s">
        <v>792</v>
      </c>
      <c r="E28" s="19">
        <v>24.9</v>
      </c>
      <c r="F28" s="19">
        <v>0.5</v>
      </c>
    </row>
    <row r="29" spans="1:6" x14ac:dyDescent="0.25">
      <c r="A29" s="12">
        <v>20</v>
      </c>
      <c r="B29" s="11" t="s">
        <v>78</v>
      </c>
      <c r="C29" s="17" t="s">
        <v>79</v>
      </c>
      <c r="D29" s="18"/>
      <c r="E29" s="172">
        <f>+E30</f>
        <v>54.6</v>
      </c>
      <c r="F29" s="172">
        <f>+F30</f>
        <v>0</v>
      </c>
    </row>
    <row r="30" spans="1:6" ht="26.4" x14ac:dyDescent="0.25">
      <c r="A30" s="12">
        <v>21</v>
      </c>
      <c r="B30" s="1" t="s">
        <v>834</v>
      </c>
      <c r="C30" s="157" t="s">
        <v>835</v>
      </c>
      <c r="D30" s="18"/>
      <c r="E30" s="19">
        <f>+E31</f>
        <v>54.6</v>
      </c>
      <c r="F30" s="19">
        <f>+F31</f>
        <v>0</v>
      </c>
    </row>
    <row r="31" spans="1:6" ht="26.4" x14ac:dyDescent="0.25">
      <c r="A31" s="12">
        <v>22</v>
      </c>
      <c r="B31" s="1"/>
      <c r="C31" s="15" t="s">
        <v>53</v>
      </c>
      <c r="D31" s="1" t="s">
        <v>81</v>
      </c>
      <c r="E31" s="19">
        <v>54.6</v>
      </c>
      <c r="F31" s="19"/>
    </row>
    <row r="32" spans="1:6" x14ac:dyDescent="0.25">
      <c r="A32" s="12">
        <v>23</v>
      </c>
      <c r="B32" s="11" t="s">
        <v>89</v>
      </c>
      <c r="C32" s="17" t="s">
        <v>90</v>
      </c>
      <c r="D32" s="1"/>
      <c r="E32" s="121">
        <f>+E33</f>
        <v>282</v>
      </c>
      <c r="F32" s="121">
        <f>+F33</f>
        <v>0</v>
      </c>
    </row>
    <row r="33" spans="1:6" ht="39.6" x14ac:dyDescent="0.25">
      <c r="A33" s="12">
        <v>24</v>
      </c>
      <c r="B33" s="1" t="s">
        <v>844</v>
      </c>
      <c r="C33" s="173" t="s">
        <v>845</v>
      </c>
      <c r="D33" s="14"/>
      <c r="E33" s="19">
        <f>+E34</f>
        <v>282</v>
      </c>
      <c r="F33" s="19">
        <f>+F34</f>
        <v>0</v>
      </c>
    </row>
    <row r="34" spans="1:6" x14ac:dyDescent="0.25">
      <c r="A34" s="12">
        <v>25</v>
      </c>
      <c r="B34" s="1"/>
      <c r="C34" s="35" t="s">
        <v>3</v>
      </c>
      <c r="D34" s="14" t="s">
        <v>143</v>
      </c>
      <c r="E34" s="19">
        <v>282</v>
      </c>
      <c r="F34" s="19"/>
    </row>
    <row r="35" spans="1:6" x14ac:dyDescent="0.25">
      <c r="A35" s="12">
        <v>26</v>
      </c>
      <c r="B35" s="11"/>
      <c r="C35" s="30" t="s">
        <v>20</v>
      </c>
      <c r="D35" s="1"/>
      <c r="E35" s="41">
        <f>+E14+E29+E32+E10</f>
        <v>1066.4000000000001</v>
      </c>
      <c r="F35" s="41">
        <f>+F14+F29+F32+F10</f>
        <v>62.100000000000009</v>
      </c>
    </row>
    <row r="36" spans="1:6" x14ac:dyDescent="0.25">
      <c r="C36" s="149" t="s">
        <v>113</v>
      </c>
      <c r="D36" s="7"/>
      <c r="E36" s="20"/>
      <c r="F36" s="20"/>
    </row>
    <row r="37" spans="1:6" ht="13.5" customHeight="1" x14ac:dyDescent="0.25">
      <c r="C37" s="174"/>
      <c r="E37" s="20"/>
      <c r="F37" s="20"/>
    </row>
    <row r="38" spans="1:6" x14ac:dyDescent="0.25">
      <c r="C38" s="174"/>
      <c r="D38" s="2"/>
      <c r="E38" s="20"/>
      <c r="F38" s="20"/>
    </row>
    <row r="39" spans="1:6" x14ac:dyDescent="0.25">
      <c r="D39" s="5"/>
      <c r="E39" s="53"/>
      <c r="F39" s="53"/>
    </row>
    <row r="40" spans="1:6" x14ac:dyDescent="0.25">
      <c r="C40" s="175"/>
      <c r="E40" s="53"/>
      <c r="F40" s="53"/>
    </row>
    <row r="41" spans="1:6" x14ac:dyDescent="0.25">
      <c r="C41" s="176"/>
      <c r="E41" s="53"/>
      <c r="F41" s="53"/>
    </row>
    <row r="42" spans="1:6" x14ac:dyDescent="0.25">
      <c r="C42" s="177"/>
    </row>
    <row r="43" spans="1:6" x14ac:dyDescent="0.25">
      <c r="C43" s="175"/>
    </row>
    <row r="44" spans="1:6" x14ac:dyDescent="0.25">
      <c r="C44" s="178"/>
      <c r="E44" s="53"/>
    </row>
    <row r="48" spans="1:6" x14ac:dyDescent="0.25">
      <c r="E48" s="53"/>
    </row>
    <row r="49" spans="5:5" x14ac:dyDescent="0.25">
      <c r="E49" s="53"/>
    </row>
    <row r="51" spans="5:5" x14ac:dyDescent="0.25">
      <c r="E51" s="53"/>
    </row>
  </sheetData>
  <mergeCells count="4">
    <mergeCell ref="C1:F1"/>
    <mergeCell ref="C2:F2"/>
    <mergeCell ref="E3:F3"/>
    <mergeCell ref="A5:F5"/>
  </mergeCells>
  <pageMargins left="0.70866141732283472" right="0" top="0.74803149606299213" bottom="0.74803149606299213" header="0.31496062992125984" footer="0.31496062992125984"/>
  <pageSetup paperSize="9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zoomScaleNormal="100" workbookViewId="0">
      <selection activeCell="L22" sqref="L22"/>
    </sheetView>
  </sheetViews>
  <sheetFormatPr defaultColWidth="9.109375" defaultRowHeight="13.2" x14ac:dyDescent="0.25"/>
  <cols>
    <col min="1" max="1" width="4.6640625" style="5" customWidth="1"/>
    <col min="2" max="2" width="6.6640625" style="7" customWidth="1"/>
    <col min="3" max="3" width="53.6640625" style="149" customWidth="1"/>
    <col min="4" max="4" width="11.109375" style="6" customWidth="1"/>
    <col min="5" max="5" width="11" style="5" customWidth="1"/>
    <col min="6" max="6" width="11.33203125" style="5" customWidth="1"/>
    <col min="7" max="8" width="9.33203125" style="2" customWidth="1"/>
    <col min="9" max="16384" width="9.109375" style="2"/>
  </cols>
  <sheetData>
    <row r="1" spans="1:15" ht="15.6" x14ac:dyDescent="0.3">
      <c r="C1" s="246" t="s">
        <v>450</v>
      </c>
      <c r="D1" s="246"/>
      <c r="E1" s="246"/>
      <c r="F1" s="246"/>
    </row>
    <row r="2" spans="1:15" ht="15.6" x14ac:dyDescent="0.3">
      <c r="C2" s="246" t="s">
        <v>593</v>
      </c>
      <c r="D2" s="246"/>
      <c r="E2" s="246"/>
      <c r="F2" s="246"/>
    </row>
    <row r="3" spans="1:15" ht="15.6" x14ac:dyDescent="0.3">
      <c r="C3" s="55"/>
      <c r="D3" s="55"/>
      <c r="E3" s="271" t="s">
        <v>451</v>
      </c>
      <c r="F3" s="271"/>
    </row>
    <row r="4" spans="1:15" ht="15.6" x14ac:dyDescent="0.25">
      <c r="E4" s="37"/>
      <c r="F4" s="37"/>
    </row>
    <row r="5" spans="1:15" ht="31.5" customHeight="1" x14ac:dyDescent="0.25">
      <c r="A5" s="249" t="s">
        <v>597</v>
      </c>
      <c r="B5" s="249"/>
      <c r="C5" s="249"/>
      <c r="D5" s="249"/>
      <c r="E5" s="249"/>
      <c r="F5" s="249"/>
    </row>
    <row r="6" spans="1:15" x14ac:dyDescent="0.25">
      <c r="A6" s="81"/>
      <c r="B6" s="81"/>
      <c r="C6" s="81"/>
      <c r="D6" s="81"/>
      <c r="E6" s="81"/>
      <c r="F6" s="81"/>
    </row>
    <row r="7" spans="1:15" x14ac:dyDescent="0.25">
      <c r="A7" s="155"/>
      <c r="B7" s="152"/>
      <c r="C7" s="153"/>
      <c r="D7" s="154"/>
      <c r="E7" s="155"/>
      <c r="F7" s="54" t="s">
        <v>129</v>
      </c>
    </row>
    <row r="8" spans="1:15" ht="39.75" customHeight="1" x14ac:dyDescent="0.25">
      <c r="A8" s="8" t="s">
        <v>118</v>
      </c>
      <c r="B8" s="9" t="s">
        <v>367</v>
      </c>
      <c r="C8" s="8" t="s">
        <v>16</v>
      </c>
      <c r="D8" s="9" t="s">
        <v>55</v>
      </c>
      <c r="E8" s="8" t="s">
        <v>17</v>
      </c>
      <c r="F8" s="8" t="s">
        <v>29</v>
      </c>
      <c r="G8" s="4"/>
      <c r="H8" s="4"/>
      <c r="O8" s="42"/>
    </row>
    <row r="9" spans="1:15" s="42" customFormat="1" ht="12.75" customHeight="1" x14ac:dyDescent="0.25">
      <c r="A9" s="10">
        <v>1</v>
      </c>
      <c r="B9" s="11" t="s">
        <v>18</v>
      </c>
      <c r="C9" s="8">
        <v>3</v>
      </c>
      <c r="D9" s="9">
        <v>4</v>
      </c>
      <c r="E9" s="8">
        <v>5</v>
      </c>
      <c r="F9" s="8">
        <v>6</v>
      </c>
      <c r="G9" s="4"/>
      <c r="H9" s="4"/>
    </row>
    <row r="10" spans="1:15" s="42" customFormat="1" ht="18" customHeight="1" x14ac:dyDescent="0.25">
      <c r="A10" s="12">
        <v>1</v>
      </c>
      <c r="B10" s="11" t="s">
        <v>56</v>
      </c>
      <c r="C10" s="13" t="s">
        <v>57</v>
      </c>
      <c r="D10" s="8"/>
      <c r="E10" s="115">
        <f>+E11</f>
        <v>2.7</v>
      </c>
      <c r="F10" s="115">
        <f>+F11</f>
        <v>0</v>
      </c>
      <c r="G10" s="4"/>
      <c r="H10" s="4"/>
      <c r="I10" s="179"/>
      <c r="J10" s="36"/>
      <c r="K10" s="36"/>
      <c r="L10" s="36"/>
    </row>
    <row r="11" spans="1:15" s="42" customFormat="1" ht="12.75" customHeight="1" x14ac:dyDescent="0.25">
      <c r="A11" s="12">
        <v>2</v>
      </c>
      <c r="B11" s="9"/>
      <c r="C11" s="16" t="s">
        <v>183</v>
      </c>
      <c r="D11" s="8"/>
      <c r="E11" s="39">
        <f>+E12+E13</f>
        <v>2.7</v>
      </c>
      <c r="F11" s="39">
        <f>+F12</f>
        <v>0</v>
      </c>
      <c r="G11" s="4"/>
      <c r="H11" s="4"/>
      <c r="I11" s="179"/>
      <c r="J11" s="36"/>
      <c r="K11" s="36"/>
      <c r="L11" s="36"/>
    </row>
    <row r="12" spans="1:15" s="42" customFormat="1" ht="26.4" x14ac:dyDescent="0.25">
      <c r="A12" s="12" t="s">
        <v>780</v>
      </c>
      <c r="B12" s="9"/>
      <c r="C12" s="134" t="s">
        <v>151</v>
      </c>
      <c r="D12" s="1" t="s">
        <v>61</v>
      </c>
      <c r="E12" s="120">
        <v>1.9</v>
      </c>
      <c r="F12" s="19"/>
      <c r="G12" s="4"/>
      <c r="H12" s="4"/>
      <c r="I12" s="179"/>
      <c r="J12" s="36"/>
      <c r="K12" s="36"/>
      <c r="L12" s="36"/>
    </row>
    <row r="13" spans="1:15" s="42" customFormat="1" ht="26.4" x14ac:dyDescent="0.25">
      <c r="A13" s="12" t="s">
        <v>781</v>
      </c>
      <c r="B13" s="9"/>
      <c r="C13" s="134" t="s">
        <v>449</v>
      </c>
      <c r="D13" s="1" t="s">
        <v>58</v>
      </c>
      <c r="E13" s="120">
        <v>0.8</v>
      </c>
      <c r="F13" s="19"/>
      <c r="G13" s="4"/>
      <c r="H13" s="4"/>
      <c r="I13" s="179"/>
      <c r="J13" s="36"/>
      <c r="K13" s="36"/>
      <c r="L13" s="36"/>
    </row>
    <row r="14" spans="1:15" s="42" customFormat="1" ht="18" customHeight="1" x14ac:dyDescent="0.25">
      <c r="A14" s="12">
        <v>3</v>
      </c>
      <c r="B14" s="11" t="s">
        <v>65</v>
      </c>
      <c r="C14" s="17" t="s">
        <v>66</v>
      </c>
      <c r="D14" s="1"/>
      <c r="E14" s="133">
        <f>+E15</f>
        <v>1.1000000000000001</v>
      </c>
      <c r="F14" s="133">
        <f>+F15</f>
        <v>0</v>
      </c>
      <c r="G14" s="4"/>
      <c r="H14" s="4"/>
      <c r="I14" s="179"/>
      <c r="J14" s="36"/>
      <c r="K14" s="36"/>
      <c r="L14" s="36"/>
    </row>
    <row r="15" spans="1:15" s="42" customFormat="1" ht="12.6" customHeight="1" x14ac:dyDescent="0.25">
      <c r="A15" s="12">
        <v>4</v>
      </c>
      <c r="B15" s="11"/>
      <c r="C15" s="16" t="s">
        <v>183</v>
      </c>
      <c r="D15" s="1"/>
      <c r="E15" s="120">
        <f>+E16</f>
        <v>1.1000000000000001</v>
      </c>
      <c r="F15" s="120">
        <f>+F16</f>
        <v>0</v>
      </c>
      <c r="G15" s="4"/>
      <c r="H15" s="4"/>
      <c r="I15" s="179"/>
      <c r="J15" s="36"/>
      <c r="K15" s="36"/>
      <c r="L15" s="36"/>
    </row>
    <row r="16" spans="1:15" s="42" customFormat="1" ht="26.4" x14ac:dyDescent="0.25">
      <c r="A16" s="12" t="s">
        <v>785</v>
      </c>
      <c r="B16" s="11"/>
      <c r="C16" s="134" t="s">
        <v>198</v>
      </c>
      <c r="D16" s="14" t="s">
        <v>199</v>
      </c>
      <c r="E16" s="120">
        <v>1.1000000000000001</v>
      </c>
      <c r="F16" s="120"/>
      <c r="G16" s="4"/>
      <c r="H16" s="4"/>
      <c r="I16" s="179"/>
      <c r="J16" s="36"/>
      <c r="K16" s="36"/>
      <c r="L16" s="36"/>
    </row>
    <row r="17" spans="1:12" s="42" customFormat="1" ht="32.4" customHeight="1" x14ac:dyDescent="0.25">
      <c r="A17" s="12">
        <v>5</v>
      </c>
      <c r="B17" s="11" t="s">
        <v>104</v>
      </c>
      <c r="C17" s="126" t="s">
        <v>105</v>
      </c>
      <c r="D17" s="1"/>
      <c r="E17" s="133">
        <f>+E18</f>
        <v>20.3</v>
      </c>
      <c r="F17" s="133">
        <f>+F18</f>
        <v>0</v>
      </c>
      <c r="G17" s="4"/>
      <c r="H17" s="4"/>
      <c r="I17" s="179"/>
      <c r="J17" s="36"/>
      <c r="K17" s="36"/>
      <c r="L17" s="36"/>
    </row>
    <row r="18" spans="1:12" s="42" customFormat="1" x14ac:dyDescent="0.25">
      <c r="A18" s="12">
        <v>6</v>
      </c>
      <c r="B18" s="1"/>
      <c r="C18" s="66" t="s">
        <v>183</v>
      </c>
      <c r="D18" s="1"/>
      <c r="E18" s="120">
        <f>+E19</f>
        <v>20.3</v>
      </c>
      <c r="F18" s="120">
        <f>+F19</f>
        <v>0</v>
      </c>
      <c r="G18" s="4"/>
      <c r="H18" s="4"/>
      <c r="I18" s="179"/>
      <c r="J18" s="36"/>
      <c r="K18" s="36"/>
      <c r="L18" s="36"/>
    </row>
    <row r="19" spans="1:12" s="42" customFormat="1" ht="26.4" x14ac:dyDescent="0.25">
      <c r="A19" s="12" t="s">
        <v>437</v>
      </c>
      <c r="B19" s="11"/>
      <c r="C19" s="66" t="s">
        <v>822</v>
      </c>
      <c r="D19" s="1" t="s">
        <v>157</v>
      </c>
      <c r="E19" s="120">
        <v>20.3</v>
      </c>
      <c r="F19" s="120"/>
      <c r="G19" s="4"/>
      <c r="H19" s="4"/>
      <c r="I19" s="179"/>
      <c r="J19" s="36"/>
      <c r="K19" s="36"/>
      <c r="L19" s="36"/>
    </row>
    <row r="20" spans="1:12" x14ac:dyDescent="0.25">
      <c r="A20" s="131" t="s">
        <v>824</v>
      </c>
      <c r="B20" s="11" t="s">
        <v>32</v>
      </c>
      <c r="C20" s="17" t="s">
        <v>33</v>
      </c>
      <c r="D20" s="14"/>
      <c r="E20" s="133">
        <f>+E21</f>
        <v>14</v>
      </c>
      <c r="F20" s="133">
        <f>+F21</f>
        <v>0</v>
      </c>
      <c r="G20" s="4"/>
      <c r="H20" s="4"/>
      <c r="I20" s="179"/>
      <c r="J20" s="36"/>
      <c r="K20" s="36"/>
      <c r="L20" s="36"/>
    </row>
    <row r="21" spans="1:12" x14ac:dyDescent="0.25">
      <c r="A21" s="131" t="s">
        <v>823</v>
      </c>
      <c r="B21" s="1"/>
      <c r="C21" s="66" t="s">
        <v>183</v>
      </c>
      <c r="D21" s="14"/>
      <c r="E21" s="120">
        <f>+E22</f>
        <v>14</v>
      </c>
      <c r="F21" s="120">
        <f>+F22</f>
        <v>0</v>
      </c>
      <c r="G21" s="4"/>
      <c r="H21" s="4"/>
      <c r="I21" s="179"/>
      <c r="J21" s="36"/>
      <c r="K21" s="36"/>
      <c r="L21" s="36"/>
    </row>
    <row r="22" spans="1:12" ht="39.6" x14ac:dyDescent="0.25">
      <c r="A22" s="12" t="s">
        <v>786</v>
      </c>
      <c r="B22" s="1"/>
      <c r="C22" s="65" t="s">
        <v>646</v>
      </c>
      <c r="D22" s="14" t="s">
        <v>144</v>
      </c>
      <c r="E22" s="34">
        <v>14</v>
      </c>
      <c r="F22" s="34"/>
      <c r="G22" s="4"/>
      <c r="H22" s="4"/>
      <c r="I22" s="179"/>
      <c r="J22" s="36"/>
      <c r="K22" s="36"/>
      <c r="L22" s="36"/>
    </row>
    <row r="23" spans="1:12" ht="12.75" customHeight="1" x14ac:dyDescent="0.25">
      <c r="A23" s="12">
        <v>9</v>
      </c>
      <c r="B23" s="11"/>
      <c r="C23" s="30" t="s">
        <v>20</v>
      </c>
      <c r="D23" s="1"/>
      <c r="E23" s="41">
        <f>+E10+E14+E17+E20</f>
        <v>38.1</v>
      </c>
      <c r="F23" s="41">
        <f>+F10+F14+F20</f>
        <v>0</v>
      </c>
      <c r="G23" s="4"/>
      <c r="H23" s="4"/>
      <c r="I23" s="4"/>
      <c r="J23" s="4"/>
      <c r="K23" s="4"/>
      <c r="L23" s="4"/>
    </row>
    <row r="24" spans="1:12" x14ac:dyDescent="0.25">
      <c r="A24" s="139"/>
      <c r="C24" s="149" t="s">
        <v>113</v>
      </c>
      <c r="D24" s="7"/>
      <c r="E24" s="20"/>
      <c r="F24" s="20"/>
    </row>
    <row r="25" spans="1:12" x14ac:dyDescent="0.25">
      <c r="C25" s="180"/>
      <c r="D25" s="7"/>
      <c r="E25" s="20"/>
      <c r="F25" s="20"/>
    </row>
    <row r="26" spans="1:12" x14ac:dyDescent="0.25">
      <c r="C26" s="5"/>
      <c r="E26" s="20"/>
      <c r="F26" s="20"/>
      <c r="K26" s="4"/>
    </row>
    <row r="27" spans="1:12" x14ac:dyDescent="0.25">
      <c r="C27" s="5"/>
      <c r="E27" s="20"/>
      <c r="F27" s="20"/>
      <c r="K27" s="4"/>
    </row>
    <row r="28" spans="1:12" x14ac:dyDescent="0.25">
      <c r="C28" s="5"/>
      <c r="E28" s="43"/>
      <c r="F28" s="43"/>
    </row>
    <row r="29" spans="1:12" x14ac:dyDescent="0.25">
      <c r="C29" s="139"/>
      <c r="E29" s="43"/>
      <c r="F29" s="43"/>
    </row>
    <row r="30" spans="1:12" x14ac:dyDescent="0.25">
      <c r="C30" s="5"/>
      <c r="E30" s="43"/>
      <c r="F30" s="43"/>
    </row>
    <row r="31" spans="1:12" x14ac:dyDescent="0.25">
      <c r="C31" s="181"/>
      <c r="E31" s="43"/>
      <c r="F31" s="43"/>
      <c r="G31" s="4"/>
    </row>
    <row r="32" spans="1:12" x14ac:dyDescent="0.25">
      <c r="C32" s="139"/>
      <c r="E32" s="43"/>
      <c r="F32" s="43"/>
    </row>
    <row r="33" spans="3:6" x14ac:dyDescent="0.25">
      <c r="C33" s="139"/>
      <c r="E33" s="20"/>
      <c r="F33" s="20"/>
    </row>
    <row r="34" spans="3:6" x14ac:dyDescent="0.25">
      <c r="C34" s="139"/>
      <c r="E34" s="43"/>
      <c r="F34" s="43"/>
    </row>
    <row r="35" spans="3:6" x14ac:dyDescent="0.25">
      <c r="E35" s="43"/>
      <c r="F35" s="43"/>
    </row>
    <row r="36" spans="3:6" x14ac:dyDescent="0.25">
      <c r="E36" s="43"/>
      <c r="F36" s="43"/>
    </row>
    <row r="37" spans="3:6" x14ac:dyDescent="0.25">
      <c r="C37" s="139"/>
      <c r="E37" s="43"/>
      <c r="F37" s="43"/>
    </row>
    <row r="38" spans="3:6" x14ac:dyDescent="0.25">
      <c r="C38" s="139"/>
      <c r="E38" s="43"/>
      <c r="F38" s="43"/>
    </row>
    <row r="39" spans="3:6" x14ac:dyDescent="0.25">
      <c r="C39" s="139"/>
      <c r="E39" s="3"/>
      <c r="F39" s="3"/>
    </row>
    <row r="40" spans="3:6" x14ac:dyDescent="0.25">
      <c r="C40" s="139"/>
      <c r="E40" s="3"/>
      <c r="F40" s="3"/>
    </row>
    <row r="41" spans="3:6" x14ac:dyDescent="0.25">
      <c r="C41" s="136"/>
      <c r="D41" s="128"/>
    </row>
    <row r="42" spans="3:6" x14ac:dyDescent="0.25">
      <c r="C42" s="137"/>
      <c r="D42" s="128"/>
    </row>
    <row r="43" spans="3:6" x14ac:dyDescent="0.25">
      <c r="C43" s="139"/>
    </row>
    <row r="44" spans="3:6" x14ac:dyDescent="0.25">
      <c r="C44" s="178"/>
      <c r="D44" s="5"/>
    </row>
    <row r="45" spans="3:6" x14ac:dyDescent="0.25">
      <c r="D45" s="5"/>
    </row>
    <row r="46" spans="3:6" x14ac:dyDescent="0.25">
      <c r="C46" s="139"/>
      <c r="D46" s="130"/>
    </row>
  </sheetData>
  <mergeCells count="4">
    <mergeCell ref="C1:F1"/>
    <mergeCell ref="C2:F2"/>
    <mergeCell ref="E3:F3"/>
    <mergeCell ref="A5:F5"/>
  </mergeCells>
  <phoneticPr fontId="5" type="noConversion"/>
  <pageMargins left="0.51181102362204722" right="0" top="0.74803149606299213" bottom="0.74803149606299213" header="0.31496062992125984" footer="0.31496062992125984"/>
  <pageSetup paperSize="9" orientation="portrait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Normal="100" workbookViewId="0">
      <selection activeCell="O23" sqref="O23"/>
    </sheetView>
  </sheetViews>
  <sheetFormatPr defaultColWidth="9.109375" defaultRowHeight="13.2" x14ac:dyDescent="0.25"/>
  <cols>
    <col min="1" max="1" width="5.44140625" style="2" customWidth="1"/>
    <col min="2" max="2" width="7.109375" style="2" customWidth="1"/>
    <col min="3" max="3" width="48.6640625" style="2" customWidth="1"/>
    <col min="4" max="4" width="10.109375" style="58" customWidth="1"/>
    <col min="5" max="5" width="10.109375" style="2" customWidth="1"/>
    <col min="6" max="6" width="10.88671875" style="2" customWidth="1"/>
    <col min="7" max="16384" width="9.109375" style="2"/>
  </cols>
  <sheetData>
    <row r="1" spans="1:12" ht="15.6" x14ac:dyDescent="0.3">
      <c r="C1" s="246" t="s">
        <v>450</v>
      </c>
      <c r="D1" s="246"/>
      <c r="E1" s="246"/>
      <c r="F1" s="246"/>
    </row>
    <row r="2" spans="1:12" ht="15.6" x14ac:dyDescent="0.3">
      <c r="C2" s="246" t="s">
        <v>594</v>
      </c>
      <c r="D2" s="246"/>
      <c r="E2" s="246"/>
      <c r="F2" s="246"/>
    </row>
    <row r="3" spans="1:12" ht="15.6" x14ac:dyDescent="0.3">
      <c r="B3" s="7"/>
      <c r="C3" s="55"/>
      <c r="D3" s="55"/>
      <c r="E3" s="271" t="s">
        <v>453</v>
      </c>
      <c r="F3" s="271"/>
    </row>
    <row r="4" spans="1:12" ht="15.6" x14ac:dyDescent="0.3">
      <c r="B4" s="7"/>
      <c r="E4" s="55"/>
      <c r="F4" s="55"/>
    </row>
    <row r="5" spans="1:12" ht="26.4" customHeight="1" x14ac:dyDescent="0.25">
      <c r="A5" s="272" t="s">
        <v>791</v>
      </c>
      <c r="B5" s="272"/>
      <c r="C5" s="272"/>
      <c r="D5" s="272"/>
      <c r="E5" s="272"/>
      <c r="F5" s="272"/>
    </row>
    <row r="6" spans="1:12" x14ac:dyDescent="0.25">
      <c r="A6" s="31"/>
      <c r="B6" s="31"/>
      <c r="C6" s="31"/>
      <c r="D6" s="31"/>
      <c r="E6" s="31"/>
      <c r="F6" s="31"/>
    </row>
    <row r="7" spans="1:12" x14ac:dyDescent="0.25">
      <c r="B7" s="7"/>
      <c r="E7" s="59"/>
      <c r="F7" s="54" t="s">
        <v>129</v>
      </c>
    </row>
    <row r="8" spans="1:12" ht="39.6" x14ac:dyDescent="0.25">
      <c r="A8" s="8" t="s">
        <v>118</v>
      </c>
      <c r="B8" s="9" t="s">
        <v>367</v>
      </c>
      <c r="C8" s="8" t="s">
        <v>16</v>
      </c>
      <c r="D8" s="9" t="s">
        <v>55</v>
      </c>
      <c r="E8" s="8" t="s">
        <v>17</v>
      </c>
      <c r="F8" s="8" t="s">
        <v>29</v>
      </c>
    </row>
    <row r="9" spans="1:12" x14ac:dyDescent="0.25">
      <c r="A9" s="10">
        <v>1</v>
      </c>
      <c r="B9" s="11" t="s">
        <v>18</v>
      </c>
      <c r="C9" s="8">
        <v>3</v>
      </c>
      <c r="D9" s="9">
        <v>4</v>
      </c>
      <c r="E9" s="8">
        <v>5</v>
      </c>
      <c r="F9" s="8">
        <v>6</v>
      </c>
    </row>
    <row r="10" spans="1:12" x14ac:dyDescent="0.25">
      <c r="A10" s="60">
        <v>1</v>
      </c>
      <c r="B10" s="11" t="s">
        <v>56</v>
      </c>
      <c r="C10" s="13" t="s">
        <v>57</v>
      </c>
      <c r="D10" s="9"/>
      <c r="E10" s="61">
        <f>+E11</f>
        <v>1218</v>
      </c>
      <c r="F10" s="61">
        <f>+F11</f>
        <v>0</v>
      </c>
    </row>
    <row r="11" spans="1:12" x14ac:dyDescent="0.25">
      <c r="A11" s="60">
        <v>2</v>
      </c>
      <c r="B11" s="1"/>
      <c r="C11" s="62" t="s">
        <v>183</v>
      </c>
      <c r="D11" s="1"/>
      <c r="E11" s="63">
        <f>+E12+E13</f>
        <v>1218</v>
      </c>
      <c r="F11" s="63">
        <f>+F12+F13</f>
        <v>0</v>
      </c>
      <c r="K11" s="4"/>
      <c r="L11" s="64"/>
    </row>
    <row r="12" spans="1:12" x14ac:dyDescent="0.25">
      <c r="A12" s="12" t="s">
        <v>780</v>
      </c>
      <c r="B12" s="1"/>
      <c r="C12" s="65" t="s">
        <v>860</v>
      </c>
      <c r="D12" s="14" t="s">
        <v>157</v>
      </c>
      <c r="E12" s="63">
        <v>260</v>
      </c>
      <c r="F12" s="63"/>
      <c r="K12" s="4"/>
      <c r="L12" s="64"/>
    </row>
    <row r="13" spans="1:12" ht="28.5" customHeight="1" x14ac:dyDescent="0.25">
      <c r="A13" s="12" t="s">
        <v>781</v>
      </c>
      <c r="B13" s="1"/>
      <c r="C13" s="65" t="s">
        <v>790</v>
      </c>
      <c r="D13" s="1" t="s">
        <v>156</v>
      </c>
      <c r="E13" s="63">
        <v>958</v>
      </c>
      <c r="F13" s="63"/>
      <c r="K13" s="4"/>
      <c r="L13" s="64"/>
    </row>
    <row r="14" spans="1:12" x14ac:dyDescent="0.25">
      <c r="A14" s="60">
        <v>3</v>
      </c>
      <c r="B14" s="11" t="s">
        <v>76</v>
      </c>
      <c r="C14" s="17" t="s">
        <v>197</v>
      </c>
      <c r="D14" s="1"/>
      <c r="E14" s="41">
        <f>+E15</f>
        <v>50</v>
      </c>
      <c r="F14" s="41">
        <f>+F15</f>
        <v>0</v>
      </c>
      <c r="K14" s="4"/>
      <c r="L14" s="64"/>
    </row>
    <row r="15" spans="1:12" x14ac:dyDescent="0.25">
      <c r="A15" s="60">
        <v>4</v>
      </c>
      <c r="B15" s="11"/>
      <c r="C15" s="66" t="s">
        <v>183</v>
      </c>
      <c r="D15" s="1"/>
      <c r="E15" s="34">
        <f>+E16</f>
        <v>50</v>
      </c>
      <c r="F15" s="34">
        <f>+F16</f>
        <v>0</v>
      </c>
      <c r="K15" s="4"/>
      <c r="L15" s="64"/>
    </row>
    <row r="16" spans="1:12" x14ac:dyDescent="0.25">
      <c r="A16" s="12" t="s">
        <v>785</v>
      </c>
      <c r="B16" s="1"/>
      <c r="C16" s="65" t="s">
        <v>860</v>
      </c>
      <c r="D16" s="14" t="s">
        <v>157</v>
      </c>
      <c r="E16" s="67">
        <v>50</v>
      </c>
      <c r="F16" s="26"/>
      <c r="K16" s="4"/>
      <c r="L16" s="64"/>
    </row>
    <row r="17" spans="1:12" x14ac:dyDescent="0.25">
      <c r="A17" s="60">
        <v>5</v>
      </c>
      <c r="B17" s="11" t="s">
        <v>78</v>
      </c>
      <c r="C17" s="17" t="s">
        <v>79</v>
      </c>
      <c r="D17" s="1"/>
      <c r="E17" s="41">
        <f>+E18</f>
        <v>170</v>
      </c>
      <c r="F17" s="41">
        <f>+F18</f>
        <v>0</v>
      </c>
      <c r="K17" s="4"/>
      <c r="L17" s="64"/>
    </row>
    <row r="18" spans="1:12" x14ac:dyDescent="0.25">
      <c r="A18" s="60">
        <v>6</v>
      </c>
      <c r="B18" s="11"/>
      <c r="C18" s="66" t="s">
        <v>183</v>
      </c>
      <c r="D18" s="1"/>
      <c r="E18" s="34">
        <f>+E19</f>
        <v>170</v>
      </c>
      <c r="F18" s="34">
        <f>+F19</f>
        <v>0</v>
      </c>
      <c r="K18" s="4"/>
      <c r="L18" s="64"/>
    </row>
    <row r="19" spans="1:12" x14ac:dyDescent="0.25">
      <c r="A19" s="12" t="s">
        <v>437</v>
      </c>
      <c r="B19" s="1"/>
      <c r="C19" s="65" t="s">
        <v>860</v>
      </c>
      <c r="D19" s="14" t="s">
        <v>157</v>
      </c>
      <c r="E19" s="67">
        <v>170</v>
      </c>
      <c r="F19" s="26"/>
      <c r="K19" s="4"/>
      <c r="L19" s="64"/>
    </row>
    <row r="20" spans="1:12" x14ac:dyDescent="0.25">
      <c r="A20" s="60">
        <v>7</v>
      </c>
      <c r="B20" s="11" t="s">
        <v>84</v>
      </c>
      <c r="C20" s="68" t="s">
        <v>85</v>
      </c>
      <c r="D20" s="1"/>
      <c r="E20" s="41">
        <f>+E21</f>
        <v>360</v>
      </c>
      <c r="F20" s="41">
        <f>+F21</f>
        <v>0</v>
      </c>
      <c r="K20" s="4"/>
      <c r="L20" s="64"/>
    </row>
    <row r="21" spans="1:12" x14ac:dyDescent="0.25">
      <c r="A21" s="60">
        <v>8</v>
      </c>
      <c r="B21" s="1"/>
      <c r="C21" s="66" t="s">
        <v>183</v>
      </c>
      <c r="D21" s="1"/>
      <c r="E21" s="34">
        <f>+E22</f>
        <v>360</v>
      </c>
      <c r="F21" s="34">
        <f>+F22</f>
        <v>0</v>
      </c>
      <c r="K21" s="4"/>
      <c r="L21" s="64"/>
    </row>
    <row r="22" spans="1:12" x14ac:dyDescent="0.25">
      <c r="A22" s="12" t="s">
        <v>786</v>
      </c>
      <c r="B22" s="11"/>
      <c r="C22" s="65" t="s">
        <v>860</v>
      </c>
      <c r="D22" s="14" t="s">
        <v>157</v>
      </c>
      <c r="E22" s="34">
        <v>360</v>
      </c>
      <c r="F22" s="34"/>
      <c r="K22" s="4"/>
      <c r="L22" s="64"/>
    </row>
    <row r="23" spans="1:12" x14ac:dyDescent="0.25">
      <c r="A23" s="60">
        <v>9</v>
      </c>
      <c r="B23" s="11" t="s">
        <v>89</v>
      </c>
      <c r="C23" s="17" t="s">
        <v>90</v>
      </c>
      <c r="D23" s="9"/>
      <c r="E23" s="41">
        <f>+E24</f>
        <v>206</v>
      </c>
      <c r="F23" s="41">
        <f>+F24</f>
        <v>0</v>
      </c>
      <c r="K23" s="4"/>
      <c r="L23" s="64"/>
    </row>
    <row r="24" spans="1:12" x14ac:dyDescent="0.25">
      <c r="A24" s="60">
        <v>10</v>
      </c>
      <c r="B24" s="1"/>
      <c r="C24" s="16" t="s">
        <v>168</v>
      </c>
      <c r="D24" s="14"/>
      <c r="E24" s="34">
        <f>+E25</f>
        <v>206</v>
      </c>
      <c r="F24" s="34">
        <f>+F25</f>
        <v>0</v>
      </c>
      <c r="K24" s="4"/>
      <c r="L24" s="64"/>
    </row>
    <row r="25" spans="1:12" x14ac:dyDescent="0.25">
      <c r="A25" s="12" t="s">
        <v>787</v>
      </c>
      <c r="B25" s="1"/>
      <c r="C25" s="65" t="s">
        <v>860</v>
      </c>
      <c r="D25" s="14" t="s">
        <v>157</v>
      </c>
      <c r="E25" s="19">
        <v>206</v>
      </c>
      <c r="F25" s="26"/>
      <c r="K25" s="4"/>
      <c r="L25" s="64"/>
    </row>
    <row r="26" spans="1:12" x14ac:dyDescent="0.25">
      <c r="A26" s="60">
        <v>11</v>
      </c>
      <c r="B26" s="1"/>
      <c r="C26" s="69" t="s">
        <v>20</v>
      </c>
      <c r="D26" s="1"/>
      <c r="E26" s="25">
        <f>+E10+E14+E17+E20+E23</f>
        <v>2004</v>
      </c>
      <c r="F26" s="25">
        <f>+F10+F14+F17+F20+F23</f>
        <v>0</v>
      </c>
      <c r="G26" s="4"/>
      <c r="H26" s="4"/>
    </row>
    <row r="27" spans="1:12" x14ac:dyDescent="0.25">
      <c r="C27" s="2" t="s">
        <v>108</v>
      </c>
      <c r="E27" s="4"/>
      <c r="F27" s="4"/>
    </row>
    <row r="28" spans="1:12" x14ac:dyDescent="0.25">
      <c r="D28" s="2"/>
      <c r="E28" s="4"/>
      <c r="F28" s="4"/>
    </row>
    <row r="29" spans="1:12" x14ac:dyDescent="0.25">
      <c r="D29" s="2"/>
      <c r="E29" s="70"/>
      <c r="F29" s="70"/>
    </row>
    <row r="30" spans="1:12" x14ac:dyDescent="0.25">
      <c r="E30" s="70"/>
      <c r="F30" s="70"/>
    </row>
    <row r="31" spans="1:12" x14ac:dyDescent="0.25">
      <c r="E31" s="4"/>
      <c r="F31" s="4"/>
    </row>
    <row r="32" spans="1:12" x14ac:dyDescent="0.25">
      <c r="E32" s="70"/>
    </row>
    <row r="33" spans="3:6" x14ac:dyDescent="0.25">
      <c r="E33" s="4"/>
      <c r="F33" s="4"/>
    </row>
    <row r="34" spans="3:6" x14ac:dyDescent="0.25">
      <c r="C34" s="59"/>
      <c r="D34" s="59"/>
      <c r="E34" s="4"/>
      <c r="F34" s="4"/>
    </row>
    <row r="35" spans="3:6" x14ac:dyDescent="0.25">
      <c r="C35" s="59"/>
      <c r="D35" s="59"/>
      <c r="E35" s="4"/>
      <c r="F35" s="4"/>
    </row>
    <row r="36" spans="3:6" x14ac:dyDescent="0.25">
      <c r="E36" s="4"/>
      <c r="F36" s="4"/>
    </row>
    <row r="37" spans="3:6" x14ac:dyDescent="0.25">
      <c r="E37" s="4"/>
      <c r="F37" s="4"/>
    </row>
    <row r="39" spans="3:6" x14ac:dyDescent="0.25">
      <c r="E39" s="4"/>
      <c r="F39" s="4"/>
    </row>
    <row r="41" spans="3:6" x14ac:dyDescent="0.25">
      <c r="E41" s="4"/>
      <c r="F41" s="4"/>
    </row>
  </sheetData>
  <mergeCells count="4">
    <mergeCell ref="C1:F1"/>
    <mergeCell ref="C2:F2"/>
    <mergeCell ref="E3:F3"/>
    <mergeCell ref="A5:F5"/>
  </mergeCells>
  <phoneticPr fontId="5" type="noConversion"/>
  <pageMargins left="0.70866141732283472" right="0" top="0.74803149606299213" bottom="0.74803149606299213" header="0.31496062992125984" footer="0.31496062992125984"/>
  <pageSetup paperSize="9" orientation="portrait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3"/>
  <sheetViews>
    <sheetView topLeftCell="A4" zoomScale="90" zoomScaleNormal="90" workbookViewId="0">
      <selection activeCell="H28" sqref="H28"/>
    </sheetView>
  </sheetViews>
  <sheetFormatPr defaultColWidth="9.109375" defaultRowHeight="15.6" x14ac:dyDescent="0.3"/>
  <cols>
    <col min="1" max="1" width="5.88671875" style="203" customWidth="1"/>
    <col min="2" max="2" width="10.109375" style="211" customWidth="1"/>
    <col min="3" max="3" width="65.109375" style="211" customWidth="1"/>
    <col min="4" max="4" width="13.5546875" style="212" customWidth="1"/>
    <col min="5" max="5" width="9.109375" style="203"/>
    <col min="6" max="6" width="11.88671875" style="203" bestFit="1" customWidth="1"/>
    <col min="7" max="16384" width="9.109375" style="203"/>
  </cols>
  <sheetData>
    <row r="1" spans="1:5" x14ac:dyDescent="0.3">
      <c r="A1" s="202"/>
      <c r="B1" s="202"/>
      <c r="C1" s="278" t="s">
        <v>149</v>
      </c>
      <c r="D1" s="278"/>
      <c r="E1" s="202"/>
    </row>
    <row r="2" spans="1:5" x14ac:dyDescent="0.3">
      <c r="A2" s="202"/>
      <c r="B2" s="202"/>
      <c r="C2" s="279" t="s">
        <v>595</v>
      </c>
      <c r="D2" s="279"/>
      <c r="E2" s="202"/>
    </row>
    <row r="3" spans="1:5" x14ac:dyDescent="0.3">
      <c r="A3" s="202"/>
      <c r="B3" s="202"/>
      <c r="C3" s="280" t="s">
        <v>454</v>
      </c>
      <c r="D3" s="280"/>
      <c r="E3" s="202"/>
    </row>
    <row r="4" spans="1:5" x14ac:dyDescent="0.3">
      <c r="A4" s="202"/>
      <c r="B4" s="202"/>
      <c r="C4" s="204"/>
      <c r="D4" s="204"/>
      <c r="E4" s="202"/>
    </row>
    <row r="5" spans="1:5" s="205" customFormat="1" ht="12" customHeight="1" x14ac:dyDescent="0.25">
      <c r="A5" s="281" t="s">
        <v>455</v>
      </c>
      <c r="B5" s="281"/>
      <c r="C5" s="281"/>
      <c r="D5" s="281"/>
    </row>
    <row r="6" spans="1:5" s="205" customFormat="1" ht="12.75" customHeight="1" x14ac:dyDescent="0.25">
      <c r="A6" s="282" t="s">
        <v>596</v>
      </c>
      <c r="B6" s="282"/>
      <c r="C6" s="282"/>
      <c r="D6" s="282"/>
    </row>
    <row r="7" spans="1:5" ht="11.25" customHeight="1" x14ac:dyDescent="0.3">
      <c r="A7" s="206"/>
      <c r="B7" s="202"/>
      <c r="C7" s="202"/>
      <c r="D7" s="202"/>
      <c r="E7" s="206"/>
    </row>
    <row r="8" spans="1:5" s="201" customFormat="1" ht="13.2" x14ac:dyDescent="0.25">
      <c r="A8" s="205"/>
      <c r="B8" s="207" t="s">
        <v>456</v>
      </c>
      <c r="C8" s="208"/>
      <c r="D8" s="209"/>
    </row>
    <row r="9" spans="1:5" s="205" customFormat="1" ht="12.6" customHeight="1" x14ac:dyDescent="0.25">
      <c r="B9" s="207" t="s">
        <v>457</v>
      </c>
      <c r="C9" s="208"/>
      <c r="D9" s="209"/>
    </row>
    <row r="10" spans="1:5" s="205" customFormat="1" ht="16.5" customHeight="1" x14ac:dyDescent="0.3">
      <c r="A10" s="203"/>
      <c r="B10" s="210"/>
      <c r="C10" s="211"/>
      <c r="D10" s="212"/>
    </row>
    <row r="11" spans="1:5" s="205" customFormat="1" ht="26.4" x14ac:dyDescent="0.25">
      <c r="A11" s="201"/>
      <c r="B11" s="213" t="s">
        <v>0</v>
      </c>
      <c r="C11" s="213" t="s">
        <v>458</v>
      </c>
      <c r="D11" s="214" t="s">
        <v>459</v>
      </c>
    </row>
    <row r="12" spans="1:5" s="205" customFormat="1" ht="12.6" customHeight="1" x14ac:dyDescent="0.25">
      <c r="B12" s="215" t="s">
        <v>460</v>
      </c>
      <c r="C12" s="215" t="s">
        <v>461</v>
      </c>
      <c r="D12" s="216">
        <v>250</v>
      </c>
    </row>
    <row r="13" spans="1:5" s="201" customFormat="1" ht="12.6" customHeight="1" x14ac:dyDescent="0.25">
      <c r="A13" s="205"/>
      <c r="B13" s="215" t="s">
        <v>462</v>
      </c>
      <c r="C13" s="215" t="s">
        <v>186</v>
      </c>
      <c r="D13" s="216">
        <v>50</v>
      </c>
    </row>
    <row r="14" spans="1:5" s="205" customFormat="1" ht="12.6" hidden="1" customHeight="1" x14ac:dyDescent="0.25">
      <c r="B14" s="215" t="s">
        <v>463</v>
      </c>
      <c r="C14" s="215" t="s">
        <v>464</v>
      </c>
      <c r="D14" s="216">
        <v>0</v>
      </c>
    </row>
    <row r="15" spans="1:5" s="205" customFormat="1" ht="12.6" hidden="1" customHeight="1" x14ac:dyDescent="0.25">
      <c r="B15" s="215" t="s">
        <v>465</v>
      </c>
      <c r="C15" s="215" t="s">
        <v>466</v>
      </c>
      <c r="D15" s="216">
        <v>0</v>
      </c>
    </row>
    <row r="16" spans="1:5" s="201" customFormat="1" ht="12.6" customHeight="1" x14ac:dyDescent="0.25">
      <c r="B16" s="213" t="s">
        <v>463</v>
      </c>
      <c r="C16" s="213" t="s">
        <v>829</v>
      </c>
      <c r="D16" s="217">
        <f>+D12+D13</f>
        <v>300</v>
      </c>
    </row>
    <row r="17" spans="1:6" s="201" customFormat="1" ht="12.6" customHeight="1" x14ac:dyDescent="0.25">
      <c r="A17" s="205"/>
      <c r="B17" s="215" t="s">
        <v>465</v>
      </c>
      <c r="C17" s="215" t="s">
        <v>469</v>
      </c>
      <c r="D17" s="216">
        <v>50</v>
      </c>
      <c r="F17" s="218"/>
    </row>
    <row r="18" spans="1:6" s="205" customFormat="1" ht="13.2" x14ac:dyDescent="0.25">
      <c r="B18" s="215" t="s">
        <v>467</v>
      </c>
      <c r="C18" s="215" t="s">
        <v>471</v>
      </c>
      <c r="D18" s="216">
        <v>32.700000000000003</v>
      </c>
      <c r="F18" s="219"/>
    </row>
    <row r="19" spans="1:6" s="201" customFormat="1" ht="13.2" x14ac:dyDescent="0.25">
      <c r="B19" s="213" t="s">
        <v>468</v>
      </c>
      <c r="C19" s="213" t="s">
        <v>830</v>
      </c>
      <c r="D19" s="217">
        <f>+D17+D18</f>
        <v>82.7</v>
      </c>
      <c r="E19" s="220"/>
      <c r="F19" s="218"/>
    </row>
    <row r="20" spans="1:6" s="205" customFormat="1" ht="13.2" x14ac:dyDescent="0.25">
      <c r="A20" s="201"/>
      <c r="B20" s="213" t="s">
        <v>470</v>
      </c>
      <c r="C20" s="213" t="s">
        <v>831</v>
      </c>
      <c r="D20" s="217">
        <f>+D16+D19</f>
        <v>382.7</v>
      </c>
      <c r="E20" s="219"/>
      <c r="F20" s="219"/>
    </row>
    <row r="21" spans="1:6" s="205" customFormat="1" ht="16.95" customHeight="1" x14ac:dyDescent="0.25">
      <c r="B21" s="221"/>
      <c r="C21" s="222"/>
      <c r="D21" s="223"/>
      <c r="E21" s="219"/>
      <c r="F21" s="219"/>
    </row>
    <row r="22" spans="1:6" s="201" customFormat="1" ht="26.4" x14ac:dyDescent="0.25">
      <c r="B22" s="213" t="s">
        <v>0</v>
      </c>
      <c r="C22" s="213" t="s">
        <v>473</v>
      </c>
      <c r="D22" s="214" t="s">
        <v>474</v>
      </c>
    </row>
    <row r="23" spans="1:6" s="205" customFormat="1" ht="44.25" customHeight="1" x14ac:dyDescent="0.25">
      <c r="B23" s="215" t="s">
        <v>472</v>
      </c>
      <c r="C23" s="215" t="s">
        <v>476</v>
      </c>
      <c r="D23" s="216">
        <v>60</v>
      </c>
    </row>
    <row r="24" spans="1:6" s="201" customFormat="1" ht="13.2" x14ac:dyDescent="0.25">
      <c r="A24" s="205"/>
      <c r="B24" s="215" t="s">
        <v>902</v>
      </c>
      <c r="C24" s="215" t="s">
        <v>471</v>
      </c>
      <c r="D24" s="216">
        <v>72.400000000000006</v>
      </c>
    </row>
    <row r="25" spans="1:6" s="205" customFormat="1" ht="13.2" x14ac:dyDescent="0.25">
      <c r="A25" s="201"/>
      <c r="B25" s="213" t="s">
        <v>475</v>
      </c>
      <c r="C25" s="213" t="s">
        <v>903</v>
      </c>
      <c r="D25" s="217">
        <f>+D23+D24</f>
        <v>132.4</v>
      </c>
    </row>
    <row r="26" spans="1:6" s="205" customFormat="1" ht="16.2" customHeight="1" x14ac:dyDescent="0.25">
      <c r="B26" s="221"/>
      <c r="C26" s="222"/>
      <c r="D26" s="223"/>
    </row>
    <row r="27" spans="1:6" s="201" customFormat="1" ht="26.4" x14ac:dyDescent="0.25">
      <c r="B27" s="213" t="s">
        <v>0</v>
      </c>
      <c r="C27" s="213" t="s">
        <v>478</v>
      </c>
      <c r="D27" s="214" t="s">
        <v>474</v>
      </c>
    </row>
    <row r="28" spans="1:6" s="205" customFormat="1" ht="45" customHeight="1" x14ac:dyDescent="0.25">
      <c r="B28" s="215" t="s">
        <v>477</v>
      </c>
      <c r="C28" s="215" t="s">
        <v>479</v>
      </c>
      <c r="D28" s="216">
        <v>240</v>
      </c>
    </row>
    <row r="29" spans="1:6" s="201" customFormat="1" ht="13.2" x14ac:dyDescent="0.25">
      <c r="A29" s="205"/>
      <c r="B29" s="215" t="s">
        <v>805</v>
      </c>
      <c r="C29" s="215" t="s">
        <v>471</v>
      </c>
      <c r="D29" s="216">
        <v>226.1</v>
      </c>
    </row>
    <row r="30" spans="1:6" s="205" customFormat="1" ht="13.2" x14ac:dyDescent="0.25">
      <c r="A30" s="201"/>
      <c r="B30" s="213" t="s">
        <v>904</v>
      </c>
      <c r="C30" s="213" t="s">
        <v>905</v>
      </c>
      <c r="D30" s="217">
        <f>+D28+D29</f>
        <v>466.1</v>
      </c>
    </row>
    <row r="31" spans="1:6" s="205" customFormat="1" ht="16.2" customHeight="1" x14ac:dyDescent="0.25">
      <c r="B31" s="224"/>
      <c r="C31" s="225"/>
      <c r="D31" s="226"/>
    </row>
    <row r="32" spans="1:6" s="205" customFormat="1" ht="26.1" customHeight="1" x14ac:dyDescent="0.25">
      <c r="A32" s="201"/>
      <c r="B32" s="213" t="s">
        <v>0</v>
      </c>
      <c r="C32" s="213" t="s">
        <v>480</v>
      </c>
      <c r="D32" s="214" t="s">
        <v>474</v>
      </c>
    </row>
    <row r="33" spans="1:4" s="205" customFormat="1" ht="39.6" x14ac:dyDescent="0.25">
      <c r="B33" s="215" t="s">
        <v>481</v>
      </c>
      <c r="C33" s="215" t="s">
        <v>482</v>
      </c>
      <c r="D33" s="216">
        <f>+D34+D35</f>
        <v>82.2</v>
      </c>
    </row>
    <row r="34" spans="1:4" s="205" customFormat="1" ht="39.6" x14ac:dyDescent="0.25">
      <c r="B34" s="215" t="s">
        <v>483</v>
      </c>
      <c r="C34" s="215" t="s">
        <v>484</v>
      </c>
      <c r="D34" s="216">
        <v>81.7</v>
      </c>
    </row>
    <row r="35" spans="1:4" s="205" customFormat="1" ht="26.4" x14ac:dyDescent="0.25">
      <c r="B35" s="215" t="s">
        <v>485</v>
      </c>
      <c r="C35" s="215" t="s">
        <v>486</v>
      </c>
      <c r="D35" s="216">
        <v>0.5</v>
      </c>
    </row>
    <row r="36" spans="1:4" s="205" customFormat="1" ht="39.6" x14ac:dyDescent="0.25">
      <c r="B36" s="215" t="s">
        <v>487</v>
      </c>
      <c r="C36" s="215" t="s">
        <v>488</v>
      </c>
      <c r="D36" s="216">
        <v>0.5</v>
      </c>
    </row>
    <row r="37" spans="1:4" s="205" customFormat="1" ht="13.2" x14ac:dyDescent="0.25">
      <c r="A37" s="201"/>
      <c r="B37" s="213"/>
      <c r="C37" s="213" t="s">
        <v>832</v>
      </c>
      <c r="D37" s="227">
        <f>+D33+D36</f>
        <v>82.7</v>
      </c>
    </row>
    <row r="38" spans="1:4" s="205" customFormat="1" ht="16.5" customHeight="1" x14ac:dyDescent="0.25">
      <c r="A38" s="201"/>
      <c r="B38" s="228"/>
      <c r="C38" s="228"/>
      <c r="D38" s="229"/>
    </row>
    <row r="39" spans="1:4" s="205" customFormat="1" ht="16.2" customHeight="1" x14ac:dyDescent="0.25">
      <c r="B39" s="277" t="s">
        <v>489</v>
      </c>
      <c r="C39" s="277"/>
      <c r="D39" s="277"/>
    </row>
    <row r="40" spans="1:4" s="205" customFormat="1" ht="25.5" customHeight="1" x14ac:dyDescent="0.25">
      <c r="B40" s="275" t="s">
        <v>490</v>
      </c>
      <c r="C40" s="275"/>
      <c r="D40" s="214" t="s">
        <v>491</v>
      </c>
    </row>
    <row r="41" spans="1:4" s="205" customFormat="1" ht="12.6" customHeight="1" x14ac:dyDescent="0.25">
      <c r="B41" s="276" t="s">
        <v>492</v>
      </c>
      <c r="C41" s="276"/>
      <c r="D41" s="216">
        <v>132.4</v>
      </c>
    </row>
    <row r="42" spans="1:4" s="205" customFormat="1" ht="12.6" customHeight="1" x14ac:dyDescent="0.25">
      <c r="B42" s="222"/>
      <c r="C42" s="222"/>
      <c r="D42" s="230"/>
    </row>
    <row r="43" spans="1:4" s="205" customFormat="1" ht="12.6" customHeight="1" x14ac:dyDescent="0.25">
      <c r="B43" s="222"/>
      <c r="C43" s="222"/>
      <c r="D43" s="230"/>
    </row>
    <row r="44" spans="1:4" s="205" customFormat="1" ht="12.6" customHeight="1" x14ac:dyDescent="0.25">
      <c r="B44" s="222"/>
      <c r="C44" s="222"/>
      <c r="D44" s="230"/>
    </row>
    <row r="45" spans="1:4" s="205" customFormat="1" ht="12.6" customHeight="1" x14ac:dyDescent="0.25">
      <c r="B45" s="222"/>
      <c r="C45" s="222"/>
      <c r="D45" s="231"/>
    </row>
    <row r="46" spans="1:4" s="205" customFormat="1" ht="12.6" customHeight="1" x14ac:dyDescent="0.25">
      <c r="B46" s="277" t="s">
        <v>493</v>
      </c>
      <c r="C46" s="277"/>
      <c r="D46" s="277"/>
    </row>
    <row r="47" spans="1:4" s="205" customFormat="1" ht="12.6" customHeight="1" x14ac:dyDescent="0.25">
      <c r="B47" s="222"/>
      <c r="C47" s="222"/>
      <c r="D47" s="232"/>
    </row>
    <row r="48" spans="1:4" s="205" customFormat="1" ht="24" customHeight="1" x14ac:dyDescent="0.25">
      <c r="B48" s="213" t="s">
        <v>0</v>
      </c>
      <c r="C48" s="213" t="s">
        <v>480</v>
      </c>
      <c r="D48" s="214" t="s">
        <v>494</v>
      </c>
    </row>
    <row r="49" spans="1:6" s="205" customFormat="1" ht="12.6" customHeight="1" x14ac:dyDescent="0.25">
      <c r="B49" s="215" t="s">
        <v>495</v>
      </c>
      <c r="C49" s="215" t="s">
        <v>496</v>
      </c>
      <c r="D49" s="216">
        <f>+D59+D60+D61+D62+D63+D50</f>
        <v>78.599999999999994</v>
      </c>
    </row>
    <row r="50" spans="1:6" s="205" customFormat="1" ht="12.6" customHeight="1" x14ac:dyDescent="0.25">
      <c r="B50" s="215" t="s">
        <v>497</v>
      </c>
      <c r="C50" s="215" t="s">
        <v>498</v>
      </c>
      <c r="D50" s="216">
        <f>+D58+D57+D56+D55+D54+D53+D52+D51</f>
        <v>22</v>
      </c>
    </row>
    <row r="51" spans="1:6" s="205" customFormat="1" ht="12.6" customHeight="1" x14ac:dyDescent="0.25">
      <c r="B51" s="215" t="s">
        <v>499</v>
      </c>
      <c r="C51" s="215" t="s">
        <v>500</v>
      </c>
      <c r="D51" s="216">
        <v>6</v>
      </c>
    </row>
    <row r="52" spans="1:6" s="205" customFormat="1" ht="12.6" customHeight="1" x14ac:dyDescent="0.25">
      <c r="B52" s="215" t="s">
        <v>501</v>
      </c>
      <c r="C52" s="215" t="s">
        <v>502</v>
      </c>
      <c r="D52" s="216">
        <v>0.6</v>
      </c>
    </row>
    <row r="53" spans="1:6" s="205" customFormat="1" ht="12.6" customHeight="1" x14ac:dyDescent="0.25">
      <c r="B53" s="215" t="s">
        <v>503</v>
      </c>
      <c r="C53" s="215" t="s">
        <v>504</v>
      </c>
      <c r="D53" s="216">
        <v>0.9</v>
      </c>
    </row>
    <row r="54" spans="1:6" s="205" customFormat="1" ht="12.6" customHeight="1" x14ac:dyDescent="0.25">
      <c r="B54" s="215" t="s">
        <v>505</v>
      </c>
      <c r="C54" s="215" t="s">
        <v>506</v>
      </c>
      <c r="D54" s="216">
        <v>3</v>
      </c>
    </row>
    <row r="55" spans="1:6" s="205" customFormat="1" ht="12.6" customHeight="1" x14ac:dyDescent="0.25">
      <c r="B55" s="215" t="s">
        <v>507</v>
      </c>
      <c r="C55" s="215" t="s">
        <v>508</v>
      </c>
      <c r="D55" s="216">
        <v>9</v>
      </c>
    </row>
    <row r="56" spans="1:6" s="205" customFormat="1" ht="12.6" customHeight="1" x14ac:dyDescent="0.25">
      <c r="B56" s="215" t="s">
        <v>509</v>
      </c>
      <c r="C56" s="215" t="s">
        <v>510</v>
      </c>
      <c r="D56" s="216">
        <v>1</v>
      </c>
    </row>
    <row r="57" spans="1:6" s="205" customFormat="1" ht="12.6" customHeight="1" x14ac:dyDescent="0.25">
      <c r="B57" s="215" t="s">
        <v>511</v>
      </c>
      <c r="C57" s="215" t="s">
        <v>512</v>
      </c>
      <c r="D57" s="216">
        <v>1</v>
      </c>
    </row>
    <row r="58" spans="1:6" s="205" customFormat="1" ht="12.6" customHeight="1" x14ac:dyDescent="0.25">
      <c r="B58" s="215" t="s">
        <v>513</v>
      </c>
      <c r="C58" s="215" t="s">
        <v>514</v>
      </c>
      <c r="D58" s="216">
        <v>0.5</v>
      </c>
    </row>
    <row r="59" spans="1:6" s="205" customFormat="1" ht="12.6" customHeight="1" x14ac:dyDescent="0.25">
      <c r="B59" s="215" t="s">
        <v>515</v>
      </c>
      <c r="C59" s="215" t="s">
        <v>516</v>
      </c>
      <c r="D59" s="216">
        <v>3.1</v>
      </c>
    </row>
    <row r="60" spans="1:6" s="205" customFormat="1" ht="12.6" customHeight="1" x14ac:dyDescent="0.25">
      <c r="A60" s="233"/>
      <c r="B60" s="215" t="s">
        <v>517</v>
      </c>
      <c r="C60" s="215" t="s">
        <v>518</v>
      </c>
      <c r="D60" s="216">
        <v>3.5</v>
      </c>
    </row>
    <row r="61" spans="1:6" s="205" customFormat="1" ht="12.6" customHeight="1" x14ac:dyDescent="0.25">
      <c r="B61" s="215" t="s">
        <v>519</v>
      </c>
      <c r="C61" s="215" t="s">
        <v>520</v>
      </c>
      <c r="D61" s="216">
        <v>17</v>
      </c>
    </row>
    <row r="62" spans="1:6" s="205" customFormat="1" ht="12.6" customHeight="1" x14ac:dyDescent="0.25">
      <c r="A62" s="233"/>
      <c r="B62" s="215" t="s">
        <v>521</v>
      </c>
      <c r="C62" s="234" t="s">
        <v>523</v>
      </c>
      <c r="D62" s="216">
        <v>5</v>
      </c>
    </row>
    <row r="63" spans="1:6" s="205" customFormat="1" ht="12.6" customHeight="1" x14ac:dyDescent="0.25">
      <c r="A63" s="233"/>
      <c r="B63" s="215" t="s">
        <v>522</v>
      </c>
      <c r="C63" s="235" t="s">
        <v>650</v>
      </c>
      <c r="D63" s="216">
        <v>28</v>
      </c>
      <c r="E63" s="208"/>
      <c r="F63" s="208"/>
    </row>
    <row r="64" spans="1:6" s="205" customFormat="1" ht="26.4" x14ac:dyDescent="0.25">
      <c r="B64" s="215" t="s">
        <v>524</v>
      </c>
      <c r="C64" s="215" t="s">
        <v>525</v>
      </c>
      <c r="D64" s="216">
        <f>+D65+D66</f>
        <v>28</v>
      </c>
    </row>
    <row r="65" spans="1:6" s="205" customFormat="1" ht="26.4" x14ac:dyDescent="0.25">
      <c r="B65" s="215" t="s">
        <v>526</v>
      </c>
      <c r="C65" s="215" t="s">
        <v>527</v>
      </c>
      <c r="D65" s="216">
        <v>3</v>
      </c>
    </row>
    <row r="66" spans="1:6" s="205" customFormat="1" ht="26.4" x14ac:dyDescent="0.25">
      <c r="B66" s="215" t="s">
        <v>825</v>
      </c>
      <c r="C66" s="215" t="s">
        <v>826</v>
      </c>
      <c r="D66" s="216">
        <v>25</v>
      </c>
    </row>
    <row r="67" spans="1:6" s="205" customFormat="1" ht="12.6" customHeight="1" x14ac:dyDescent="0.25">
      <c r="B67" s="215" t="s">
        <v>528</v>
      </c>
      <c r="C67" s="215" t="s">
        <v>529</v>
      </c>
      <c r="D67" s="216">
        <f>+D68+D69+D70+D71+D72+D73+D74+D75+D76+D77</f>
        <v>232.7</v>
      </c>
    </row>
    <row r="68" spans="1:6" s="205" customFormat="1" ht="13.2" x14ac:dyDescent="0.25">
      <c r="B68" s="215" t="s">
        <v>530</v>
      </c>
      <c r="C68" s="215" t="s">
        <v>531</v>
      </c>
      <c r="D68" s="216">
        <v>3</v>
      </c>
    </row>
    <row r="69" spans="1:6" s="205" customFormat="1" ht="26.4" x14ac:dyDescent="0.25">
      <c r="B69" s="215" t="s">
        <v>532</v>
      </c>
      <c r="C69" s="215" t="s">
        <v>651</v>
      </c>
      <c r="D69" s="216">
        <v>14.5</v>
      </c>
    </row>
    <row r="70" spans="1:6" s="205" customFormat="1" ht="12.6" customHeight="1" x14ac:dyDescent="0.25">
      <c r="B70" s="215" t="s">
        <v>533</v>
      </c>
      <c r="C70" s="215" t="s">
        <v>534</v>
      </c>
      <c r="D70" s="216">
        <v>1</v>
      </c>
    </row>
    <row r="71" spans="1:6" s="205" customFormat="1" ht="12.6" customHeight="1" x14ac:dyDescent="0.25">
      <c r="B71" s="215" t="s">
        <v>535</v>
      </c>
      <c r="C71" s="215" t="s">
        <v>536</v>
      </c>
      <c r="D71" s="216">
        <v>12</v>
      </c>
    </row>
    <row r="72" spans="1:6" s="205" customFormat="1" ht="12.6" customHeight="1" x14ac:dyDescent="0.25">
      <c r="B72" s="215" t="s">
        <v>537</v>
      </c>
      <c r="C72" s="215" t="s">
        <v>538</v>
      </c>
      <c r="D72" s="216">
        <v>12</v>
      </c>
    </row>
    <row r="73" spans="1:6" s="205" customFormat="1" ht="12.6" customHeight="1" x14ac:dyDescent="0.25">
      <c r="B73" s="215" t="s">
        <v>539</v>
      </c>
      <c r="C73" s="215" t="s">
        <v>540</v>
      </c>
      <c r="D73" s="216">
        <v>1.2</v>
      </c>
    </row>
    <row r="74" spans="1:6" x14ac:dyDescent="0.3">
      <c r="A74" s="205" t="s">
        <v>387</v>
      </c>
      <c r="B74" s="215" t="s">
        <v>541</v>
      </c>
      <c r="C74" s="215" t="s">
        <v>542</v>
      </c>
      <c r="D74" s="216">
        <v>10</v>
      </c>
      <c r="E74" s="205"/>
      <c r="F74" s="205"/>
    </row>
    <row r="75" spans="1:6" ht="12.6" customHeight="1" x14ac:dyDescent="0.3">
      <c r="A75" s="205"/>
      <c r="B75" s="215" t="s">
        <v>543</v>
      </c>
      <c r="C75" s="215" t="s">
        <v>546</v>
      </c>
      <c r="D75" s="216">
        <v>33</v>
      </c>
      <c r="E75" s="202"/>
      <c r="F75" s="202"/>
    </row>
    <row r="76" spans="1:6" ht="12.6" customHeight="1" x14ac:dyDescent="0.3">
      <c r="A76" s="205"/>
      <c r="B76" s="215" t="s">
        <v>544</v>
      </c>
      <c r="C76" s="215" t="s">
        <v>652</v>
      </c>
      <c r="D76" s="216">
        <v>4</v>
      </c>
      <c r="E76" s="202"/>
      <c r="F76" s="202"/>
    </row>
    <row r="77" spans="1:6" x14ac:dyDescent="0.3">
      <c r="A77" s="205"/>
      <c r="B77" s="215" t="s">
        <v>545</v>
      </c>
      <c r="C77" s="215" t="s">
        <v>653</v>
      </c>
      <c r="D77" s="216">
        <v>142</v>
      </c>
      <c r="E77" s="202"/>
      <c r="F77" s="202"/>
    </row>
    <row r="78" spans="1:6" ht="12.6" customHeight="1" x14ac:dyDescent="0.3">
      <c r="A78" s="205"/>
      <c r="B78" s="215" t="s">
        <v>547</v>
      </c>
      <c r="C78" s="215" t="s">
        <v>548</v>
      </c>
      <c r="D78" s="236">
        <f>+D79+D80+D81</f>
        <v>15</v>
      </c>
      <c r="E78" s="202"/>
      <c r="F78" s="202"/>
    </row>
    <row r="79" spans="1:6" ht="12.6" customHeight="1" x14ac:dyDescent="0.3">
      <c r="A79" s="205"/>
      <c r="B79" s="215" t="s">
        <v>549</v>
      </c>
      <c r="C79" s="215" t="s">
        <v>550</v>
      </c>
      <c r="D79" s="216">
        <v>6</v>
      </c>
      <c r="E79" s="202"/>
      <c r="F79" s="202"/>
    </row>
    <row r="80" spans="1:6" s="206" customFormat="1" ht="12.6" customHeight="1" x14ac:dyDescent="0.3">
      <c r="A80" s="205"/>
      <c r="B80" s="215" t="s">
        <v>551</v>
      </c>
      <c r="C80" s="215" t="s">
        <v>552</v>
      </c>
      <c r="D80" s="216">
        <v>2</v>
      </c>
    </row>
    <row r="81" spans="1:5" x14ac:dyDescent="0.3">
      <c r="A81" s="205"/>
      <c r="B81" s="215" t="s">
        <v>553</v>
      </c>
      <c r="C81" s="215" t="s">
        <v>554</v>
      </c>
      <c r="D81" s="216">
        <v>7</v>
      </c>
    </row>
    <row r="82" spans="1:5" ht="12.6" customHeight="1" x14ac:dyDescent="0.3">
      <c r="A82" s="202"/>
      <c r="B82" s="215" t="s">
        <v>555</v>
      </c>
      <c r="C82" s="215" t="s">
        <v>556</v>
      </c>
      <c r="D82" s="216">
        <f>+D83+D95+D96+D97+D98+D99</f>
        <v>105.3</v>
      </c>
    </row>
    <row r="83" spans="1:5" ht="12.6" customHeight="1" x14ac:dyDescent="0.3">
      <c r="A83" s="202"/>
      <c r="B83" s="215" t="s">
        <v>557</v>
      </c>
      <c r="C83" s="215" t="s">
        <v>558</v>
      </c>
      <c r="D83" s="216">
        <f>D94+D93+D92+D91+D90+D89+D88+D87+D86+D85+D84</f>
        <v>64</v>
      </c>
    </row>
    <row r="84" spans="1:5" ht="12.6" customHeight="1" x14ac:dyDescent="0.3">
      <c r="A84" s="202"/>
      <c r="B84" s="215" t="s">
        <v>559</v>
      </c>
      <c r="C84" s="215" t="s">
        <v>500</v>
      </c>
      <c r="D84" s="216">
        <v>2</v>
      </c>
    </row>
    <row r="85" spans="1:5" ht="12.6" customHeight="1" x14ac:dyDescent="0.3">
      <c r="A85" s="202"/>
      <c r="B85" s="215" t="s">
        <v>560</v>
      </c>
      <c r="C85" s="215" t="s">
        <v>561</v>
      </c>
      <c r="D85" s="216">
        <v>2</v>
      </c>
    </row>
    <row r="86" spans="1:5" ht="12.6" customHeight="1" x14ac:dyDescent="0.3">
      <c r="A86" s="202"/>
      <c r="B86" s="215" t="s">
        <v>562</v>
      </c>
      <c r="C86" s="215" t="s">
        <v>563</v>
      </c>
      <c r="D86" s="216">
        <v>2</v>
      </c>
    </row>
    <row r="87" spans="1:5" ht="12.6" customHeight="1" x14ac:dyDescent="0.3">
      <c r="A87" s="202"/>
      <c r="B87" s="215" t="s">
        <v>564</v>
      </c>
      <c r="C87" s="215" t="s">
        <v>510</v>
      </c>
      <c r="D87" s="216">
        <v>44</v>
      </c>
    </row>
    <row r="88" spans="1:5" ht="12.6" customHeight="1" x14ac:dyDescent="0.3">
      <c r="A88" s="202"/>
      <c r="B88" s="215" t="s">
        <v>565</v>
      </c>
      <c r="C88" s="215" t="s">
        <v>502</v>
      </c>
      <c r="D88" s="216">
        <v>2</v>
      </c>
      <c r="E88" s="205"/>
    </row>
    <row r="89" spans="1:5" ht="12.6" customHeight="1" x14ac:dyDescent="0.3">
      <c r="A89" s="202"/>
      <c r="B89" s="215" t="s">
        <v>566</v>
      </c>
      <c r="C89" s="215" t="s">
        <v>504</v>
      </c>
      <c r="D89" s="216">
        <v>2</v>
      </c>
      <c r="E89" s="205"/>
    </row>
    <row r="90" spans="1:5" ht="12.6" customHeight="1" x14ac:dyDescent="0.3">
      <c r="A90" s="202"/>
      <c r="B90" s="215" t="s">
        <v>567</v>
      </c>
      <c r="C90" s="215" t="s">
        <v>568</v>
      </c>
      <c r="D90" s="216">
        <v>2</v>
      </c>
      <c r="E90" s="237"/>
    </row>
    <row r="91" spans="1:5" ht="12.6" customHeight="1" x14ac:dyDescent="0.3">
      <c r="A91" s="206"/>
      <c r="B91" s="215" t="s">
        <v>569</v>
      </c>
      <c r="C91" s="215" t="s">
        <v>512</v>
      </c>
      <c r="D91" s="216">
        <v>2</v>
      </c>
    </row>
    <row r="92" spans="1:5" ht="12.6" customHeight="1" x14ac:dyDescent="0.3">
      <c r="A92" s="202"/>
      <c r="B92" s="215" t="s">
        <v>570</v>
      </c>
      <c r="C92" s="215" t="s">
        <v>506</v>
      </c>
      <c r="D92" s="216">
        <v>2</v>
      </c>
    </row>
    <row r="93" spans="1:5" ht="12.6" customHeight="1" x14ac:dyDescent="0.3">
      <c r="A93" s="238"/>
      <c r="B93" s="215" t="s">
        <v>571</v>
      </c>
      <c r="C93" s="215" t="s">
        <v>572</v>
      </c>
      <c r="D93" s="216">
        <v>2</v>
      </c>
    </row>
    <row r="94" spans="1:5" ht="12.6" customHeight="1" x14ac:dyDescent="0.3">
      <c r="A94" s="238"/>
      <c r="B94" s="215" t="s">
        <v>573</v>
      </c>
      <c r="C94" s="215" t="s">
        <v>508</v>
      </c>
      <c r="D94" s="216">
        <v>2</v>
      </c>
    </row>
    <row r="95" spans="1:5" ht="12.6" customHeight="1" x14ac:dyDescent="0.3">
      <c r="A95" s="238"/>
      <c r="B95" s="215" t="s">
        <v>574</v>
      </c>
      <c r="C95" s="215" t="s">
        <v>575</v>
      </c>
      <c r="D95" s="216">
        <v>9</v>
      </c>
    </row>
    <row r="96" spans="1:5" ht="12.6" customHeight="1" x14ac:dyDescent="0.3">
      <c r="A96" s="238"/>
      <c r="B96" s="215" t="s">
        <v>576</v>
      </c>
      <c r="C96" s="215" t="s">
        <v>577</v>
      </c>
      <c r="D96" s="239">
        <v>10</v>
      </c>
    </row>
    <row r="97" spans="1:4" ht="12.6" customHeight="1" x14ac:dyDescent="0.3">
      <c r="A97" s="238"/>
      <c r="B97" s="215" t="s">
        <v>578</v>
      </c>
      <c r="C97" s="215" t="s">
        <v>579</v>
      </c>
      <c r="D97" s="239">
        <v>10</v>
      </c>
    </row>
    <row r="98" spans="1:4" ht="12.6" customHeight="1" x14ac:dyDescent="0.3">
      <c r="A98" s="238"/>
      <c r="B98" s="215" t="s">
        <v>580</v>
      </c>
      <c r="C98" s="215" t="s">
        <v>654</v>
      </c>
      <c r="D98" s="239">
        <v>2.2999999999999998</v>
      </c>
    </row>
    <row r="99" spans="1:4" ht="12.6" customHeight="1" x14ac:dyDescent="0.3">
      <c r="B99" s="215" t="s">
        <v>827</v>
      </c>
      <c r="C99" s="215" t="s">
        <v>828</v>
      </c>
      <c r="D99" s="239">
        <v>10</v>
      </c>
    </row>
    <row r="100" spans="1:4" ht="12.6" customHeight="1" x14ac:dyDescent="0.3">
      <c r="B100" s="215" t="s">
        <v>581</v>
      </c>
      <c r="C100" s="215" t="s">
        <v>582</v>
      </c>
      <c r="D100" s="216">
        <v>6.5</v>
      </c>
    </row>
    <row r="101" spans="1:4" ht="12.6" customHeight="1" x14ac:dyDescent="0.3">
      <c r="B101" s="215"/>
      <c r="C101" s="213" t="s">
        <v>583</v>
      </c>
      <c r="D101" s="217">
        <f>+D49+D64+D67+D78+D82+D100</f>
        <v>466.09999999999997</v>
      </c>
    </row>
    <row r="102" spans="1:4" x14ac:dyDescent="0.3">
      <c r="B102" s="238"/>
      <c r="C102" s="211" t="s">
        <v>584</v>
      </c>
      <c r="D102" s="238"/>
    </row>
    <row r="103" spans="1:4" x14ac:dyDescent="0.3">
      <c r="B103" s="238"/>
      <c r="C103" s="238"/>
      <c r="D103" s="238"/>
    </row>
  </sheetData>
  <mergeCells count="9">
    <mergeCell ref="B40:C40"/>
    <mergeCell ref="B41:C41"/>
    <mergeCell ref="B46:D46"/>
    <mergeCell ref="C1:D1"/>
    <mergeCell ref="C2:D2"/>
    <mergeCell ref="C3:D3"/>
    <mergeCell ref="A5:D5"/>
    <mergeCell ref="A6:D6"/>
    <mergeCell ref="B39:D39"/>
  </mergeCells>
  <pageMargins left="0.70866141732283472" right="0" top="0.74803149606299213" bottom="0.47244094488188981" header="0.31496062992125984" footer="0.31496062992125984"/>
  <pageSetup paperSize="9" scale="9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zoomScaleNormal="100" workbookViewId="0">
      <selection activeCell="L22" sqref="L22"/>
    </sheetView>
  </sheetViews>
  <sheetFormatPr defaultColWidth="9.109375" defaultRowHeight="13.2" x14ac:dyDescent="0.25"/>
  <cols>
    <col min="1" max="1" width="4.109375" style="2" customWidth="1"/>
    <col min="2" max="2" width="50.88671875" style="2" customWidth="1"/>
    <col min="3" max="3" width="8.5546875" style="2" customWidth="1"/>
    <col min="4" max="4" width="8.88671875" style="2" customWidth="1"/>
    <col min="5" max="5" width="11.6640625" style="59" customWidth="1"/>
    <col min="6" max="6" width="12.44140625" style="2" customWidth="1"/>
    <col min="7" max="7" width="9.109375" style="2" customWidth="1"/>
    <col min="8" max="8" width="9.44140625" style="57" customWidth="1"/>
    <col min="9" max="9" width="6" style="2" customWidth="1"/>
    <col min="10" max="10" width="7.44140625" style="2" customWidth="1"/>
    <col min="11" max="15" width="9.109375" style="2" customWidth="1"/>
    <col min="16" max="16384" width="9.109375" style="2"/>
  </cols>
  <sheetData>
    <row r="1" spans="1:15" ht="15.75" customHeight="1" x14ac:dyDescent="0.3">
      <c r="B1" s="246" t="s">
        <v>206</v>
      </c>
      <c r="C1" s="246"/>
      <c r="D1" s="246"/>
      <c r="E1" s="246"/>
      <c r="F1" s="246"/>
    </row>
    <row r="2" spans="1:15" ht="15.75" customHeight="1" x14ac:dyDescent="0.3">
      <c r="B2" s="246" t="s">
        <v>587</v>
      </c>
      <c r="C2" s="246"/>
      <c r="D2" s="246"/>
      <c r="E2" s="246"/>
      <c r="F2" s="246"/>
    </row>
    <row r="3" spans="1:15" ht="15.6" x14ac:dyDescent="0.3">
      <c r="B3" s="71"/>
      <c r="C3" s="71"/>
      <c r="D3" s="71"/>
      <c r="E3" s="248" t="s">
        <v>207</v>
      </c>
      <c r="F3" s="248"/>
    </row>
    <row r="5" spans="1:15" ht="42" customHeight="1" x14ac:dyDescent="0.25">
      <c r="A5" s="249" t="s">
        <v>606</v>
      </c>
      <c r="B5" s="249"/>
      <c r="C5" s="249"/>
      <c r="D5" s="249"/>
      <c r="E5" s="249"/>
      <c r="F5" s="249"/>
    </row>
    <row r="6" spans="1:15" x14ac:dyDescent="0.25">
      <c r="F6" s="59" t="s">
        <v>129</v>
      </c>
    </row>
    <row r="7" spans="1:15" ht="12.6" customHeight="1" x14ac:dyDescent="0.25">
      <c r="A7" s="250" t="s">
        <v>0</v>
      </c>
      <c r="B7" s="250" t="s">
        <v>208</v>
      </c>
      <c r="C7" s="250" t="s">
        <v>17</v>
      </c>
      <c r="D7" s="243" t="s">
        <v>209</v>
      </c>
      <c r="E7" s="244"/>
      <c r="F7" s="245"/>
    </row>
    <row r="8" spans="1:15" ht="79.2" x14ac:dyDescent="0.25">
      <c r="A8" s="251"/>
      <c r="B8" s="251"/>
      <c r="C8" s="251"/>
      <c r="D8" s="8" t="s">
        <v>210</v>
      </c>
      <c r="E8" s="8" t="s">
        <v>211</v>
      </c>
      <c r="F8" s="8" t="s">
        <v>212</v>
      </c>
    </row>
    <row r="9" spans="1:15" x14ac:dyDescent="0.25">
      <c r="A9" s="8">
        <v>1</v>
      </c>
      <c r="B9" s="74">
        <v>2</v>
      </c>
      <c r="C9" s="8">
        <v>3</v>
      </c>
      <c r="D9" s="8">
        <v>4</v>
      </c>
      <c r="E9" s="8">
        <v>5</v>
      </c>
      <c r="F9" s="8">
        <v>6</v>
      </c>
    </row>
    <row r="10" spans="1:15" ht="12.6" customHeight="1" x14ac:dyDescent="0.25">
      <c r="A10" s="75">
        <v>1</v>
      </c>
      <c r="B10" s="21" t="s">
        <v>213</v>
      </c>
      <c r="C10" s="34">
        <f t="shared" ref="C10:C65" si="0">+E10+D10+F10</f>
        <v>55.4</v>
      </c>
      <c r="D10" s="34"/>
      <c r="E10" s="39">
        <v>1.1000000000000001</v>
      </c>
      <c r="F10" s="34">
        <v>54.3</v>
      </c>
      <c r="G10" s="4"/>
      <c r="H10" s="4"/>
      <c r="I10" s="4"/>
      <c r="J10" s="4"/>
      <c r="K10" s="4"/>
      <c r="L10" s="4"/>
      <c r="M10" s="4"/>
      <c r="N10" s="4"/>
      <c r="O10" s="4"/>
    </row>
    <row r="11" spans="1:15" ht="12.6" customHeight="1" x14ac:dyDescent="0.25">
      <c r="A11" s="75">
        <v>2</v>
      </c>
      <c r="B11" s="21" t="s">
        <v>158</v>
      </c>
      <c r="C11" s="34">
        <f t="shared" si="0"/>
        <v>58.2</v>
      </c>
      <c r="D11" s="34"/>
      <c r="E11" s="39">
        <v>1.2</v>
      </c>
      <c r="F11" s="34">
        <v>57</v>
      </c>
      <c r="G11" s="4"/>
      <c r="H11" s="4"/>
      <c r="I11" s="4"/>
      <c r="J11" s="4"/>
      <c r="K11" s="4"/>
      <c r="L11" s="4"/>
      <c r="M11" s="4"/>
      <c r="N11" s="4"/>
      <c r="O11" s="4"/>
    </row>
    <row r="12" spans="1:15" ht="12.6" customHeight="1" x14ac:dyDescent="0.25">
      <c r="A12" s="75">
        <v>3</v>
      </c>
      <c r="B12" s="21" t="s">
        <v>159</v>
      </c>
      <c r="C12" s="34">
        <f t="shared" si="0"/>
        <v>75</v>
      </c>
      <c r="D12" s="34"/>
      <c r="E12" s="39">
        <v>3</v>
      </c>
      <c r="F12" s="34">
        <v>72</v>
      </c>
      <c r="G12" s="4"/>
      <c r="H12" s="4"/>
      <c r="I12" s="4"/>
      <c r="J12" s="4"/>
      <c r="K12" s="4"/>
      <c r="L12" s="4"/>
      <c r="M12" s="4"/>
      <c r="N12" s="4"/>
      <c r="O12" s="4"/>
    </row>
    <row r="13" spans="1:15" ht="12.6" customHeight="1" x14ac:dyDescent="0.25">
      <c r="A13" s="75">
        <v>4</v>
      </c>
      <c r="B13" s="21" t="s">
        <v>163</v>
      </c>
      <c r="C13" s="34">
        <f t="shared" si="0"/>
        <v>80</v>
      </c>
      <c r="D13" s="34">
        <v>1</v>
      </c>
      <c r="E13" s="39">
        <v>3</v>
      </c>
      <c r="F13" s="34">
        <v>76</v>
      </c>
      <c r="G13" s="4"/>
      <c r="H13" s="4"/>
      <c r="I13" s="4"/>
      <c r="J13" s="4"/>
      <c r="K13" s="4"/>
      <c r="L13" s="4"/>
      <c r="M13" s="4"/>
      <c r="N13" s="4"/>
      <c r="O13" s="4"/>
    </row>
    <row r="14" spans="1:15" ht="12.6" customHeight="1" x14ac:dyDescent="0.25">
      <c r="A14" s="75">
        <v>5</v>
      </c>
      <c r="B14" s="21" t="s">
        <v>160</v>
      </c>
      <c r="C14" s="34">
        <f t="shared" si="0"/>
        <v>89.5</v>
      </c>
      <c r="D14" s="34"/>
      <c r="E14" s="39">
        <v>2.5</v>
      </c>
      <c r="F14" s="34">
        <v>87</v>
      </c>
      <c r="G14" s="4"/>
      <c r="H14" s="4"/>
      <c r="I14" s="4"/>
      <c r="J14" s="4"/>
      <c r="K14" s="4"/>
      <c r="L14" s="4"/>
      <c r="M14" s="4"/>
      <c r="N14" s="4"/>
      <c r="O14" s="4"/>
    </row>
    <row r="15" spans="1:15" ht="12.6" customHeight="1" x14ac:dyDescent="0.25">
      <c r="A15" s="75">
        <v>6</v>
      </c>
      <c r="B15" s="21" t="s">
        <v>161</v>
      </c>
      <c r="C15" s="34">
        <f t="shared" si="0"/>
        <v>50</v>
      </c>
      <c r="D15" s="34"/>
      <c r="E15" s="39">
        <v>2</v>
      </c>
      <c r="F15" s="34">
        <v>48</v>
      </c>
      <c r="G15" s="4"/>
      <c r="H15" s="4"/>
      <c r="I15" s="4"/>
      <c r="J15" s="4"/>
      <c r="K15" s="4"/>
      <c r="L15" s="4"/>
      <c r="M15" s="4"/>
      <c r="N15" s="4"/>
      <c r="O15" s="4"/>
    </row>
    <row r="16" spans="1:15" ht="12.6" customHeight="1" x14ac:dyDescent="0.25">
      <c r="A16" s="75">
        <v>7</v>
      </c>
      <c r="B16" s="21" t="s">
        <v>162</v>
      </c>
      <c r="C16" s="34">
        <f t="shared" si="0"/>
        <v>62.5</v>
      </c>
      <c r="D16" s="34"/>
      <c r="E16" s="39">
        <v>1.5</v>
      </c>
      <c r="F16" s="34">
        <v>61</v>
      </c>
      <c r="G16" s="4"/>
      <c r="H16" s="4"/>
      <c r="I16" s="4"/>
      <c r="J16" s="4"/>
      <c r="K16" s="4"/>
      <c r="L16" s="4"/>
      <c r="M16" s="4"/>
      <c r="N16" s="4"/>
      <c r="O16" s="4"/>
    </row>
    <row r="17" spans="1:15" ht="12.6" customHeight="1" x14ac:dyDescent="0.25">
      <c r="A17" s="75">
        <v>8</v>
      </c>
      <c r="B17" s="15" t="s">
        <v>187</v>
      </c>
      <c r="C17" s="34">
        <f t="shared" si="0"/>
        <v>64.2</v>
      </c>
      <c r="D17" s="34"/>
      <c r="E17" s="39"/>
      <c r="F17" s="34">
        <v>64.2</v>
      </c>
      <c r="G17" s="4"/>
      <c r="H17" s="4"/>
      <c r="I17" s="4"/>
      <c r="J17" s="4"/>
      <c r="K17" s="4"/>
      <c r="L17" s="4"/>
      <c r="M17" s="4"/>
      <c r="N17" s="4"/>
      <c r="O17" s="4"/>
    </row>
    <row r="18" spans="1:15" ht="12.6" customHeight="1" x14ac:dyDescent="0.25">
      <c r="A18" s="75">
        <v>9</v>
      </c>
      <c r="B18" s="21" t="s">
        <v>166</v>
      </c>
      <c r="C18" s="34">
        <f t="shared" si="0"/>
        <v>19</v>
      </c>
      <c r="D18" s="34">
        <v>9</v>
      </c>
      <c r="E18" s="39">
        <v>10</v>
      </c>
      <c r="F18" s="34"/>
      <c r="G18" s="4"/>
      <c r="H18" s="4"/>
      <c r="I18" s="4"/>
      <c r="J18" s="4"/>
      <c r="K18" s="4"/>
      <c r="L18" s="4"/>
      <c r="M18" s="4"/>
      <c r="N18" s="4"/>
      <c r="O18" s="4"/>
    </row>
    <row r="19" spans="1:15" ht="12.6" customHeight="1" x14ac:dyDescent="0.25">
      <c r="A19" s="75">
        <v>10</v>
      </c>
      <c r="B19" s="21" t="s">
        <v>46</v>
      </c>
      <c r="C19" s="34">
        <f t="shared" si="0"/>
        <v>10.6</v>
      </c>
      <c r="D19" s="34">
        <v>0.5</v>
      </c>
      <c r="E19" s="39">
        <v>0.1</v>
      </c>
      <c r="F19" s="34">
        <v>10</v>
      </c>
      <c r="G19" s="4"/>
      <c r="H19" s="4"/>
      <c r="I19" s="4"/>
      <c r="J19" s="4"/>
      <c r="K19" s="4"/>
      <c r="L19" s="4"/>
      <c r="M19" s="4"/>
      <c r="N19" s="4"/>
      <c r="O19" s="4"/>
    </row>
    <row r="20" spans="1:15" ht="12.6" customHeight="1" x14ac:dyDescent="0.25">
      <c r="A20" s="75">
        <v>11</v>
      </c>
      <c r="B20" s="22" t="s">
        <v>134</v>
      </c>
      <c r="C20" s="34">
        <f t="shared" si="0"/>
        <v>34.299999999999997</v>
      </c>
      <c r="D20" s="34">
        <v>0.8</v>
      </c>
      <c r="E20" s="39">
        <v>1.2</v>
      </c>
      <c r="F20" s="34">
        <v>32.299999999999997</v>
      </c>
      <c r="G20" s="4"/>
      <c r="H20" s="4"/>
      <c r="I20" s="4"/>
      <c r="J20" s="4"/>
      <c r="K20" s="4"/>
      <c r="L20" s="4"/>
      <c r="M20" s="4"/>
      <c r="N20" s="4"/>
      <c r="O20" s="4"/>
    </row>
    <row r="21" spans="1:15" ht="12.6" customHeight="1" x14ac:dyDescent="0.25">
      <c r="A21" s="75">
        <v>12</v>
      </c>
      <c r="B21" s="22" t="s">
        <v>135</v>
      </c>
      <c r="C21" s="34">
        <f t="shared" si="0"/>
        <v>3.8</v>
      </c>
      <c r="D21" s="34">
        <v>1.5</v>
      </c>
      <c r="E21" s="39">
        <v>0.3</v>
      </c>
      <c r="F21" s="34">
        <v>2</v>
      </c>
      <c r="G21" s="4"/>
      <c r="H21" s="4"/>
      <c r="I21" s="4"/>
      <c r="J21" s="4"/>
      <c r="K21" s="4"/>
      <c r="L21" s="4"/>
      <c r="M21" s="4"/>
      <c r="N21" s="4"/>
      <c r="O21" s="4"/>
    </row>
    <row r="22" spans="1:15" ht="12.6" customHeight="1" x14ac:dyDescent="0.25">
      <c r="A22" s="75">
        <v>13</v>
      </c>
      <c r="B22" s="22" t="s">
        <v>40</v>
      </c>
      <c r="C22" s="34">
        <f t="shared" si="0"/>
        <v>18</v>
      </c>
      <c r="D22" s="34">
        <v>2.5</v>
      </c>
      <c r="E22" s="39">
        <v>0.2</v>
      </c>
      <c r="F22" s="34">
        <v>15.3</v>
      </c>
      <c r="G22" s="4"/>
      <c r="H22" s="4"/>
      <c r="I22" s="4"/>
      <c r="J22" s="4"/>
      <c r="K22" s="4"/>
      <c r="L22" s="4"/>
      <c r="M22" s="4"/>
      <c r="N22" s="4"/>
      <c r="O22" s="4"/>
    </row>
    <row r="23" spans="1:15" ht="12.6" customHeight="1" x14ac:dyDescent="0.25">
      <c r="A23" s="75">
        <v>14</v>
      </c>
      <c r="B23" s="21" t="s">
        <v>214</v>
      </c>
      <c r="C23" s="34">
        <f t="shared" si="0"/>
        <v>8.3000000000000007</v>
      </c>
      <c r="D23" s="34">
        <v>2</v>
      </c>
      <c r="E23" s="39">
        <v>1</v>
      </c>
      <c r="F23" s="34">
        <v>5.3</v>
      </c>
      <c r="G23" s="4"/>
      <c r="H23" s="4"/>
      <c r="I23" s="4"/>
      <c r="J23" s="4"/>
      <c r="K23" s="4"/>
      <c r="L23" s="4"/>
      <c r="M23" s="4"/>
      <c r="N23" s="4"/>
      <c r="O23" s="4"/>
    </row>
    <row r="24" spans="1:15" ht="12.6" customHeight="1" x14ac:dyDescent="0.25">
      <c r="A24" s="75">
        <v>15</v>
      </c>
      <c r="B24" s="22" t="s">
        <v>164</v>
      </c>
      <c r="C24" s="34">
        <f t="shared" si="0"/>
        <v>31.5</v>
      </c>
      <c r="D24" s="34">
        <v>25</v>
      </c>
      <c r="E24" s="39">
        <v>3</v>
      </c>
      <c r="F24" s="34">
        <v>3.5</v>
      </c>
      <c r="G24" s="4"/>
      <c r="H24" s="4"/>
      <c r="I24" s="4"/>
      <c r="J24" s="4"/>
      <c r="K24" s="4"/>
      <c r="L24" s="4"/>
      <c r="M24" s="4"/>
      <c r="N24" s="4"/>
      <c r="O24" s="4"/>
    </row>
    <row r="25" spans="1:15" ht="15" customHeight="1" x14ac:dyDescent="0.25">
      <c r="A25" s="75">
        <v>16</v>
      </c>
      <c r="B25" s="21" t="s">
        <v>165</v>
      </c>
      <c r="C25" s="34">
        <f t="shared" si="0"/>
        <v>4.0999999999999996</v>
      </c>
      <c r="D25" s="34">
        <v>2</v>
      </c>
      <c r="E25" s="39">
        <v>0.1</v>
      </c>
      <c r="F25" s="34">
        <v>2</v>
      </c>
      <c r="G25" s="4"/>
      <c r="H25" s="4"/>
      <c r="I25" s="4"/>
      <c r="J25" s="4"/>
      <c r="K25" s="4"/>
      <c r="L25" s="4"/>
      <c r="M25" s="4"/>
      <c r="N25" s="4"/>
      <c r="O25" s="4"/>
    </row>
    <row r="26" spans="1:15" ht="12.6" customHeight="1" x14ac:dyDescent="0.25">
      <c r="A26" s="75">
        <v>17</v>
      </c>
      <c r="B26" s="22" t="s">
        <v>120</v>
      </c>
      <c r="C26" s="34">
        <f t="shared" si="0"/>
        <v>10.3</v>
      </c>
      <c r="D26" s="34"/>
      <c r="E26" s="39">
        <v>4</v>
      </c>
      <c r="F26" s="34">
        <v>6.3</v>
      </c>
      <c r="G26" s="4"/>
      <c r="H26" s="4"/>
      <c r="I26" s="4"/>
      <c r="J26" s="4"/>
      <c r="K26" s="4"/>
      <c r="L26" s="4"/>
      <c r="M26" s="4"/>
      <c r="N26" s="4"/>
      <c r="O26" s="4"/>
    </row>
    <row r="27" spans="1:15" ht="12.6" customHeight="1" x14ac:dyDescent="0.25">
      <c r="A27" s="75">
        <v>18</v>
      </c>
      <c r="B27" s="22" t="s">
        <v>41</v>
      </c>
      <c r="C27" s="34">
        <f t="shared" si="0"/>
        <v>1.2</v>
      </c>
      <c r="D27" s="34">
        <v>0.4</v>
      </c>
      <c r="E27" s="39">
        <v>0.3</v>
      </c>
      <c r="F27" s="34">
        <v>0.5</v>
      </c>
      <c r="G27" s="4"/>
      <c r="H27" s="4"/>
      <c r="I27" s="4"/>
      <c r="J27" s="4"/>
      <c r="K27" s="4"/>
      <c r="L27" s="4"/>
      <c r="M27" s="4"/>
      <c r="N27" s="4"/>
      <c r="O27" s="4"/>
    </row>
    <row r="28" spans="1:15" ht="12.6" customHeight="1" x14ac:dyDescent="0.25">
      <c r="A28" s="75">
        <v>19</v>
      </c>
      <c r="B28" s="22" t="s">
        <v>136</v>
      </c>
      <c r="C28" s="34">
        <f t="shared" si="0"/>
        <v>50</v>
      </c>
      <c r="D28" s="34"/>
      <c r="E28" s="39">
        <v>2</v>
      </c>
      <c r="F28" s="34">
        <v>48</v>
      </c>
      <c r="G28" s="4"/>
      <c r="H28" s="4"/>
      <c r="I28" s="4"/>
      <c r="J28" s="4"/>
      <c r="K28" s="4"/>
      <c r="L28" s="4"/>
      <c r="M28" s="4"/>
      <c r="N28" s="4"/>
      <c r="O28" s="4"/>
    </row>
    <row r="29" spans="1:15" ht="12.6" customHeight="1" x14ac:dyDescent="0.25">
      <c r="A29" s="75">
        <v>20</v>
      </c>
      <c r="B29" s="27" t="s">
        <v>215</v>
      </c>
      <c r="C29" s="34">
        <f t="shared" si="0"/>
        <v>0.30000000000000004</v>
      </c>
      <c r="D29" s="34">
        <v>0.2</v>
      </c>
      <c r="E29" s="39">
        <v>0.1</v>
      </c>
      <c r="F29" s="34"/>
      <c r="G29" s="4"/>
      <c r="H29" s="4"/>
      <c r="I29" s="4"/>
      <c r="J29" s="4"/>
      <c r="K29" s="4"/>
      <c r="L29" s="4"/>
      <c r="M29" s="4"/>
      <c r="N29" s="4"/>
      <c r="O29" s="4"/>
    </row>
    <row r="30" spans="1:15" ht="12.6" customHeight="1" x14ac:dyDescent="0.25">
      <c r="A30" s="75">
        <v>21</v>
      </c>
      <c r="B30" s="27" t="s">
        <v>42</v>
      </c>
      <c r="C30" s="34">
        <f t="shared" si="0"/>
        <v>2.6999999999999997</v>
      </c>
      <c r="D30" s="34">
        <v>0.3</v>
      </c>
      <c r="E30" s="39">
        <v>0.1</v>
      </c>
      <c r="F30" s="34">
        <v>2.2999999999999998</v>
      </c>
      <c r="G30" s="4"/>
      <c r="H30" s="4"/>
      <c r="I30" s="4"/>
      <c r="J30" s="4"/>
      <c r="K30" s="4"/>
      <c r="L30" s="4"/>
      <c r="M30" s="4"/>
      <c r="N30" s="4"/>
      <c r="O30" s="4"/>
    </row>
    <row r="31" spans="1:15" ht="12.6" customHeight="1" x14ac:dyDescent="0.25">
      <c r="A31" s="75">
        <v>22</v>
      </c>
      <c r="B31" s="22" t="s">
        <v>111</v>
      </c>
      <c r="C31" s="34">
        <f t="shared" si="0"/>
        <v>71.2</v>
      </c>
      <c r="D31" s="34">
        <v>33</v>
      </c>
      <c r="E31" s="39"/>
      <c r="F31" s="34">
        <v>38.200000000000003</v>
      </c>
      <c r="G31" s="4"/>
      <c r="H31" s="4"/>
      <c r="I31" s="4"/>
      <c r="J31" s="4"/>
      <c r="K31" s="4"/>
      <c r="L31" s="4"/>
      <c r="M31" s="4"/>
      <c r="N31" s="4"/>
      <c r="O31" s="4"/>
    </row>
    <row r="32" spans="1:15" ht="12.6" customHeight="1" x14ac:dyDescent="0.25">
      <c r="A32" s="75">
        <v>23</v>
      </c>
      <c r="B32" s="21" t="s">
        <v>366</v>
      </c>
      <c r="C32" s="34">
        <f t="shared" si="0"/>
        <v>14</v>
      </c>
      <c r="D32" s="34">
        <v>2</v>
      </c>
      <c r="E32" s="39"/>
      <c r="F32" s="34">
        <v>12</v>
      </c>
      <c r="G32" s="4"/>
      <c r="H32" s="4"/>
      <c r="I32" s="4"/>
      <c r="J32" s="4"/>
      <c r="K32" s="4"/>
      <c r="L32" s="4"/>
      <c r="M32" s="4"/>
      <c r="N32" s="4"/>
      <c r="O32" s="4"/>
    </row>
    <row r="33" spans="1:15" ht="12.6" customHeight="1" x14ac:dyDescent="0.25">
      <c r="A33" s="75">
        <v>24</v>
      </c>
      <c r="B33" s="40" t="s">
        <v>54</v>
      </c>
      <c r="C33" s="34">
        <f t="shared" si="0"/>
        <v>70.5</v>
      </c>
      <c r="D33" s="34"/>
      <c r="E33" s="39"/>
      <c r="F33" s="34">
        <v>70.5</v>
      </c>
      <c r="G33" s="4"/>
      <c r="H33" s="4"/>
      <c r="I33" s="4"/>
      <c r="J33" s="4"/>
      <c r="K33" s="4"/>
      <c r="L33" s="4"/>
      <c r="M33" s="4"/>
      <c r="N33" s="4"/>
      <c r="O33" s="4"/>
    </row>
    <row r="34" spans="1:15" ht="12.6" customHeight="1" x14ac:dyDescent="0.25">
      <c r="A34" s="75">
        <v>25</v>
      </c>
      <c r="B34" s="40" t="s">
        <v>47</v>
      </c>
      <c r="C34" s="34">
        <f t="shared" si="0"/>
        <v>53.5</v>
      </c>
      <c r="D34" s="34">
        <v>0.4</v>
      </c>
      <c r="E34" s="39">
        <v>0.1</v>
      </c>
      <c r="F34" s="34">
        <v>53</v>
      </c>
      <c r="G34" s="4"/>
      <c r="H34" s="4"/>
      <c r="I34" s="4"/>
      <c r="J34" s="4"/>
      <c r="K34" s="4"/>
      <c r="L34" s="4"/>
      <c r="M34" s="4"/>
      <c r="N34" s="4"/>
      <c r="O34" s="4"/>
    </row>
    <row r="35" spans="1:15" ht="12.6" customHeight="1" x14ac:dyDescent="0.25">
      <c r="A35" s="75">
        <v>26</v>
      </c>
      <c r="B35" s="21" t="s">
        <v>48</v>
      </c>
      <c r="C35" s="34">
        <f t="shared" si="0"/>
        <v>64.5</v>
      </c>
      <c r="D35" s="34">
        <v>0.2</v>
      </c>
      <c r="E35" s="39">
        <v>5.3</v>
      </c>
      <c r="F35" s="34">
        <v>59</v>
      </c>
      <c r="G35" s="4"/>
      <c r="H35" s="4"/>
      <c r="I35" s="4"/>
      <c r="J35" s="4"/>
      <c r="K35" s="4"/>
      <c r="L35" s="4"/>
      <c r="M35" s="4"/>
      <c r="N35" s="4"/>
      <c r="O35" s="4"/>
    </row>
    <row r="36" spans="1:15" ht="12.6" customHeight="1" x14ac:dyDescent="0.25">
      <c r="A36" s="75">
        <v>27</v>
      </c>
      <c r="B36" s="40" t="s">
        <v>216</v>
      </c>
      <c r="C36" s="34">
        <f t="shared" si="0"/>
        <v>15.700000000000001</v>
      </c>
      <c r="D36" s="34">
        <v>14.9</v>
      </c>
      <c r="E36" s="39">
        <v>0.8</v>
      </c>
      <c r="F36" s="34"/>
      <c r="G36" s="4"/>
      <c r="H36" s="4"/>
      <c r="I36" s="4"/>
      <c r="J36" s="4"/>
      <c r="K36" s="4"/>
      <c r="L36" s="4"/>
      <c r="M36" s="4"/>
      <c r="N36" s="4"/>
      <c r="O36" s="4"/>
    </row>
    <row r="37" spans="1:15" ht="12.6" customHeight="1" x14ac:dyDescent="0.25">
      <c r="A37" s="75">
        <v>28</v>
      </c>
      <c r="B37" s="21" t="s">
        <v>112</v>
      </c>
      <c r="C37" s="34">
        <f>+E37+D37+F37</f>
        <v>76.5</v>
      </c>
      <c r="D37" s="34">
        <v>23</v>
      </c>
      <c r="E37" s="39">
        <v>36</v>
      </c>
      <c r="F37" s="34">
        <v>17.5</v>
      </c>
      <c r="G37" s="4"/>
      <c r="H37" s="4"/>
      <c r="I37" s="4"/>
      <c r="J37" s="4"/>
      <c r="K37" s="4"/>
      <c r="L37" s="4"/>
      <c r="M37" s="4"/>
      <c r="N37" s="4"/>
      <c r="O37" s="4"/>
    </row>
    <row r="38" spans="1:15" ht="12.6" customHeight="1" x14ac:dyDescent="0.25">
      <c r="A38" s="75">
        <v>29</v>
      </c>
      <c r="B38" s="40" t="s">
        <v>44</v>
      </c>
      <c r="C38" s="34">
        <f t="shared" si="0"/>
        <v>11</v>
      </c>
      <c r="D38" s="34">
        <v>8</v>
      </c>
      <c r="E38" s="39">
        <v>3</v>
      </c>
      <c r="F38" s="34"/>
      <c r="G38" s="4"/>
      <c r="H38" s="4"/>
      <c r="I38" s="4"/>
      <c r="J38" s="4"/>
      <c r="K38" s="4"/>
      <c r="L38" s="4"/>
      <c r="M38" s="4"/>
      <c r="N38" s="4"/>
      <c r="O38" s="4"/>
    </row>
    <row r="39" spans="1:15" ht="12.6" customHeight="1" x14ac:dyDescent="0.25">
      <c r="A39" s="75">
        <v>30</v>
      </c>
      <c r="B39" s="76" t="s">
        <v>49</v>
      </c>
      <c r="C39" s="34">
        <f t="shared" si="0"/>
        <v>2.2999999999999998</v>
      </c>
      <c r="D39" s="34">
        <v>0.8</v>
      </c>
      <c r="E39" s="39">
        <v>1.5</v>
      </c>
      <c r="F39" s="34"/>
      <c r="G39" s="4"/>
      <c r="H39" s="4"/>
      <c r="I39" s="4"/>
      <c r="J39" s="4"/>
      <c r="K39" s="4"/>
      <c r="L39" s="4"/>
      <c r="M39" s="4"/>
      <c r="N39" s="4"/>
      <c r="O39" s="4"/>
    </row>
    <row r="40" spans="1:15" ht="12.6" customHeight="1" x14ac:dyDescent="0.25">
      <c r="A40" s="75">
        <v>31</v>
      </c>
      <c r="B40" s="40" t="s">
        <v>50</v>
      </c>
      <c r="C40" s="34">
        <f t="shared" si="0"/>
        <v>1</v>
      </c>
      <c r="D40" s="34">
        <v>0.5</v>
      </c>
      <c r="E40" s="39">
        <v>0.5</v>
      </c>
      <c r="F40" s="34"/>
      <c r="G40" s="4"/>
      <c r="H40" s="4"/>
      <c r="I40" s="4"/>
      <c r="J40" s="4"/>
      <c r="K40" s="4"/>
      <c r="L40" s="4"/>
      <c r="M40" s="4"/>
      <c r="N40" s="4"/>
      <c r="O40" s="4"/>
    </row>
    <row r="41" spans="1:15" ht="12.6" customHeight="1" x14ac:dyDescent="0.25">
      <c r="A41" s="75">
        <v>32</v>
      </c>
      <c r="B41" s="40" t="s">
        <v>45</v>
      </c>
      <c r="C41" s="34">
        <f t="shared" si="0"/>
        <v>2.2999999999999998</v>
      </c>
      <c r="D41" s="34">
        <v>1.2</v>
      </c>
      <c r="E41" s="39">
        <v>1.1000000000000001</v>
      </c>
      <c r="F41" s="34"/>
      <c r="G41" s="4"/>
      <c r="H41" s="4"/>
      <c r="I41" s="4"/>
      <c r="J41" s="4"/>
      <c r="K41" s="4"/>
      <c r="L41" s="4"/>
      <c r="M41" s="4"/>
      <c r="N41" s="4"/>
      <c r="O41" s="4"/>
    </row>
    <row r="42" spans="1:15" ht="12.6" customHeight="1" x14ac:dyDescent="0.25">
      <c r="A42" s="75">
        <v>33</v>
      </c>
      <c r="B42" s="40" t="s">
        <v>51</v>
      </c>
      <c r="C42" s="34">
        <f t="shared" si="0"/>
        <v>0.4</v>
      </c>
      <c r="D42" s="34">
        <v>0.3</v>
      </c>
      <c r="E42" s="39">
        <v>0.1</v>
      </c>
      <c r="F42" s="3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5">
      <c r="A43" s="75">
        <v>34</v>
      </c>
      <c r="B43" s="40" t="s">
        <v>52</v>
      </c>
      <c r="C43" s="34">
        <f t="shared" si="0"/>
        <v>0.5</v>
      </c>
      <c r="D43" s="34">
        <v>0.3</v>
      </c>
      <c r="E43" s="39">
        <v>0.2</v>
      </c>
      <c r="F43" s="34"/>
      <c r="G43" s="4"/>
      <c r="H43" s="4"/>
      <c r="I43" s="4"/>
      <c r="J43" s="4"/>
      <c r="K43" s="4"/>
      <c r="L43" s="4"/>
      <c r="M43" s="4"/>
      <c r="N43" s="4"/>
      <c r="O43" s="4"/>
    </row>
    <row r="44" spans="1:15" ht="26.4" x14ac:dyDescent="0.25">
      <c r="A44" s="75">
        <v>35</v>
      </c>
      <c r="B44" s="27" t="s">
        <v>53</v>
      </c>
      <c r="C44" s="34">
        <f t="shared" si="0"/>
        <v>6.5</v>
      </c>
      <c r="D44" s="34">
        <v>1</v>
      </c>
      <c r="E44" s="39">
        <v>5.5</v>
      </c>
      <c r="F44" s="34"/>
      <c r="G44" s="4"/>
      <c r="H44" s="4"/>
      <c r="I44" s="4"/>
      <c r="J44" s="4"/>
      <c r="K44" s="4"/>
      <c r="L44" s="4"/>
      <c r="M44" s="4"/>
      <c r="N44" s="4"/>
      <c r="O44" s="4"/>
    </row>
    <row r="45" spans="1:15" ht="12.6" customHeight="1" x14ac:dyDescent="0.25">
      <c r="A45" s="75">
        <v>36</v>
      </c>
      <c r="B45" s="40" t="s">
        <v>43</v>
      </c>
      <c r="C45" s="34">
        <f t="shared" si="0"/>
        <v>25.2</v>
      </c>
      <c r="D45" s="34">
        <v>25</v>
      </c>
      <c r="E45" s="39">
        <v>0.2</v>
      </c>
      <c r="F45" s="34"/>
      <c r="G45" s="4"/>
      <c r="H45" s="4"/>
      <c r="I45" s="4"/>
      <c r="J45" s="4"/>
      <c r="K45" s="4"/>
      <c r="L45" s="4"/>
      <c r="M45" s="4"/>
      <c r="N45" s="4"/>
      <c r="O45" s="4"/>
    </row>
    <row r="46" spans="1:15" ht="12.6" customHeight="1" x14ac:dyDescent="0.25">
      <c r="A46" s="75">
        <v>37</v>
      </c>
      <c r="B46" s="22" t="s">
        <v>27</v>
      </c>
      <c r="C46" s="34">
        <f t="shared" si="0"/>
        <v>1</v>
      </c>
      <c r="D46" s="34">
        <v>1</v>
      </c>
      <c r="E46" s="39"/>
      <c r="F46" s="34"/>
      <c r="G46" s="4"/>
      <c r="H46" s="4"/>
      <c r="I46" s="4"/>
      <c r="J46" s="4"/>
      <c r="K46" s="4"/>
      <c r="L46" s="4"/>
      <c r="M46" s="4"/>
      <c r="N46" s="4"/>
      <c r="O46" s="4"/>
    </row>
    <row r="47" spans="1:15" ht="12.6" customHeight="1" x14ac:dyDescent="0.25">
      <c r="A47" s="75">
        <v>38</v>
      </c>
      <c r="B47" s="28" t="s">
        <v>1</v>
      </c>
      <c r="C47" s="34">
        <f t="shared" si="0"/>
        <v>79.8</v>
      </c>
      <c r="D47" s="34">
        <v>79.8</v>
      </c>
      <c r="E47" s="39"/>
      <c r="F47" s="34"/>
      <c r="G47" s="4"/>
      <c r="H47" s="4"/>
      <c r="I47" s="4"/>
      <c r="J47" s="4"/>
      <c r="K47" s="4"/>
      <c r="L47" s="4"/>
      <c r="M47" s="4"/>
      <c r="N47" s="4"/>
      <c r="O47" s="4"/>
    </row>
    <row r="48" spans="1:15" ht="12.6" customHeight="1" x14ac:dyDescent="0.25">
      <c r="A48" s="75">
        <v>39</v>
      </c>
      <c r="B48" s="40" t="s">
        <v>2</v>
      </c>
      <c r="C48" s="34">
        <f t="shared" si="0"/>
        <v>306.39999999999998</v>
      </c>
      <c r="D48" s="34"/>
      <c r="E48" s="39"/>
      <c r="F48" s="34">
        <v>306.39999999999998</v>
      </c>
      <c r="G48" s="4"/>
      <c r="H48" s="4"/>
      <c r="I48" s="4"/>
      <c r="J48" s="4"/>
      <c r="K48" s="4"/>
      <c r="L48" s="4"/>
      <c r="M48" s="4"/>
      <c r="N48" s="4"/>
      <c r="O48" s="4"/>
    </row>
    <row r="49" spans="1:15" ht="12.6" customHeight="1" x14ac:dyDescent="0.25">
      <c r="A49" s="75">
        <v>40</v>
      </c>
      <c r="B49" s="40" t="s">
        <v>15</v>
      </c>
      <c r="C49" s="34">
        <f t="shared" si="0"/>
        <v>229.6</v>
      </c>
      <c r="D49" s="34"/>
      <c r="E49" s="39"/>
      <c r="F49" s="34">
        <v>229.6</v>
      </c>
      <c r="G49" s="4"/>
      <c r="H49" s="4"/>
      <c r="I49" s="4"/>
      <c r="J49" s="4"/>
      <c r="K49" s="4"/>
      <c r="L49" s="4"/>
      <c r="M49" s="4"/>
      <c r="N49" s="4"/>
      <c r="O49" s="4"/>
    </row>
    <row r="50" spans="1:15" ht="12.6" customHeight="1" x14ac:dyDescent="0.25">
      <c r="A50" s="75">
        <v>41</v>
      </c>
      <c r="B50" s="40" t="s">
        <v>217</v>
      </c>
      <c r="C50" s="34">
        <f t="shared" si="0"/>
        <v>230</v>
      </c>
      <c r="D50" s="34"/>
      <c r="E50" s="39"/>
      <c r="F50" s="34">
        <v>230</v>
      </c>
      <c r="G50" s="4"/>
      <c r="H50" s="4"/>
      <c r="I50" s="4"/>
      <c r="J50" s="4"/>
      <c r="K50" s="4"/>
      <c r="L50" s="4"/>
      <c r="M50" s="4"/>
      <c r="N50" s="4"/>
      <c r="O50" s="4"/>
    </row>
    <row r="51" spans="1:15" ht="12.6" customHeight="1" x14ac:dyDescent="0.25">
      <c r="A51" s="75">
        <v>42</v>
      </c>
      <c r="B51" s="24" t="s">
        <v>148</v>
      </c>
      <c r="C51" s="34">
        <f t="shared" si="0"/>
        <v>12</v>
      </c>
      <c r="D51" s="34"/>
      <c r="E51" s="39"/>
      <c r="F51" s="34">
        <v>12</v>
      </c>
      <c r="G51" s="4"/>
      <c r="H51" s="4"/>
      <c r="I51" s="4"/>
      <c r="J51" s="4"/>
      <c r="K51" s="4"/>
      <c r="L51" s="4"/>
      <c r="M51" s="4"/>
      <c r="N51" s="4"/>
      <c r="O51" s="4"/>
    </row>
    <row r="52" spans="1:15" ht="12.6" customHeight="1" x14ac:dyDescent="0.25">
      <c r="A52" s="75">
        <v>43</v>
      </c>
      <c r="B52" s="27" t="s">
        <v>218</v>
      </c>
      <c r="C52" s="34">
        <f t="shared" si="0"/>
        <v>13.2</v>
      </c>
      <c r="D52" s="34">
        <v>13.2</v>
      </c>
      <c r="E52" s="39"/>
      <c r="F52" s="3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5">
      <c r="A53" s="75">
        <v>44</v>
      </c>
      <c r="B53" s="77" t="s">
        <v>3</v>
      </c>
      <c r="C53" s="34">
        <f t="shared" si="0"/>
        <v>22.9</v>
      </c>
      <c r="D53" s="34"/>
      <c r="E53" s="39">
        <v>22.9</v>
      </c>
      <c r="F53" s="34"/>
      <c r="G53" s="4"/>
      <c r="H53" s="4"/>
      <c r="I53" s="4"/>
      <c r="J53" s="4"/>
      <c r="K53" s="4"/>
      <c r="L53" s="4"/>
      <c r="M53" s="4"/>
      <c r="N53" s="4"/>
      <c r="O53" s="4"/>
    </row>
    <row r="54" spans="1:15" ht="26.4" x14ac:dyDescent="0.25">
      <c r="A54" s="75">
        <v>45</v>
      </c>
      <c r="B54" s="27" t="s">
        <v>8</v>
      </c>
      <c r="C54" s="34">
        <f t="shared" si="0"/>
        <v>13.4</v>
      </c>
      <c r="D54" s="34">
        <v>0.3</v>
      </c>
      <c r="E54" s="39">
        <v>13.1</v>
      </c>
      <c r="F54" s="34"/>
      <c r="G54" s="4"/>
      <c r="H54" s="4"/>
      <c r="I54" s="4"/>
      <c r="J54" s="4"/>
      <c r="K54" s="4"/>
      <c r="L54" s="4"/>
      <c r="M54" s="4"/>
      <c r="N54" s="4"/>
      <c r="O54" s="4"/>
    </row>
    <row r="55" spans="1:15" ht="12.6" customHeight="1" x14ac:dyDescent="0.25">
      <c r="A55" s="75">
        <v>46</v>
      </c>
      <c r="B55" s="27" t="s">
        <v>4</v>
      </c>
      <c r="C55" s="34">
        <f t="shared" si="0"/>
        <v>2.9</v>
      </c>
      <c r="D55" s="34"/>
      <c r="E55" s="39">
        <v>2.9</v>
      </c>
      <c r="F55" s="34"/>
      <c r="G55" s="4"/>
      <c r="H55" s="4"/>
      <c r="I55" s="4"/>
      <c r="J55" s="4"/>
      <c r="K55" s="4"/>
      <c r="L55" s="4"/>
      <c r="M55" s="4"/>
      <c r="N55" s="4"/>
      <c r="O55" s="4"/>
    </row>
    <row r="56" spans="1:15" ht="12.6" customHeight="1" x14ac:dyDescent="0.25">
      <c r="A56" s="75">
        <v>47</v>
      </c>
      <c r="B56" s="27" t="s">
        <v>5</v>
      </c>
      <c r="C56" s="34">
        <f t="shared" si="0"/>
        <v>4.9000000000000004</v>
      </c>
      <c r="D56" s="34">
        <v>2.7</v>
      </c>
      <c r="E56" s="39">
        <v>2.2000000000000002</v>
      </c>
      <c r="F56" s="34"/>
      <c r="G56" s="4"/>
      <c r="H56" s="4"/>
      <c r="I56" s="4"/>
      <c r="J56" s="4"/>
      <c r="K56" s="4"/>
      <c r="L56" s="4"/>
      <c r="M56" s="4"/>
      <c r="N56" s="4"/>
      <c r="O56" s="4"/>
    </row>
    <row r="57" spans="1:15" ht="12.6" customHeight="1" x14ac:dyDescent="0.25">
      <c r="A57" s="75">
        <v>48</v>
      </c>
      <c r="B57" s="27" t="s">
        <v>7</v>
      </c>
      <c r="C57" s="34">
        <f t="shared" si="0"/>
        <v>11.2</v>
      </c>
      <c r="D57" s="34">
        <v>3</v>
      </c>
      <c r="E57" s="39">
        <v>8.1999999999999993</v>
      </c>
      <c r="F57" s="34"/>
      <c r="G57" s="4"/>
      <c r="H57" s="4"/>
      <c r="I57" s="4"/>
      <c r="J57" s="4"/>
      <c r="K57" s="4"/>
      <c r="L57" s="4"/>
      <c r="M57" s="4"/>
      <c r="N57" s="4"/>
      <c r="O57" s="4"/>
    </row>
    <row r="58" spans="1:15" ht="12.6" customHeight="1" x14ac:dyDescent="0.25">
      <c r="A58" s="75">
        <v>49</v>
      </c>
      <c r="B58" s="27" t="s">
        <v>6</v>
      </c>
      <c r="C58" s="34">
        <f t="shared" si="0"/>
        <v>1.6</v>
      </c>
      <c r="D58" s="34">
        <v>0.6</v>
      </c>
      <c r="E58" s="39">
        <v>1</v>
      </c>
      <c r="F58" s="34"/>
      <c r="G58" s="4"/>
      <c r="H58" s="4"/>
      <c r="I58" s="4"/>
      <c r="J58" s="4"/>
      <c r="K58" s="4"/>
      <c r="L58" s="4"/>
      <c r="M58" s="4"/>
      <c r="N58" s="4"/>
      <c r="O58" s="4"/>
    </row>
    <row r="59" spans="1:15" ht="12.6" customHeight="1" x14ac:dyDescent="0.25">
      <c r="A59" s="75">
        <v>50</v>
      </c>
      <c r="B59" s="27" t="s">
        <v>9</v>
      </c>
      <c r="C59" s="34">
        <f t="shared" si="0"/>
        <v>3.4</v>
      </c>
      <c r="D59" s="34"/>
      <c r="E59" s="39">
        <v>3.4</v>
      </c>
      <c r="F59" s="34"/>
      <c r="G59" s="4"/>
      <c r="H59" s="4"/>
      <c r="I59" s="4"/>
      <c r="J59" s="4"/>
      <c r="K59" s="4"/>
      <c r="L59" s="4"/>
      <c r="M59" s="4"/>
      <c r="N59" s="4"/>
      <c r="O59" s="4"/>
    </row>
    <row r="60" spans="1:15" ht="12.6" customHeight="1" x14ac:dyDescent="0.25">
      <c r="A60" s="75">
        <v>51</v>
      </c>
      <c r="B60" s="28" t="s">
        <v>10</v>
      </c>
      <c r="C60" s="34">
        <f t="shared" si="0"/>
        <v>0.6</v>
      </c>
      <c r="D60" s="34"/>
      <c r="E60" s="39">
        <v>0.6</v>
      </c>
      <c r="F60" s="34"/>
      <c r="G60" s="4"/>
      <c r="H60" s="4"/>
      <c r="I60" s="4"/>
      <c r="J60" s="4"/>
      <c r="K60" s="4"/>
      <c r="L60" s="4"/>
      <c r="M60" s="4"/>
      <c r="N60" s="4"/>
      <c r="O60" s="4"/>
    </row>
    <row r="61" spans="1:15" ht="12.6" customHeight="1" x14ac:dyDescent="0.25">
      <c r="A61" s="75">
        <v>52</v>
      </c>
      <c r="B61" s="27" t="s">
        <v>12</v>
      </c>
      <c r="C61" s="34">
        <f t="shared" si="0"/>
        <v>1.1000000000000001</v>
      </c>
      <c r="D61" s="34">
        <v>0.1</v>
      </c>
      <c r="E61" s="39">
        <v>1</v>
      </c>
      <c r="F61" s="34"/>
      <c r="G61" s="4"/>
      <c r="H61" s="4"/>
      <c r="I61" s="4"/>
      <c r="J61" s="4"/>
      <c r="K61" s="4"/>
      <c r="L61" s="4"/>
      <c r="M61" s="4"/>
      <c r="N61" s="4"/>
      <c r="O61" s="4"/>
    </row>
    <row r="62" spans="1:15" ht="12.6" customHeight="1" x14ac:dyDescent="0.25">
      <c r="A62" s="75">
        <v>53</v>
      </c>
      <c r="B62" s="27" t="s">
        <v>11</v>
      </c>
      <c r="C62" s="34">
        <f t="shared" si="0"/>
        <v>1.2</v>
      </c>
      <c r="D62" s="34">
        <v>0.6</v>
      </c>
      <c r="E62" s="39">
        <v>0.6</v>
      </c>
      <c r="F62" s="34"/>
      <c r="G62" s="4"/>
      <c r="H62" s="4"/>
      <c r="I62" s="4"/>
      <c r="J62" s="4"/>
      <c r="K62" s="4"/>
      <c r="L62" s="4"/>
      <c r="M62" s="4"/>
      <c r="N62" s="4"/>
      <c r="O62" s="4"/>
    </row>
    <row r="63" spans="1:15" ht="12.6" customHeight="1" x14ac:dyDescent="0.25">
      <c r="A63" s="75">
        <v>54</v>
      </c>
      <c r="B63" s="27" t="s">
        <v>13</v>
      </c>
      <c r="C63" s="34">
        <f t="shared" si="0"/>
        <v>3.3</v>
      </c>
      <c r="D63" s="34">
        <v>2</v>
      </c>
      <c r="E63" s="39">
        <v>1.3</v>
      </c>
      <c r="F63" s="34"/>
      <c r="G63" s="4"/>
      <c r="H63" s="4"/>
      <c r="I63" s="4"/>
      <c r="J63" s="4"/>
      <c r="K63" s="4"/>
      <c r="L63" s="4"/>
      <c r="M63" s="4"/>
      <c r="N63" s="4"/>
      <c r="O63" s="4"/>
    </row>
    <row r="64" spans="1:15" ht="12.6" customHeight="1" x14ac:dyDescent="0.25">
      <c r="A64" s="75">
        <v>55</v>
      </c>
      <c r="B64" s="27" t="s">
        <v>14</v>
      </c>
      <c r="C64" s="34">
        <f t="shared" si="0"/>
        <v>0.5</v>
      </c>
      <c r="D64" s="34"/>
      <c r="E64" s="39">
        <v>0.5</v>
      </c>
      <c r="F64" s="34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5">
      <c r="A65" s="75">
        <v>56</v>
      </c>
      <c r="B65" s="78" t="s">
        <v>219</v>
      </c>
      <c r="C65" s="41">
        <f t="shared" si="0"/>
        <v>2083</v>
      </c>
      <c r="D65" s="41">
        <f>SUM(D10:D64)</f>
        <v>259.10000000000008</v>
      </c>
      <c r="E65" s="41">
        <f>SUM(E10:E64)</f>
        <v>148.69999999999999</v>
      </c>
      <c r="F65" s="41">
        <f>SUM(F10:F64)</f>
        <v>1675.1999999999998</v>
      </c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5">
      <c r="E66" s="36"/>
    </row>
    <row r="67" spans="1:15" x14ac:dyDescent="0.25">
      <c r="A67" s="247" t="s">
        <v>220</v>
      </c>
      <c r="B67" s="247"/>
      <c r="C67" s="247"/>
      <c r="D67" s="247"/>
      <c r="E67" s="247"/>
      <c r="F67" s="247"/>
    </row>
    <row r="68" spans="1:15" x14ac:dyDescent="0.25">
      <c r="C68" s="4"/>
      <c r="D68" s="4"/>
      <c r="E68" s="36"/>
      <c r="F68" s="4"/>
    </row>
    <row r="69" spans="1:15" x14ac:dyDescent="0.25">
      <c r="C69" s="4"/>
      <c r="D69" s="4"/>
      <c r="E69" s="4"/>
      <c r="F69" s="4"/>
    </row>
    <row r="70" spans="1:15" x14ac:dyDescent="0.25">
      <c r="C70" s="4"/>
      <c r="D70" s="4"/>
      <c r="E70" s="4"/>
      <c r="F70" s="4"/>
      <c r="G70" s="4"/>
      <c r="H70" s="4"/>
      <c r="I70" s="4"/>
    </row>
    <row r="71" spans="1:15" x14ac:dyDescent="0.25">
      <c r="H71" s="4"/>
    </row>
    <row r="72" spans="1:15" x14ac:dyDescent="0.25">
      <c r="H72" s="4"/>
    </row>
    <row r="75" spans="1:15" x14ac:dyDescent="0.25">
      <c r="B75" s="42"/>
    </row>
  </sheetData>
  <mergeCells count="9">
    <mergeCell ref="D7:F7"/>
    <mergeCell ref="B1:F1"/>
    <mergeCell ref="B2:F2"/>
    <mergeCell ref="A67:F67"/>
    <mergeCell ref="E3:F3"/>
    <mergeCell ref="A5:F5"/>
    <mergeCell ref="A7:A8"/>
    <mergeCell ref="B7:B8"/>
    <mergeCell ref="C7:C8"/>
  </mergeCells>
  <pageMargins left="0.51181102362204722" right="0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4"/>
  <sheetViews>
    <sheetView zoomScaleNormal="100" workbookViewId="0">
      <selection activeCell="J25" sqref="J25"/>
    </sheetView>
  </sheetViews>
  <sheetFormatPr defaultColWidth="9.109375" defaultRowHeight="13.2" x14ac:dyDescent="0.25"/>
  <cols>
    <col min="1" max="1" width="5.88671875" style="5" customWidth="1"/>
    <col min="2" max="2" width="6.6640625" style="6" customWidth="1"/>
    <col min="3" max="3" width="51.33203125" style="3" customWidth="1"/>
    <col min="4" max="4" width="11.44140625" style="7" customWidth="1"/>
    <col min="5" max="5" width="9.6640625" style="3" customWidth="1"/>
    <col min="6" max="6" width="11" style="3" customWidth="1"/>
    <col min="7" max="16384" width="9.109375" style="2"/>
  </cols>
  <sheetData>
    <row r="1" spans="1:6" ht="15.75" customHeight="1" x14ac:dyDescent="0.3">
      <c r="C1" s="246" t="s">
        <v>309</v>
      </c>
      <c r="D1" s="246"/>
      <c r="E1" s="246"/>
      <c r="F1" s="246"/>
    </row>
    <row r="2" spans="1:6" ht="15.6" x14ac:dyDescent="0.3">
      <c r="C2" s="246" t="s">
        <v>588</v>
      </c>
      <c r="D2" s="246"/>
      <c r="E2" s="246"/>
      <c r="F2" s="246"/>
    </row>
    <row r="3" spans="1:6" ht="14.25" customHeight="1" x14ac:dyDescent="0.25">
      <c r="B3" s="7"/>
      <c r="E3" s="271" t="s">
        <v>115</v>
      </c>
      <c r="F3" s="271"/>
    </row>
    <row r="4" spans="1:6" ht="15.6" x14ac:dyDescent="0.25">
      <c r="B4" s="7"/>
      <c r="E4" s="37"/>
      <c r="F4" s="37"/>
    </row>
    <row r="5" spans="1:6" ht="25.5" customHeight="1" x14ac:dyDescent="0.25">
      <c r="A5" s="272" t="s">
        <v>605</v>
      </c>
      <c r="B5" s="272"/>
      <c r="C5" s="272"/>
      <c r="D5" s="272"/>
      <c r="E5" s="272"/>
      <c r="F5" s="272"/>
    </row>
    <row r="6" spans="1:6" x14ac:dyDescent="0.25">
      <c r="A6" s="31"/>
      <c r="B6" s="31"/>
      <c r="C6" s="31"/>
      <c r="D6" s="31"/>
      <c r="E6" s="31"/>
      <c r="F6" s="31"/>
    </row>
    <row r="7" spans="1:6" x14ac:dyDescent="0.25">
      <c r="B7" s="7"/>
      <c r="E7" s="5"/>
      <c r="F7" s="54" t="s">
        <v>129</v>
      </c>
    </row>
    <row r="8" spans="1:6" ht="43.5" customHeight="1" x14ac:dyDescent="0.25">
      <c r="A8" s="8" t="s">
        <v>118</v>
      </c>
      <c r="B8" s="9" t="s">
        <v>367</v>
      </c>
      <c r="C8" s="8" t="s">
        <v>16</v>
      </c>
      <c r="D8" s="9" t="s">
        <v>55</v>
      </c>
      <c r="E8" s="8" t="s">
        <v>17</v>
      </c>
      <c r="F8" s="8" t="s">
        <v>29</v>
      </c>
    </row>
    <row r="9" spans="1:6" x14ac:dyDescent="0.25">
      <c r="A9" s="10">
        <v>1</v>
      </c>
      <c r="B9" s="11" t="s">
        <v>18</v>
      </c>
      <c r="C9" s="8">
        <v>3</v>
      </c>
      <c r="D9" s="9">
        <v>4</v>
      </c>
      <c r="E9" s="8">
        <v>5</v>
      </c>
      <c r="F9" s="8">
        <v>6</v>
      </c>
    </row>
    <row r="10" spans="1:6" ht="20.100000000000001" customHeight="1" x14ac:dyDescent="0.25">
      <c r="A10" s="12">
        <v>1</v>
      </c>
      <c r="B10" s="11" t="s">
        <v>56</v>
      </c>
      <c r="C10" s="13" t="s">
        <v>57</v>
      </c>
      <c r="D10" s="9"/>
      <c r="E10" s="115">
        <f>+E11+E12+E13+E14+E15+E16+E17+E18+E19+E20+E21+E22+E23+E24+E25+E26+E27+E28+E29+E30+E31+E32+E33+E34+E35+E37+E38+E40+E41+E42</f>
        <v>14460.699999999999</v>
      </c>
      <c r="F10" s="115">
        <f>+F11+F12+F13+F14+F15+F16+F17+F18+F19+F20+F21+F22+F23+F24+F25+F26+F27+F28+F29+F30+F31+F32+F33+F34+F35+F37+F38+F40+F41+F42</f>
        <v>10201.5</v>
      </c>
    </row>
    <row r="11" spans="1:6" ht="12.6" customHeight="1" x14ac:dyDescent="0.25">
      <c r="A11" s="12">
        <v>2</v>
      </c>
      <c r="B11" s="1"/>
      <c r="C11" s="24" t="s">
        <v>167</v>
      </c>
      <c r="D11" s="1" t="s">
        <v>58</v>
      </c>
      <c r="E11" s="19">
        <v>447.7</v>
      </c>
      <c r="F11" s="19">
        <v>354.9</v>
      </c>
    </row>
    <row r="12" spans="1:6" ht="12.6" customHeight="1" x14ac:dyDescent="0.25">
      <c r="A12" s="12">
        <v>3</v>
      </c>
      <c r="B12" s="1"/>
      <c r="C12" s="24" t="s">
        <v>158</v>
      </c>
      <c r="D12" s="1" t="s">
        <v>58</v>
      </c>
      <c r="E12" s="19">
        <v>486.3</v>
      </c>
      <c r="F12" s="19">
        <v>387.8</v>
      </c>
    </row>
    <row r="13" spans="1:6" ht="12.6" customHeight="1" x14ac:dyDescent="0.25">
      <c r="A13" s="12">
        <v>4</v>
      </c>
      <c r="B13" s="1"/>
      <c r="C13" s="24" t="s">
        <v>159</v>
      </c>
      <c r="D13" s="1" t="s">
        <v>58</v>
      </c>
      <c r="E13" s="19">
        <v>448.2</v>
      </c>
      <c r="F13" s="19">
        <v>351.9</v>
      </c>
    </row>
    <row r="14" spans="1:6" ht="12.6" customHeight="1" x14ac:dyDescent="0.25">
      <c r="A14" s="12">
        <v>5</v>
      </c>
      <c r="B14" s="1"/>
      <c r="C14" s="24" t="s">
        <v>163</v>
      </c>
      <c r="D14" s="1" t="s">
        <v>58</v>
      </c>
      <c r="E14" s="19">
        <v>450.2</v>
      </c>
      <c r="F14" s="19">
        <v>352.9</v>
      </c>
    </row>
    <row r="15" spans="1:6" ht="12.6" customHeight="1" x14ac:dyDescent="0.25">
      <c r="A15" s="12">
        <v>6</v>
      </c>
      <c r="B15" s="1"/>
      <c r="C15" s="24" t="s">
        <v>160</v>
      </c>
      <c r="D15" s="1" t="s">
        <v>58</v>
      </c>
      <c r="E15" s="19">
        <v>468.8</v>
      </c>
      <c r="F15" s="19">
        <v>369.8</v>
      </c>
    </row>
    <row r="16" spans="1:6" ht="12.6" customHeight="1" x14ac:dyDescent="0.25">
      <c r="A16" s="12">
        <v>7</v>
      </c>
      <c r="B16" s="1"/>
      <c r="C16" s="24" t="s">
        <v>161</v>
      </c>
      <c r="D16" s="1" t="s">
        <v>58</v>
      </c>
      <c r="E16" s="19">
        <v>541.5</v>
      </c>
      <c r="F16" s="19">
        <v>435.1</v>
      </c>
    </row>
    <row r="17" spans="1:6" ht="12.6" customHeight="1" x14ac:dyDescent="0.25">
      <c r="A17" s="12">
        <v>8</v>
      </c>
      <c r="B17" s="1"/>
      <c r="C17" s="24" t="s">
        <v>162</v>
      </c>
      <c r="D17" s="1" t="s">
        <v>58</v>
      </c>
      <c r="E17" s="19">
        <v>510</v>
      </c>
      <c r="F17" s="19">
        <v>396.3</v>
      </c>
    </row>
    <row r="18" spans="1:6" ht="12.6" customHeight="1" x14ac:dyDescent="0.25">
      <c r="A18" s="12">
        <v>9</v>
      </c>
      <c r="B18" s="1"/>
      <c r="C18" s="15" t="s">
        <v>187</v>
      </c>
      <c r="D18" s="1" t="s">
        <v>59</v>
      </c>
      <c r="E18" s="19">
        <v>444.6</v>
      </c>
      <c r="F18" s="19">
        <v>346.2</v>
      </c>
    </row>
    <row r="19" spans="1:6" ht="12.6" customHeight="1" x14ac:dyDescent="0.25">
      <c r="A19" s="12">
        <v>10</v>
      </c>
      <c r="B19" s="1"/>
      <c r="C19" s="24" t="s">
        <v>166</v>
      </c>
      <c r="D19" s="1" t="s">
        <v>60</v>
      </c>
      <c r="E19" s="19">
        <v>459.3</v>
      </c>
      <c r="F19" s="19">
        <v>307.8</v>
      </c>
    </row>
    <row r="20" spans="1:6" ht="26.4" x14ac:dyDescent="0.25">
      <c r="A20" s="12">
        <v>11</v>
      </c>
      <c r="B20" s="1"/>
      <c r="C20" s="24" t="s">
        <v>46</v>
      </c>
      <c r="D20" s="14" t="s">
        <v>119</v>
      </c>
      <c r="E20" s="19">
        <v>420</v>
      </c>
      <c r="F20" s="19">
        <v>258</v>
      </c>
    </row>
    <row r="21" spans="1:6" ht="12.6" customHeight="1" x14ac:dyDescent="0.25">
      <c r="A21" s="12">
        <v>12</v>
      </c>
      <c r="B21" s="1"/>
      <c r="C21" s="15" t="s">
        <v>134</v>
      </c>
      <c r="D21" s="1" t="s">
        <v>60</v>
      </c>
      <c r="E21" s="19">
        <v>944.7</v>
      </c>
      <c r="F21" s="19">
        <v>679.6</v>
      </c>
    </row>
    <row r="22" spans="1:6" ht="12.6" customHeight="1" x14ac:dyDescent="0.25">
      <c r="A22" s="12">
        <v>13</v>
      </c>
      <c r="B22" s="1"/>
      <c r="C22" s="15" t="s">
        <v>135</v>
      </c>
      <c r="D22" s="1" t="s">
        <v>60</v>
      </c>
      <c r="E22" s="19">
        <v>407</v>
      </c>
      <c r="F22" s="19">
        <v>278.60000000000002</v>
      </c>
    </row>
    <row r="23" spans="1:6" ht="12.6" customHeight="1" x14ac:dyDescent="0.25">
      <c r="A23" s="12">
        <v>14</v>
      </c>
      <c r="B23" s="1"/>
      <c r="C23" s="15" t="s">
        <v>40</v>
      </c>
      <c r="D23" s="1" t="s">
        <v>60</v>
      </c>
      <c r="E23" s="19">
        <v>948.2</v>
      </c>
      <c r="F23" s="19">
        <v>655.1</v>
      </c>
    </row>
    <row r="24" spans="1:6" ht="12.6" customHeight="1" x14ac:dyDescent="0.25">
      <c r="A24" s="12">
        <v>15</v>
      </c>
      <c r="B24" s="1"/>
      <c r="C24" s="24" t="s">
        <v>137</v>
      </c>
      <c r="D24" s="1" t="s">
        <v>60</v>
      </c>
      <c r="E24" s="19">
        <f>672.6+17.5</f>
        <v>690.1</v>
      </c>
      <c r="F24" s="19">
        <v>435</v>
      </c>
    </row>
    <row r="25" spans="1:6" ht="12.6" customHeight="1" x14ac:dyDescent="0.25">
      <c r="A25" s="12">
        <v>16</v>
      </c>
      <c r="B25" s="1"/>
      <c r="C25" s="15" t="s">
        <v>164</v>
      </c>
      <c r="D25" s="1" t="s">
        <v>61</v>
      </c>
      <c r="E25" s="19">
        <v>638.70000000000005</v>
      </c>
      <c r="F25" s="19">
        <v>400.9</v>
      </c>
    </row>
    <row r="26" spans="1:6" ht="12.6" customHeight="1" x14ac:dyDescent="0.25">
      <c r="A26" s="12">
        <v>17</v>
      </c>
      <c r="B26" s="1"/>
      <c r="C26" s="24" t="s">
        <v>165</v>
      </c>
      <c r="D26" s="1" t="s">
        <v>61</v>
      </c>
      <c r="E26" s="19">
        <v>478.1</v>
      </c>
      <c r="F26" s="19">
        <v>312.5</v>
      </c>
    </row>
    <row r="27" spans="1:6" ht="12.6" customHeight="1" x14ac:dyDescent="0.25">
      <c r="A27" s="12">
        <v>18</v>
      </c>
      <c r="B27" s="1"/>
      <c r="C27" s="15" t="s">
        <v>120</v>
      </c>
      <c r="D27" s="1" t="s">
        <v>61</v>
      </c>
      <c r="E27" s="19">
        <v>485.9</v>
      </c>
      <c r="F27" s="19">
        <v>311.2</v>
      </c>
    </row>
    <row r="28" spans="1:6" ht="12.6" customHeight="1" x14ac:dyDescent="0.25">
      <c r="A28" s="12">
        <v>19</v>
      </c>
      <c r="B28" s="1"/>
      <c r="C28" s="15" t="s">
        <v>41</v>
      </c>
      <c r="D28" s="1" t="s">
        <v>61</v>
      </c>
      <c r="E28" s="19">
        <v>321.60000000000002</v>
      </c>
      <c r="F28" s="19">
        <v>214</v>
      </c>
    </row>
    <row r="29" spans="1:6" ht="12.6" customHeight="1" x14ac:dyDescent="0.25">
      <c r="A29" s="12">
        <v>20</v>
      </c>
      <c r="B29" s="1"/>
      <c r="C29" s="15" t="s">
        <v>136</v>
      </c>
      <c r="D29" s="1" t="s">
        <v>61</v>
      </c>
      <c r="E29" s="19">
        <v>850.1</v>
      </c>
      <c r="F29" s="19">
        <v>569.70000000000005</v>
      </c>
    </row>
    <row r="30" spans="1:6" ht="12.6" customHeight="1" x14ac:dyDescent="0.25">
      <c r="A30" s="12">
        <v>21</v>
      </c>
      <c r="B30" s="1"/>
      <c r="C30" s="15" t="s">
        <v>147</v>
      </c>
      <c r="D30" s="1" t="s">
        <v>61</v>
      </c>
      <c r="E30" s="19">
        <v>213.7</v>
      </c>
      <c r="F30" s="19">
        <v>131.1</v>
      </c>
    </row>
    <row r="31" spans="1:6" ht="12.6" customHeight="1" x14ac:dyDescent="0.25">
      <c r="A31" s="12">
        <v>22</v>
      </c>
      <c r="B31" s="1"/>
      <c r="C31" s="15" t="s">
        <v>42</v>
      </c>
      <c r="D31" s="1" t="s">
        <v>61</v>
      </c>
      <c r="E31" s="19">
        <v>272.39999999999998</v>
      </c>
      <c r="F31" s="19">
        <v>207.5</v>
      </c>
    </row>
    <row r="32" spans="1:6" ht="52.8" x14ac:dyDescent="0.25">
      <c r="A32" s="12">
        <v>23</v>
      </c>
      <c r="B32" s="1"/>
      <c r="C32" s="15" t="s">
        <v>111</v>
      </c>
      <c r="D32" s="14" t="s">
        <v>360</v>
      </c>
      <c r="E32" s="19">
        <v>555</v>
      </c>
      <c r="F32" s="19">
        <v>342.8</v>
      </c>
    </row>
    <row r="33" spans="1:6" ht="12.6" customHeight="1" x14ac:dyDescent="0.25">
      <c r="A33" s="12">
        <v>24</v>
      </c>
      <c r="B33" s="1"/>
      <c r="C33" s="21" t="s">
        <v>366</v>
      </c>
      <c r="D33" s="14" t="s">
        <v>61</v>
      </c>
      <c r="E33" s="19">
        <v>0.3</v>
      </c>
      <c r="F33" s="19"/>
    </row>
    <row r="34" spans="1:6" ht="12.6" customHeight="1" x14ac:dyDescent="0.25">
      <c r="A34" s="12">
        <v>25</v>
      </c>
      <c r="B34" s="1"/>
      <c r="C34" s="24" t="s">
        <v>54</v>
      </c>
      <c r="D34" s="1" t="s">
        <v>62</v>
      </c>
      <c r="E34" s="19">
        <v>337.5</v>
      </c>
      <c r="F34" s="19">
        <v>308.60000000000002</v>
      </c>
    </row>
    <row r="35" spans="1:6" ht="12.6" customHeight="1" x14ac:dyDescent="0.25">
      <c r="A35" s="252">
        <v>26</v>
      </c>
      <c r="B35" s="1"/>
      <c r="C35" s="24" t="s">
        <v>47</v>
      </c>
      <c r="D35" s="254" t="s">
        <v>62</v>
      </c>
      <c r="E35" s="19">
        <f>+E36+366</f>
        <v>377</v>
      </c>
      <c r="F35" s="19">
        <v>347.8</v>
      </c>
    </row>
    <row r="36" spans="1:6" ht="26.4" x14ac:dyDescent="0.25">
      <c r="A36" s="253"/>
      <c r="B36" s="1"/>
      <c r="C36" s="15" t="s">
        <v>894</v>
      </c>
      <c r="D36" s="255"/>
      <c r="E36" s="19">
        <v>11</v>
      </c>
      <c r="F36" s="19"/>
    </row>
    <row r="37" spans="1:6" ht="12.6" customHeight="1" x14ac:dyDescent="0.25">
      <c r="A37" s="12">
        <v>27</v>
      </c>
      <c r="B37" s="1"/>
      <c r="C37" s="24" t="s">
        <v>48</v>
      </c>
      <c r="D37" s="1" t="s">
        <v>62</v>
      </c>
      <c r="E37" s="19">
        <v>951.3</v>
      </c>
      <c r="F37" s="19">
        <v>913.9</v>
      </c>
    </row>
    <row r="38" spans="1:6" ht="38.25" customHeight="1" x14ac:dyDescent="0.25">
      <c r="A38" s="269">
        <v>28</v>
      </c>
      <c r="B38" s="254"/>
      <c r="C38" s="24" t="s">
        <v>133</v>
      </c>
      <c r="D38" s="264" t="s">
        <v>150</v>
      </c>
      <c r="E38" s="19">
        <f>139.6+30.2</f>
        <v>169.79999999999998</v>
      </c>
      <c r="F38" s="19">
        <v>113</v>
      </c>
    </row>
    <row r="39" spans="1:6" x14ac:dyDescent="0.25">
      <c r="A39" s="270"/>
      <c r="B39" s="255"/>
      <c r="C39" s="119" t="s">
        <v>882</v>
      </c>
      <c r="D39" s="273"/>
      <c r="E39" s="19">
        <v>30.2</v>
      </c>
      <c r="F39" s="19"/>
    </row>
    <row r="40" spans="1:6" ht="12.6" customHeight="1" x14ac:dyDescent="0.25">
      <c r="A40" s="12">
        <v>29</v>
      </c>
      <c r="B40" s="1"/>
      <c r="C40" s="182" t="s">
        <v>15</v>
      </c>
      <c r="D40" s="1" t="s">
        <v>58</v>
      </c>
      <c r="E40" s="19">
        <v>165</v>
      </c>
      <c r="F40" s="19">
        <v>134.30000000000001</v>
      </c>
    </row>
    <row r="41" spans="1:6" ht="12.6" customHeight="1" x14ac:dyDescent="0.25">
      <c r="A41" s="12">
        <v>30</v>
      </c>
      <c r="B41" s="1"/>
      <c r="C41" s="182" t="s">
        <v>19</v>
      </c>
      <c r="D41" s="1" t="s">
        <v>58</v>
      </c>
      <c r="E41" s="19">
        <f>174.6+0.7</f>
        <v>175.29999999999998</v>
      </c>
      <c r="F41" s="19">
        <v>136</v>
      </c>
    </row>
    <row r="42" spans="1:6" ht="12.6" customHeight="1" x14ac:dyDescent="0.25">
      <c r="A42" s="12">
        <v>31</v>
      </c>
      <c r="B42" s="1"/>
      <c r="C42" s="16" t="s">
        <v>168</v>
      </c>
      <c r="D42" s="1"/>
      <c r="E42" s="120">
        <f>+E43+E47+E44+E45+E46</f>
        <v>802.4</v>
      </c>
      <c r="F42" s="120">
        <f>+F43+F47+F44+F45+F46</f>
        <v>149.19999999999999</v>
      </c>
    </row>
    <row r="43" spans="1:6" ht="15" customHeight="1" x14ac:dyDescent="0.25">
      <c r="A43" s="183" t="s">
        <v>658</v>
      </c>
      <c r="B43" s="1"/>
      <c r="C43" s="24" t="s">
        <v>3</v>
      </c>
      <c r="D43" s="14" t="s">
        <v>138</v>
      </c>
      <c r="E43" s="120">
        <v>181.7</v>
      </c>
      <c r="F43" s="120">
        <v>149.19999999999999</v>
      </c>
    </row>
    <row r="44" spans="1:6" ht="26.4" x14ac:dyDescent="0.25">
      <c r="A44" s="183" t="s">
        <v>659</v>
      </c>
      <c r="B44" s="1"/>
      <c r="C44" s="15" t="s">
        <v>816</v>
      </c>
      <c r="D44" s="14" t="s">
        <v>156</v>
      </c>
      <c r="E44" s="120">
        <v>95</v>
      </c>
      <c r="F44" s="19"/>
    </row>
    <row r="45" spans="1:6" ht="26.4" x14ac:dyDescent="0.25">
      <c r="A45" s="183" t="s">
        <v>660</v>
      </c>
      <c r="B45" s="1"/>
      <c r="C45" s="119" t="s">
        <v>287</v>
      </c>
      <c r="D45" s="1" t="s">
        <v>63</v>
      </c>
      <c r="E45" s="120">
        <v>50</v>
      </c>
      <c r="F45" s="19"/>
    </row>
    <row r="46" spans="1:6" ht="12.6" customHeight="1" x14ac:dyDescent="0.25">
      <c r="A46" s="183" t="s">
        <v>661</v>
      </c>
      <c r="B46" s="1"/>
      <c r="C46" s="119" t="s">
        <v>169</v>
      </c>
      <c r="D46" s="1" t="s">
        <v>64</v>
      </c>
      <c r="E46" s="120">
        <v>17</v>
      </c>
      <c r="F46" s="19"/>
    </row>
    <row r="47" spans="1:6" ht="39" customHeight="1" x14ac:dyDescent="0.25">
      <c r="A47" s="183" t="s">
        <v>662</v>
      </c>
      <c r="B47" s="1"/>
      <c r="C47" s="184" t="s">
        <v>608</v>
      </c>
      <c r="D47" s="1"/>
      <c r="E47" s="121">
        <f>SUM(E48:E60)</f>
        <v>458.7</v>
      </c>
      <c r="F47" s="121">
        <f>SUM(F48:F57)</f>
        <v>0</v>
      </c>
    </row>
    <row r="48" spans="1:6" ht="26.4" x14ac:dyDescent="0.25">
      <c r="A48" s="183" t="s">
        <v>663</v>
      </c>
      <c r="B48" s="1"/>
      <c r="C48" s="122" t="s">
        <v>151</v>
      </c>
      <c r="D48" s="1" t="s">
        <v>61</v>
      </c>
      <c r="E48" s="120">
        <v>89</v>
      </c>
      <c r="F48" s="19"/>
    </row>
    <row r="49" spans="1:7" x14ac:dyDescent="0.25">
      <c r="A49" s="183" t="s">
        <v>664</v>
      </c>
      <c r="B49" s="1"/>
      <c r="C49" s="62" t="s">
        <v>619</v>
      </c>
      <c r="D49" s="14" t="s">
        <v>156</v>
      </c>
      <c r="E49" s="120">
        <v>30</v>
      </c>
      <c r="F49" s="19"/>
    </row>
    <row r="50" spans="1:7" ht="26.4" x14ac:dyDescent="0.25">
      <c r="A50" s="183" t="s">
        <v>665</v>
      </c>
      <c r="B50" s="1"/>
      <c r="C50" s="123" t="s">
        <v>373</v>
      </c>
      <c r="D50" s="1" t="s">
        <v>61</v>
      </c>
      <c r="E50" s="120">
        <v>20</v>
      </c>
      <c r="F50" s="19"/>
    </row>
    <row r="51" spans="1:7" ht="26.4" x14ac:dyDescent="0.25">
      <c r="A51" s="183" t="s">
        <v>666</v>
      </c>
      <c r="B51" s="1"/>
      <c r="C51" s="119" t="s">
        <v>616</v>
      </c>
      <c r="D51" s="1" t="s">
        <v>60</v>
      </c>
      <c r="E51" s="120">
        <v>15.7</v>
      </c>
      <c r="F51" s="19"/>
    </row>
    <row r="52" spans="1:7" ht="26.4" x14ac:dyDescent="0.25">
      <c r="A52" s="183" t="s">
        <v>667</v>
      </c>
      <c r="B52" s="1"/>
      <c r="C52" s="185" t="s">
        <v>289</v>
      </c>
      <c r="D52" s="14" t="s">
        <v>156</v>
      </c>
      <c r="E52" s="120">
        <v>50</v>
      </c>
      <c r="F52" s="19"/>
    </row>
    <row r="53" spans="1:7" ht="26.4" x14ac:dyDescent="0.25">
      <c r="A53" s="183" t="s">
        <v>668</v>
      </c>
      <c r="B53" s="18"/>
      <c r="C53" s="122" t="s">
        <v>290</v>
      </c>
      <c r="D53" s="14" t="s">
        <v>156</v>
      </c>
      <c r="E53" s="34">
        <v>30</v>
      </c>
      <c r="F53" s="34"/>
    </row>
    <row r="54" spans="1:7" ht="26.4" x14ac:dyDescent="0.25">
      <c r="A54" s="183" t="s">
        <v>669</v>
      </c>
      <c r="B54" s="1"/>
      <c r="C54" s="119" t="s">
        <v>819</v>
      </c>
      <c r="D54" s="14" t="s">
        <v>156</v>
      </c>
      <c r="E54" s="120">
        <v>20</v>
      </c>
      <c r="F54" s="19"/>
    </row>
    <row r="55" spans="1:7" x14ac:dyDescent="0.25">
      <c r="A55" s="183" t="s">
        <v>670</v>
      </c>
      <c r="B55" s="1"/>
      <c r="C55" s="119" t="s">
        <v>620</v>
      </c>
      <c r="D55" s="14" t="s">
        <v>32</v>
      </c>
      <c r="E55" s="120">
        <v>30</v>
      </c>
      <c r="F55" s="19"/>
    </row>
    <row r="56" spans="1:7" ht="26.4" x14ac:dyDescent="0.25">
      <c r="A56" s="183" t="s">
        <v>671</v>
      </c>
      <c r="B56" s="1"/>
      <c r="C56" s="119" t="s">
        <v>374</v>
      </c>
      <c r="D56" s="14" t="s">
        <v>60</v>
      </c>
      <c r="E56" s="120">
        <v>100</v>
      </c>
      <c r="F56" s="19"/>
    </row>
    <row r="57" spans="1:7" ht="26.4" x14ac:dyDescent="0.25">
      <c r="A57" s="183" t="s">
        <v>672</v>
      </c>
      <c r="B57" s="1"/>
      <c r="C57" s="119" t="s">
        <v>449</v>
      </c>
      <c r="D57" s="1" t="s">
        <v>58</v>
      </c>
      <c r="E57" s="120">
        <v>1</v>
      </c>
      <c r="F57" s="19"/>
    </row>
    <row r="58" spans="1:7" ht="31.5" customHeight="1" x14ac:dyDescent="0.25">
      <c r="A58" s="183" t="s">
        <v>818</v>
      </c>
      <c r="B58" s="1"/>
      <c r="C58" s="119" t="s">
        <v>899</v>
      </c>
      <c r="D58" s="14" t="s">
        <v>156</v>
      </c>
      <c r="E58" s="120">
        <v>18</v>
      </c>
      <c r="F58" s="19"/>
    </row>
    <row r="59" spans="1:7" x14ac:dyDescent="0.25">
      <c r="A59" s="183" t="s">
        <v>883</v>
      </c>
      <c r="B59" s="1"/>
      <c r="C59" s="119" t="s">
        <v>872</v>
      </c>
      <c r="D59" s="14" t="s">
        <v>156</v>
      </c>
      <c r="E59" s="120">
        <v>50</v>
      </c>
      <c r="F59" s="19"/>
    </row>
    <row r="60" spans="1:7" ht="31.5" customHeight="1" x14ac:dyDescent="0.25">
      <c r="A60" s="183" t="s">
        <v>884</v>
      </c>
      <c r="B60" s="1"/>
      <c r="C60" s="62" t="s">
        <v>873</v>
      </c>
      <c r="D60" s="1" t="s">
        <v>62</v>
      </c>
      <c r="E60" s="120">
        <v>5</v>
      </c>
      <c r="F60" s="19"/>
      <c r="G60" s="4"/>
    </row>
    <row r="61" spans="1:7" ht="20.100000000000001" customHeight="1" x14ac:dyDescent="0.25">
      <c r="A61" s="12">
        <v>32</v>
      </c>
      <c r="B61" s="11" t="s">
        <v>65</v>
      </c>
      <c r="C61" s="17" t="s">
        <v>66</v>
      </c>
      <c r="D61" s="9"/>
      <c r="E61" s="41">
        <f>+E62+E64</f>
        <v>567.30000000000007</v>
      </c>
      <c r="F61" s="41">
        <f>+F62+F64</f>
        <v>78.5</v>
      </c>
    </row>
    <row r="62" spans="1:7" ht="26.4" x14ac:dyDescent="0.25">
      <c r="A62" s="252">
        <v>33</v>
      </c>
      <c r="B62" s="11"/>
      <c r="C62" s="15" t="s">
        <v>170</v>
      </c>
      <c r="D62" s="264" t="s">
        <v>171</v>
      </c>
      <c r="E62" s="19">
        <f>+E63+81.6</f>
        <v>97.6</v>
      </c>
      <c r="F62" s="19">
        <v>78.5</v>
      </c>
    </row>
    <row r="63" spans="1:7" ht="26.4" x14ac:dyDescent="0.25">
      <c r="A63" s="256"/>
      <c r="B63" s="11"/>
      <c r="C63" s="124" t="s">
        <v>436</v>
      </c>
      <c r="D63" s="265"/>
      <c r="E63" s="19">
        <v>16</v>
      </c>
      <c r="F63" s="19"/>
    </row>
    <row r="64" spans="1:7" ht="12.6" customHeight="1" x14ac:dyDescent="0.25">
      <c r="A64" s="12">
        <v>34</v>
      </c>
      <c r="B64" s="1"/>
      <c r="C64" s="16" t="s">
        <v>168</v>
      </c>
      <c r="D64" s="14"/>
      <c r="E64" s="19">
        <f>SUM(E65:E77)+E78</f>
        <v>469.70000000000005</v>
      </c>
      <c r="F64" s="19">
        <f>SUM(F65:F77)</f>
        <v>0</v>
      </c>
    </row>
    <row r="65" spans="1:6" ht="12.6" customHeight="1" x14ac:dyDescent="0.25">
      <c r="A65" s="183" t="s">
        <v>673</v>
      </c>
      <c r="B65" s="1"/>
      <c r="C65" s="24" t="s">
        <v>3</v>
      </c>
      <c r="D65" s="1" t="s">
        <v>109</v>
      </c>
      <c r="E65" s="19">
        <v>3</v>
      </c>
      <c r="F65" s="19"/>
    </row>
    <row r="66" spans="1:6" ht="42" customHeight="1" x14ac:dyDescent="0.25">
      <c r="A66" s="183" t="s">
        <v>674</v>
      </c>
      <c r="B66" s="1"/>
      <c r="C66" s="186" t="s">
        <v>375</v>
      </c>
      <c r="D66" s="14" t="s">
        <v>67</v>
      </c>
      <c r="E66" s="19">
        <v>20</v>
      </c>
      <c r="F66" s="19"/>
    </row>
    <row r="67" spans="1:6" ht="30" customHeight="1" x14ac:dyDescent="0.25">
      <c r="A67" s="183" t="s">
        <v>675</v>
      </c>
      <c r="B67" s="1"/>
      <c r="C67" s="187" t="s">
        <v>621</v>
      </c>
      <c r="D67" s="14" t="s">
        <v>68</v>
      </c>
      <c r="E67" s="19">
        <v>1.8</v>
      </c>
      <c r="F67" s="19"/>
    </row>
    <row r="68" spans="1:6" ht="39.6" x14ac:dyDescent="0.25">
      <c r="A68" s="183" t="s">
        <v>676</v>
      </c>
      <c r="B68" s="1"/>
      <c r="C68" s="186" t="s">
        <v>622</v>
      </c>
      <c r="D68" s="14" t="s">
        <v>127</v>
      </c>
      <c r="E68" s="19">
        <v>65</v>
      </c>
      <c r="F68" s="19"/>
    </row>
    <row r="69" spans="1:6" ht="45" customHeight="1" x14ac:dyDescent="0.25">
      <c r="A69" s="183" t="s">
        <v>677</v>
      </c>
      <c r="B69" s="1"/>
      <c r="C69" s="186" t="s">
        <v>172</v>
      </c>
      <c r="D69" s="14" t="s">
        <v>179</v>
      </c>
      <c r="E69" s="19">
        <v>7</v>
      </c>
      <c r="F69" s="19"/>
    </row>
    <row r="70" spans="1:6" ht="26.4" x14ac:dyDescent="0.25">
      <c r="A70" s="183" t="s">
        <v>678</v>
      </c>
      <c r="B70" s="1"/>
      <c r="C70" s="186" t="s">
        <v>203</v>
      </c>
      <c r="D70" s="14" t="s">
        <v>68</v>
      </c>
      <c r="E70" s="19">
        <v>21.1</v>
      </c>
      <c r="F70" s="19"/>
    </row>
    <row r="71" spans="1:6" ht="26.4" x14ac:dyDescent="0.25">
      <c r="A71" s="183" t="s">
        <v>679</v>
      </c>
      <c r="B71" s="1"/>
      <c r="C71" s="186" t="s">
        <v>277</v>
      </c>
      <c r="D71" s="14" t="s">
        <v>68</v>
      </c>
      <c r="E71" s="19">
        <v>19.100000000000001</v>
      </c>
      <c r="F71" s="19"/>
    </row>
    <row r="72" spans="1:6" ht="27.6" customHeight="1" x14ac:dyDescent="0.25">
      <c r="A72" s="183" t="s">
        <v>680</v>
      </c>
      <c r="B72" s="1"/>
      <c r="C72" s="187" t="s">
        <v>376</v>
      </c>
      <c r="D72" s="14" t="s">
        <v>179</v>
      </c>
      <c r="E72" s="19">
        <v>25.9</v>
      </c>
      <c r="F72" s="19"/>
    </row>
    <row r="73" spans="1:6" ht="27.6" customHeight="1" x14ac:dyDescent="0.25">
      <c r="A73" s="183" t="s">
        <v>681</v>
      </c>
      <c r="B73" s="1"/>
      <c r="C73" s="187" t="s">
        <v>377</v>
      </c>
      <c r="D73" s="14" t="s">
        <v>179</v>
      </c>
      <c r="E73" s="19">
        <v>28.5</v>
      </c>
      <c r="F73" s="19"/>
    </row>
    <row r="74" spans="1:6" ht="26.4" x14ac:dyDescent="0.25">
      <c r="A74" s="183" t="s">
        <v>682</v>
      </c>
      <c r="B74" s="1"/>
      <c r="C74" s="187" t="s">
        <v>623</v>
      </c>
      <c r="D74" s="14" t="s">
        <v>199</v>
      </c>
      <c r="E74" s="19">
        <v>4.8</v>
      </c>
      <c r="F74" s="19"/>
    </row>
    <row r="75" spans="1:6" ht="26.4" x14ac:dyDescent="0.25">
      <c r="A75" s="183" t="s">
        <v>683</v>
      </c>
      <c r="B75" s="1"/>
      <c r="C75" s="187" t="s">
        <v>794</v>
      </c>
      <c r="D75" s="14" t="s">
        <v>179</v>
      </c>
      <c r="E75" s="19">
        <v>122.1</v>
      </c>
      <c r="F75" s="19"/>
    </row>
    <row r="76" spans="1:6" ht="39.6" x14ac:dyDescent="0.25">
      <c r="A76" s="183" t="s">
        <v>684</v>
      </c>
      <c r="B76" s="1"/>
      <c r="C76" s="186" t="s">
        <v>624</v>
      </c>
      <c r="D76" s="14" t="s">
        <v>67</v>
      </c>
      <c r="E76" s="19">
        <v>15</v>
      </c>
      <c r="F76" s="19"/>
    </row>
    <row r="77" spans="1:6" ht="29.25" customHeight="1" x14ac:dyDescent="0.25">
      <c r="A77" s="183" t="s">
        <v>685</v>
      </c>
      <c r="B77" s="1"/>
      <c r="C77" s="186" t="s">
        <v>276</v>
      </c>
      <c r="D77" s="14" t="s">
        <v>69</v>
      </c>
      <c r="E77" s="19">
        <v>132.4</v>
      </c>
      <c r="F77" s="19"/>
    </row>
    <row r="78" spans="1:6" ht="38.4" customHeight="1" x14ac:dyDescent="0.25">
      <c r="A78" s="183" t="s">
        <v>686</v>
      </c>
      <c r="B78" s="1"/>
      <c r="C78" s="184" t="s">
        <v>608</v>
      </c>
      <c r="D78" s="14"/>
      <c r="E78" s="121">
        <f>+E79+E80</f>
        <v>4</v>
      </c>
      <c r="F78" s="121">
        <f>+F79+F80</f>
        <v>0</v>
      </c>
    </row>
    <row r="79" spans="1:6" ht="26.4" x14ac:dyDescent="0.25">
      <c r="A79" s="183" t="s">
        <v>687</v>
      </c>
      <c r="B79" s="1"/>
      <c r="C79" s="186" t="s">
        <v>181</v>
      </c>
      <c r="D79" s="14" t="s">
        <v>127</v>
      </c>
      <c r="E79" s="19">
        <v>0.6</v>
      </c>
      <c r="F79" s="19"/>
    </row>
    <row r="80" spans="1:6" ht="26.4" x14ac:dyDescent="0.25">
      <c r="A80" s="183" t="s">
        <v>688</v>
      </c>
      <c r="B80" s="1"/>
      <c r="C80" s="62" t="s">
        <v>173</v>
      </c>
      <c r="D80" s="14" t="s">
        <v>68</v>
      </c>
      <c r="E80" s="19">
        <v>3.4</v>
      </c>
      <c r="F80" s="19"/>
    </row>
    <row r="81" spans="1:6" ht="21.75" customHeight="1" x14ac:dyDescent="0.25">
      <c r="A81" s="12">
        <v>35</v>
      </c>
      <c r="B81" s="11" t="s">
        <v>21</v>
      </c>
      <c r="C81" s="17" t="s">
        <v>22</v>
      </c>
      <c r="D81" s="9"/>
      <c r="E81" s="41">
        <f>+E82+E85+E86+E87+E88+E89+E110+E112+E114+E115+E117+E119+E120+E122+E124+E126+E128</f>
        <v>13027.2</v>
      </c>
      <c r="F81" s="41">
        <f>+F82+F85+F86+F87+F88+F89+F110+F112+F114+F115+F117+F119+F120+F122+F124+F126+F128</f>
        <v>3427.8</v>
      </c>
    </row>
    <row r="82" spans="1:6" ht="12.6" customHeight="1" x14ac:dyDescent="0.25">
      <c r="A82" s="266">
        <v>36</v>
      </c>
      <c r="B82" s="267"/>
      <c r="C82" s="24" t="s">
        <v>1</v>
      </c>
      <c r="D82" s="268" t="s">
        <v>70</v>
      </c>
      <c r="E82" s="19">
        <v>1378.8</v>
      </c>
      <c r="F82" s="19">
        <v>1078</v>
      </c>
    </row>
    <row r="83" spans="1:6" ht="12.6" customHeight="1" x14ac:dyDescent="0.25">
      <c r="A83" s="266"/>
      <c r="B83" s="267"/>
      <c r="C83" s="125" t="s">
        <v>609</v>
      </c>
      <c r="D83" s="268"/>
      <c r="E83" s="19">
        <v>201.9</v>
      </c>
      <c r="F83" s="19"/>
    </row>
    <row r="84" spans="1:6" ht="12.6" customHeight="1" x14ac:dyDescent="0.25">
      <c r="A84" s="266"/>
      <c r="B84" s="267"/>
      <c r="C84" s="124" t="s">
        <v>182</v>
      </c>
      <c r="D84" s="268"/>
      <c r="E84" s="19">
        <v>10</v>
      </c>
      <c r="F84" s="19"/>
    </row>
    <row r="85" spans="1:6" ht="12.6" customHeight="1" x14ac:dyDescent="0.25">
      <c r="A85" s="12">
        <v>37</v>
      </c>
      <c r="B85" s="1"/>
      <c r="C85" s="48" t="s">
        <v>2</v>
      </c>
      <c r="D85" s="188" t="s">
        <v>71</v>
      </c>
      <c r="E85" s="19">
        <v>335.7</v>
      </c>
      <c r="F85" s="19">
        <v>216.2</v>
      </c>
    </row>
    <row r="86" spans="1:6" ht="12.6" customHeight="1" x14ac:dyDescent="0.25">
      <c r="A86" s="12">
        <v>38</v>
      </c>
      <c r="B86" s="1"/>
      <c r="C86" s="182" t="s">
        <v>15</v>
      </c>
      <c r="D86" s="14" t="s">
        <v>103</v>
      </c>
      <c r="E86" s="19">
        <v>352.1</v>
      </c>
      <c r="F86" s="34">
        <v>296.60000000000002</v>
      </c>
    </row>
    <row r="87" spans="1:6" ht="12.6" customHeight="1" x14ac:dyDescent="0.25">
      <c r="A87" s="12">
        <v>39</v>
      </c>
      <c r="B87" s="1"/>
      <c r="C87" s="182" t="s">
        <v>19</v>
      </c>
      <c r="D87" s="23" t="s">
        <v>71</v>
      </c>
      <c r="E87" s="19">
        <f>395.5+2.4</f>
        <v>397.9</v>
      </c>
      <c r="F87" s="19">
        <v>318.89999999999998</v>
      </c>
    </row>
    <row r="88" spans="1:6" ht="12.6" customHeight="1" x14ac:dyDescent="0.25">
      <c r="A88" s="12">
        <v>40</v>
      </c>
      <c r="B88" s="1"/>
      <c r="C88" s="24" t="s">
        <v>148</v>
      </c>
      <c r="D88" s="188" t="s">
        <v>23</v>
      </c>
      <c r="E88" s="19">
        <v>1498.1</v>
      </c>
      <c r="F88" s="19">
        <v>1084.8</v>
      </c>
    </row>
    <row r="89" spans="1:6" ht="12.6" customHeight="1" x14ac:dyDescent="0.25">
      <c r="A89" s="12">
        <v>41</v>
      </c>
      <c r="B89" s="1"/>
      <c r="C89" s="16" t="s">
        <v>168</v>
      </c>
      <c r="D89" s="1"/>
      <c r="E89" s="120">
        <f>+E91+E92+E93+E94+E95+E96+E97+E98+E99+E100+E101+E102+E103+E105+E90+E104</f>
        <v>3692.2000000000003</v>
      </c>
      <c r="F89" s="120">
        <f>+F91+F92+F93+F94+F95+F96+F97+F98+F99+F100+F101+F102+F103+F105+F90</f>
        <v>68.8</v>
      </c>
    </row>
    <row r="90" spans="1:6" ht="66" x14ac:dyDescent="0.25">
      <c r="A90" s="183" t="s">
        <v>689</v>
      </c>
      <c r="B90" s="1"/>
      <c r="C90" s="16" t="s">
        <v>3</v>
      </c>
      <c r="D90" s="23" t="s">
        <v>452</v>
      </c>
      <c r="E90" s="19">
        <v>1467.9</v>
      </c>
      <c r="F90" s="19">
        <v>68.8</v>
      </c>
    </row>
    <row r="91" spans="1:6" ht="27.6" customHeight="1" x14ac:dyDescent="0.25">
      <c r="A91" s="183" t="s">
        <v>690</v>
      </c>
      <c r="B91" s="1"/>
      <c r="C91" s="123" t="s">
        <v>378</v>
      </c>
      <c r="D91" s="189" t="s">
        <v>72</v>
      </c>
      <c r="E91" s="19">
        <v>75</v>
      </c>
      <c r="F91" s="19"/>
    </row>
    <row r="92" spans="1:6" ht="26.25" customHeight="1" x14ac:dyDescent="0.25">
      <c r="A92" s="183" t="s">
        <v>691</v>
      </c>
      <c r="B92" s="1"/>
      <c r="C92" s="186" t="s">
        <v>379</v>
      </c>
      <c r="D92" s="189" t="s">
        <v>72</v>
      </c>
      <c r="E92" s="19">
        <v>240</v>
      </c>
      <c r="F92" s="19"/>
    </row>
    <row r="93" spans="1:6" ht="28.5" customHeight="1" x14ac:dyDescent="0.25">
      <c r="A93" s="183" t="s">
        <v>692</v>
      </c>
      <c r="B93" s="1"/>
      <c r="C93" s="122" t="s">
        <v>380</v>
      </c>
      <c r="D93" s="1" t="s">
        <v>107</v>
      </c>
      <c r="E93" s="34">
        <v>58.5</v>
      </c>
      <c r="F93" s="34"/>
    </row>
    <row r="94" spans="1:6" ht="12.6" customHeight="1" x14ac:dyDescent="0.25">
      <c r="A94" s="183" t="s">
        <v>693</v>
      </c>
      <c r="B94" s="1"/>
      <c r="C94" s="122" t="s">
        <v>381</v>
      </c>
      <c r="D94" s="188" t="s">
        <v>73</v>
      </c>
      <c r="E94" s="19">
        <v>153.5</v>
      </c>
      <c r="F94" s="19"/>
    </row>
    <row r="95" spans="1:6" ht="26.25" customHeight="1" x14ac:dyDescent="0.25">
      <c r="A95" s="183" t="s">
        <v>694</v>
      </c>
      <c r="B95" s="1"/>
      <c r="C95" s="122" t="s">
        <v>382</v>
      </c>
      <c r="D95" s="189" t="s">
        <v>73</v>
      </c>
      <c r="E95" s="19">
        <v>170</v>
      </c>
      <c r="F95" s="19"/>
    </row>
    <row r="96" spans="1:6" ht="39" customHeight="1" x14ac:dyDescent="0.25">
      <c r="A96" s="183" t="s">
        <v>695</v>
      </c>
      <c r="B96" s="1"/>
      <c r="C96" s="122" t="s">
        <v>383</v>
      </c>
      <c r="D96" s="189" t="s">
        <v>74</v>
      </c>
      <c r="E96" s="34">
        <v>807</v>
      </c>
      <c r="F96" s="34"/>
    </row>
    <row r="97" spans="1:6" ht="39.6" x14ac:dyDescent="0.25">
      <c r="A97" s="183" t="s">
        <v>696</v>
      </c>
      <c r="B97" s="1"/>
      <c r="C97" s="122" t="s">
        <v>896</v>
      </c>
      <c r="D97" s="1" t="s">
        <v>75</v>
      </c>
      <c r="E97" s="34">
        <v>90</v>
      </c>
      <c r="F97" s="34"/>
    </row>
    <row r="98" spans="1:6" ht="26.4" x14ac:dyDescent="0.25">
      <c r="A98" s="183" t="s">
        <v>697</v>
      </c>
      <c r="B98" s="1"/>
      <c r="C98" s="122" t="s">
        <v>626</v>
      </c>
      <c r="D98" s="1" t="s">
        <v>792</v>
      </c>
      <c r="E98" s="34">
        <v>15</v>
      </c>
      <c r="F98" s="34"/>
    </row>
    <row r="99" spans="1:6" ht="26.4" x14ac:dyDescent="0.25">
      <c r="A99" s="183" t="s">
        <v>698</v>
      </c>
      <c r="B99" s="1"/>
      <c r="C99" s="122" t="s">
        <v>627</v>
      </c>
      <c r="D99" s="1" t="s">
        <v>792</v>
      </c>
      <c r="E99" s="34">
        <v>10</v>
      </c>
      <c r="F99" s="34"/>
    </row>
    <row r="100" spans="1:6" x14ac:dyDescent="0.25">
      <c r="A100" s="183" t="s">
        <v>699</v>
      </c>
      <c r="B100" s="1"/>
      <c r="C100" s="122" t="s">
        <v>188</v>
      </c>
      <c r="D100" s="188" t="s">
        <v>23</v>
      </c>
      <c r="E100" s="34">
        <v>117.1</v>
      </c>
      <c r="F100" s="34"/>
    </row>
    <row r="101" spans="1:6" ht="26.4" x14ac:dyDescent="0.25">
      <c r="A101" s="183" t="s">
        <v>700</v>
      </c>
      <c r="B101" s="1"/>
      <c r="C101" s="122" t="s">
        <v>288</v>
      </c>
      <c r="D101" s="188" t="s">
        <v>23</v>
      </c>
      <c r="E101" s="34">
        <v>30</v>
      </c>
      <c r="F101" s="34"/>
    </row>
    <row r="102" spans="1:6" ht="26.4" x14ac:dyDescent="0.25">
      <c r="A102" s="183" t="s">
        <v>701</v>
      </c>
      <c r="B102" s="1"/>
      <c r="C102" s="122" t="s">
        <v>625</v>
      </c>
      <c r="D102" s="188" t="s">
        <v>31</v>
      </c>
      <c r="E102" s="34">
        <v>18.399999999999999</v>
      </c>
      <c r="F102" s="34"/>
    </row>
    <row r="103" spans="1:6" ht="39.6" x14ac:dyDescent="0.25">
      <c r="A103" s="183" t="s">
        <v>702</v>
      </c>
      <c r="B103" s="1"/>
      <c r="C103" s="122" t="s">
        <v>628</v>
      </c>
      <c r="D103" s="188" t="s">
        <v>792</v>
      </c>
      <c r="E103" s="34">
        <v>10.8</v>
      </c>
      <c r="F103" s="34"/>
    </row>
    <row r="104" spans="1:6" x14ac:dyDescent="0.25">
      <c r="A104" s="183" t="s">
        <v>703</v>
      </c>
      <c r="B104" s="1"/>
      <c r="C104" s="122" t="s">
        <v>866</v>
      </c>
      <c r="D104" s="188" t="s">
        <v>792</v>
      </c>
      <c r="E104" s="34">
        <v>2</v>
      </c>
      <c r="F104" s="34"/>
    </row>
    <row r="105" spans="1:6" ht="39" customHeight="1" x14ac:dyDescent="0.25">
      <c r="A105" s="183" t="s">
        <v>867</v>
      </c>
      <c r="B105" s="1"/>
      <c r="C105" s="184" t="s">
        <v>608</v>
      </c>
      <c r="D105" s="11"/>
      <c r="E105" s="190">
        <f>SUM(E106:E109)</f>
        <v>427</v>
      </c>
      <c r="F105" s="190">
        <f>SUM(F106:F108)</f>
        <v>0</v>
      </c>
    </row>
    <row r="106" spans="1:6" ht="12.6" customHeight="1" x14ac:dyDescent="0.25">
      <c r="A106" s="183" t="s">
        <v>868</v>
      </c>
      <c r="B106" s="1"/>
      <c r="C106" s="122" t="s">
        <v>152</v>
      </c>
      <c r="D106" s="1" t="s">
        <v>88</v>
      </c>
      <c r="E106" s="34">
        <v>220</v>
      </c>
      <c r="F106" s="34"/>
    </row>
    <row r="107" spans="1:6" ht="26.4" x14ac:dyDescent="0.25">
      <c r="A107" s="183" t="s">
        <v>869</v>
      </c>
      <c r="B107" s="1"/>
      <c r="C107" s="122" t="s">
        <v>384</v>
      </c>
      <c r="D107" s="14" t="s">
        <v>180</v>
      </c>
      <c r="E107" s="34">
        <v>150</v>
      </c>
      <c r="F107" s="34"/>
    </row>
    <row r="108" spans="1:6" ht="26.4" x14ac:dyDescent="0.25">
      <c r="A108" s="183" t="s">
        <v>870</v>
      </c>
      <c r="B108" s="1"/>
      <c r="C108" s="122" t="s">
        <v>189</v>
      </c>
      <c r="D108" s="1" t="s">
        <v>75</v>
      </c>
      <c r="E108" s="34">
        <v>42</v>
      </c>
      <c r="F108" s="34"/>
    </row>
    <row r="109" spans="1:6" ht="26.4" x14ac:dyDescent="0.25">
      <c r="A109" s="183" t="s">
        <v>871</v>
      </c>
      <c r="B109" s="117"/>
      <c r="C109" s="62" t="s">
        <v>817</v>
      </c>
      <c r="D109" s="1" t="s">
        <v>88</v>
      </c>
      <c r="E109" s="34">
        <v>15</v>
      </c>
      <c r="F109" s="34"/>
    </row>
    <row r="110" spans="1:6" ht="52.8" x14ac:dyDescent="0.25">
      <c r="A110" s="252">
        <v>42</v>
      </c>
      <c r="B110" s="254"/>
      <c r="C110" s="15" t="s">
        <v>8</v>
      </c>
      <c r="D110" s="14" t="s">
        <v>807</v>
      </c>
      <c r="E110" s="19">
        <f>1753.6+E111</f>
        <v>1775.6999999999998</v>
      </c>
      <c r="F110" s="19">
        <f>108+F111</f>
        <v>129.80000000000001</v>
      </c>
    </row>
    <row r="111" spans="1:6" x14ac:dyDescent="0.25">
      <c r="A111" s="253"/>
      <c r="B111" s="255"/>
      <c r="C111" s="15" t="s">
        <v>300</v>
      </c>
      <c r="D111" s="14" t="s">
        <v>39</v>
      </c>
      <c r="E111" s="19">
        <v>22.1</v>
      </c>
      <c r="F111" s="19">
        <v>21.8</v>
      </c>
    </row>
    <row r="112" spans="1:6" ht="54" customHeight="1" x14ac:dyDescent="0.25">
      <c r="A112" s="252">
        <v>43</v>
      </c>
      <c r="B112" s="254"/>
      <c r="C112" s="15" t="s">
        <v>4</v>
      </c>
      <c r="D112" s="14" t="s">
        <v>808</v>
      </c>
      <c r="E112" s="19">
        <f>692.6+E113</f>
        <v>700</v>
      </c>
      <c r="F112" s="19">
        <f>32+F113</f>
        <v>39.299999999999997</v>
      </c>
    </row>
    <row r="113" spans="1:6" x14ac:dyDescent="0.25">
      <c r="A113" s="253"/>
      <c r="B113" s="255"/>
      <c r="C113" s="15" t="s">
        <v>300</v>
      </c>
      <c r="D113" s="14" t="s">
        <v>39</v>
      </c>
      <c r="E113" s="19">
        <v>7.4</v>
      </c>
      <c r="F113" s="19">
        <v>7.3</v>
      </c>
    </row>
    <row r="114" spans="1:6" ht="39.75" customHeight="1" x14ac:dyDescent="0.25">
      <c r="A114" s="12">
        <v>44</v>
      </c>
      <c r="B114" s="1"/>
      <c r="C114" s="15" t="s">
        <v>5</v>
      </c>
      <c r="D114" s="14" t="s">
        <v>114</v>
      </c>
      <c r="E114" s="19">
        <v>380</v>
      </c>
      <c r="F114" s="19">
        <v>13.2</v>
      </c>
    </row>
    <row r="115" spans="1:6" ht="51" customHeight="1" x14ac:dyDescent="0.25">
      <c r="A115" s="252">
        <v>45</v>
      </c>
      <c r="B115" s="254"/>
      <c r="C115" s="15" t="s">
        <v>7</v>
      </c>
      <c r="D115" s="14" t="s">
        <v>808</v>
      </c>
      <c r="E115" s="19">
        <f>329.4+E116</f>
        <v>333.09999999999997</v>
      </c>
      <c r="F115" s="19">
        <f>18+F116</f>
        <v>21.6</v>
      </c>
    </row>
    <row r="116" spans="1:6" x14ac:dyDescent="0.25">
      <c r="A116" s="253"/>
      <c r="B116" s="255"/>
      <c r="C116" s="15" t="s">
        <v>300</v>
      </c>
      <c r="D116" s="14" t="s">
        <v>39</v>
      </c>
      <c r="E116" s="19">
        <v>3.7</v>
      </c>
      <c r="F116" s="19">
        <v>3.6</v>
      </c>
    </row>
    <row r="117" spans="1:6" ht="50.25" customHeight="1" x14ac:dyDescent="0.25">
      <c r="A117" s="252">
        <v>46</v>
      </c>
      <c r="B117" s="254"/>
      <c r="C117" s="15" t="s">
        <v>6</v>
      </c>
      <c r="D117" s="14" t="s">
        <v>808</v>
      </c>
      <c r="E117" s="19">
        <f>357.4+E118</f>
        <v>361.09999999999997</v>
      </c>
      <c r="F117" s="19">
        <f>27.8+F118</f>
        <v>31.400000000000002</v>
      </c>
    </row>
    <row r="118" spans="1:6" x14ac:dyDescent="0.25">
      <c r="A118" s="253"/>
      <c r="B118" s="255"/>
      <c r="C118" s="15" t="s">
        <v>300</v>
      </c>
      <c r="D118" s="14" t="s">
        <v>39</v>
      </c>
      <c r="E118" s="19">
        <v>3.7</v>
      </c>
      <c r="F118" s="19">
        <v>3.6</v>
      </c>
    </row>
    <row r="119" spans="1:6" ht="40.5" customHeight="1" x14ac:dyDescent="0.25">
      <c r="A119" s="116">
        <v>47</v>
      </c>
      <c r="B119" s="117"/>
      <c r="C119" s="15" t="s">
        <v>9</v>
      </c>
      <c r="D119" s="14" t="s">
        <v>810</v>
      </c>
      <c r="E119" s="19">
        <f>426.9</f>
        <v>426.9</v>
      </c>
      <c r="F119" s="19">
        <f>17.6</f>
        <v>17.600000000000001</v>
      </c>
    </row>
    <row r="120" spans="1:6" ht="51.75" customHeight="1" x14ac:dyDescent="0.25">
      <c r="A120" s="252">
        <v>48</v>
      </c>
      <c r="B120" s="254"/>
      <c r="C120" s="16" t="s">
        <v>10</v>
      </c>
      <c r="D120" s="14" t="s">
        <v>808</v>
      </c>
      <c r="E120" s="19">
        <f>323.6+E121</f>
        <v>327.3</v>
      </c>
      <c r="F120" s="19">
        <f>14.8+F121</f>
        <v>18.400000000000002</v>
      </c>
    </row>
    <row r="121" spans="1:6" x14ac:dyDescent="0.25">
      <c r="A121" s="253"/>
      <c r="B121" s="255"/>
      <c r="C121" s="15" t="s">
        <v>300</v>
      </c>
      <c r="D121" s="14" t="s">
        <v>39</v>
      </c>
      <c r="E121" s="19">
        <v>3.7</v>
      </c>
      <c r="F121" s="19">
        <v>3.6</v>
      </c>
    </row>
    <row r="122" spans="1:6" ht="52.5" customHeight="1" x14ac:dyDescent="0.25">
      <c r="A122" s="252">
        <v>49</v>
      </c>
      <c r="B122" s="254"/>
      <c r="C122" s="15" t="s">
        <v>12</v>
      </c>
      <c r="D122" s="14" t="s">
        <v>808</v>
      </c>
      <c r="E122" s="19">
        <f>302.6+E123</f>
        <v>306.3</v>
      </c>
      <c r="F122" s="19">
        <f>14.3+F123</f>
        <v>17.900000000000002</v>
      </c>
    </row>
    <row r="123" spans="1:6" x14ac:dyDescent="0.25">
      <c r="A123" s="253"/>
      <c r="B123" s="255"/>
      <c r="C123" s="15" t="s">
        <v>300</v>
      </c>
      <c r="D123" s="14" t="s">
        <v>39</v>
      </c>
      <c r="E123" s="19">
        <v>3.7</v>
      </c>
      <c r="F123" s="19">
        <v>3.6</v>
      </c>
    </row>
    <row r="124" spans="1:6" ht="52.8" x14ac:dyDescent="0.25">
      <c r="A124" s="252">
        <v>50</v>
      </c>
      <c r="B124" s="254"/>
      <c r="C124" s="15" t="s">
        <v>11</v>
      </c>
      <c r="D124" s="14" t="s">
        <v>808</v>
      </c>
      <c r="E124" s="19">
        <f>344.5+E125</f>
        <v>348.2</v>
      </c>
      <c r="F124" s="19">
        <f>18.5+F125</f>
        <v>22.1</v>
      </c>
    </row>
    <row r="125" spans="1:6" x14ac:dyDescent="0.25">
      <c r="A125" s="253"/>
      <c r="B125" s="255"/>
      <c r="C125" s="15" t="s">
        <v>300</v>
      </c>
      <c r="D125" s="14" t="s">
        <v>39</v>
      </c>
      <c r="E125" s="19">
        <v>3.7</v>
      </c>
      <c r="F125" s="19">
        <v>3.6</v>
      </c>
    </row>
    <row r="126" spans="1:6" ht="53.25" customHeight="1" x14ac:dyDescent="0.25">
      <c r="A126" s="269">
        <v>51</v>
      </c>
      <c r="B126" s="254"/>
      <c r="C126" s="15" t="s">
        <v>13</v>
      </c>
      <c r="D126" s="14" t="s">
        <v>808</v>
      </c>
      <c r="E126" s="19">
        <f>170.5+E127</f>
        <v>174.2</v>
      </c>
      <c r="F126" s="19">
        <f>15.6+F127</f>
        <v>19.2</v>
      </c>
    </row>
    <row r="127" spans="1:6" x14ac:dyDescent="0.25">
      <c r="A127" s="270"/>
      <c r="B127" s="255"/>
      <c r="C127" s="15" t="s">
        <v>300</v>
      </c>
      <c r="D127" s="14" t="s">
        <v>39</v>
      </c>
      <c r="E127" s="19">
        <v>3.7</v>
      </c>
      <c r="F127" s="19">
        <v>3.6</v>
      </c>
    </row>
    <row r="128" spans="1:6" ht="54" customHeight="1" x14ac:dyDescent="0.25">
      <c r="A128" s="252">
        <v>52</v>
      </c>
      <c r="B128" s="254"/>
      <c r="C128" s="15" t="s">
        <v>14</v>
      </c>
      <c r="D128" s="14" t="s">
        <v>808</v>
      </c>
      <c r="E128" s="19">
        <f>232.2+E129</f>
        <v>239.6</v>
      </c>
      <c r="F128" s="19">
        <f>26.7+F129</f>
        <v>34</v>
      </c>
    </row>
    <row r="129" spans="1:6" x14ac:dyDescent="0.25">
      <c r="A129" s="253"/>
      <c r="B129" s="255"/>
      <c r="C129" s="15" t="s">
        <v>300</v>
      </c>
      <c r="D129" s="14" t="s">
        <v>39</v>
      </c>
      <c r="E129" s="19">
        <v>7.4</v>
      </c>
      <c r="F129" s="19">
        <v>7.3</v>
      </c>
    </row>
    <row r="130" spans="1:6" ht="20.100000000000001" customHeight="1" x14ac:dyDescent="0.25">
      <c r="A130" s="12">
        <v>53</v>
      </c>
      <c r="B130" s="11" t="s">
        <v>76</v>
      </c>
      <c r="C130" s="17" t="s">
        <v>197</v>
      </c>
      <c r="D130" s="1"/>
      <c r="E130" s="41">
        <f>+E132+E147+E148+E149+E150+E151+E152+E153+E154+E155+E131</f>
        <v>1865.9</v>
      </c>
      <c r="F130" s="41">
        <f>+F132+F147+F148+F149+F150+F151+F152+F153+F154+F155+F131</f>
        <v>717.6</v>
      </c>
    </row>
    <row r="131" spans="1:6" ht="12.6" customHeight="1" x14ac:dyDescent="0.25">
      <c r="A131" s="12">
        <v>54</v>
      </c>
      <c r="B131" s="1"/>
      <c r="C131" s="24" t="s">
        <v>112</v>
      </c>
      <c r="D131" s="1" t="s">
        <v>77</v>
      </c>
      <c r="E131" s="19">
        <v>1083.9000000000001</v>
      </c>
      <c r="F131" s="19">
        <v>642.1</v>
      </c>
    </row>
    <row r="132" spans="1:6" ht="12.6" customHeight="1" x14ac:dyDescent="0.25">
      <c r="A132" s="12">
        <v>55</v>
      </c>
      <c r="B132" s="11"/>
      <c r="C132" s="16" t="s">
        <v>168</v>
      </c>
      <c r="D132" s="1"/>
      <c r="E132" s="19">
        <f>+E133+E134+E141+E144+E142+E143</f>
        <v>752.9</v>
      </c>
      <c r="F132" s="19">
        <f>+F133+F134+F141+F144+F142+F143</f>
        <v>47.6</v>
      </c>
    </row>
    <row r="133" spans="1:6" ht="12.6" customHeight="1" x14ac:dyDescent="0.25">
      <c r="A133" s="183" t="s">
        <v>704</v>
      </c>
      <c r="B133" s="1"/>
      <c r="C133" s="16" t="s">
        <v>3</v>
      </c>
      <c r="D133" s="1" t="s">
        <v>132</v>
      </c>
      <c r="E133" s="19">
        <f>108.6+12</f>
        <v>120.6</v>
      </c>
      <c r="F133" s="19">
        <v>47.6</v>
      </c>
    </row>
    <row r="134" spans="1:6" ht="12.6" customHeight="1" x14ac:dyDescent="0.25">
      <c r="A134" s="261" t="s">
        <v>705</v>
      </c>
      <c r="B134" s="254"/>
      <c r="C134" s="186" t="s">
        <v>723</v>
      </c>
      <c r="D134" s="254" t="s">
        <v>77</v>
      </c>
      <c r="E134" s="19">
        <f>+E135+E136+E137+E138+E139+E140</f>
        <v>485</v>
      </c>
      <c r="F134" s="19">
        <f>+F135+F136+F137+F138+F139</f>
        <v>0</v>
      </c>
    </row>
    <row r="135" spans="1:6" ht="26.4" x14ac:dyDescent="0.25">
      <c r="A135" s="262"/>
      <c r="B135" s="260"/>
      <c r="C135" s="191" t="s">
        <v>636</v>
      </c>
      <c r="D135" s="260"/>
      <c r="E135" s="19">
        <v>220</v>
      </c>
      <c r="F135" s="19"/>
    </row>
    <row r="136" spans="1:6" ht="12.6" customHeight="1" x14ac:dyDescent="0.25">
      <c r="A136" s="262"/>
      <c r="B136" s="260"/>
      <c r="C136" s="191" t="s">
        <v>631</v>
      </c>
      <c r="D136" s="260"/>
      <c r="E136" s="19">
        <v>100</v>
      </c>
      <c r="F136" s="19"/>
    </row>
    <row r="137" spans="1:6" ht="12.6" customHeight="1" x14ac:dyDescent="0.25">
      <c r="A137" s="262"/>
      <c r="B137" s="260"/>
      <c r="C137" s="191" t="s">
        <v>630</v>
      </c>
      <c r="D137" s="260"/>
      <c r="E137" s="19">
        <v>15</v>
      </c>
      <c r="F137" s="19"/>
    </row>
    <row r="138" spans="1:6" ht="26.4" x14ac:dyDescent="0.25">
      <c r="A138" s="262"/>
      <c r="B138" s="260"/>
      <c r="C138" s="191" t="s">
        <v>629</v>
      </c>
      <c r="D138" s="260"/>
      <c r="E138" s="19">
        <v>120</v>
      </c>
      <c r="F138" s="19"/>
    </row>
    <row r="139" spans="1:6" x14ac:dyDescent="0.25">
      <c r="A139" s="262"/>
      <c r="B139" s="260"/>
      <c r="C139" s="191" t="s">
        <v>632</v>
      </c>
      <c r="D139" s="260"/>
      <c r="E139" s="19">
        <v>20</v>
      </c>
      <c r="F139" s="19"/>
    </row>
    <row r="140" spans="1:6" x14ac:dyDescent="0.25">
      <c r="A140" s="263"/>
      <c r="B140" s="255"/>
      <c r="C140" s="191" t="s">
        <v>633</v>
      </c>
      <c r="D140" s="255"/>
      <c r="E140" s="19">
        <v>10</v>
      </c>
      <c r="F140" s="19"/>
    </row>
    <row r="141" spans="1:6" ht="12.6" customHeight="1" x14ac:dyDescent="0.25">
      <c r="A141" s="183" t="s">
        <v>706</v>
      </c>
      <c r="B141" s="1"/>
      <c r="C141" s="186" t="s">
        <v>634</v>
      </c>
      <c r="D141" s="1" t="s">
        <v>77</v>
      </c>
      <c r="E141" s="19">
        <v>55</v>
      </c>
      <c r="F141" s="19"/>
    </row>
    <row r="142" spans="1:6" ht="26.4" x14ac:dyDescent="0.25">
      <c r="A142" s="183" t="s">
        <v>707</v>
      </c>
      <c r="B142" s="1"/>
      <c r="C142" s="186" t="s">
        <v>897</v>
      </c>
      <c r="D142" s="1" t="s">
        <v>77</v>
      </c>
      <c r="E142" s="19">
        <v>10.3</v>
      </c>
      <c r="F142" s="19"/>
    </row>
    <row r="143" spans="1:6" ht="26.4" x14ac:dyDescent="0.25">
      <c r="A143" s="183" t="s">
        <v>708</v>
      </c>
      <c r="B143" s="1"/>
      <c r="C143" s="186" t="s">
        <v>445</v>
      </c>
      <c r="D143" s="1" t="s">
        <v>157</v>
      </c>
      <c r="E143" s="19">
        <v>10</v>
      </c>
      <c r="F143" s="19"/>
    </row>
    <row r="144" spans="1:6" ht="42" customHeight="1" x14ac:dyDescent="0.25">
      <c r="A144" s="183" t="s">
        <v>709</v>
      </c>
      <c r="B144" s="1"/>
      <c r="C144" s="184" t="s">
        <v>608</v>
      </c>
      <c r="D144" s="11"/>
      <c r="E144" s="121">
        <f>+E145+E146</f>
        <v>72</v>
      </c>
      <c r="F144" s="121">
        <f>+F145+F146</f>
        <v>0</v>
      </c>
    </row>
    <row r="145" spans="1:6" ht="26.4" x14ac:dyDescent="0.25">
      <c r="A145" s="183" t="s">
        <v>710</v>
      </c>
      <c r="B145" s="1"/>
      <c r="C145" s="15" t="s">
        <v>635</v>
      </c>
      <c r="D145" s="117" t="s">
        <v>77</v>
      </c>
      <c r="E145" s="19">
        <v>22</v>
      </c>
      <c r="F145" s="19"/>
    </row>
    <row r="146" spans="1:6" ht="39.6" x14ac:dyDescent="0.25">
      <c r="A146" s="183" t="s">
        <v>711</v>
      </c>
      <c r="B146" s="1"/>
      <c r="C146" s="15" t="s">
        <v>291</v>
      </c>
      <c r="D146" s="1" t="s">
        <v>77</v>
      </c>
      <c r="E146" s="19">
        <v>50</v>
      </c>
      <c r="F146" s="19"/>
    </row>
    <row r="147" spans="1:6" ht="12.6" customHeight="1" x14ac:dyDescent="0.25">
      <c r="A147" s="12">
        <v>56</v>
      </c>
      <c r="B147" s="1"/>
      <c r="C147" s="15" t="s">
        <v>5</v>
      </c>
      <c r="D147" s="1" t="s">
        <v>77</v>
      </c>
      <c r="E147" s="19">
        <v>3.5</v>
      </c>
      <c r="F147" s="19">
        <v>3.1</v>
      </c>
    </row>
    <row r="148" spans="1:6" ht="12.6" customHeight="1" x14ac:dyDescent="0.25">
      <c r="A148" s="12">
        <v>57</v>
      </c>
      <c r="B148" s="1"/>
      <c r="C148" s="16" t="s">
        <v>7</v>
      </c>
      <c r="D148" s="1" t="s">
        <v>77</v>
      </c>
      <c r="E148" s="19">
        <v>3.4</v>
      </c>
      <c r="F148" s="19">
        <v>3.3</v>
      </c>
    </row>
    <row r="149" spans="1:6" ht="12.6" customHeight="1" x14ac:dyDescent="0.25">
      <c r="A149" s="12">
        <v>58</v>
      </c>
      <c r="B149" s="1"/>
      <c r="C149" s="15" t="s">
        <v>6</v>
      </c>
      <c r="D149" s="1" t="s">
        <v>77</v>
      </c>
      <c r="E149" s="19">
        <v>3.6</v>
      </c>
      <c r="F149" s="19">
        <v>3.5</v>
      </c>
    </row>
    <row r="150" spans="1:6" ht="12.6" customHeight="1" x14ac:dyDescent="0.25">
      <c r="A150" s="12">
        <v>59</v>
      </c>
      <c r="B150" s="1"/>
      <c r="C150" s="15" t="s">
        <v>9</v>
      </c>
      <c r="D150" s="1" t="s">
        <v>77</v>
      </c>
      <c r="E150" s="19">
        <v>3.3</v>
      </c>
      <c r="F150" s="19">
        <v>3.2</v>
      </c>
    </row>
    <row r="151" spans="1:6" ht="12.6" customHeight="1" x14ac:dyDescent="0.25">
      <c r="A151" s="12">
        <v>60</v>
      </c>
      <c r="B151" s="1"/>
      <c r="C151" s="16" t="s">
        <v>10</v>
      </c>
      <c r="D151" s="1" t="s">
        <v>77</v>
      </c>
      <c r="E151" s="19">
        <v>3.2</v>
      </c>
      <c r="F151" s="19">
        <v>3.1</v>
      </c>
    </row>
    <row r="152" spans="1:6" ht="12.6" customHeight="1" x14ac:dyDescent="0.25">
      <c r="A152" s="12">
        <v>61</v>
      </c>
      <c r="B152" s="1"/>
      <c r="C152" s="15" t="s">
        <v>12</v>
      </c>
      <c r="D152" s="1" t="s">
        <v>77</v>
      </c>
      <c r="E152" s="19">
        <v>3.2</v>
      </c>
      <c r="F152" s="19">
        <v>3.1</v>
      </c>
    </row>
    <row r="153" spans="1:6" ht="12.6" customHeight="1" x14ac:dyDescent="0.25">
      <c r="A153" s="12">
        <v>62</v>
      </c>
      <c r="B153" s="1"/>
      <c r="C153" s="15" t="s">
        <v>11</v>
      </c>
      <c r="D153" s="1" t="s">
        <v>77</v>
      </c>
      <c r="E153" s="19">
        <v>3</v>
      </c>
      <c r="F153" s="19">
        <v>2.9</v>
      </c>
    </row>
    <row r="154" spans="1:6" ht="12.6" customHeight="1" x14ac:dyDescent="0.25">
      <c r="A154" s="12">
        <v>63</v>
      </c>
      <c r="B154" s="1"/>
      <c r="C154" s="15" t="s">
        <v>13</v>
      </c>
      <c r="D154" s="1" t="s">
        <v>77</v>
      </c>
      <c r="E154" s="19">
        <v>2.9</v>
      </c>
      <c r="F154" s="19">
        <v>2.8</v>
      </c>
    </row>
    <row r="155" spans="1:6" ht="12.6" customHeight="1" x14ac:dyDescent="0.25">
      <c r="A155" s="12">
        <v>64</v>
      </c>
      <c r="B155" s="1"/>
      <c r="C155" s="15" t="s">
        <v>14</v>
      </c>
      <c r="D155" s="1" t="s">
        <v>77</v>
      </c>
      <c r="E155" s="19">
        <v>3</v>
      </c>
      <c r="F155" s="19">
        <v>2.9</v>
      </c>
    </row>
    <row r="156" spans="1:6" ht="24.75" customHeight="1" x14ac:dyDescent="0.25">
      <c r="A156" s="12">
        <v>65</v>
      </c>
      <c r="B156" s="11" t="s">
        <v>78</v>
      </c>
      <c r="C156" s="17" t="s">
        <v>79</v>
      </c>
      <c r="D156" s="9"/>
      <c r="E156" s="41">
        <f>+E157+E158+E159+E160+E161+E162+E163+E164+E166+E177</f>
        <v>4798.8</v>
      </c>
      <c r="F156" s="41">
        <f>+F157+F158+F159+F160+F161+F162+F163+F164+F166+F177</f>
        <v>2984.4</v>
      </c>
    </row>
    <row r="157" spans="1:6" ht="12.6" customHeight="1" x14ac:dyDescent="0.25">
      <c r="A157" s="12">
        <v>66</v>
      </c>
      <c r="B157" s="1"/>
      <c r="C157" s="24" t="s">
        <v>44</v>
      </c>
      <c r="D157" s="1" t="s">
        <v>80</v>
      </c>
      <c r="E157" s="19">
        <v>951.3</v>
      </c>
      <c r="F157" s="19">
        <v>653.1</v>
      </c>
    </row>
    <row r="158" spans="1:6" ht="12.6" customHeight="1" x14ac:dyDescent="0.25">
      <c r="A158" s="12">
        <v>67</v>
      </c>
      <c r="B158" s="1"/>
      <c r="C158" s="48" t="s">
        <v>49</v>
      </c>
      <c r="D158" s="1" t="s">
        <v>80</v>
      </c>
      <c r="E158" s="19">
        <v>293.8</v>
      </c>
      <c r="F158" s="19">
        <v>218.5</v>
      </c>
    </row>
    <row r="159" spans="1:6" ht="12.6" customHeight="1" x14ac:dyDescent="0.25">
      <c r="A159" s="12">
        <v>68</v>
      </c>
      <c r="B159" s="1"/>
      <c r="C159" s="48" t="s">
        <v>50</v>
      </c>
      <c r="D159" s="1" t="s">
        <v>80</v>
      </c>
      <c r="E159" s="19">
        <v>227.3</v>
      </c>
      <c r="F159" s="19">
        <v>158</v>
      </c>
    </row>
    <row r="160" spans="1:6" ht="12.6" customHeight="1" x14ac:dyDescent="0.25">
      <c r="A160" s="12">
        <v>69</v>
      </c>
      <c r="B160" s="1"/>
      <c r="C160" s="48" t="s">
        <v>45</v>
      </c>
      <c r="D160" s="1" t="s">
        <v>80</v>
      </c>
      <c r="E160" s="19">
        <v>209.9</v>
      </c>
      <c r="F160" s="19">
        <v>148.80000000000001</v>
      </c>
    </row>
    <row r="161" spans="1:6" ht="12.6" customHeight="1" x14ac:dyDescent="0.25">
      <c r="A161" s="12">
        <v>70</v>
      </c>
      <c r="B161" s="1"/>
      <c r="C161" s="48" t="s">
        <v>51</v>
      </c>
      <c r="D161" s="1" t="s">
        <v>80</v>
      </c>
      <c r="E161" s="19">
        <v>141.19999999999999</v>
      </c>
      <c r="F161" s="19">
        <v>114.8</v>
      </c>
    </row>
    <row r="162" spans="1:6" ht="12.6" customHeight="1" x14ac:dyDescent="0.25">
      <c r="A162" s="12">
        <v>71</v>
      </c>
      <c r="B162" s="1"/>
      <c r="C162" s="48" t="s">
        <v>52</v>
      </c>
      <c r="D162" s="1" t="s">
        <v>80</v>
      </c>
      <c r="E162" s="19">
        <v>128.5</v>
      </c>
      <c r="F162" s="19">
        <v>93.1</v>
      </c>
    </row>
    <row r="163" spans="1:6" ht="12.6" customHeight="1" x14ac:dyDescent="0.25">
      <c r="A163" s="12">
        <v>72</v>
      </c>
      <c r="B163" s="1"/>
      <c r="C163" s="15" t="s">
        <v>53</v>
      </c>
      <c r="D163" s="1" t="s">
        <v>81</v>
      </c>
      <c r="E163" s="19">
        <v>1257.7</v>
      </c>
      <c r="F163" s="19">
        <v>1030.7</v>
      </c>
    </row>
    <row r="164" spans="1:6" ht="12.6" customHeight="1" x14ac:dyDescent="0.25">
      <c r="A164" s="252">
        <v>73</v>
      </c>
      <c r="B164" s="254"/>
      <c r="C164" s="48" t="s">
        <v>43</v>
      </c>
      <c r="D164" s="1" t="s">
        <v>82</v>
      </c>
      <c r="E164" s="19">
        <f>+E165+646.2</f>
        <v>651.40000000000009</v>
      </c>
      <c r="F164" s="19">
        <v>484.4</v>
      </c>
    </row>
    <row r="165" spans="1:6" ht="42.75" customHeight="1" x14ac:dyDescent="0.25">
      <c r="A165" s="253"/>
      <c r="B165" s="255"/>
      <c r="C165" s="182" t="s">
        <v>637</v>
      </c>
      <c r="D165" s="1" t="s">
        <v>126</v>
      </c>
      <c r="E165" s="19">
        <v>5.2</v>
      </c>
      <c r="F165" s="19"/>
    </row>
    <row r="166" spans="1:6" ht="12.6" customHeight="1" x14ac:dyDescent="0.25">
      <c r="A166" s="12">
        <v>74</v>
      </c>
      <c r="B166" s="1"/>
      <c r="C166" s="16" t="s">
        <v>168</v>
      </c>
      <c r="D166" s="1"/>
      <c r="E166" s="19">
        <f>+E167+E168+E169+E170+E173+E171+E172</f>
        <v>929.2</v>
      </c>
      <c r="F166" s="19">
        <f>+F167+F168+F169+F170+F173+F171+F172</f>
        <v>74.7</v>
      </c>
    </row>
    <row r="167" spans="1:6" ht="26.4" x14ac:dyDescent="0.25">
      <c r="A167" s="183" t="s">
        <v>712</v>
      </c>
      <c r="B167" s="1"/>
      <c r="C167" s="16" t="s">
        <v>3</v>
      </c>
      <c r="D167" s="14" t="s">
        <v>141</v>
      </c>
      <c r="E167" s="19">
        <v>434.9</v>
      </c>
      <c r="F167" s="19">
        <v>74.7</v>
      </c>
    </row>
    <row r="168" spans="1:6" ht="52.8" x14ac:dyDescent="0.25">
      <c r="A168" s="183" t="s">
        <v>713</v>
      </c>
      <c r="B168" s="1"/>
      <c r="C168" s="122" t="s">
        <v>190</v>
      </c>
      <c r="D168" s="14" t="s">
        <v>83</v>
      </c>
      <c r="E168" s="19">
        <v>27</v>
      </c>
      <c r="F168" s="19"/>
    </row>
    <row r="169" spans="1:6" x14ac:dyDescent="0.25">
      <c r="A169" s="183" t="s">
        <v>714</v>
      </c>
      <c r="B169" s="1"/>
      <c r="C169" s="122" t="s">
        <v>385</v>
      </c>
      <c r="D169" s="14" t="s">
        <v>83</v>
      </c>
      <c r="E169" s="19">
        <v>25</v>
      </c>
      <c r="F169" s="19"/>
    </row>
    <row r="170" spans="1:6" ht="26.4" x14ac:dyDescent="0.25">
      <c r="A170" s="183" t="s">
        <v>715</v>
      </c>
      <c r="B170" s="1"/>
      <c r="C170" s="122" t="s">
        <v>386</v>
      </c>
      <c r="D170" s="14" t="s">
        <v>83</v>
      </c>
      <c r="E170" s="19">
        <v>10</v>
      </c>
      <c r="F170" s="19"/>
    </row>
    <row r="171" spans="1:6" ht="26.4" x14ac:dyDescent="0.25">
      <c r="A171" s="183" t="s">
        <v>716</v>
      </c>
      <c r="B171" s="1"/>
      <c r="C171" s="62" t="s">
        <v>292</v>
      </c>
      <c r="D171" s="14" t="s">
        <v>157</v>
      </c>
      <c r="E171" s="19">
        <v>36</v>
      </c>
      <c r="F171" s="19"/>
    </row>
    <row r="172" spans="1:6" ht="39.6" x14ac:dyDescent="0.25">
      <c r="A172" s="183" t="s">
        <v>717</v>
      </c>
      <c r="B172" s="1"/>
      <c r="C172" s="62" t="s">
        <v>898</v>
      </c>
      <c r="D172" s="14" t="s">
        <v>157</v>
      </c>
      <c r="E172" s="19">
        <v>19</v>
      </c>
      <c r="F172" s="19"/>
    </row>
    <row r="173" spans="1:6" ht="39" customHeight="1" x14ac:dyDescent="0.25">
      <c r="A173" s="183" t="s">
        <v>718</v>
      </c>
      <c r="B173" s="1"/>
      <c r="C173" s="184" t="s">
        <v>608</v>
      </c>
      <c r="D173" s="9"/>
      <c r="E173" s="121">
        <f>SUM(E174:E176)</f>
        <v>377.3</v>
      </c>
      <c r="F173" s="121">
        <f>SUM(F174:F176)</f>
        <v>0</v>
      </c>
    </row>
    <row r="174" spans="1:6" ht="39.6" x14ac:dyDescent="0.25">
      <c r="A174" s="183" t="s">
        <v>719</v>
      </c>
      <c r="B174" s="1"/>
      <c r="C174" s="62" t="s">
        <v>174</v>
      </c>
      <c r="D174" s="1" t="s">
        <v>82</v>
      </c>
      <c r="E174" s="19">
        <v>10</v>
      </c>
      <c r="F174" s="19"/>
    </row>
    <row r="175" spans="1:6" x14ac:dyDescent="0.25">
      <c r="A175" s="183" t="s">
        <v>720</v>
      </c>
      <c r="B175" s="1"/>
      <c r="C175" s="62" t="s">
        <v>638</v>
      </c>
      <c r="D175" s="1" t="s">
        <v>82</v>
      </c>
      <c r="E175" s="19">
        <v>267.3</v>
      </c>
      <c r="F175" s="19"/>
    </row>
    <row r="176" spans="1:6" ht="26.4" x14ac:dyDescent="0.25">
      <c r="A176" s="183" t="s">
        <v>721</v>
      </c>
      <c r="B176" s="1"/>
      <c r="C176" s="15" t="s">
        <v>307</v>
      </c>
      <c r="D176" s="1" t="s">
        <v>80</v>
      </c>
      <c r="E176" s="19">
        <v>100</v>
      </c>
      <c r="F176" s="19"/>
    </row>
    <row r="177" spans="1:6" ht="12.6" customHeight="1" x14ac:dyDescent="0.25">
      <c r="A177" s="12">
        <v>75</v>
      </c>
      <c r="B177" s="1"/>
      <c r="C177" s="15" t="s">
        <v>6</v>
      </c>
      <c r="D177" s="1" t="s">
        <v>82</v>
      </c>
      <c r="E177" s="19">
        <v>8.5</v>
      </c>
      <c r="F177" s="19">
        <v>8.3000000000000007</v>
      </c>
    </row>
    <row r="178" spans="1:6" ht="30" customHeight="1" x14ac:dyDescent="0.25">
      <c r="A178" s="12">
        <v>76</v>
      </c>
      <c r="B178" s="11" t="s">
        <v>104</v>
      </c>
      <c r="C178" s="126" t="s">
        <v>105</v>
      </c>
      <c r="D178" s="1"/>
      <c r="E178" s="41">
        <f>+E182+E179</f>
        <v>389</v>
      </c>
      <c r="F178" s="41">
        <f>+F182</f>
        <v>0</v>
      </c>
    </row>
    <row r="179" spans="1:6" ht="12.6" customHeight="1" x14ac:dyDescent="0.25">
      <c r="A179" s="252">
        <v>77</v>
      </c>
      <c r="B179" s="257"/>
      <c r="C179" s="48" t="s">
        <v>297</v>
      </c>
      <c r="D179" s="254" t="s">
        <v>106</v>
      </c>
      <c r="E179" s="19">
        <f>+E180+E181</f>
        <v>41</v>
      </c>
      <c r="F179" s="41"/>
    </row>
    <row r="180" spans="1:6" ht="26.4" x14ac:dyDescent="0.25">
      <c r="A180" s="256"/>
      <c r="B180" s="258"/>
      <c r="C180" s="124" t="s">
        <v>303</v>
      </c>
      <c r="D180" s="260"/>
      <c r="E180" s="19">
        <v>30</v>
      </c>
      <c r="F180" s="19"/>
    </row>
    <row r="181" spans="1:6" ht="26.4" x14ac:dyDescent="0.25">
      <c r="A181" s="253"/>
      <c r="B181" s="259"/>
      <c r="C181" s="124" t="s">
        <v>809</v>
      </c>
      <c r="D181" s="255"/>
      <c r="E181" s="19">
        <v>11</v>
      </c>
      <c r="F181" s="19"/>
    </row>
    <row r="182" spans="1:6" ht="12.6" customHeight="1" x14ac:dyDescent="0.25">
      <c r="A182" s="12">
        <v>78</v>
      </c>
      <c r="B182" s="1"/>
      <c r="C182" s="16" t="s">
        <v>168</v>
      </c>
      <c r="D182" s="1"/>
      <c r="E182" s="19">
        <f>+E183+E184+E187+E185+E186</f>
        <v>348</v>
      </c>
      <c r="F182" s="19">
        <f>+F183+F184+F187</f>
        <v>0</v>
      </c>
    </row>
    <row r="183" spans="1:6" ht="27.6" customHeight="1" x14ac:dyDescent="0.25">
      <c r="A183" s="192" t="s">
        <v>722</v>
      </c>
      <c r="B183" s="1"/>
      <c r="C183" s="122" t="s">
        <v>184</v>
      </c>
      <c r="D183" s="1" t="s">
        <v>106</v>
      </c>
      <c r="E183" s="19">
        <v>85</v>
      </c>
      <c r="F183" s="19"/>
    </row>
    <row r="184" spans="1:6" ht="26.4" x14ac:dyDescent="0.25">
      <c r="A184" s="192" t="s">
        <v>724</v>
      </c>
      <c r="B184" s="1"/>
      <c r="C184" s="122" t="s">
        <v>140</v>
      </c>
      <c r="D184" s="1" t="s">
        <v>142</v>
      </c>
      <c r="E184" s="19">
        <v>50</v>
      </c>
      <c r="F184" s="19"/>
    </row>
    <row r="185" spans="1:6" ht="52.8" x14ac:dyDescent="0.25">
      <c r="A185" s="192" t="s">
        <v>725</v>
      </c>
      <c r="B185" s="1"/>
      <c r="C185" s="123" t="s">
        <v>443</v>
      </c>
      <c r="D185" s="117" t="s">
        <v>106</v>
      </c>
      <c r="E185" s="19">
        <v>20</v>
      </c>
      <c r="F185" s="19"/>
    </row>
    <row r="186" spans="1:6" ht="26.4" x14ac:dyDescent="0.25">
      <c r="A186" s="192" t="s">
        <v>726</v>
      </c>
      <c r="B186" s="1"/>
      <c r="C186" s="123" t="s">
        <v>276</v>
      </c>
      <c r="D186" s="117" t="s">
        <v>116</v>
      </c>
      <c r="E186" s="19">
        <v>23</v>
      </c>
      <c r="F186" s="19"/>
    </row>
    <row r="187" spans="1:6" ht="41.4" customHeight="1" x14ac:dyDescent="0.25">
      <c r="A187" s="192" t="s">
        <v>875</v>
      </c>
      <c r="B187" s="1"/>
      <c r="C187" s="184" t="s">
        <v>608</v>
      </c>
      <c r="D187" s="11"/>
      <c r="E187" s="121">
        <f>SUM(E188:E193)</f>
        <v>170</v>
      </c>
      <c r="F187" s="121">
        <f>SUM(F188:F193)</f>
        <v>0</v>
      </c>
    </row>
    <row r="188" spans="1:6" ht="26.4" x14ac:dyDescent="0.25">
      <c r="A188" s="183" t="s">
        <v>876</v>
      </c>
      <c r="B188" s="1"/>
      <c r="C188" s="123" t="s">
        <v>293</v>
      </c>
      <c r="D188" s="1" t="s">
        <v>116</v>
      </c>
      <c r="E188" s="19">
        <v>47</v>
      </c>
      <c r="F188" s="19"/>
    </row>
    <row r="189" spans="1:6" ht="26.4" x14ac:dyDescent="0.25">
      <c r="A189" s="183" t="s">
        <v>877</v>
      </c>
      <c r="B189" s="1"/>
      <c r="C189" s="123" t="s">
        <v>294</v>
      </c>
      <c r="D189" s="14" t="s">
        <v>126</v>
      </c>
      <c r="E189" s="19">
        <v>11</v>
      </c>
      <c r="F189" s="19"/>
    </row>
    <row r="190" spans="1:6" ht="39.6" x14ac:dyDescent="0.25">
      <c r="A190" s="183" t="s">
        <v>878</v>
      </c>
      <c r="B190" s="1"/>
      <c r="C190" s="123" t="s">
        <v>388</v>
      </c>
      <c r="D190" s="117" t="s">
        <v>116</v>
      </c>
      <c r="E190" s="19">
        <v>3</v>
      </c>
      <c r="F190" s="19"/>
    </row>
    <row r="191" spans="1:6" ht="39.6" x14ac:dyDescent="0.25">
      <c r="A191" s="183" t="s">
        <v>879</v>
      </c>
      <c r="B191" s="1"/>
      <c r="C191" s="123" t="s">
        <v>640</v>
      </c>
      <c r="D191" s="117" t="s">
        <v>116</v>
      </c>
      <c r="E191" s="19">
        <v>80</v>
      </c>
      <c r="F191" s="19"/>
    </row>
    <row r="192" spans="1:6" ht="39.6" x14ac:dyDescent="0.25">
      <c r="A192" s="183" t="s">
        <v>880</v>
      </c>
      <c r="B192" s="1"/>
      <c r="C192" s="123" t="s">
        <v>639</v>
      </c>
      <c r="D192" s="1" t="s">
        <v>116</v>
      </c>
      <c r="E192" s="19">
        <v>6</v>
      </c>
      <c r="F192" s="19"/>
    </row>
    <row r="193" spans="1:6" x14ac:dyDescent="0.25">
      <c r="A193" s="183" t="s">
        <v>881</v>
      </c>
      <c r="B193" s="1"/>
      <c r="C193" s="123" t="s">
        <v>874</v>
      </c>
      <c r="D193" s="117" t="s">
        <v>116</v>
      </c>
      <c r="E193" s="19">
        <v>23</v>
      </c>
      <c r="F193" s="19"/>
    </row>
    <row r="194" spans="1:6" ht="27" customHeight="1" x14ac:dyDescent="0.25">
      <c r="A194" s="12">
        <v>79</v>
      </c>
      <c r="B194" s="11" t="s">
        <v>84</v>
      </c>
      <c r="C194" s="68" t="s">
        <v>85</v>
      </c>
      <c r="D194" s="9"/>
      <c r="E194" s="115">
        <f>+E195+E220+E221+E222+E223+E224+E225+E226+E227+E228+E229+E230</f>
        <v>2304.5</v>
      </c>
      <c r="F194" s="115">
        <f>+F221+F222+F224+F223+F220+F225+F226+F228+F227+F229+F230+F195</f>
        <v>0</v>
      </c>
    </row>
    <row r="195" spans="1:6" ht="12.6" customHeight="1" x14ac:dyDescent="0.25">
      <c r="A195" s="12">
        <v>80</v>
      </c>
      <c r="B195" s="1"/>
      <c r="C195" s="16" t="s">
        <v>175</v>
      </c>
      <c r="D195" s="14"/>
      <c r="E195" s="19">
        <f>E196</f>
        <v>1274.3</v>
      </c>
      <c r="F195" s="19">
        <f>F196</f>
        <v>0</v>
      </c>
    </row>
    <row r="196" spans="1:6" ht="39" customHeight="1" x14ac:dyDescent="0.25">
      <c r="A196" s="183" t="s">
        <v>727</v>
      </c>
      <c r="B196" s="1"/>
      <c r="C196" s="184" t="s">
        <v>608</v>
      </c>
      <c r="D196" s="14"/>
      <c r="E196" s="121">
        <f>SUM(E197:E219)</f>
        <v>1274.3</v>
      </c>
      <c r="F196" s="121">
        <f>SUM(F197:F217)</f>
        <v>0</v>
      </c>
    </row>
    <row r="197" spans="1:6" ht="27.6" customHeight="1" x14ac:dyDescent="0.25">
      <c r="A197" s="183" t="s">
        <v>728</v>
      </c>
      <c r="B197" s="1"/>
      <c r="C197" s="62" t="s">
        <v>392</v>
      </c>
      <c r="D197" s="14" t="s">
        <v>128</v>
      </c>
      <c r="E197" s="19">
        <v>75</v>
      </c>
      <c r="F197" s="19"/>
    </row>
    <row r="198" spans="1:6" x14ac:dyDescent="0.25">
      <c r="A198" s="183" t="s">
        <v>729</v>
      </c>
      <c r="B198" s="1"/>
      <c r="C198" s="62" t="s">
        <v>446</v>
      </c>
      <c r="D198" s="14" t="s">
        <v>128</v>
      </c>
      <c r="E198" s="19">
        <v>50</v>
      </c>
      <c r="F198" s="19"/>
    </row>
    <row r="199" spans="1:6" ht="27" customHeight="1" x14ac:dyDescent="0.25">
      <c r="A199" s="183" t="s">
        <v>730</v>
      </c>
      <c r="B199" s="1"/>
      <c r="C199" s="123" t="s">
        <v>393</v>
      </c>
      <c r="D199" s="14" t="s">
        <v>38</v>
      </c>
      <c r="E199" s="19">
        <v>25</v>
      </c>
      <c r="F199" s="19"/>
    </row>
    <row r="200" spans="1:6" ht="40.200000000000003" customHeight="1" x14ac:dyDescent="0.25">
      <c r="A200" s="183" t="s">
        <v>731</v>
      </c>
      <c r="B200" s="1"/>
      <c r="C200" s="16" t="s">
        <v>139</v>
      </c>
      <c r="D200" s="14" t="s">
        <v>128</v>
      </c>
      <c r="E200" s="19">
        <v>60</v>
      </c>
      <c r="F200" s="19"/>
    </row>
    <row r="201" spans="1:6" ht="26.4" x14ac:dyDescent="0.25">
      <c r="A201" s="183" t="s">
        <v>732</v>
      </c>
      <c r="B201" s="1"/>
      <c r="C201" s="16" t="s">
        <v>641</v>
      </c>
      <c r="D201" s="193" t="s">
        <v>200</v>
      </c>
      <c r="E201" s="19">
        <v>60</v>
      </c>
      <c r="F201" s="19"/>
    </row>
    <row r="202" spans="1:6" ht="39.6" x14ac:dyDescent="0.25">
      <c r="A202" s="183" t="s">
        <v>733</v>
      </c>
      <c r="B202" s="1"/>
      <c r="C202" s="15" t="s">
        <v>155</v>
      </c>
      <c r="D202" s="14" t="s">
        <v>154</v>
      </c>
      <c r="E202" s="19">
        <v>145.30000000000001</v>
      </c>
      <c r="F202" s="19"/>
    </row>
    <row r="203" spans="1:6" ht="12.6" customHeight="1" x14ac:dyDescent="0.25">
      <c r="A203" s="183" t="s">
        <v>734</v>
      </c>
      <c r="B203" s="1"/>
      <c r="C203" s="15" t="s">
        <v>204</v>
      </c>
      <c r="D203" s="194" t="s">
        <v>201</v>
      </c>
      <c r="E203" s="19">
        <v>39.5</v>
      </c>
      <c r="F203" s="19"/>
    </row>
    <row r="204" spans="1:6" ht="26.4" x14ac:dyDescent="0.25">
      <c r="A204" s="183" t="s">
        <v>735</v>
      </c>
      <c r="B204" s="1"/>
      <c r="C204" s="15" t="s">
        <v>394</v>
      </c>
      <c r="D204" s="193" t="s">
        <v>200</v>
      </c>
      <c r="E204" s="19">
        <v>13.5</v>
      </c>
      <c r="F204" s="19"/>
    </row>
    <row r="205" spans="1:6" ht="26.4" x14ac:dyDescent="0.25">
      <c r="A205" s="183" t="s">
        <v>736</v>
      </c>
      <c r="B205" s="1"/>
      <c r="C205" s="15" t="s">
        <v>643</v>
      </c>
      <c r="D205" s="14" t="s">
        <v>144</v>
      </c>
      <c r="E205" s="19">
        <v>10</v>
      </c>
      <c r="F205" s="19"/>
    </row>
    <row r="206" spans="1:6" ht="12.6" customHeight="1" x14ac:dyDescent="0.25">
      <c r="A206" s="183" t="s">
        <v>737</v>
      </c>
      <c r="B206" s="1"/>
      <c r="C206" s="123" t="s">
        <v>642</v>
      </c>
      <c r="D206" s="14" t="s">
        <v>144</v>
      </c>
      <c r="E206" s="19">
        <v>15</v>
      </c>
      <c r="F206" s="19"/>
    </row>
    <row r="207" spans="1:6" ht="26.4" x14ac:dyDescent="0.25">
      <c r="A207" s="183" t="s">
        <v>738</v>
      </c>
      <c r="B207" s="1"/>
      <c r="C207" s="123" t="s">
        <v>395</v>
      </c>
      <c r="D207" s="14" t="s">
        <v>144</v>
      </c>
      <c r="E207" s="19">
        <v>4</v>
      </c>
      <c r="F207" s="19"/>
    </row>
    <row r="208" spans="1:6" ht="26.4" x14ac:dyDescent="0.25">
      <c r="A208" s="183" t="s">
        <v>739</v>
      </c>
      <c r="B208" s="1"/>
      <c r="C208" s="123" t="s">
        <v>644</v>
      </c>
      <c r="D208" s="14" t="s">
        <v>144</v>
      </c>
      <c r="E208" s="19">
        <v>17</v>
      </c>
      <c r="F208" s="19"/>
    </row>
    <row r="209" spans="1:6" ht="26.4" x14ac:dyDescent="0.25">
      <c r="A209" s="183" t="s">
        <v>740</v>
      </c>
      <c r="B209" s="1"/>
      <c r="C209" s="123" t="s">
        <v>439</v>
      </c>
      <c r="D209" s="14" t="s">
        <v>144</v>
      </c>
      <c r="E209" s="19">
        <v>20</v>
      </c>
      <c r="F209" s="19"/>
    </row>
    <row r="210" spans="1:6" ht="12.75" customHeight="1" x14ac:dyDescent="0.25">
      <c r="A210" s="183" t="s">
        <v>741</v>
      </c>
      <c r="B210" s="1"/>
      <c r="C210" s="123" t="s">
        <v>122</v>
      </c>
      <c r="D210" s="14" t="s">
        <v>157</v>
      </c>
      <c r="E210" s="19">
        <v>40</v>
      </c>
      <c r="F210" s="19"/>
    </row>
    <row r="211" spans="1:6" ht="12.6" customHeight="1" x14ac:dyDescent="0.25">
      <c r="A211" s="183" t="s">
        <v>742</v>
      </c>
      <c r="B211" s="1"/>
      <c r="C211" s="123" t="s">
        <v>123</v>
      </c>
      <c r="D211" s="14" t="s">
        <v>157</v>
      </c>
      <c r="E211" s="19">
        <v>40</v>
      </c>
      <c r="F211" s="19"/>
    </row>
    <row r="212" spans="1:6" ht="26.4" x14ac:dyDescent="0.25">
      <c r="A212" s="183" t="s">
        <v>743</v>
      </c>
      <c r="B212" s="1"/>
      <c r="C212" s="15" t="s">
        <v>295</v>
      </c>
      <c r="D212" s="14" t="s">
        <v>86</v>
      </c>
      <c r="E212" s="19">
        <v>75</v>
      </c>
      <c r="F212" s="19"/>
    </row>
    <row r="213" spans="1:6" ht="26.4" x14ac:dyDescent="0.25">
      <c r="A213" s="183" t="s">
        <v>744</v>
      </c>
      <c r="B213" s="1"/>
      <c r="C213" s="123" t="s">
        <v>585</v>
      </c>
      <c r="D213" s="14" t="s">
        <v>86</v>
      </c>
      <c r="E213" s="19">
        <v>60</v>
      </c>
      <c r="F213" s="19"/>
    </row>
    <row r="214" spans="1:6" ht="12.6" customHeight="1" x14ac:dyDescent="0.25">
      <c r="A214" s="183" t="s">
        <v>745</v>
      </c>
      <c r="B214" s="1"/>
      <c r="C214" s="123" t="s">
        <v>124</v>
      </c>
      <c r="D214" s="14" t="s">
        <v>157</v>
      </c>
      <c r="E214" s="19">
        <v>70</v>
      </c>
      <c r="F214" s="19"/>
    </row>
    <row r="215" spans="1:6" ht="12.6" customHeight="1" x14ac:dyDescent="0.25">
      <c r="A215" s="183" t="s">
        <v>746</v>
      </c>
      <c r="B215" s="1"/>
      <c r="C215" s="123" t="s">
        <v>396</v>
      </c>
      <c r="D215" s="14" t="s">
        <v>157</v>
      </c>
      <c r="E215" s="19">
        <v>100</v>
      </c>
      <c r="F215" s="19"/>
    </row>
    <row r="216" spans="1:6" ht="12.6" customHeight="1" x14ac:dyDescent="0.25">
      <c r="A216" s="183" t="s">
        <v>747</v>
      </c>
      <c r="B216" s="1"/>
      <c r="C216" s="123" t="s">
        <v>125</v>
      </c>
      <c r="D216" s="14" t="s">
        <v>157</v>
      </c>
      <c r="E216" s="19">
        <v>50</v>
      </c>
      <c r="F216" s="19"/>
    </row>
    <row r="217" spans="1:6" ht="26.4" x14ac:dyDescent="0.25">
      <c r="A217" s="183" t="s">
        <v>748</v>
      </c>
      <c r="B217" s="1"/>
      <c r="C217" s="15" t="s">
        <v>397</v>
      </c>
      <c r="D217" s="14" t="s">
        <v>157</v>
      </c>
      <c r="E217" s="19">
        <v>80</v>
      </c>
      <c r="F217" s="19"/>
    </row>
    <row r="218" spans="1:6" x14ac:dyDescent="0.25">
      <c r="A218" s="183" t="s">
        <v>749</v>
      </c>
      <c r="B218" s="1"/>
      <c r="C218" s="15" t="s">
        <v>851</v>
      </c>
      <c r="D218" s="14" t="s">
        <v>157</v>
      </c>
      <c r="E218" s="19">
        <v>50</v>
      </c>
      <c r="F218" s="19"/>
    </row>
    <row r="219" spans="1:6" ht="26.4" x14ac:dyDescent="0.25">
      <c r="A219" s="183" t="s">
        <v>854</v>
      </c>
      <c r="B219" s="1"/>
      <c r="C219" s="15" t="s">
        <v>852</v>
      </c>
      <c r="D219" s="14" t="s">
        <v>157</v>
      </c>
      <c r="E219" s="19">
        <v>175</v>
      </c>
      <c r="F219" s="19"/>
    </row>
    <row r="220" spans="1:6" ht="26.4" x14ac:dyDescent="0.25">
      <c r="A220" s="12">
        <v>81</v>
      </c>
      <c r="B220" s="11"/>
      <c r="C220" s="15" t="s">
        <v>8</v>
      </c>
      <c r="D220" s="14" t="s">
        <v>87</v>
      </c>
      <c r="E220" s="19">
        <v>788.8</v>
      </c>
      <c r="F220" s="19"/>
    </row>
    <row r="221" spans="1:6" ht="12.6" customHeight="1" x14ac:dyDescent="0.25">
      <c r="A221" s="12">
        <v>82</v>
      </c>
      <c r="B221" s="11"/>
      <c r="C221" s="15" t="s">
        <v>4</v>
      </c>
      <c r="D221" s="14" t="s">
        <v>86</v>
      </c>
      <c r="E221" s="19">
        <v>40</v>
      </c>
      <c r="F221" s="19"/>
    </row>
    <row r="222" spans="1:6" ht="12.6" customHeight="1" x14ac:dyDescent="0.25">
      <c r="A222" s="12">
        <v>83</v>
      </c>
      <c r="B222" s="11"/>
      <c r="C222" s="15" t="s">
        <v>5</v>
      </c>
      <c r="D222" s="14" t="s">
        <v>86</v>
      </c>
      <c r="E222" s="19">
        <v>12.9</v>
      </c>
      <c r="F222" s="19"/>
    </row>
    <row r="223" spans="1:6" ht="12.6" customHeight="1" x14ac:dyDescent="0.25">
      <c r="A223" s="12">
        <v>84</v>
      </c>
      <c r="B223" s="11"/>
      <c r="C223" s="16" t="s">
        <v>7</v>
      </c>
      <c r="D223" s="14" t="s">
        <v>86</v>
      </c>
      <c r="E223" s="19">
        <v>30</v>
      </c>
      <c r="F223" s="19"/>
    </row>
    <row r="224" spans="1:6" ht="12.6" customHeight="1" x14ac:dyDescent="0.25">
      <c r="A224" s="12">
        <v>85</v>
      </c>
      <c r="B224" s="11"/>
      <c r="C224" s="15" t="s">
        <v>6</v>
      </c>
      <c r="D224" s="14" t="s">
        <v>86</v>
      </c>
      <c r="E224" s="19">
        <v>21.4</v>
      </c>
      <c r="F224" s="19"/>
    </row>
    <row r="225" spans="1:6" ht="12.6" customHeight="1" x14ac:dyDescent="0.25">
      <c r="A225" s="12">
        <v>86</v>
      </c>
      <c r="B225" s="11"/>
      <c r="C225" s="15" t="s">
        <v>9</v>
      </c>
      <c r="D225" s="14" t="s">
        <v>86</v>
      </c>
      <c r="E225" s="19">
        <v>35</v>
      </c>
      <c r="F225" s="19"/>
    </row>
    <row r="226" spans="1:6" ht="12.6" customHeight="1" x14ac:dyDescent="0.25">
      <c r="A226" s="12">
        <v>87</v>
      </c>
      <c r="B226" s="11"/>
      <c r="C226" s="16" t="s">
        <v>10</v>
      </c>
      <c r="D226" s="14" t="s">
        <v>86</v>
      </c>
      <c r="E226" s="19">
        <v>20</v>
      </c>
      <c r="F226" s="19"/>
    </row>
    <row r="227" spans="1:6" ht="12.6" customHeight="1" x14ac:dyDescent="0.25">
      <c r="A227" s="12">
        <v>88</v>
      </c>
      <c r="B227" s="11"/>
      <c r="C227" s="15" t="s">
        <v>12</v>
      </c>
      <c r="D227" s="14" t="s">
        <v>86</v>
      </c>
      <c r="E227" s="19">
        <v>22</v>
      </c>
      <c r="F227" s="19"/>
    </row>
    <row r="228" spans="1:6" ht="12.6" customHeight="1" x14ac:dyDescent="0.25">
      <c r="A228" s="12">
        <v>89</v>
      </c>
      <c r="B228" s="11"/>
      <c r="C228" s="15" t="s">
        <v>11</v>
      </c>
      <c r="D228" s="14" t="s">
        <v>86</v>
      </c>
      <c r="E228" s="19">
        <v>15.7</v>
      </c>
      <c r="F228" s="19"/>
    </row>
    <row r="229" spans="1:6" ht="12.6" customHeight="1" x14ac:dyDescent="0.25">
      <c r="A229" s="12">
        <v>90</v>
      </c>
      <c r="B229" s="11"/>
      <c r="C229" s="15" t="s">
        <v>13</v>
      </c>
      <c r="D229" s="14" t="s">
        <v>86</v>
      </c>
      <c r="E229" s="19">
        <v>9.8000000000000007</v>
      </c>
      <c r="F229" s="19"/>
    </row>
    <row r="230" spans="1:6" ht="12.6" customHeight="1" x14ac:dyDescent="0.25">
      <c r="A230" s="12">
        <v>91</v>
      </c>
      <c r="B230" s="1"/>
      <c r="C230" s="15" t="s">
        <v>14</v>
      </c>
      <c r="D230" s="14" t="s">
        <v>86</v>
      </c>
      <c r="E230" s="19">
        <v>34.6</v>
      </c>
      <c r="F230" s="19"/>
    </row>
    <row r="231" spans="1:6" ht="27" customHeight="1" x14ac:dyDescent="0.25">
      <c r="A231" s="12">
        <v>92</v>
      </c>
      <c r="B231" s="11" t="s">
        <v>89</v>
      </c>
      <c r="C231" s="17" t="s">
        <v>90</v>
      </c>
      <c r="D231" s="9"/>
      <c r="E231" s="41">
        <f>+E245+E246+E248+E247+E244+E249+E250+E252+E251+E253+E254+E232</f>
        <v>5823.3</v>
      </c>
      <c r="F231" s="41">
        <f>+F245+F246+F248+F247+F244+F249+F250+F252+F251+F253+F254+F232</f>
        <v>935.69999999999993</v>
      </c>
    </row>
    <row r="232" spans="1:6" ht="12.6" customHeight="1" x14ac:dyDescent="0.25">
      <c r="A232" s="12">
        <v>93</v>
      </c>
      <c r="B232" s="1"/>
      <c r="C232" s="16" t="s">
        <v>168</v>
      </c>
      <c r="D232" s="14"/>
      <c r="E232" s="19">
        <f>+E233+E234+E235+E236+E237+E238+E239+E240</f>
        <v>2602.1999999999998</v>
      </c>
      <c r="F232" s="19">
        <f>+F233+F234+F235+F236+F237+F238+F239+F240</f>
        <v>0</v>
      </c>
    </row>
    <row r="233" spans="1:6" ht="12.6" customHeight="1" x14ac:dyDescent="0.25">
      <c r="A233" s="183" t="s">
        <v>750</v>
      </c>
      <c r="B233" s="1"/>
      <c r="C233" s="195" t="s">
        <v>3</v>
      </c>
      <c r="D233" s="1" t="s">
        <v>143</v>
      </c>
      <c r="E233" s="19">
        <v>25</v>
      </c>
      <c r="F233" s="19"/>
    </row>
    <row r="234" spans="1:6" ht="27" customHeight="1" x14ac:dyDescent="0.25">
      <c r="A234" s="183" t="s">
        <v>751</v>
      </c>
      <c r="B234" s="1"/>
      <c r="C234" s="186" t="s">
        <v>276</v>
      </c>
      <c r="D234" s="196" t="s">
        <v>131</v>
      </c>
      <c r="E234" s="19">
        <f>548.8-23</f>
        <v>525.79999999999995</v>
      </c>
      <c r="F234" s="19"/>
    </row>
    <row r="235" spans="1:6" ht="12.6" customHeight="1" x14ac:dyDescent="0.25">
      <c r="A235" s="183" t="s">
        <v>752</v>
      </c>
      <c r="B235" s="1"/>
      <c r="C235" s="186" t="s">
        <v>191</v>
      </c>
      <c r="D235" s="196" t="s">
        <v>92</v>
      </c>
      <c r="E235" s="19">
        <f>1600+13</f>
        <v>1613</v>
      </c>
      <c r="F235" s="19"/>
    </row>
    <row r="236" spans="1:6" ht="12.6" customHeight="1" x14ac:dyDescent="0.25">
      <c r="A236" s="183" t="s">
        <v>753</v>
      </c>
      <c r="B236" s="1"/>
      <c r="C236" s="186" t="s">
        <v>145</v>
      </c>
      <c r="D236" s="196" t="s">
        <v>92</v>
      </c>
      <c r="E236" s="19">
        <v>100</v>
      </c>
      <c r="F236" s="19"/>
    </row>
    <row r="237" spans="1:6" ht="26.4" x14ac:dyDescent="0.25">
      <c r="A237" s="183" t="s">
        <v>754</v>
      </c>
      <c r="B237" s="1"/>
      <c r="C237" s="123" t="s">
        <v>645</v>
      </c>
      <c r="D237" s="196" t="s">
        <v>92</v>
      </c>
      <c r="E237" s="19">
        <v>11.6</v>
      </c>
      <c r="F237" s="19"/>
    </row>
    <row r="238" spans="1:6" ht="12.6" customHeight="1" x14ac:dyDescent="0.25">
      <c r="A238" s="183" t="s">
        <v>755</v>
      </c>
      <c r="B238" s="1"/>
      <c r="C238" s="123" t="s">
        <v>447</v>
      </c>
      <c r="D238" s="196" t="s">
        <v>92</v>
      </c>
      <c r="E238" s="19">
        <v>9.1999999999999993</v>
      </c>
      <c r="F238" s="19"/>
    </row>
    <row r="239" spans="1:6" x14ac:dyDescent="0.25">
      <c r="A239" s="183" t="s">
        <v>756</v>
      </c>
      <c r="B239" s="1"/>
      <c r="C239" s="186" t="s">
        <v>900</v>
      </c>
      <c r="D239" s="196" t="s">
        <v>92</v>
      </c>
      <c r="E239" s="19">
        <v>7.6</v>
      </c>
      <c r="F239" s="19"/>
    </row>
    <row r="240" spans="1:6" ht="41.4" x14ac:dyDescent="0.25">
      <c r="A240" s="183" t="s">
        <v>757</v>
      </c>
      <c r="B240" s="1"/>
      <c r="C240" s="184" t="s">
        <v>608</v>
      </c>
      <c r="D240" s="11"/>
      <c r="E240" s="121">
        <f>+E241+E242+E243</f>
        <v>310</v>
      </c>
      <c r="F240" s="121">
        <f>+F241+F242+F243</f>
        <v>0</v>
      </c>
    </row>
    <row r="241" spans="1:6" ht="12.6" customHeight="1" x14ac:dyDescent="0.25">
      <c r="A241" s="183" t="s">
        <v>758</v>
      </c>
      <c r="B241" s="1"/>
      <c r="C241" s="62" t="s">
        <v>176</v>
      </c>
      <c r="D241" s="1" t="s">
        <v>157</v>
      </c>
      <c r="E241" s="19">
        <v>230</v>
      </c>
      <c r="F241" s="121"/>
    </row>
    <row r="242" spans="1:6" ht="26.4" x14ac:dyDescent="0.25">
      <c r="A242" s="183" t="s">
        <v>759</v>
      </c>
      <c r="B242" s="1"/>
      <c r="C242" s="123" t="s">
        <v>153</v>
      </c>
      <c r="D242" s="196" t="s">
        <v>92</v>
      </c>
      <c r="E242" s="34">
        <v>70</v>
      </c>
      <c r="F242" s="19"/>
    </row>
    <row r="243" spans="1:6" ht="39.6" x14ac:dyDescent="0.25">
      <c r="A243" s="183" t="s">
        <v>760</v>
      </c>
      <c r="B243" s="1"/>
      <c r="C243" s="123" t="s">
        <v>192</v>
      </c>
      <c r="D243" s="1" t="s">
        <v>143</v>
      </c>
      <c r="E243" s="34">
        <v>10</v>
      </c>
      <c r="F243" s="19"/>
    </row>
    <row r="244" spans="1:6" ht="39.6" x14ac:dyDescent="0.25">
      <c r="A244" s="12">
        <v>94</v>
      </c>
      <c r="B244" s="1"/>
      <c r="C244" s="122" t="s">
        <v>8</v>
      </c>
      <c r="D244" s="189" t="s">
        <v>93</v>
      </c>
      <c r="E244" s="19">
        <v>2104.5</v>
      </c>
      <c r="F244" s="19">
        <v>193.5</v>
      </c>
    </row>
    <row r="245" spans="1:6" ht="26.4" x14ac:dyDescent="0.25">
      <c r="A245" s="12">
        <v>95</v>
      </c>
      <c r="B245" s="1"/>
      <c r="C245" s="15" t="s">
        <v>4</v>
      </c>
      <c r="D245" s="189" t="s">
        <v>91</v>
      </c>
      <c r="E245" s="19">
        <v>140.4</v>
      </c>
      <c r="F245" s="19">
        <v>96.4</v>
      </c>
    </row>
    <row r="246" spans="1:6" ht="12.6" customHeight="1" x14ac:dyDescent="0.25">
      <c r="A246" s="12">
        <v>96</v>
      </c>
      <c r="B246" s="1"/>
      <c r="C246" s="15" t="s">
        <v>5</v>
      </c>
      <c r="D246" s="189" t="s">
        <v>92</v>
      </c>
      <c r="E246" s="19">
        <v>137.4</v>
      </c>
      <c r="F246" s="19">
        <v>89.7</v>
      </c>
    </row>
    <row r="247" spans="1:6" ht="24.9" customHeight="1" x14ac:dyDescent="0.25">
      <c r="A247" s="12">
        <v>97</v>
      </c>
      <c r="B247" s="1"/>
      <c r="C247" s="15" t="s">
        <v>7</v>
      </c>
      <c r="D247" s="189" t="s">
        <v>91</v>
      </c>
      <c r="E247" s="19">
        <v>103.7</v>
      </c>
      <c r="F247" s="19">
        <v>61.5</v>
      </c>
    </row>
    <row r="248" spans="1:6" ht="24.9" customHeight="1" x14ac:dyDescent="0.25">
      <c r="A248" s="12">
        <v>98</v>
      </c>
      <c r="B248" s="1"/>
      <c r="C248" s="122" t="s">
        <v>6</v>
      </c>
      <c r="D248" s="189" t="s">
        <v>91</v>
      </c>
      <c r="E248" s="19">
        <v>114.9</v>
      </c>
      <c r="F248" s="19">
        <v>71</v>
      </c>
    </row>
    <row r="249" spans="1:6" ht="12.6" customHeight="1" x14ac:dyDescent="0.25">
      <c r="A249" s="12">
        <v>99</v>
      </c>
      <c r="B249" s="1"/>
      <c r="C249" s="15" t="s">
        <v>9</v>
      </c>
      <c r="D249" s="189" t="s">
        <v>94</v>
      </c>
      <c r="E249" s="19">
        <v>97.6</v>
      </c>
      <c r="F249" s="19">
        <v>57.1</v>
      </c>
    </row>
    <row r="250" spans="1:6" ht="24.9" customHeight="1" x14ac:dyDescent="0.25">
      <c r="A250" s="12">
        <v>100</v>
      </c>
      <c r="B250" s="1"/>
      <c r="C250" s="16" t="s">
        <v>10</v>
      </c>
      <c r="D250" s="189" t="s">
        <v>91</v>
      </c>
      <c r="E250" s="19">
        <v>96.4</v>
      </c>
      <c r="F250" s="19">
        <v>73.099999999999994</v>
      </c>
    </row>
    <row r="251" spans="1:6" ht="24.9" customHeight="1" x14ac:dyDescent="0.25">
      <c r="A251" s="12">
        <v>101</v>
      </c>
      <c r="B251" s="1"/>
      <c r="C251" s="15" t="s">
        <v>12</v>
      </c>
      <c r="D251" s="189" t="s">
        <v>91</v>
      </c>
      <c r="E251" s="19">
        <v>68</v>
      </c>
      <c r="F251" s="19">
        <v>44.8</v>
      </c>
    </row>
    <row r="252" spans="1:6" ht="29.25" customHeight="1" x14ac:dyDescent="0.25">
      <c r="A252" s="12">
        <v>102</v>
      </c>
      <c r="B252" s="1"/>
      <c r="C252" s="122" t="s">
        <v>11</v>
      </c>
      <c r="D252" s="189" t="s">
        <v>91</v>
      </c>
      <c r="E252" s="19">
        <v>81.8</v>
      </c>
      <c r="F252" s="19">
        <v>62.8</v>
      </c>
    </row>
    <row r="253" spans="1:6" ht="27" customHeight="1" x14ac:dyDescent="0.25">
      <c r="A253" s="12">
        <v>103</v>
      </c>
      <c r="B253" s="1"/>
      <c r="C253" s="15" t="s">
        <v>13</v>
      </c>
      <c r="D253" s="189" t="s">
        <v>91</v>
      </c>
      <c r="E253" s="19">
        <v>89.1</v>
      </c>
      <c r="F253" s="19">
        <v>51.9</v>
      </c>
    </row>
    <row r="254" spans="1:6" ht="24.9" customHeight="1" x14ac:dyDescent="0.25">
      <c r="A254" s="12">
        <v>104</v>
      </c>
      <c r="B254" s="1"/>
      <c r="C254" s="15" t="s">
        <v>14</v>
      </c>
      <c r="D254" s="189" t="s">
        <v>91</v>
      </c>
      <c r="E254" s="19">
        <v>187.3</v>
      </c>
      <c r="F254" s="19">
        <v>133.9</v>
      </c>
    </row>
    <row r="255" spans="1:6" x14ac:dyDescent="0.25">
      <c r="A255" s="12">
        <v>105</v>
      </c>
      <c r="B255" s="11" t="s">
        <v>32</v>
      </c>
      <c r="C255" s="17" t="s">
        <v>33</v>
      </c>
      <c r="D255" s="189"/>
      <c r="E255" s="121">
        <f>+E256</f>
        <v>354.3</v>
      </c>
      <c r="F255" s="41">
        <f>+F256</f>
        <v>105.6</v>
      </c>
    </row>
    <row r="256" spans="1:6" ht="12.6" customHeight="1" x14ac:dyDescent="0.25">
      <c r="A256" s="12">
        <v>106</v>
      </c>
      <c r="B256" s="11"/>
      <c r="C256" s="16" t="s">
        <v>183</v>
      </c>
      <c r="D256" s="189"/>
      <c r="E256" s="19">
        <f>+E258+E257</f>
        <v>354.3</v>
      </c>
      <c r="F256" s="19">
        <f>+F258+F257</f>
        <v>105.6</v>
      </c>
    </row>
    <row r="257" spans="1:6" ht="12.6" customHeight="1" x14ac:dyDescent="0.25">
      <c r="A257" s="12" t="s">
        <v>761</v>
      </c>
      <c r="B257" s="11"/>
      <c r="C257" s="16" t="s">
        <v>99</v>
      </c>
      <c r="D257" s="1" t="s">
        <v>251</v>
      </c>
      <c r="E257" s="19">
        <v>119.5</v>
      </c>
      <c r="F257" s="19">
        <v>105.6</v>
      </c>
    </row>
    <row r="258" spans="1:6" ht="41.4" x14ac:dyDescent="0.25">
      <c r="A258" s="183" t="s">
        <v>762</v>
      </c>
      <c r="B258" s="1"/>
      <c r="C258" s="184" t="s">
        <v>608</v>
      </c>
      <c r="D258" s="197"/>
      <c r="E258" s="121">
        <f>SUM(E259:E263)</f>
        <v>234.8</v>
      </c>
      <c r="F258" s="121">
        <f>+F259+F260</f>
        <v>0</v>
      </c>
    </row>
    <row r="259" spans="1:6" ht="26.4" x14ac:dyDescent="0.25">
      <c r="A259" s="192" t="s">
        <v>763</v>
      </c>
      <c r="B259" s="1"/>
      <c r="C259" s="15" t="s">
        <v>193</v>
      </c>
      <c r="D259" s="189" t="s">
        <v>144</v>
      </c>
      <c r="E259" s="19">
        <v>40</v>
      </c>
      <c r="F259" s="19"/>
    </row>
    <row r="260" spans="1:6" x14ac:dyDescent="0.25">
      <c r="A260" s="192" t="s">
        <v>764</v>
      </c>
      <c r="B260" s="1"/>
      <c r="C260" s="15" t="s">
        <v>901</v>
      </c>
      <c r="D260" s="14" t="s">
        <v>254</v>
      </c>
      <c r="E260" s="19">
        <v>10</v>
      </c>
      <c r="F260" s="19"/>
    </row>
    <row r="261" spans="1:6" ht="39.6" x14ac:dyDescent="0.25">
      <c r="A261" s="192" t="s">
        <v>765</v>
      </c>
      <c r="B261" s="1"/>
      <c r="C261" s="15" t="s">
        <v>646</v>
      </c>
      <c r="D261" s="14" t="s">
        <v>144</v>
      </c>
      <c r="E261" s="19">
        <v>151</v>
      </c>
      <c r="F261" s="19"/>
    </row>
    <row r="262" spans="1:6" ht="39.6" x14ac:dyDescent="0.25">
      <c r="A262" s="192" t="s">
        <v>766</v>
      </c>
      <c r="B262" s="1"/>
      <c r="C262" s="15" t="s">
        <v>647</v>
      </c>
      <c r="D262" s="14" t="s">
        <v>144</v>
      </c>
      <c r="E262" s="19">
        <v>3.8</v>
      </c>
      <c r="F262" s="19"/>
    </row>
    <row r="263" spans="1:6" ht="26.4" x14ac:dyDescent="0.25">
      <c r="A263" s="192" t="s">
        <v>767</v>
      </c>
      <c r="B263" s="1"/>
      <c r="C263" s="15" t="s">
        <v>648</v>
      </c>
      <c r="D263" s="14" t="s">
        <v>144</v>
      </c>
      <c r="E263" s="19">
        <v>30</v>
      </c>
      <c r="F263" s="19"/>
    </row>
    <row r="264" spans="1:6" x14ac:dyDescent="0.25">
      <c r="A264" s="12">
        <v>107</v>
      </c>
      <c r="B264" s="11" t="s">
        <v>95</v>
      </c>
      <c r="C264" s="17" t="s">
        <v>96</v>
      </c>
      <c r="D264" s="9"/>
      <c r="E264" s="41">
        <f>+E265</f>
        <v>89</v>
      </c>
      <c r="F264" s="41">
        <f>+F265</f>
        <v>0</v>
      </c>
    </row>
    <row r="265" spans="1:6" ht="12.6" customHeight="1" x14ac:dyDescent="0.25">
      <c r="A265" s="12">
        <v>108</v>
      </c>
      <c r="B265" s="11"/>
      <c r="C265" s="16" t="s">
        <v>168</v>
      </c>
      <c r="D265" s="9"/>
      <c r="E265" s="19">
        <f>+E267+E268+E266</f>
        <v>89</v>
      </c>
      <c r="F265" s="19">
        <f>+F267+F268+F266</f>
        <v>0</v>
      </c>
    </row>
    <row r="266" spans="1:6" ht="12.6" customHeight="1" x14ac:dyDescent="0.25">
      <c r="A266" s="192" t="s">
        <v>768</v>
      </c>
      <c r="B266" s="11"/>
      <c r="C266" s="122" t="s">
        <v>99</v>
      </c>
      <c r="D266" s="14" t="s">
        <v>442</v>
      </c>
      <c r="E266" s="19">
        <v>3</v>
      </c>
      <c r="F266" s="19"/>
    </row>
    <row r="267" spans="1:6" ht="26.4" x14ac:dyDescent="0.25">
      <c r="A267" s="192" t="s">
        <v>769</v>
      </c>
      <c r="B267" s="1"/>
      <c r="C267" s="122" t="s">
        <v>194</v>
      </c>
      <c r="D267" s="14" t="s">
        <v>97</v>
      </c>
      <c r="E267" s="19">
        <v>36</v>
      </c>
      <c r="F267" s="19"/>
    </row>
    <row r="268" spans="1:6" ht="39.6" x14ac:dyDescent="0.25">
      <c r="A268" s="192" t="s">
        <v>770</v>
      </c>
      <c r="B268" s="1"/>
      <c r="C268" s="122" t="s">
        <v>389</v>
      </c>
      <c r="D268" s="14" t="s">
        <v>97</v>
      </c>
      <c r="E268" s="19">
        <v>50</v>
      </c>
      <c r="F268" s="19"/>
    </row>
    <row r="269" spans="1:6" x14ac:dyDescent="0.25">
      <c r="A269" s="12">
        <v>109</v>
      </c>
      <c r="B269" s="11" t="s">
        <v>25</v>
      </c>
      <c r="C269" s="17" t="s">
        <v>26</v>
      </c>
      <c r="D269" s="9"/>
      <c r="E269" s="41">
        <f>+E270+E271+E272+E282+E283+E284+E285+E286+E287+E288+E289+E290+E291+E292</f>
        <v>8242.6000000000022</v>
      </c>
      <c r="F269" s="41">
        <f>+F270+F271+F272+F282+F283+F284+F285+F286+F287+F288+F289+F290+F291+F292</f>
        <v>3808.5999999999995</v>
      </c>
    </row>
    <row r="270" spans="1:6" x14ac:dyDescent="0.25">
      <c r="A270" s="12">
        <v>110</v>
      </c>
      <c r="B270" s="11"/>
      <c r="C270" s="15" t="s">
        <v>27</v>
      </c>
      <c r="D270" s="14" t="s">
        <v>28</v>
      </c>
      <c r="E270" s="19">
        <v>92</v>
      </c>
      <c r="F270" s="19">
        <v>15.2</v>
      </c>
    </row>
    <row r="271" spans="1:6" x14ac:dyDescent="0.25">
      <c r="A271" s="12">
        <v>111</v>
      </c>
      <c r="B271" s="11"/>
      <c r="C271" s="16" t="s">
        <v>98</v>
      </c>
      <c r="D271" s="14" t="s">
        <v>110</v>
      </c>
      <c r="E271" s="19">
        <v>171.1</v>
      </c>
      <c r="F271" s="19">
        <v>156</v>
      </c>
    </row>
    <row r="272" spans="1:6" x14ac:dyDescent="0.25">
      <c r="A272" s="12">
        <v>112</v>
      </c>
      <c r="B272" s="11"/>
      <c r="C272" s="16" t="s">
        <v>168</v>
      </c>
      <c r="D272" s="14"/>
      <c r="E272" s="19">
        <f>+E273+E275+E276+E277+E278+E279+E280+E281+E274</f>
        <v>6568.5000000000009</v>
      </c>
      <c r="F272" s="19">
        <f>+F273+F275+F276+F277+F278+F279+F280+F281+F274</f>
        <v>2865.1</v>
      </c>
    </row>
    <row r="273" spans="1:6" ht="92.4" x14ac:dyDescent="0.25">
      <c r="A273" s="192" t="s">
        <v>771</v>
      </c>
      <c r="B273" s="11"/>
      <c r="C273" s="16" t="s">
        <v>99</v>
      </c>
      <c r="D273" s="14" t="s">
        <v>130</v>
      </c>
      <c r="E273" s="19">
        <v>5051.8</v>
      </c>
      <c r="F273" s="19">
        <v>2865.1</v>
      </c>
    </row>
    <row r="274" spans="1:6" ht="26.4" x14ac:dyDescent="0.25">
      <c r="A274" s="192" t="s">
        <v>772</v>
      </c>
      <c r="B274" s="11"/>
      <c r="C274" s="16" t="s">
        <v>649</v>
      </c>
      <c r="D274" s="14" t="s">
        <v>157</v>
      </c>
      <c r="E274" s="19">
        <v>40</v>
      </c>
      <c r="F274" s="19"/>
    </row>
    <row r="275" spans="1:6" ht="26.4" x14ac:dyDescent="0.25">
      <c r="A275" s="192" t="s">
        <v>773</v>
      </c>
      <c r="B275" s="1"/>
      <c r="C275" s="122" t="s">
        <v>146</v>
      </c>
      <c r="D275" s="14" t="s">
        <v>121</v>
      </c>
      <c r="E275" s="19">
        <v>120</v>
      </c>
      <c r="F275" s="19"/>
    </row>
    <row r="276" spans="1:6" ht="12.6" customHeight="1" x14ac:dyDescent="0.25">
      <c r="A276" s="192" t="s">
        <v>774</v>
      </c>
      <c r="B276" s="1"/>
      <c r="C276" s="122" t="s">
        <v>391</v>
      </c>
      <c r="D276" s="14" t="s">
        <v>38</v>
      </c>
      <c r="E276" s="19">
        <v>21.6</v>
      </c>
      <c r="F276" s="19"/>
    </row>
    <row r="277" spans="1:6" x14ac:dyDescent="0.25">
      <c r="A277" s="192" t="s">
        <v>775</v>
      </c>
      <c r="B277" s="1"/>
      <c r="C277" s="122" t="s">
        <v>390</v>
      </c>
      <c r="D277" s="14" t="s">
        <v>101</v>
      </c>
      <c r="E277" s="19">
        <v>1150</v>
      </c>
      <c r="F277" s="19"/>
    </row>
    <row r="278" spans="1:6" x14ac:dyDescent="0.25">
      <c r="A278" s="192" t="s">
        <v>776</v>
      </c>
      <c r="B278" s="1"/>
      <c r="C278" s="122" t="s">
        <v>202</v>
      </c>
      <c r="D278" s="14" t="s">
        <v>38</v>
      </c>
      <c r="E278" s="19">
        <v>15</v>
      </c>
      <c r="F278" s="19"/>
    </row>
    <row r="279" spans="1:6" ht="26.4" x14ac:dyDescent="0.25">
      <c r="A279" s="192" t="s">
        <v>777</v>
      </c>
      <c r="B279" s="1"/>
      <c r="C279" s="122" t="s">
        <v>177</v>
      </c>
      <c r="D279" s="14" t="s">
        <v>100</v>
      </c>
      <c r="E279" s="19">
        <v>12</v>
      </c>
      <c r="F279" s="19"/>
    </row>
    <row r="280" spans="1:6" ht="12.6" customHeight="1" x14ac:dyDescent="0.25">
      <c r="A280" s="192" t="s">
        <v>778</v>
      </c>
      <c r="B280" s="1"/>
      <c r="C280" s="122" t="s">
        <v>196</v>
      </c>
      <c r="D280" s="14" t="s">
        <v>102</v>
      </c>
      <c r="E280" s="19">
        <v>110</v>
      </c>
      <c r="F280" s="19"/>
    </row>
    <row r="281" spans="1:6" ht="12.6" customHeight="1" x14ac:dyDescent="0.25">
      <c r="A281" s="192" t="s">
        <v>779</v>
      </c>
      <c r="B281" s="1"/>
      <c r="C281" s="122" t="s">
        <v>299</v>
      </c>
      <c r="D281" s="14" t="s">
        <v>306</v>
      </c>
      <c r="E281" s="19">
        <v>48.1</v>
      </c>
      <c r="F281" s="19"/>
    </row>
    <row r="282" spans="1:6" ht="25.5" customHeight="1" x14ac:dyDescent="0.25">
      <c r="A282" s="116">
        <v>113</v>
      </c>
      <c r="B282" s="117"/>
      <c r="C282" s="15" t="s">
        <v>8</v>
      </c>
      <c r="D282" s="1" t="s">
        <v>793</v>
      </c>
      <c r="E282" s="19">
        <v>184.1</v>
      </c>
      <c r="F282" s="19">
        <v>111</v>
      </c>
    </row>
    <row r="283" spans="1:6" x14ac:dyDescent="0.25">
      <c r="A283" s="116">
        <v>114</v>
      </c>
      <c r="B283" s="117"/>
      <c r="C283" s="15" t="s">
        <v>4</v>
      </c>
      <c r="D283" s="1" t="s">
        <v>793</v>
      </c>
      <c r="E283" s="19">
        <v>72</v>
      </c>
      <c r="F283" s="19">
        <v>50.3</v>
      </c>
    </row>
    <row r="284" spans="1:6" ht="15" customHeight="1" x14ac:dyDescent="0.25">
      <c r="A284" s="116">
        <v>115</v>
      </c>
      <c r="B284" s="117"/>
      <c r="C284" s="15" t="s">
        <v>5</v>
      </c>
      <c r="D284" s="1" t="s">
        <v>793</v>
      </c>
      <c r="E284" s="19">
        <v>125.4</v>
      </c>
      <c r="F284" s="19">
        <v>65</v>
      </c>
    </row>
    <row r="285" spans="1:6" x14ac:dyDescent="0.25">
      <c r="A285" s="116">
        <v>116</v>
      </c>
      <c r="B285" s="117"/>
      <c r="C285" s="15" t="s">
        <v>7</v>
      </c>
      <c r="D285" s="1" t="s">
        <v>793</v>
      </c>
      <c r="E285" s="19">
        <v>97</v>
      </c>
      <c r="F285" s="19">
        <v>61</v>
      </c>
    </row>
    <row r="286" spans="1:6" x14ac:dyDescent="0.25">
      <c r="A286" s="116">
        <v>117</v>
      </c>
      <c r="B286" s="117"/>
      <c r="C286" s="15" t="s">
        <v>6</v>
      </c>
      <c r="D286" s="1" t="s">
        <v>793</v>
      </c>
      <c r="E286" s="19">
        <v>82.7</v>
      </c>
      <c r="F286" s="19">
        <v>54.6</v>
      </c>
    </row>
    <row r="287" spans="1:6" ht="26.4" x14ac:dyDescent="0.25">
      <c r="A287" s="116">
        <v>118</v>
      </c>
      <c r="B287" s="117"/>
      <c r="C287" s="15" t="s">
        <v>9</v>
      </c>
      <c r="D287" s="1" t="s">
        <v>793</v>
      </c>
      <c r="E287" s="19">
        <v>91</v>
      </c>
      <c r="F287" s="19">
        <v>61.7</v>
      </c>
    </row>
    <row r="288" spans="1:6" ht="26.4" x14ac:dyDescent="0.25">
      <c r="A288" s="116">
        <v>119</v>
      </c>
      <c r="B288" s="117"/>
      <c r="C288" s="16" t="s">
        <v>10</v>
      </c>
      <c r="D288" s="1" t="s">
        <v>793</v>
      </c>
      <c r="E288" s="19">
        <v>206.6</v>
      </c>
      <c r="F288" s="19">
        <v>92.9</v>
      </c>
    </row>
    <row r="289" spans="1:6" ht="26.4" x14ac:dyDescent="0.25">
      <c r="A289" s="116">
        <v>120</v>
      </c>
      <c r="B289" s="117"/>
      <c r="C289" s="15" t="s">
        <v>12</v>
      </c>
      <c r="D289" s="1" t="s">
        <v>793</v>
      </c>
      <c r="E289" s="19">
        <v>89.1</v>
      </c>
      <c r="F289" s="19">
        <v>61.2</v>
      </c>
    </row>
    <row r="290" spans="1:6" ht="15.75" customHeight="1" x14ac:dyDescent="0.25">
      <c r="A290" s="116">
        <v>121</v>
      </c>
      <c r="B290" s="117"/>
      <c r="C290" s="15" t="s">
        <v>11</v>
      </c>
      <c r="D290" s="1" t="s">
        <v>793</v>
      </c>
      <c r="E290" s="19">
        <v>143.5</v>
      </c>
      <c r="F290" s="19">
        <v>64</v>
      </c>
    </row>
    <row r="291" spans="1:6" x14ac:dyDescent="0.25">
      <c r="A291" s="116">
        <v>122</v>
      </c>
      <c r="B291" s="117"/>
      <c r="C291" s="15" t="s">
        <v>13</v>
      </c>
      <c r="D291" s="1" t="s">
        <v>793</v>
      </c>
      <c r="E291" s="19">
        <v>96.2</v>
      </c>
      <c r="F291" s="19">
        <v>63.5</v>
      </c>
    </row>
    <row r="292" spans="1:6" x14ac:dyDescent="0.25">
      <c r="A292" s="116">
        <v>123</v>
      </c>
      <c r="B292" s="117"/>
      <c r="C292" s="15" t="s">
        <v>14</v>
      </c>
      <c r="D292" s="1" t="s">
        <v>793</v>
      </c>
      <c r="E292" s="19">
        <v>223.4</v>
      </c>
      <c r="F292" s="19">
        <v>87.1</v>
      </c>
    </row>
    <row r="293" spans="1:6" ht="13.8" x14ac:dyDescent="0.25">
      <c r="A293" s="12">
        <v>124</v>
      </c>
      <c r="B293" s="1"/>
      <c r="C293" s="198" t="s">
        <v>20</v>
      </c>
      <c r="D293" s="1"/>
      <c r="E293" s="121">
        <f>+E10+E61+E81+E130+E156+E178+E194+E231+E255+E264+E269</f>
        <v>51922.600000000006</v>
      </c>
      <c r="F293" s="121">
        <f>+F10+F61+F81+F130+F156+F178+F194+F231+F255+F264+F269</f>
        <v>22259.699999999997</v>
      </c>
    </row>
    <row r="294" spans="1:6" x14ac:dyDescent="0.25">
      <c r="C294" s="5"/>
      <c r="F294" s="128"/>
    </row>
    <row r="295" spans="1:6" x14ac:dyDescent="0.25">
      <c r="A295" s="2" t="s">
        <v>220</v>
      </c>
      <c r="B295" s="2"/>
      <c r="C295" s="2"/>
      <c r="D295" s="2"/>
      <c r="E295" s="2"/>
      <c r="F295" s="2"/>
    </row>
    <row r="296" spans="1:6" x14ac:dyDescent="0.25">
      <c r="C296" s="129"/>
      <c r="E296" s="128"/>
      <c r="F296" s="128"/>
    </row>
    <row r="297" spans="1:6" x14ac:dyDescent="0.25">
      <c r="C297" s="5"/>
      <c r="E297" s="128"/>
      <c r="F297" s="128"/>
    </row>
    <row r="298" spans="1:6" x14ac:dyDescent="0.25">
      <c r="C298" s="5"/>
      <c r="D298" s="5"/>
      <c r="E298" s="38"/>
      <c r="F298" s="38"/>
    </row>
    <row r="299" spans="1:6" x14ac:dyDescent="0.25">
      <c r="C299" s="5"/>
      <c r="D299" s="5"/>
      <c r="E299" s="128"/>
      <c r="F299" s="128"/>
    </row>
    <row r="300" spans="1:6" x14ac:dyDescent="0.25">
      <c r="C300" s="5"/>
      <c r="D300" s="53"/>
      <c r="E300" s="43"/>
    </row>
    <row r="301" spans="1:6" x14ac:dyDescent="0.25">
      <c r="C301" s="5"/>
      <c r="D301" s="53"/>
      <c r="E301" s="128"/>
    </row>
    <row r="302" spans="1:6" x14ac:dyDescent="0.25">
      <c r="C302" s="5"/>
      <c r="D302" s="53"/>
      <c r="E302" s="199"/>
      <c r="F302" s="53"/>
    </row>
    <row r="303" spans="1:6" x14ac:dyDescent="0.25">
      <c r="C303" s="5"/>
      <c r="D303" s="53"/>
      <c r="F303" s="128"/>
    </row>
    <row r="304" spans="1:6" x14ac:dyDescent="0.25">
      <c r="C304" s="5"/>
      <c r="D304" s="200"/>
      <c r="E304" s="43"/>
      <c r="F304" s="128"/>
    </row>
    <row r="305" spans="3:6" x14ac:dyDescent="0.25">
      <c r="C305" s="5"/>
      <c r="D305" s="200"/>
      <c r="E305" s="43"/>
      <c r="F305" s="128"/>
    </row>
    <row r="306" spans="3:6" x14ac:dyDescent="0.25">
      <c r="C306" s="5"/>
      <c r="D306" s="200"/>
      <c r="E306" s="199"/>
    </row>
    <row r="307" spans="3:6" x14ac:dyDescent="0.25">
      <c r="C307" s="129"/>
      <c r="E307" s="128"/>
    </row>
    <row r="308" spans="3:6" x14ac:dyDescent="0.25">
      <c r="C308" s="5"/>
      <c r="E308" s="130"/>
      <c r="F308" s="130"/>
    </row>
    <row r="309" spans="3:6" x14ac:dyDescent="0.25">
      <c r="E309" s="128"/>
    </row>
    <row r="310" spans="3:6" x14ac:dyDescent="0.25">
      <c r="E310" s="128"/>
    </row>
    <row r="311" spans="3:6" x14ac:dyDescent="0.25">
      <c r="E311" s="128"/>
    </row>
    <row r="313" spans="3:6" x14ac:dyDescent="0.25">
      <c r="E313" s="128"/>
      <c r="F313" s="128"/>
    </row>
    <row r="315" spans="3:6" x14ac:dyDescent="0.25">
      <c r="E315" s="128"/>
      <c r="F315" s="128"/>
    </row>
    <row r="324" spans="5:6" x14ac:dyDescent="0.25">
      <c r="E324" s="128"/>
      <c r="F324" s="128"/>
    </row>
  </sheetData>
  <mergeCells count="40">
    <mergeCell ref="A38:A39"/>
    <mergeCell ref="B38:B39"/>
    <mergeCell ref="D38:D39"/>
    <mergeCell ref="A128:A129"/>
    <mergeCell ref="B128:B129"/>
    <mergeCell ref="A117:A118"/>
    <mergeCell ref="B117:B118"/>
    <mergeCell ref="A122:A123"/>
    <mergeCell ref="B122:B123"/>
    <mergeCell ref="A120:A121"/>
    <mergeCell ref="B120:B121"/>
    <mergeCell ref="A124:A125"/>
    <mergeCell ref="B124:B125"/>
    <mergeCell ref="C1:F1"/>
    <mergeCell ref="C2:F2"/>
    <mergeCell ref="E3:F3"/>
    <mergeCell ref="A5:F5"/>
    <mergeCell ref="A35:A36"/>
    <mergeCell ref="D35:D36"/>
    <mergeCell ref="A134:A140"/>
    <mergeCell ref="B134:B140"/>
    <mergeCell ref="D134:D140"/>
    <mergeCell ref="A62:A63"/>
    <mergeCell ref="D62:D63"/>
    <mergeCell ref="A82:A84"/>
    <mergeCell ref="B82:B84"/>
    <mergeCell ref="D82:D84"/>
    <mergeCell ref="A110:A111"/>
    <mergeCell ref="B110:B111"/>
    <mergeCell ref="A112:A113"/>
    <mergeCell ref="B112:B113"/>
    <mergeCell ref="A115:A116"/>
    <mergeCell ref="B115:B116"/>
    <mergeCell ref="A126:A127"/>
    <mergeCell ref="B126:B127"/>
    <mergeCell ref="A164:A165"/>
    <mergeCell ref="B164:B165"/>
    <mergeCell ref="A179:A181"/>
    <mergeCell ref="B179:B181"/>
    <mergeCell ref="D179:D181"/>
  </mergeCells>
  <phoneticPr fontId="13" type="noConversion"/>
  <pageMargins left="0.70866141732283472" right="0" top="0.74803149606299213" bottom="0.59055118110236227" header="0.31496062992125984" footer="0.31496062992125984"/>
  <pageSetup paperSize="9" fitToHeight="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zoomScaleNormal="100" workbookViewId="0">
      <selection activeCell="I25" sqref="I25"/>
    </sheetView>
  </sheetViews>
  <sheetFormatPr defaultColWidth="9.109375" defaultRowHeight="13.2" x14ac:dyDescent="0.25"/>
  <cols>
    <col min="1" max="1" width="4" style="3" customWidth="1"/>
    <col min="2" max="2" width="6.6640625" style="6" customWidth="1"/>
    <col min="3" max="3" width="56" style="3" customWidth="1"/>
    <col min="4" max="4" width="10.33203125" style="6" customWidth="1"/>
    <col min="5" max="5" width="7.44140625" style="5" customWidth="1"/>
    <col min="6" max="6" width="11.109375" style="5" customWidth="1"/>
    <col min="7" max="11" width="9.109375" style="2" customWidth="1"/>
    <col min="12" max="16384" width="9.109375" style="2"/>
  </cols>
  <sheetData>
    <row r="1" spans="1:15" ht="15.6" x14ac:dyDescent="0.3">
      <c r="C1" s="246" t="s">
        <v>309</v>
      </c>
      <c r="D1" s="246"/>
      <c r="E1" s="246"/>
      <c r="F1" s="246"/>
    </row>
    <row r="2" spans="1:15" ht="15.6" x14ac:dyDescent="0.3">
      <c r="C2" s="246" t="s">
        <v>588</v>
      </c>
      <c r="D2" s="246"/>
      <c r="E2" s="246"/>
      <c r="F2" s="246"/>
    </row>
    <row r="3" spans="1:15" ht="15.6" x14ac:dyDescent="0.25">
      <c r="C3" s="44"/>
      <c r="D3" s="45"/>
      <c r="E3" s="271" t="s">
        <v>221</v>
      </c>
      <c r="F3" s="271"/>
    </row>
    <row r="5" spans="1:15" ht="18.75" customHeight="1" x14ac:dyDescent="0.25">
      <c r="A5" s="249" t="s">
        <v>604</v>
      </c>
      <c r="B5" s="249"/>
      <c r="C5" s="249"/>
      <c r="D5" s="249"/>
      <c r="E5" s="249"/>
      <c r="F5" s="249"/>
    </row>
    <row r="6" spans="1:15" x14ac:dyDescent="0.25">
      <c r="F6" s="54" t="s">
        <v>129</v>
      </c>
    </row>
    <row r="7" spans="1:15" ht="56.25" customHeight="1" x14ac:dyDescent="0.25">
      <c r="A7" s="8" t="s">
        <v>118</v>
      </c>
      <c r="B7" s="9" t="s">
        <v>367</v>
      </c>
      <c r="C7" s="8" t="s">
        <v>16</v>
      </c>
      <c r="D7" s="9" t="s">
        <v>55</v>
      </c>
      <c r="E7" s="8" t="s">
        <v>17</v>
      </c>
      <c r="F7" s="8" t="s">
        <v>29</v>
      </c>
    </row>
    <row r="8" spans="1:15" x14ac:dyDescent="0.25">
      <c r="A8" s="10">
        <v>1</v>
      </c>
      <c r="B8" s="11" t="s">
        <v>18</v>
      </c>
      <c r="C8" s="8">
        <v>3</v>
      </c>
      <c r="D8" s="9">
        <v>4</v>
      </c>
      <c r="E8" s="8">
        <v>5</v>
      </c>
      <c r="F8" s="8">
        <v>6</v>
      </c>
    </row>
    <row r="9" spans="1:15" x14ac:dyDescent="0.25">
      <c r="A9" s="12">
        <v>1</v>
      </c>
      <c r="B9" s="11" t="s">
        <v>56</v>
      </c>
      <c r="C9" s="13" t="s">
        <v>57</v>
      </c>
      <c r="D9" s="10"/>
      <c r="E9" s="29">
        <f>SUM(E10:E26)</f>
        <v>134.69999999999999</v>
      </c>
      <c r="F9" s="29">
        <f>SUM(F10:F26)</f>
        <v>22.5</v>
      </c>
      <c r="G9" s="4"/>
      <c r="H9" s="4"/>
      <c r="L9" s="4"/>
      <c r="M9" s="4"/>
      <c r="N9" s="4"/>
      <c r="O9" s="4"/>
    </row>
    <row r="10" spans="1:15" ht="12.6" customHeight="1" x14ac:dyDescent="0.25">
      <c r="A10" s="12">
        <v>2</v>
      </c>
      <c r="B10" s="18"/>
      <c r="C10" s="21" t="s">
        <v>163</v>
      </c>
      <c r="D10" s="1" t="s">
        <v>58</v>
      </c>
      <c r="E10" s="26">
        <v>1</v>
      </c>
      <c r="F10" s="26"/>
      <c r="G10" s="4"/>
      <c r="H10" s="4"/>
      <c r="L10" s="4"/>
      <c r="M10" s="4"/>
      <c r="N10" s="4"/>
      <c r="O10" s="4"/>
    </row>
    <row r="11" spans="1:15" ht="12.6" customHeight="1" x14ac:dyDescent="0.25">
      <c r="A11" s="12">
        <v>3</v>
      </c>
      <c r="B11" s="18"/>
      <c r="C11" s="21" t="s">
        <v>166</v>
      </c>
      <c r="D11" s="1" t="s">
        <v>60</v>
      </c>
      <c r="E11" s="26">
        <v>9</v>
      </c>
      <c r="F11" s="26"/>
      <c r="G11" s="4"/>
      <c r="H11" s="4"/>
      <c r="L11" s="4"/>
      <c r="M11" s="4"/>
      <c r="N11" s="4"/>
      <c r="O11" s="4"/>
    </row>
    <row r="12" spans="1:15" ht="12.6" customHeight="1" x14ac:dyDescent="0.25">
      <c r="A12" s="12">
        <v>4</v>
      </c>
      <c r="B12" s="18"/>
      <c r="C12" s="21" t="s">
        <v>46</v>
      </c>
      <c r="D12" s="1" t="s">
        <v>60</v>
      </c>
      <c r="E12" s="26">
        <f>0.5+0.1</f>
        <v>0.6</v>
      </c>
      <c r="F12" s="26"/>
      <c r="G12" s="4"/>
      <c r="H12" s="4"/>
      <c r="L12" s="4"/>
      <c r="M12" s="4"/>
      <c r="N12" s="4"/>
      <c r="O12" s="4"/>
    </row>
    <row r="13" spans="1:15" ht="12.6" customHeight="1" x14ac:dyDescent="0.25">
      <c r="A13" s="12">
        <v>5</v>
      </c>
      <c r="B13" s="18"/>
      <c r="C13" s="22" t="s">
        <v>134</v>
      </c>
      <c r="D13" s="1" t="s">
        <v>60</v>
      </c>
      <c r="E13" s="26">
        <v>0.8</v>
      </c>
      <c r="F13" s="26">
        <v>0.3</v>
      </c>
      <c r="G13" s="4"/>
      <c r="H13" s="4"/>
      <c r="L13" s="4"/>
      <c r="M13" s="4"/>
      <c r="N13" s="4"/>
      <c r="O13" s="4"/>
    </row>
    <row r="14" spans="1:15" ht="12.6" customHeight="1" x14ac:dyDescent="0.25">
      <c r="A14" s="12">
        <v>6</v>
      </c>
      <c r="B14" s="18"/>
      <c r="C14" s="22" t="s">
        <v>135</v>
      </c>
      <c r="D14" s="1" t="s">
        <v>60</v>
      </c>
      <c r="E14" s="26">
        <f>1.5+0.7</f>
        <v>2.2000000000000002</v>
      </c>
      <c r="F14" s="26"/>
      <c r="G14" s="4"/>
      <c r="H14" s="4"/>
      <c r="L14" s="4"/>
      <c r="M14" s="4"/>
      <c r="N14" s="4"/>
      <c r="O14" s="4"/>
    </row>
    <row r="15" spans="1:15" ht="12.6" customHeight="1" x14ac:dyDescent="0.25">
      <c r="A15" s="12">
        <v>7</v>
      </c>
      <c r="B15" s="18"/>
      <c r="C15" s="22" t="s">
        <v>40</v>
      </c>
      <c r="D15" s="1" t="s">
        <v>60</v>
      </c>
      <c r="E15" s="26">
        <f>2.5+0.6</f>
        <v>3.1</v>
      </c>
      <c r="F15" s="26"/>
      <c r="G15" s="4"/>
      <c r="H15" s="4"/>
      <c r="L15" s="4"/>
      <c r="M15" s="4"/>
      <c r="N15" s="4"/>
      <c r="O15" s="4"/>
    </row>
    <row r="16" spans="1:15" ht="12.6" customHeight="1" x14ac:dyDescent="0.25">
      <c r="A16" s="12">
        <v>8</v>
      </c>
      <c r="B16" s="18"/>
      <c r="C16" s="21" t="s">
        <v>137</v>
      </c>
      <c r="D16" s="1" t="s">
        <v>60</v>
      </c>
      <c r="E16" s="26">
        <f>2+0.1</f>
        <v>2.1</v>
      </c>
      <c r="F16" s="26"/>
      <c r="G16" s="4"/>
      <c r="H16" s="4"/>
      <c r="L16" s="4"/>
      <c r="M16" s="4"/>
      <c r="N16" s="4"/>
      <c r="O16" s="4"/>
    </row>
    <row r="17" spans="1:15" ht="12.6" customHeight="1" x14ac:dyDescent="0.25">
      <c r="A17" s="12">
        <v>9</v>
      </c>
      <c r="B17" s="18"/>
      <c r="C17" s="22" t="s">
        <v>164</v>
      </c>
      <c r="D17" s="14" t="s">
        <v>222</v>
      </c>
      <c r="E17" s="26">
        <f>25+9.8</f>
        <v>34.799999999999997</v>
      </c>
      <c r="F17" s="26"/>
      <c r="G17" s="4"/>
      <c r="H17" s="4"/>
      <c r="L17" s="4"/>
      <c r="M17" s="4"/>
      <c r="N17" s="4"/>
      <c r="O17" s="4"/>
    </row>
    <row r="18" spans="1:15" ht="12.6" customHeight="1" x14ac:dyDescent="0.25">
      <c r="A18" s="12">
        <v>10</v>
      </c>
      <c r="B18" s="18"/>
      <c r="C18" s="21" t="s">
        <v>165</v>
      </c>
      <c r="D18" s="14" t="s">
        <v>222</v>
      </c>
      <c r="E18" s="26">
        <f>2+0.5</f>
        <v>2.5</v>
      </c>
      <c r="F18" s="26"/>
      <c r="G18" s="4"/>
      <c r="H18" s="4"/>
      <c r="L18" s="4"/>
      <c r="M18" s="4"/>
      <c r="N18" s="4"/>
      <c r="O18" s="4"/>
    </row>
    <row r="19" spans="1:15" ht="12.6" customHeight="1" x14ac:dyDescent="0.25">
      <c r="A19" s="12">
        <v>11</v>
      </c>
      <c r="B19" s="18"/>
      <c r="C19" s="22" t="s">
        <v>41</v>
      </c>
      <c r="D19" s="1" t="s">
        <v>61</v>
      </c>
      <c r="E19" s="26">
        <v>0.4</v>
      </c>
      <c r="F19" s="26"/>
      <c r="G19" s="4"/>
      <c r="H19" s="4"/>
      <c r="L19" s="4"/>
      <c r="M19" s="4"/>
      <c r="N19" s="4"/>
      <c r="O19" s="4"/>
    </row>
    <row r="20" spans="1:15" ht="12.6" customHeight="1" x14ac:dyDescent="0.25">
      <c r="A20" s="12">
        <v>12</v>
      </c>
      <c r="B20" s="18"/>
      <c r="C20" s="15" t="s">
        <v>215</v>
      </c>
      <c r="D20" s="1" t="s">
        <v>61</v>
      </c>
      <c r="E20" s="26">
        <v>0.2</v>
      </c>
      <c r="F20" s="26"/>
      <c r="G20" s="4"/>
      <c r="H20" s="4"/>
      <c r="L20" s="4"/>
      <c r="M20" s="4"/>
      <c r="N20" s="4"/>
      <c r="O20" s="4"/>
    </row>
    <row r="21" spans="1:15" ht="12.6" customHeight="1" x14ac:dyDescent="0.25">
      <c r="A21" s="12">
        <v>13</v>
      </c>
      <c r="B21" s="18"/>
      <c r="C21" s="15" t="s">
        <v>42</v>
      </c>
      <c r="D21" s="1" t="s">
        <v>61</v>
      </c>
      <c r="E21" s="26">
        <v>0.3</v>
      </c>
      <c r="F21" s="26"/>
      <c r="G21" s="4"/>
      <c r="H21" s="4"/>
      <c r="L21" s="4"/>
      <c r="M21" s="4"/>
      <c r="N21" s="4"/>
      <c r="O21" s="4"/>
    </row>
    <row r="22" spans="1:15" ht="12.6" customHeight="1" x14ac:dyDescent="0.25">
      <c r="A22" s="12">
        <v>14</v>
      </c>
      <c r="B22" s="18"/>
      <c r="C22" s="22" t="s">
        <v>111</v>
      </c>
      <c r="D22" s="1" t="s">
        <v>60</v>
      </c>
      <c r="E22" s="26">
        <f>33+22.8</f>
        <v>55.8</v>
      </c>
      <c r="F22" s="26">
        <v>22.2</v>
      </c>
      <c r="G22" s="4"/>
      <c r="H22" s="4"/>
      <c r="L22" s="4"/>
      <c r="M22" s="4"/>
      <c r="N22" s="4"/>
      <c r="O22" s="4"/>
    </row>
    <row r="23" spans="1:15" ht="12.6" customHeight="1" x14ac:dyDescent="0.25">
      <c r="A23" s="12">
        <v>15</v>
      </c>
      <c r="B23" s="18"/>
      <c r="C23" s="21" t="s">
        <v>366</v>
      </c>
      <c r="D23" s="1" t="s">
        <v>61</v>
      </c>
      <c r="E23" s="26">
        <f>2+0.3</f>
        <v>2.2999999999999998</v>
      </c>
      <c r="F23" s="26"/>
      <c r="G23" s="4"/>
      <c r="H23" s="4"/>
      <c r="L23" s="4"/>
      <c r="M23" s="4"/>
      <c r="N23" s="4"/>
      <c r="O23" s="4"/>
    </row>
    <row r="24" spans="1:15" ht="12.6" customHeight="1" x14ac:dyDescent="0.25">
      <c r="A24" s="12">
        <v>16</v>
      </c>
      <c r="B24" s="18"/>
      <c r="C24" s="21" t="s">
        <v>47</v>
      </c>
      <c r="D24" s="14" t="s">
        <v>62</v>
      </c>
      <c r="E24" s="26">
        <f>0.4+0.4</f>
        <v>0.8</v>
      </c>
      <c r="F24" s="26"/>
      <c r="G24" s="4"/>
      <c r="H24" s="4"/>
      <c r="L24" s="4"/>
      <c r="M24" s="4"/>
      <c r="N24" s="4"/>
      <c r="O24" s="4"/>
    </row>
    <row r="25" spans="1:15" ht="12.6" customHeight="1" x14ac:dyDescent="0.25">
      <c r="A25" s="12">
        <v>17</v>
      </c>
      <c r="B25" s="18"/>
      <c r="C25" s="24" t="s">
        <v>48</v>
      </c>
      <c r="D25" s="14" t="s">
        <v>62</v>
      </c>
      <c r="E25" s="26">
        <v>0.2</v>
      </c>
      <c r="F25" s="26"/>
      <c r="G25" s="4"/>
      <c r="H25" s="4"/>
      <c r="L25" s="4"/>
      <c r="M25" s="4"/>
      <c r="N25" s="4"/>
      <c r="O25" s="4"/>
    </row>
    <row r="26" spans="1:15" ht="12.6" customHeight="1" x14ac:dyDescent="0.25">
      <c r="A26" s="12">
        <v>18</v>
      </c>
      <c r="B26" s="18"/>
      <c r="C26" s="24" t="s">
        <v>216</v>
      </c>
      <c r="D26" s="1" t="s">
        <v>223</v>
      </c>
      <c r="E26" s="26">
        <f>14.9+3.7</f>
        <v>18.600000000000001</v>
      </c>
      <c r="F26" s="26"/>
      <c r="G26" s="4"/>
      <c r="H26" s="4"/>
      <c r="L26" s="4"/>
      <c r="M26" s="4"/>
      <c r="N26" s="4"/>
      <c r="O26" s="4"/>
    </row>
    <row r="27" spans="1:15" x14ac:dyDescent="0.25">
      <c r="A27" s="12">
        <v>19</v>
      </c>
      <c r="B27" s="11" t="s">
        <v>65</v>
      </c>
      <c r="C27" s="17" t="s">
        <v>66</v>
      </c>
      <c r="D27" s="1"/>
      <c r="E27" s="29">
        <f>SUM(E28:E28)</f>
        <v>23</v>
      </c>
      <c r="F27" s="29">
        <f>SUM(F28:F28)</f>
        <v>4.4000000000000004</v>
      </c>
      <c r="G27" s="4"/>
      <c r="H27" s="4"/>
      <c r="L27" s="4"/>
      <c r="M27" s="4"/>
      <c r="N27" s="4"/>
      <c r="O27" s="4"/>
    </row>
    <row r="28" spans="1:15" ht="12.6" customHeight="1" x14ac:dyDescent="0.25">
      <c r="A28" s="12">
        <v>20</v>
      </c>
      <c r="B28" s="18"/>
      <c r="C28" s="27" t="s">
        <v>218</v>
      </c>
      <c r="D28" s="18" t="s">
        <v>224</v>
      </c>
      <c r="E28" s="26">
        <f>13.2+9.8</f>
        <v>23</v>
      </c>
      <c r="F28" s="26">
        <v>4.4000000000000004</v>
      </c>
      <c r="G28" s="4"/>
      <c r="H28" s="4"/>
      <c r="L28" s="4"/>
      <c r="M28" s="4"/>
      <c r="N28" s="4"/>
      <c r="O28" s="4"/>
    </row>
    <row r="29" spans="1:15" x14ac:dyDescent="0.25">
      <c r="A29" s="12">
        <v>21</v>
      </c>
      <c r="B29" s="11" t="s">
        <v>21</v>
      </c>
      <c r="C29" s="17" t="s">
        <v>22</v>
      </c>
      <c r="D29" s="18"/>
      <c r="E29" s="29">
        <f>SUM(E30:E30)</f>
        <v>87.7</v>
      </c>
      <c r="F29" s="29">
        <f>SUM(F30:F30)</f>
        <v>0</v>
      </c>
      <c r="G29" s="4"/>
      <c r="H29" s="4"/>
      <c r="L29" s="4"/>
      <c r="M29" s="4"/>
      <c r="N29" s="4"/>
      <c r="O29" s="4"/>
    </row>
    <row r="30" spans="1:15" ht="26.4" x14ac:dyDescent="0.25">
      <c r="A30" s="12">
        <v>22</v>
      </c>
      <c r="B30" s="18"/>
      <c r="C30" s="28" t="s">
        <v>1</v>
      </c>
      <c r="D30" s="23" t="s">
        <v>225</v>
      </c>
      <c r="E30" s="26">
        <f>79.8+7.9</f>
        <v>87.7</v>
      </c>
      <c r="F30" s="26"/>
      <c r="G30" s="4"/>
      <c r="H30" s="4"/>
      <c r="I30" s="4"/>
      <c r="L30" s="4"/>
      <c r="M30" s="4"/>
      <c r="N30" s="4"/>
      <c r="O30" s="4"/>
    </row>
    <row r="31" spans="1:15" ht="12.75" customHeight="1" x14ac:dyDescent="0.25">
      <c r="A31" s="12">
        <v>23</v>
      </c>
      <c r="B31" s="11" t="s">
        <v>76</v>
      </c>
      <c r="C31" s="17" t="s">
        <v>197</v>
      </c>
      <c r="D31" s="23"/>
      <c r="E31" s="29">
        <f>+E32</f>
        <v>36.799999999999997</v>
      </c>
      <c r="F31" s="29">
        <f>+F32</f>
        <v>0</v>
      </c>
      <c r="G31" s="4"/>
      <c r="H31" s="4"/>
      <c r="L31" s="4"/>
      <c r="M31" s="4"/>
      <c r="N31" s="4"/>
      <c r="O31" s="4"/>
    </row>
    <row r="32" spans="1:15" ht="12.6" customHeight="1" x14ac:dyDescent="0.25">
      <c r="A32" s="12">
        <v>24</v>
      </c>
      <c r="B32" s="18"/>
      <c r="C32" s="21" t="s">
        <v>112</v>
      </c>
      <c r="D32" s="14" t="s">
        <v>77</v>
      </c>
      <c r="E32" s="26">
        <f>23+13.8</f>
        <v>36.799999999999997</v>
      </c>
      <c r="F32" s="26"/>
      <c r="G32" s="4"/>
      <c r="H32" s="4"/>
      <c r="L32" s="4"/>
      <c r="M32" s="4"/>
      <c r="N32" s="4"/>
      <c r="O32" s="4"/>
    </row>
    <row r="33" spans="1:15" x14ac:dyDescent="0.25">
      <c r="A33" s="12">
        <v>25</v>
      </c>
      <c r="B33" s="11" t="s">
        <v>78</v>
      </c>
      <c r="C33" s="17" t="s">
        <v>79</v>
      </c>
      <c r="D33" s="1"/>
      <c r="E33" s="29">
        <f>SUM(E34:E41)</f>
        <v>71.699999999999989</v>
      </c>
      <c r="F33" s="29">
        <f>SUM(F34:F41)</f>
        <v>0</v>
      </c>
      <c r="G33" s="4"/>
      <c r="H33" s="4"/>
      <c r="L33" s="4"/>
      <c r="M33" s="4"/>
      <c r="N33" s="4"/>
      <c r="O33" s="4"/>
    </row>
    <row r="34" spans="1:15" ht="12.6" customHeight="1" x14ac:dyDescent="0.25">
      <c r="A34" s="12">
        <v>26</v>
      </c>
      <c r="B34" s="18"/>
      <c r="C34" s="24" t="s">
        <v>44</v>
      </c>
      <c r="D34" s="1" t="s">
        <v>80</v>
      </c>
      <c r="E34" s="26">
        <f>8+0.5</f>
        <v>8.5</v>
      </c>
      <c r="F34" s="26"/>
      <c r="G34" s="4"/>
      <c r="H34" s="4"/>
      <c r="L34" s="4"/>
      <c r="M34" s="4"/>
      <c r="N34" s="4"/>
      <c r="O34" s="4"/>
    </row>
    <row r="35" spans="1:15" ht="12.6" customHeight="1" x14ac:dyDescent="0.25">
      <c r="A35" s="12">
        <v>27</v>
      </c>
      <c r="B35" s="18"/>
      <c r="C35" s="24" t="s">
        <v>49</v>
      </c>
      <c r="D35" s="1" t="s">
        <v>80</v>
      </c>
      <c r="E35" s="26">
        <f>0.8+0.4</f>
        <v>1.2000000000000002</v>
      </c>
      <c r="F35" s="26"/>
      <c r="G35" s="4"/>
      <c r="H35" s="4"/>
      <c r="L35" s="4"/>
      <c r="M35" s="4"/>
      <c r="N35" s="4"/>
      <c r="O35" s="4"/>
    </row>
    <row r="36" spans="1:15" ht="12.6" customHeight="1" x14ac:dyDescent="0.25">
      <c r="A36" s="12">
        <v>28</v>
      </c>
      <c r="B36" s="18"/>
      <c r="C36" s="24" t="s">
        <v>50</v>
      </c>
      <c r="D36" s="1" t="s">
        <v>80</v>
      </c>
      <c r="E36" s="26">
        <f>0.5+0.2</f>
        <v>0.7</v>
      </c>
      <c r="F36" s="26"/>
      <c r="G36" s="4"/>
      <c r="H36" s="4"/>
      <c r="L36" s="4"/>
      <c r="M36" s="4"/>
      <c r="N36" s="4"/>
      <c r="O36" s="4"/>
    </row>
    <row r="37" spans="1:15" ht="12.6" customHeight="1" x14ac:dyDescent="0.25">
      <c r="A37" s="12">
        <v>29</v>
      </c>
      <c r="B37" s="18"/>
      <c r="C37" s="24" t="s">
        <v>45</v>
      </c>
      <c r="D37" s="1" t="s">
        <v>80</v>
      </c>
      <c r="E37" s="26">
        <v>1.2</v>
      </c>
      <c r="F37" s="26"/>
      <c r="G37" s="4"/>
      <c r="H37" s="4"/>
      <c r="L37" s="4"/>
      <c r="M37" s="4"/>
      <c r="N37" s="4"/>
      <c r="O37" s="4"/>
    </row>
    <row r="38" spans="1:15" ht="12.6" customHeight="1" x14ac:dyDescent="0.25">
      <c r="A38" s="12">
        <v>30</v>
      </c>
      <c r="B38" s="18"/>
      <c r="C38" s="24" t="s">
        <v>51</v>
      </c>
      <c r="D38" s="1" t="s">
        <v>80</v>
      </c>
      <c r="E38" s="26">
        <f>0.3+0.1</f>
        <v>0.4</v>
      </c>
      <c r="F38" s="26"/>
      <c r="G38" s="4"/>
      <c r="H38" s="4"/>
      <c r="L38" s="4"/>
      <c r="M38" s="4"/>
      <c r="N38" s="4"/>
      <c r="O38" s="4"/>
    </row>
    <row r="39" spans="1:15" ht="12.6" customHeight="1" x14ac:dyDescent="0.25">
      <c r="A39" s="12">
        <v>31</v>
      </c>
      <c r="B39" s="18"/>
      <c r="C39" s="24" t="s">
        <v>52</v>
      </c>
      <c r="D39" s="1" t="s">
        <v>80</v>
      </c>
      <c r="E39" s="26">
        <f>0.3+0.4</f>
        <v>0.7</v>
      </c>
      <c r="F39" s="26"/>
      <c r="G39" s="4"/>
      <c r="H39" s="4"/>
      <c r="L39" s="4"/>
      <c r="M39" s="4"/>
      <c r="N39" s="4"/>
      <c r="O39" s="4"/>
    </row>
    <row r="40" spans="1:15" ht="12.6" customHeight="1" x14ac:dyDescent="0.25">
      <c r="A40" s="12">
        <v>32</v>
      </c>
      <c r="B40" s="18"/>
      <c r="C40" s="27" t="s">
        <v>53</v>
      </c>
      <c r="D40" s="18" t="s">
        <v>81</v>
      </c>
      <c r="E40" s="26">
        <f>1+0.7</f>
        <v>1.7</v>
      </c>
      <c r="F40" s="26"/>
      <c r="G40" s="4"/>
      <c r="H40" s="4"/>
      <c r="L40" s="4"/>
      <c r="M40" s="4"/>
      <c r="N40" s="4"/>
      <c r="O40" s="4"/>
    </row>
    <row r="41" spans="1:15" ht="12.6" customHeight="1" x14ac:dyDescent="0.25">
      <c r="A41" s="12">
        <v>33</v>
      </c>
      <c r="B41" s="18"/>
      <c r="C41" s="24" t="s">
        <v>43</v>
      </c>
      <c r="D41" s="14" t="s">
        <v>82</v>
      </c>
      <c r="E41" s="26">
        <f>25+32.3</f>
        <v>57.3</v>
      </c>
      <c r="F41" s="26"/>
      <c r="G41" s="4"/>
      <c r="H41" s="4"/>
      <c r="L41" s="4"/>
      <c r="M41" s="4"/>
      <c r="N41" s="4"/>
      <c r="O41" s="4"/>
    </row>
    <row r="42" spans="1:15" ht="20.100000000000001" customHeight="1" x14ac:dyDescent="0.25">
      <c r="A42" s="12">
        <v>34</v>
      </c>
      <c r="B42" s="11" t="s">
        <v>89</v>
      </c>
      <c r="C42" s="17" t="s">
        <v>90</v>
      </c>
      <c r="D42" s="18"/>
      <c r="E42" s="29">
        <f>SUM(E43:E47)</f>
        <v>10.199999999999999</v>
      </c>
      <c r="F42" s="29">
        <f>SUM(F43:F47)</f>
        <v>0</v>
      </c>
      <c r="G42" s="4"/>
      <c r="H42" s="4"/>
      <c r="L42" s="4"/>
      <c r="M42" s="4"/>
      <c r="N42" s="4"/>
      <c r="O42" s="4"/>
    </row>
    <row r="43" spans="1:15" ht="12.6" customHeight="1" x14ac:dyDescent="0.25">
      <c r="A43" s="12">
        <v>35</v>
      </c>
      <c r="B43" s="18"/>
      <c r="C43" s="28" t="s">
        <v>5</v>
      </c>
      <c r="D43" s="23" t="s">
        <v>226</v>
      </c>
      <c r="E43" s="26">
        <v>2.7</v>
      </c>
      <c r="F43" s="26"/>
      <c r="G43" s="4"/>
      <c r="H43" s="4"/>
      <c r="L43" s="4"/>
      <c r="M43" s="4"/>
      <c r="N43" s="4"/>
      <c r="O43" s="4"/>
    </row>
    <row r="44" spans="1:15" x14ac:dyDescent="0.25">
      <c r="A44" s="12">
        <v>36</v>
      </c>
      <c r="B44" s="11"/>
      <c r="C44" s="28" t="s">
        <v>7</v>
      </c>
      <c r="D44" s="32" t="s">
        <v>286</v>
      </c>
      <c r="E44" s="26">
        <f>3+2.2</f>
        <v>5.2</v>
      </c>
      <c r="F44" s="26"/>
      <c r="G44" s="4"/>
      <c r="H44" s="4"/>
      <c r="L44" s="4"/>
      <c r="M44" s="4"/>
      <c r="N44" s="4"/>
      <c r="O44" s="4"/>
    </row>
    <row r="45" spans="1:15" ht="12.6" customHeight="1" x14ac:dyDescent="0.25">
      <c r="A45" s="12">
        <v>37</v>
      </c>
      <c r="B45" s="18"/>
      <c r="C45" s="27" t="s">
        <v>6</v>
      </c>
      <c r="D45" s="23" t="s">
        <v>92</v>
      </c>
      <c r="E45" s="26">
        <v>0.6</v>
      </c>
      <c r="F45" s="26"/>
      <c r="G45" s="4"/>
      <c r="H45" s="4"/>
      <c r="L45" s="4"/>
      <c r="M45" s="4"/>
      <c r="N45" s="4"/>
      <c r="O45" s="4"/>
    </row>
    <row r="46" spans="1:15" ht="12.6" customHeight="1" x14ac:dyDescent="0.25">
      <c r="A46" s="12">
        <v>38</v>
      </c>
      <c r="B46" s="18"/>
      <c r="C46" s="28" t="s">
        <v>12</v>
      </c>
      <c r="D46" s="23" t="s">
        <v>92</v>
      </c>
      <c r="E46" s="26">
        <v>0.1</v>
      </c>
      <c r="F46" s="26"/>
      <c r="G46" s="4"/>
      <c r="H46" s="4"/>
      <c r="L46" s="4"/>
      <c r="M46" s="4"/>
      <c r="N46" s="4"/>
      <c r="O46" s="4"/>
    </row>
    <row r="47" spans="1:15" ht="12.6" customHeight="1" x14ac:dyDescent="0.25">
      <c r="A47" s="12">
        <v>39</v>
      </c>
      <c r="B47" s="11"/>
      <c r="C47" s="28" t="s">
        <v>11</v>
      </c>
      <c r="D47" s="18" t="s">
        <v>227</v>
      </c>
      <c r="E47" s="26">
        <f>0.6+1</f>
        <v>1.6</v>
      </c>
      <c r="F47" s="26"/>
      <c r="G47" s="4"/>
      <c r="H47" s="4"/>
      <c r="L47" s="4"/>
      <c r="M47" s="4"/>
      <c r="N47" s="4"/>
      <c r="O47" s="4"/>
    </row>
    <row r="48" spans="1:15" x14ac:dyDescent="0.25">
      <c r="A48" s="12">
        <v>40</v>
      </c>
      <c r="B48" s="11" t="s">
        <v>25</v>
      </c>
      <c r="C48" s="17" t="s">
        <v>26</v>
      </c>
      <c r="D48" s="23"/>
      <c r="E48" s="29">
        <f>SUM(E49:E51)</f>
        <v>4.5</v>
      </c>
      <c r="F48" s="29">
        <f>SUM(F49:F51)</f>
        <v>0</v>
      </c>
      <c r="G48" s="4"/>
      <c r="H48" s="4"/>
      <c r="L48" s="4"/>
      <c r="M48" s="4"/>
      <c r="N48" s="4"/>
      <c r="O48" s="4"/>
    </row>
    <row r="49" spans="1:15" ht="12.6" customHeight="1" x14ac:dyDescent="0.25">
      <c r="A49" s="12">
        <v>41</v>
      </c>
      <c r="B49" s="11"/>
      <c r="C49" s="22" t="s">
        <v>27</v>
      </c>
      <c r="D49" s="14" t="s">
        <v>28</v>
      </c>
      <c r="E49" s="26">
        <f>1+0.1</f>
        <v>1.1000000000000001</v>
      </c>
      <c r="F49" s="25"/>
      <c r="G49" s="4"/>
      <c r="H49" s="4"/>
      <c r="L49" s="4"/>
      <c r="M49" s="4"/>
      <c r="N49" s="4"/>
      <c r="O49" s="4"/>
    </row>
    <row r="50" spans="1:15" ht="12.6" customHeight="1" x14ac:dyDescent="0.25">
      <c r="A50" s="12">
        <v>42</v>
      </c>
      <c r="B50" s="18"/>
      <c r="C50" s="28" t="s">
        <v>8</v>
      </c>
      <c r="D50" s="23" t="s">
        <v>229</v>
      </c>
      <c r="E50" s="26">
        <v>0.3</v>
      </c>
      <c r="F50" s="26"/>
      <c r="G50" s="4"/>
      <c r="H50" s="4"/>
      <c r="L50" s="4"/>
      <c r="M50" s="4"/>
      <c r="N50" s="4"/>
      <c r="O50" s="4"/>
    </row>
    <row r="51" spans="1:15" ht="12.6" customHeight="1" x14ac:dyDescent="0.25">
      <c r="A51" s="12">
        <v>43</v>
      </c>
      <c r="B51" s="18"/>
      <c r="C51" s="16" t="s">
        <v>13</v>
      </c>
      <c r="D51" s="23" t="s">
        <v>228</v>
      </c>
      <c r="E51" s="26">
        <f>2+1.1</f>
        <v>3.1</v>
      </c>
      <c r="F51" s="26"/>
      <c r="G51" s="4"/>
      <c r="H51" s="4"/>
      <c r="L51" s="4"/>
      <c r="M51" s="4"/>
      <c r="N51" s="4"/>
      <c r="O51" s="4"/>
    </row>
    <row r="52" spans="1:15" ht="12.6" customHeight="1" x14ac:dyDescent="0.25">
      <c r="A52" s="12">
        <v>44</v>
      </c>
      <c r="B52" s="18"/>
      <c r="C52" s="30" t="s">
        <v>20</v>
      </c>
      <c r="D52" s="18"/>
      <c r="E52" s="29">
        <f>+E9+E27+E29+E33+E42+E48+E31</f>
        <v>368.59999999999997</v>
      </c>
      <c r="F52" s="29">
        <f>+F9+F27+F29+F33+F42+F48+F31</f>
        <v>26.9</v>
      </c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5">
      <c r="C53" s="3" t="s">
        <v>230</v>
      </c>
      <c r="E53" s="20"/>
      <c r="F53" s="20"/>
    </row>
    <row r="54" spans="1:15" x14ac:dyDescent="0.25">
      <c r="C54" s="3" t="s">
        <v>441</v>
      </c>
      <c r="E54" s="20"/>
      <c r="F54" s="20"/>
      <c r="H54" s="4"/>
    </row>
    <row r="55" spans="1:15" x14ac:dyDescent="0.25">
      <c r="E55" s="20"/>
      <c r="F55" s="20"/>
    </row>
    <row r="56" spans="1:15" x14ac:dyDescent="0.25">
      <c r="E56" s="20"/>
      <c r="F56" s="20"/>
      <c r="G56" s="20"/>
    </row>
    <row r="58" spans="1:15" x14ac:dyDescent="0.25">
      <c r="E58" s="33"/>
      <c r="F58" s="33"/>
    </row>
  </sheetData>
  <mergeCells count="4">
    <mergeCell ref="C1:F1"/>
    <mergeCell ref="C2:F2"/>
    <mergeCell ref="A5:F5"/>
    <mergeCell ref="E3:F3"/>
  </mergeCells>
  <pageMargins left="0.59055118110236227" right="0" top="0.39370078740157483" bottom="0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zoomScaleNormal="100" workbookViewId="0">
      <selection activeCell="L27" sqref="L27"/>
    </sheetView>
  </sheetViews>
  <sheetFormatPr defaultColWidth="9.109375" defaultRowHeight="13.2" x14ac:dyDescent="0.25"/>
  <cols>
    <col min="1" max="1" width="3.6640625" style="3" customWidth="1"/>
    <col min="2" max="2" width="6.6640625" style="6" customWidth="1"/>
    <col min="3" max="3" width="55.109375" style="3" customWidth="1"/>
    <col min="4" max="4" width="10.33203125" style="6" customWidth="1"/>
    <col min="5" max="5" width="6.6640625" style="3" customWidth="1"/>
    <col min="6" max="6" width="11.109375" style="3" customWidth="1"/>
    <col min="7" max="16384" width="9.109375" style="2"/>
  </cols>
  <sheetData>
    <row r="1" spans="1:9" ht="15" customHeight="1" x14ac:dyDescent="0.3">
      <c r="C1" s="246" t="s">
        <v>309</v>
      </c>
      <c r="D1" s="246"/>
      <c r="E1" s="246"/>
      <c r="F1" s="246"/>
    </row>
    <row r="2" spans="1:9" ht="15.6" x14ac:dyDescent="0.3">
      <c r="C2" s="246" t="s">
        <v>588</v>
      </c>
      <c r="D2" s="246"/>
      <c r="E2" s="246"/>
      <c r="F2" s="246"/>
    </row>
    <row r="3" spans="1:9" ht="15.6" x14ac:dyDescent="0.25">
      <c r="C3" s="44"/>
      <c r="D3" s="45"/>
      <c r="E3" s="271" t="s">
        <v>278</v>
      </c>
      <c r="F3" s="271"/>
    </row>
    <row r="4" spans="1:9" x14ac:dyDescent="0.25">
      <c r="F4" s="5"/>
    </row>
    <row r="5" spans="1:9" ht="28.5" customHeight="1" x14ac:dyDescent="0.25">
      <c r="A5" s="249" t="s">
        <v>603</v>
      </c>
      <c r="B5" s="249"/>
      <c r="C5" s="249"/>
      <c r="D5" s="249"/>
      <c r="E5" s="249"/>
      <c r="F5" s="249"/>
    </row>
    <row r="6" spans="1:9" x14ac:dyDescent="0.25">
      <c r="F6" s="54" t="s">
        <v>129</v>
      </c>
    </row>
    <row r="7" spans="1:9" ht="51" customHeight="1" x14ac:dyDescent="0.25">
      <c r="A7" s="8" t="s">
        <v>118</v>
      </c>
      <c r="B7" s="9" t="s">
        <v>367</v>
      </c>
      <c r="C7" s="8" t="s">
        <v>16</v>
      </c>
      <c r="D7" s="9" t="s">
        <v>55</v>
      </c>
      <c r="E7" s="8" t="s">
        <v>17</v>
      </c>
      <c r="F7" s="8" t="s">
        <v>29</v>
      </c>
    </row>
    <row r="8" spans="1:9" s="42" customFormat="1" ht="12" customHeight="1" x14ac:dyDescent="0.25">
      <c r="A8" s="10">
        <v>1</v>
      </c>
      <c r="B8" s="11" t="s">
        <v>18</v>
      </c>
      <c r="C8" s="8">
        <v>3</v>
      </c>
      <c r="D8" s="9">
        <v>4</v>
      </c>
      <c r="E8" s="8">
        <v>5</v>
      </c>
      <c r="F8" s="8">
        <v>6</v>
      </c>
    </row>
    <row r="9" spans="1:9" ht="20.100000000000001" customHeight="1" x14ac:dyDescent="0.25">
      <c r="A9" s="12">
        <v>1</v>
      </c>
      <c r="B9" s="11" t="s">
        <v>56</v>
      </c>
      <c r="C9" s="13" t="s">
        <v>57</v>
      </c>
      <c r="D9" s="10"/>
      <c r="E9" s="29">
        <f>SUM(E10:E32)</f>
        <v>51.8</v>
      </c>
      <c r="F9" s="29">
        <f>SUM(F10:F32)</f>
        <v>0</v>
      </c>
      <c r="G9" s="4"/>
      <c r="H9" s="4"/>
      <c r="I9" s="4"/>
    </row>
    <row r="10" spans="1:9" ht="12.6" customHeight="1" x14ac:dyDescent="0.25">
      <c r="A10" s="12">
        <v>2</v>
      </c>
      <c r="B10" s="11"/>
      <c r="C10" s="21" t="s">
        <v>167</v>
      </c>
      <c r="D10" s="1" t="s">
        <v>58</v>
      </c>
      <c r="E10" s="26">
        <f>1.1+0.1</f>
        <v>1.2000000000000002</v>
      </c>
      <c r="F10" s="25"/>
      <c r="G10" s="4"/>
      <c r="H10" s="4"/>
      <c r="I10" s="4"/>
    </row>
    <row r="11" spans="1:9" ht="12.6" customHeight="1" x14ac:dyDescent="0.25">
      <c r="A11" s="12">
        <v>3</v>
      </c>
      <c r="B11" s="11"/>
      <c r="C11" s="21" t="s">
        <v>158</v>
      </c>
      <c r="D11" s="1" t="s">
        <v>58</v>
      </c>
      <c r="E11" s="26">
        <v>1.2</v>
      </c>
      <c r="F11" s="25"/>
      <c r="G11" s="4"/>
      <c r="H11" s="4"/>
      <c r="I11" s="4"/>
    </row>
    <row r="12" spans="1:9" ht="12.6" customHeight="1" x14ac:dyDescent="0.25">
      <c r="A12" s="12">
        <v>4</v>
      </c>
      <c r="B12" s="10"/>
      <c r="C12" s="21" t="s">
        <v>159</v>
      </c>
      <c r="D12" s="1" t="s">
        <v>58</v>
      </c>
      <c r="E12" s="26">
        <v>3</v>
      </c>
      <c r="F12" s="26"/>
      <c r="G12" s="4"/>
      <c r="H12" s="4"/>
      <c r="I12" s="4"/>
    </row>
    <row r="13" spans="1:9" ht="12.6" customHeight="1" x14ac:dyDescent="0.25">
      <c r="A13" s="12">
        <v>5</v>
      </c>
      <c r="B13" s="10"/>
      <c r="C13" s="21" t="s">
        <v>163</v>
      </c>
      <c r="D13" s="1" t="s">
        <v>58</v>
      </c>
      <c r="E13" s="26">
        <f>3+0.3</f>
        <v>3.3</v>
      </c>
      <c r="F13" s="26"/>
      <c r="G13" s="4"/>
      <c r="H13" s="4"/>
      <c r="I13" s="4"/>
    </row>
    <row r="14" spans="1:9" ht="12.6" customHeight="1" x14ac:dyDescent="0.25">
      <c r="A14" s="12">
        <v>6</v>
      </c>
      <c r="B14" s="10"/>
      <c r="C14" s="21" t="s">
        <v>160</v>
      </c>
      <c r="D14" s="1" t="s">
        <v>58</v>
      </c>
      <c r="E14" s="26">
        <f>2.5+0.5</f>
        <v>3</v>
      </c>
      <c r="F14" s="25"/>
      <c r="G14" s="4"/>
      <c r="H14" s="4"/>
      <c r="I14" s="4"/>
    </row>
    <row r="15" spans="1:9" ht="12.6" customHeight="1" x14ac:dyDescent="0.25">
      <c r="A15" s="12">
        <v>7</v>
      </c>
      <c r="B15" s="18"/>
      <c r="C15" s="21" t="s">
        <v>161</v>
      </c>
      <c r="D15" s="1" t="s">
        <v>58</v>
      </c>
      <c r="E15" s="26">
        <f>2+0.2</f>
        <v>2.2000000000000002</v>
      </c>
      <c r="F15" s="26"/>
      <c r="G15" s="4"/>
      <c r="H15" s="4"/>
      <c r="I15" s="4"/>
    </row>
    <row r="16" spans="1:9" ht="12.6" customHeight="1" x14ac:dyDescent="0.25">
      <c r="A16" s="12">
        <v>8</v>
      </c>
      <c r="B16" s="18"/>
      <c r="C16" s="21" t="s">
        <v>162</v>
      </c>
      <c r="D16" s="1" t="s">
        <v>58</v>
      </c>
      <c r="E16" s="26">
        <f>1.5+0.2</f>
        <v>1.7</v>
      </c>
      <c r="F16" s="26"/>
      <c r="G16" s="4"/>
      <c r="H16" s="4"/>
      <c r="I16" s="4"/>
    </row>
    <row r="17" spans="1:9" ht="12.6" customHeight="1" x14ac:dyDescent="0.25">
      <c r="A17" s="12">
        <v>9</v>
      </c>
      <c r="B17" s="18"/>
      <c r="C17" s="21" t="s">
        <v>166</v>
      </c>
      <c r="D17" s="1" t="s">
        <v>60</v>
      </c>
      <c r="E17" s="26">
        <f>10+1.5</f>
        <v>11.5</v>
      </c>
      <c r="F17" s="26"/>
      <c r="G17" s="4"/>
      <c r="H17" s="4"/>
      <c r="I17" s="4"/>
    </row>
    <row r="18" spans="1:9" ht="12.6" customHeight="1" x14ac:dyDescent="0.25">
      <c r="A18" s="12">
        <v>10</v>
      </c>
      <c r="B18" s="18"/>
      <c r="C18" s="21" t="s">
        <v>46</v>
      </c>
      <c r="D18" s="1" t="s">
        <v>60</v>
      </c>
      <c r="E18" s="26">
        <v>0.1</v>
      </c>
      <c r="F18" s="26"/>
      <c r="G18" s="4"/>
      <c r="H18" s="4"/>
      <c r="I18" s="4"/>
    </row>
    <row r="19" spans="1:9" ht="12.6" customHeight="1" x14ac:dyDescent="0.25">
      <c r="A19" s="12">
        <v>11</v>
      </c>
      <c r="B19" s="18"/>
      <c r="C19" s="22" t="s">
        <v>134</v>
      </c>
      <c r="D19" s="1" t="s">
        <v>60</v>
      </c>
      <c r="E19" s="26">
        <v>1.2</v>
      </c>
      <c r="F19" s="26"/>
      <c r="G19" s="4"/>
      <c r="H19" s="4"/>
      <c r="I19" s="4"/>
    </row>
    <row r="20" spans="1:9" ht="12.6" customHeight="1" x14ac:dyDescent="0.25">
      <c r="A20" s="12">
        <v>12</v>
      </c>
      <c r="B20" s="18"/>
      <c r="C20" s="22" t="s">
        <v>135</v>
      </c>
      <c r="D20" s="1" t="s">
        <v>60</v>
      </c>
      <c r="E20" s="26">
        <f>0.3+0.1</f>
        <v>0.4</v>
      </c>
      <c r="F20" s="26"/>
      <c r="G20" s="4"/>
      <c r="H20" s="4"/>
      <c r="I20" s="4"/>
    </row>
    <row r="21" spans="1:9" ht="12.6" customHeight="1" x14ac:dyDescent="0.25">
      <c r="A21" s="12">
        <v>13</v>
      </c>
      <c r="B21" s="18"/>
      <c r="C21" s="22" t="s">
        <v>40</v>
      </c>
      <c r="D21" s="1" t="s">
        <v>60</v>
      </c>
      <c r="E21" s="26">
        <f>0.2+0.1</f>
        <v>0.30000000000000004</v>
      </c>
      <c r="F21" s="26"/>
      <c r="G21" s="4"/>
      <c r="H21" s="4"/>
      <c r="I21" s="4"/>
    </row>
    <row r="22" spans="1:9" ht="12.6" customHeight="1" x14ac:dyDescent="0.25">
      <c r="A22" s="12">
        <v>14</v>
      </c>
      <c r="B22" s="18"/>
      <c r="C22" s="21" t="s">
        <v>137</v>
      </c>
      <c r="D22" s="1" t="s">
        <v>60</v>
      </c>
      <c r="E22" s="26">
        <f>1+0.4</f>
        <v>1.4</v>
      </c>
      <c r="F22" s="26"/>
      <c r="G22" s="4"/>
      <c r="H22" s="4"/>
      <c r="I22" s="4"/>
    </row>
    <row r="23" spans="1:9" ht="12.6" customHeight="1" x14ac:dyDescent="0.25">
      <c r="A23" s="12">
        <v>15</v>
      </c>
      <c r="B23" s="18"/>
      <c r="C23" s="22" t="s">
        <v>164</v>
      </c>
      <c r="D23" s="14" t="s">
        <v>222</v>
      </c>
      <c r="E23" s="26">
        <f>3+4.2</f>
        <v>7.2</v>
      </c>
      <c r="F23" s="26"/>
      <c r="G23" s="4"/>
      <c r="H23" s="4"/>
      <c r="I23" s="4"/>
    </row>
    <row r="24" spans="1:9" ht="12.6" customHeight="1" x14ac:dyDescent="0.25">
      <c r="A24" s="12">
        <v>16</v>
      </c>
      <c r="B24" s="18"/>
      <c r="C24" s="21" t="s">
        <v>279</v>
      </c>
      <c r="D24" s="14" t="s">
        <v>222</v>
      </c>
      <c r="E24" s="26">
        <v>0.1</v>
      </c>
      <c r="F24" s="26"/>
      <c r="G24" s="4"/>
      <c r="H24" s="4"/>
      <c r="I24" s="4"/>
    </row>
    <row r="25" spans="1:9" ht="12.6" customHeight="1" x14ac:dyDescent="0.25">
      <c r="A25" s="12">
        <v>17</v>
      </c>
      <c r="B25" s="18"/>
      <c r="C25" s="22" t="s">
        <v>120</v>
      </c>
      <c r="D25" s="14" t="s">
        <v>222</v>
      </c>
      <c r="E25" s="26">
        <f>4+0.1</f>
        <v>4.0999999999999996</v>
      </c>
      <c r="F25" s="26"/>
      <c r="G25" s="4"/>
      <c r="H25" s="4"/>
      <c r="I25" s="4"/>
    </row>
    <row r="26" spans="1:9" ht="12.6" customHeight="1" x14ac:dyDescent="0.25">
      <c r="A26" s="12">
        <v>18</v>
      </c>
      <c r="B26" s="18"/>
      <c r="C26" s="22" t="s">
        <v>41</v>
      </c>
      <c r="D26" s="14" t="s">
        <v>222</v>
      </c>
      <c r="E26" s="26">
        <v>0.3</v>
      </c>
      <c r="F26" s="26"/>
      <c r="G26" s="4"/>
      <c r="H26" s="4"/>
      <c r="I26" s="4"/>
    </row>
    <row r="27" spans="1:9" ht="12.6" customHeight="1" x14ac:dyDescent="0.25">
      <c r="A27" s="12">
        <v>19</v>
      </c>
      <c r="B27" s="18"/>
      <c r="C27" s="22" t="s">
        <v>136</v>
      </c>
      <c r="D27" s="14" t="s">
        <v>222</v>
      </c>
      <c r="E27" s="26">
        <v>2</v>
      </c>
      <c r="F27" s="26"/>
      <c r="G27" s="4"/>
      <c r="H27" s="4"/>
      <c r="I27" s="4"/>
    </row>
    <row r="28" spans="1:9" ht="12.6" customHeight="1" x14ac:dyDescent="0.25">
      <c r="A28" s="12">
        <v>20</v>
      </c>
      <c r="B28" s="18"/>
      <c r="C28" s="15" t="s">
        <v>215</v>
      </c>
      <c r="D28" s="14" t="s">
        <v>222</v>
      </c>
      <c r="E28" s="26">
        <v>0.1</v>
      </c>
      <c r="F28" s="26"/>
      <c r="G28" s="4"/>
      <c r="H28" s="4"/>
      <c r="I28" s="4"/>
    </row>
    <row r="29" spans="1:9" ht="12.6" customHeight="1" x14ac:dyDescent="0.25">
      <c r="A29" s="12">
        <v>21</v>
      </c>
      <c r="B29" s="18"/>
      <c r="C29" s="15" t="s">
        <v>42</v>
      </c>
      <c r="D29" s="14" t="s">
        <v>222</v>
      </c>
      <c r="E29" s="26">
        <v>0.1</v>
      </c>
      <c r="F29" s="26"/>
      <c r="G29" s="4"/>
      <c r="H29" s="4"/>
      <c r="I29" s="4"/>
    </row>
    <row r="30" spans="1:9" ht="12.6" customHeight="1" x14ac:dyDescent="0.25">
      <c r="A30" s="12">
        <v>22</v>
      </c>
      <c r="B30" s="18"/>
      <c r="C30" s="40" t="s">
        <v>47</v>
      </c>
      <c r="D30" s="1" t="s">
        <v>62</v>
      </c>
      <c r="E30" s="26">
        <v>0.1</v>
      </c>
      <c r="F30" s="26"/>
      <c r="G30" s="4"/>
      <c r="H30" s="4"/>
      <c r="I30" s="4"/>
    </row>
    <row r="31" spans="1:9" ht="12.6" customHeight="1" x14ac:dyDescent="0.25">
      <c r="A31" s="12">
        <v>23</v>
      </c>
      <c r="B31" s="18"/>
      <c r="C31" s="21" t="s">
        <v>48</v>
      </c>
      <c r="D31" s="1" t="s">
        <v>62</v>
      </c>
      <c r="E31" s="26">
        <f>5.3+1.2</f>
        <v>6.5</v>
      </c>
      <c r="F31" s="26"/>
      <c r="G31" s="4"/>
      <c r="H31" s="4"/>
      <c r="I31" s="4"/>
    </row>
    <row r="32" spans="1:9" ht="12.6" customHeight="1" x14ac:dyDescent="0.25">
      <c r="A32" s="12">
        <v>24</v>
      </c>
      <c r="B32" s="18"/>
      <c r="C32" s="24" t="s">
        <v>216</v>
      </c>
      <c r="D32" s="1" t="s">
        <v>223</v>
      </c>
      <c r="E32" s="26">
        <v>0.8</v>
      </c>
      <c r="F32" s="26"/>
      <c r="G32" s="4"/>
      <c r="H32" s="4"/>
      <c r="I32" s="4"/>
    </row>
    <row r="33" spans="1:9" ht="12.6" customHeight="1" x14ac:dyDescent="0.25">
      <c r="A33" s="12">
        <v>25</v>
      </c>
      <c r="B33" s="11" t="s">
        <v>76</v>
      </c>
      <c r="C33" s="17" t="s">
        <v>197</v>
      </c>
      <c r="D33" s="23"/>
      <c r="E33" s="29">
        <f>+E34</f>
        <v>50.8</v>
      </c>
      <c r="F33" s="29">
        <f>+F34</f>
        <v>0</v>
      </c>
      <c r="G33" s="4"/>
      <c r="H33" s="4"/>
      <c r="I33" s="4"/>
    </row>
    <row r="34" spans="1:9" ht="12.6" customHeight="1" x14ac:dyDescent="0.25">
      <c r="A34" s="12">
        <v>26</v>
      </c>
      <c r="B34" s="18"/>
      <c r="C34" s="21" t="s">
        <v>112</v>
      </c>
      <c r="D34" s="1" t="s">
        <v>77</v>
      </c>
      <c r="E34" s="26">
        <f>36+14.8</f>
        <v>50.8</v>
      </c>
      <c r="F34" s="26"/>
      <c r="G34" s="4"/>
      <c r="H34" s="4"/>
      <c r="I34" s="4"/>
    </row>
    <row r="35" spans="1:9" ht="15" customHeight="1" x14ac:dyDescent="0.25">
      <c r="A35" s="12">
        <v>27</v>
      </c>
      <c r="B35" s="11" t="s">
        <v>78</v>
      </c>
      <c r="C35" s="17" t="s">
        <v>79</v>
      </c>
      <c r="D35" s="1"/>
      <c r="E35" s="29">
        <f>SUM(E36:E43)</f>
        <v>16.3</v>
      </c>
      <c r="F35" s="29">
        <f>SUM(F36:F43)</f>
        <v>0</v>
      </c>
      <c r="G35" s="4"/>
      <c r="H35" s="4"/>
      <c r="I35" s="4"/>
    </row>
    <row r="36" spans="1:9" ht="12.6" customHeight="1" x14ac:dyDescent="0.25">
      <c r="A36" s="12">
        <v>28</v>
      </c>
      <c r="B36" s="18"/>
      <c r="C36" s="24" t="s">
        <v>44</v>
      </c>
      <c r="D36" s="1" t="s">
        <v>80</v>
      </c>
      <c r="E36" s="26">
        <f>3+0.3</f>
        <v>3.3</v>
      </c>
      <c r="F36" s="26"/>
      <c r="G36" s="4"/>
      <c r="H36" s="4"/>
      <c r="I36" s="4"/>
    </row>
    <row r="37" spans="1:9" ht="12.6" customHeight="1" x14ac:dyDescent="0.25">
      <c r="A37" s="12">
        <v>29</v>
      </c>
      <c r="B37" s="18"/>
      <c r="C37" s="48" t="s">
        <v>49</v>
      </c>
      <c r="D37" s="1" t="s">
        <v>80</v>
      </c>
      <c r="E37" s="26">
        <v>1.5</v>
      </c>
      <c r="F37" s="26"/>
      <c r="G37" s="4"/>
      <c r="H37" s="4"/>
      <c r="I37" s="4"/>
    </row>
    <row r="38" spans="1:9" ht="12.6" customHeight="1" x14ac:dyDescent="0.25">
      <c r="A38" s="12">
        <v>30</v>
      </c>
      <c r="B38" s="18"/>
      <c r="C38" s="24" t="s">
        <v>50</v>
      </c>
      <c r="D38" s="1" t="s">
        <v>80</v>
      </c>
      <c r="E38" s="26">
        <v>0.5</v>
      </c>
      <c r="F38" s="26"/>
      <c r="G38" s="4"/>
      <c r="H38" s="4"/>
      <c r="I38" s="4"/>
    </row>
    <row r="39" spans="1:9" ht="12.6" customHeight="1" x14ac:dyDescent="0.25">
      <c r="A39" s="12">
        <v>31</v>
      </c>
      <c r="B39" s="18"/>
      <c r="C39" s="24" t="s">
        <v>45</v>
      </c>
      <c r="D39" s="1" t="s">
        <v>80</v>
      </c>
      <c r="E39" s="26">
        <f>1.1+0.1</f>
        <v>1.2000000000000002</v>
      </c>
      <c r="F39" s="26"/>
      <c r="G39" s="4"/>
      <c r="H39" s="4"/>
      <c r="I39" s="4"/>
    </row>
    <row r="40" spans="1:9" ht="12.6" customHeight="1" x14ac:dyDescent="0.25">
      <c r="A40" s="12">
        <v>32</v>
      </c>
      <c r="B40" s="18"/>
      <c r="C40" s="24" t="s">
        <v>51</v>
      </c>
      <c r="D40" s="1" t="s">
        <v>80</v>
      </c>
      <c r="E40" s="26">
        <v>0.1</v>
      </c>
      <c r="F40" s="26"/>
      <c r="G40" s="4"/>
      <c r="H40" s="4"/>
      <c r="I40" s="4"/>
    </row>
    <row r="41" spans="1:9" ht="12.6" customHeight="1" x14ac:dyDescent="0.25">
      <c r="A41" s="12">
        <v>33</v>
      </c>
      <c r="B41" s="18"/>
      <c r="C41" s="24" t="s">
        <v>52</v>
      </c>
      <c r="D41" s="1" t="s">
        <v>80</v>
      </c>
      <c r="E41" s="26">
        <f>0.2+0.1</f>
        <v>0.30000000000000004</v>
      </c>
      <c r="F41" s="26"/>
      <c r="G41" s="4"/>
      <c r="H41" s="4"/>
      <c r="I41" s="4"/>
    </row>
    <row r="42" spans="1:9" x14ac:dyDescent="0.25">
      <c r="A42" s="12">
        <v>34</v>
      </c>
      <c r="B42" s="18"/>
      <c r="C42" s="22" t="s">
        <v>53</v>
      </c>
      <c r="D42" s="1" t="s">
        <v>81</v>
      </c>
      <c r="E42" s="26">
        <f>5.5+3.4</f>
        <v>8.9</v>
      </c>
      <c r="F42" s="26"/>
      <c r="G42" s="4"/>
      <c r="H42" s="4"/>
      <c r="I42" s="4"/>
    </row>
    <row r="43" spans="1:9" ht="12.6" customHeight="1" x14ac:dyDescent="0.25">
      <c r="A43" s="12">
        <v>35</v>
      </c>
      <c r="B43" s="18"/>
      <c r="C43" s="24" t="s">
        <v>43</v>
      </c>
      <c r="D43" s="1" t="s">
        <v>82</v>
      </c>
      <c r="E43" s="26">
        <f>0.2+0.3</f>
        <v>0.5</v>
      </c>
      <c r="F43" s="26"/>
      <c r="G43" s="4"/>
      <c r="H43" s="4"/>
      <c r="I43" s="4"/>
    </row>
    <row r="44" spans="1:9" ht="15" customHeight="1" x14ac:dyDescent="0.25">
      <c r="A44" s="12">
        <v>36</v>
      </c>
      <c r="B44" s="11" t="s">
        <v>25</v>
      </c>
      <c r="C44" s="17" t="s">
        <v>26</v>
      </c>
      <c r="D44" s="1"/>
      <c r="E44" s="29">
        <f>SUM(E45:E56)</f>
        <v>79.099999999999994</v>
      </c>
      <c r="F44" s="29">
        <f>SUM(F45:F56)</f>
        <v>0</v>
      </c>
      <c r="G44" s="4"/>
      <c r="H44" s="4"/>
      <c r="I44" s="4"/>
    </row>
    <row r="45" spans="1:9" ht="12.6" customHeight="1" x14ac:dyDescent="0.25">
      <c r="A45" s="12">
        <v>37</v>
      </c>
      <c r="B45" s="18"/>
      <c r="C45" s="16" t="s">
        <v>3</v>
      </c>
      <c r="D45" s="23" t="s">
        <v>228</v>
      </c>
      <c r="E45" s="26">
        <f>22.9+1.4</f>
        <v>24.299999999999997</v>
      </c>
      <c r="F45" s="26"/>
      <c r="G45" s="4"/>
      <c r="H45" s="4"/>
      <c r="I45" s="4"/>
    </row>
    <row r="46" spans="1:9" ht="12.6" customHeight="1" x14ac:dyDescent="0.25">
      <c r="A46" s="12">
        <v>38</v>
      </c>
      <c r="B46" s="18"/>
      <c r="C46" s="28" t="s">
        <v>8</v>
      </c>
      <c r="D46" s="23" t="s">
        <v>229</v>
      </c>
      <c r="E46" s="26">
        <f>13.1+3.5</f>
        <v>16.600000000000001</v>
      </c>
      <c r="F46" s="26"/>
      <c r="G46" s="4"/>
      <c r="H46" s="4"/>
      <c r="I46" s="4"/>
    </row>
    <row r="47" spans="1:9" ht="12.6" customHeight="1" x14ac:dyDescent="0.25">
      <c r="A47" s="12">
        <v>39</v>
      </c>
      <c r="B47" s="18"/>
      <c r="C47" s="15" t="s">
        <v>4</v>
      </c>
      <c r="D47" s="23" t="s">
        <v>228</v>
      </c>
      <c r="E47" s="26">
        <f>2.9+0.3</f>
        <v>3.1999999999999997</v>
      </c>
      <c r="F47" s="26"/>
      <c r="G47" s="4"/>
      <c r="H47" s="4"/>
      <c r="I47" s="4"/>
    </row>
    <row r="48" spans="1:9" ht="12.6" customHeight="1" x14ac:dyDescent="0.25">
      <c r="A48" s="12">
        <v>40</v>
      </c>
      <c r="B48" s="18"/>
      <c r="C48" s="15" t="s">
        <v>5</v>
      </c>
      <c r="D48" s="23" t="s">
        <v>228</v>
      </c>
      <c r="E48" s="26">
        <f>2.2+0.3</f>
        <v>2.5</v>
      </c>
      <c r="F48" s="26"/>
      <c r="G48" s="4"/>
      <c r="H48" s="4"/>
      <c r="I48" s="4"/>
    </row>
    <row r="49" spans="1:10" ht="12.6" customHeight="1" x14ac:dyDescent="0.25">
      <c r="A49" s="12">
        <v>41</v>
      </c>
      <c r="B49" s="18"/>
      <c r="C49" s="15" t="s">
        <v>7</v>
      </c>
      <c r="D49" s="23" t="s">
        <v>228</v>
      </c>
      <c r="E49" s="26">
        <f>8.2+11.2</f>
        <v>19.399999999999999</v>
      </c>
      <c r="F49" s="26"/>
      <c r="G49" s="4"/>
      <c r="H49" s="4"/>
      <c r="I49" s="4"/>
    </row>
    <row r="50" spans="1:10" ht="12.6" customHeight="1" x14ac:dyDescent="0.25">
      <c r="A50" s="12">
        <v>42</v>
      </c>
      <c r="B50" s="23"/>
      <c r="C50" s="35" t="s">
        <v>6</v>
      </c>
      <c r="D50" s="23" t="s">
        <v>228</v>
      </c>
      <c r="E50" s="46">
        <v>1</v>
      </c>
      <c r="F50" s="46"/>
      <c r="G50" s="4"/>
      <c r="H50" s="4"/>
      <c r="I50" s="4"/>
    </row>
    <row r="51" spans="1:10" ht="12.6" customHeight="1" x14ac:dyDescent="0.25">
      <c r="A51" s="12">
        <v>43</v>
      </c>
      <c r="B51" s="18"/>
      <c r="C51" s="15" t="s">
        <v>9</v>
      </c>
      <c r="D51" s="23" t="s">
        <v>228</v>
      </c>
      <c r="E51" s="26">
        <f>3.4+0.7</f>
        <v>4.0999999999999996</v>
      </c>
      <c r="F51" s="26"/>
      <c r="G51" s="4"/>
      <c r="H51" s="4"/>
      <c r="I51" s="4"/>
    </row>
    <row r="52" spans="1:10" ht="12.6" customHeight="1" x14ac:dyDescent="0.25">
      <c r="A52" s="12">
        <v>44</v>
      </c>
      <c r="B52" s="18"/>
      <c r="C52" s="16" t="s">
        <v>10</v>
      </c>
      <c r="D52" s="23" t="s">
        <v>228</v>
      </c>
      <c r="E52" s="26">
        <f>0.6+2.1</f>
        <v>2.7</v>
      </c>
      <c r="F52" s="26"/>
      <c r="G52" s="4"/>
      <c r="H52" s="4"/>
      <c r="I52" s="4"/>
    </row>
    <row r="53" spans="1:10" ht="12.6" customHeight="1" x14ac:dyDescent="0.25">
      <c r="A53" s="12">
        <v>45</v>
      </c>
      <c r="B53" s="18"/>
      <c r="C53" s="15" t="s">
        <v>12</v>
      </c>
      <c r="D53" s="23" t="s">
        <v>228</v>
      </c>
      <c r="E53" s="26">
        <f>1+0.5</f>
        <v>1.5</v>
      </c>
      <c r="F53" s="26"/>
      <c r="G53" s="4"/>
      <c r="H53" s="4"/>
      <c r="I53" s="4"/>
    </row>
    <row r="54" spans="1:10" ht="12.6" customHeight="1" x14ac:dyDescent="0.25">
      <c r="A54" s="12">
        <v>46</v>
      </c>
      <c r="B54" s="18"/>
      <c r="C54" s="15" t="s">
        <v>11</v>
      </c>
      <c r="D54" s="23" t="s">
        <v>228</v>
      </c>
      <c r="E54" s="26">
        <f>0.6+0.5</f>
        <v>1.1000000000000001</v>
      </c>
      <c r="F54" s="26"/>
      <c r="G54" s="4"/>
      <c r="H54" s="4"/>
      <c r="I54" s="4"/>
    </row>
    <row r="55" spans="1:10" ht="12.6" customHeight="1" x14ac:dyDescent="0.25">
      <c r="A55" s="12">
        <v>47</v>
      </c>
      <c r="B55" s="18"/>
      <c r="C55" s="16" t="s">
        <v>13</v>
      </c>
      <c r="D55" s="23" t="s">
        <v>228</v>
      </c>
      <c r="E55" s="26">
        <f>1.3+0.6</f>
        <v>1.9</v>
      </c>
      <c r="F55" s="26"/>
      <c r="G55" s="4"/>
      <c r="H55" s="4"/>
      <c r="I55" s="4"/>
    </row>
    <row r="56" spans="1:10" ht="12.6" customHeight="1" x14ac:dyDescent="0.25">
      <c r="A56" s="12">
        <v>48</v>
      </c>
      <c r="B56" s="18"/>
      <c r="C56" s="15" t="s">
        <v>14</v>
      </c>
      <c r="D56" s="23" t="s">
        <v>228</v>
      </c>
      <c r="E56" s="26">
        <f>0.5+0.3</f>
        <v>0.8</v>
      </c>
      <c r="F56" s="26"/>
      <c r="G56" s="4"/>
      <c r="H56" s="4"/>
      <c r="I56" s="4"/>
    </row>
    <row r="57" spans="1:10" ht="12.6" customHeight="1" x14ac:dyDescent="0.25">
      <c r="A57" s="12">
        <v>49</v>
      </c>
      <c r="B57" s="18"/>
      <c r="C57" s="30" t="s">
        <v>20</v>
      </c>
      <c r="D57" s="18"/>
      <c r="E57" s="29">
        <f>+E9+E35+E44+E33</f>
        <v>198</v>
      </c>
      <c r="F57" s="29">
        <f>+F9+F35+F44+F33</f>
        <v>0</v>
      </c>
      <c r="G57" s="4"/>
      <c r="H57" s="4"/>
      <c r="I57" s="4"/>
      <c r="J57" s="4"/>
    </row>
    <row r="58" spans="1:10" x14ac:dyDescent="0.25">
      <c r="C58" s="3" t="s">
        <v>280</v>
      </c>
      <c r="E58" s="43"/>
      <c r="F58" s="43"/>
    </row>
    <row r="59" spans="1:10" x14ac:dyDescent="0.25">
      <c r="E59" s="43"/>
      <c r="F59" s="43"/>
    </row>
    <row r="60" spans="1:10" x14ac:dyDescent="0.25">
      <c r="E60" s="43"/>
      <c r="F60" s="43"/>
    </row>
    <row r="61" spans="1:10" x14ac:dyDescent="0.25">
      <c r="E61" s="43"/>
      <c r="F61" s="43"/>
    </row>
    <row r="62" spans="1:10" x14ac:dyDescent="0.25">
      <c r="E62" s="47"/>
      <c r="F62" s="47"/>
    </row>
  </sheetData>
  <mergeCells count="4">
    <mergeCell ref="E3:F3"/>
    <mergeCell ref="C1:F1"/>
    <mergeCell ref="C2:F2"/>
    <mergeCell ref="A5:F5"/>
  </mergeCells>
  <phoneticPr fontId="5" type="noConversion"/>
  <pageMargins left="0.59055118110236227" right="0" top="0.19685039370078741" bottom="0" header="0.31496062992125984" footer="0.31496062992125984"/>
  <pageSetup paperSize="9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zoomScaleNormal="100" workbookViewId="0">
      <selection activeCell="M32" sqref="M32"/>
    </sheetView>
  </sheetViews>
  <sheetFormatPr defaultColWidth="9.109375" defaultRowHeight="13.2" x14ac:dyDescent="0.25"/>
  <cols>
    <col min="1" max="1" width="4.44140625" style="3" customWidth="1"/>
    <col min="2" max="2" width="7.33203125" style="6" customWidth="1"/>
    <col min="3" max="3" width="49" style="3" customWidth="1"/>
    <col min="4" max="4" width="10.109375" style="6" customWidth="1"/>
    <col min="5" max="5" width="8" style="5" customWidth="1"/>
    <col min="6" max="6" width="11.109375" style="5" customWidth="1"/>
    <col min="7" max="11" width="9.109375" style="2" customWidth="1"/>
    <col min="12" max="16384" width="9.109375" style="2"/>
  </cols>
  <sheetData>
    <row r="1" spans="1:15" ht="15.6" x14ac:dyDescent="0.3">
      <c r="C1" s="246" t="s">
        <v>368</v>
      </c>
      <c r="D1" s="246"/>
      <c r="E1" s="246"/>
      <c r="F1" s="246"/>
    </row>
    <row r="2" spans="1:15" ht="15.6" x14ac:dyDescent="0.3">
      <c r="C2" s="246" t="s">
        <v>589</v>
      </c>
      <c r="D2" s="246"/>
      <c r="E2" s="246"/>
      <c r="F2" s="246"/>
    </row>
    <row r="3" spans="1:15" ht="15.6" x14ac:dyDescent="0.25">
      <c r="E3" s="271" t="s">
        <v>231</v>
      </c>
      <c r="F3" s="271"/>
    </row>
    <row r="4" spans="1:15" ht="15.6" x14ac:dyDescent="0.25">
      <c r="E4" s="37"/>
      <c r="F4" s="37"/>
    </row>
    <row r="5" spans="1:15" ht="28.5" customHeight="1" x14ac:dyDescent="0.25">
      <c r="B5" s="249" t="s">
        <v>602</v>
      </c>
      <c r="C5" s="249"/>
      <c r="D5" s="249"/>
      <c r="E5" s="249"/>
      <c r="F5" s="249"/>
    </row>
    <row r="7" spans="1:15" x14ac:dyDescent="0.25">
      <c r="F7" s="54" t="s">
        <v>129</v>
      </c>
    </row>
    <row r="8" spans="1:15" ht="49.5" customHeight="1" x14ac:dyDescent="0.25">
      <c r="A8" s="8" t="s">
        <v>118</v>
      </c>
      <c r="B8" s="9" t="s">
        <v>367</v>
      </c>
      <c r="C8" s="8" t="s">
        <v>16</v>
      </c>
      <c r="D8" s="9" t="s">
        <v>55</v>
      </c>
      <c r="E8" s="8" t="s">
        <v>17</v>
      </c>
      <c r="F8" s="8" t="s">
        <v>29</v>
      </c>
    </row>
    <row r="9" spans="1:15" x14ac:dyDescent="0.25">
      <c r="A9" s="10">
        <v>1</v>
      </c>
      <c r="B9" s="11" t="s">
        <v>18</v>
      </c>
      <c r="C9" s="8">
        <v>3</v>
      </c>
      <c r="D9" s="9">
        <v>4</v>
      </c>
      <c r="E9" s="8">
        <v>5</v>
      </c>
      <c r="F9" s="8">
        <v>6</v>
      </c>
    </row>
    <row r="10" spans="1:15" ht="20.100000000000001" customHeight="1" x14ac:dyDescent="0.25">
      <c r="A10" s="12">
        <v>1</v>
      </c>
      <c r="B10" s="11" t="s">
        <v>56</v>
      </c>
      <c r="C10" s="49" t="s">
        <v>57</v>
      </c>
      <c r="D10" s="10"/>
      <c r="E10" s="41">
        <f>SUM(E11:E36)</f>
        <v>1010.2</v>
      </c>
      <c r="F10" s="41">
        <f>SUM(F11:F36)</f>
        <v>12.1</v>
      </c>
      <c r="G10" s="4"/>
      <c r="H10" s="4"/>
      <c r="I10" s="4"/>
      <c r="J10" s="4"/>
      <c r="L10" s="4"/>
      <c r="M10" s="4"/>
      <c r="N10" s="4"/>
      <c r="O10" s="4"/>
    </row>
    <row r="11" spans="1:15" ht="12.6" customHeight="1" x14ac:dyDescent="0.25">
      <c r="A11" s="12">
        <v>2</v>
      </c>
      <c r="B11" s="18"/>
      <c r="C11" s="21" t="s">
        <v>167</v>
      </c>
      <c r="D11" s="1" t="s">
        <v>58</v>
      </c>
      <c r="E11" s="19">
        <f>54.3+0.9</f>
        <v>55.199999999999996</v>
      </c>
      <c r="F11" s="19"/>
      <c r="G11" s="4"/>
      <c r="H11" s="4"/>
      <c r="I11" s="4"/>
      <c r="J11" s="4"/>
      <c r="L11" s="4"/>
      <c r="M11" s="4"/>
      <c r="N11" s="4"/>
      <c r="O11" s="4"/>
    </row>
    <row r="12" spans="1:15" ht="12.6" customHeight="1" x14ac:dyDescent="0.25">
      <c r="A12" s="12">
        <v>3</v>
      </c>
      <c r="B12" s="18"/>
      <c r="C12" s="21" t="s">
        <v>158</v>
      </c>
      <c r="D12" s="1" t="s">
        <v>58</v>
      </c>
      <c r="E12" s="19">
        <f>57+1.1</f>
        <v>58.1</v>
      </c>
      <c r="F12" s="19"/>
      <c r="G12" s="4"/>
      <c r="H12" s="4"/>
      <c r="I12" s="4"/>
      <c r="J12" s="4"/>
      <c r="L12" s="4"/>
      <c r="M12" s="4"/>
      <c r="N12" s="4"/>
      <c r="O12" s="4"/>
    </row>
    <row r="13" spans="1:15" ht="12.6" customHeight="1" x14ac:dyDescent="0.25">
      <c r="A13" s="12">
        <v>4</v>
      </c>
      <c r="B13" s="18"/>
      <c r="C13" s="21" t="s">
        <v>159</v>
      </c>
      <c r="D13" s="1" t="s">
        <v>58</v>
      </c>
      <c r="E13" s="19">
        <f>72+8</f>
        <v>80</v>
      </c>
      <c r="F13" s="19"/>
      <c r="G13" s="4"/>
      <c r="H13" s="4"/>
      <c r="I13" s="4"/>
      <c r="J13" s="4"/>
      <c r="L13" s="4"/>
      <c r="M13" s="4"/>
      <c r="N13" s="4"/>
      <c r="O13" s="4"/>
    </row>
    <row r="14" spans="1:15" ht="12.6" customHeight="1" x14ac:dyDescent="0.25">
      <c r="A14" s="12">
        <v>5</v>
      </c>
      <c r="B14" s="18"/>
      <c r="C14" s="21" t="s">
        <v>163</v>
      </c>
      <c r="D14" s="1" t="s">
        <v>58</v>
      </c>
      <c r="E14" s="19">
        <f>76+3.8</f>
        <v>79.8</v>
      </c>
      <c r="F14" s="19"/>
      <c r="G14" s="4"/>
      <c r="H14" s="4"/>
      <c r="I14" s="4"/>
      <c r="J14" s="4"/>
      <c r="L14" s="4"/>
      <c r="M14" s="4"/>
      <c r="N14" s="4"/>
      <c r="O14" s="4"/>
    </row>
    <row r="15" spans="1:15" ht="12.6" customHeight="1" x14ac:dyDescent="0.25">
      <c r="A15" s="12">
        <v>6</v>
      </c>
      <c r="B15" s="18"/>
      <c r="C15" s="21" t="s">
        <v>160</v>
      </c>
      <c r="D15" s="1" t="s">
        <v>58</v>
      </c>
      <c r="E15" s="19">
        <f>87+1</f>
        <v>88</v>
      </c>
      <c r="F15" s="19"/>
      <c r="G15" s="4"/>
      <c r="H15" s="4"/>
      <c r="I15" s="4"/>
      <c r="J15" s="4"/>
      <c r="L15" s="4"/>
      <c r="M15" s="4"/>
      <c r="N15" s="4"/>
      <c r="O15" s="4"/>
    </row>
    <row r="16" spans="1:15" ht="12.6" customHeight="1" x14ac:dyDescent="0.25">
      <c r="A16" s="12">
        <v>7</v>
      </c>
      <c r="B16" s="18"/>
      <c r="C16" s="21" t="s">
        <v>161</v>
      </c>
      <c r="D16" s="1" t="s">
        <v>58</v>
      </c>
      <c r="E16" s="19">
        <f>48+0.9</f>
        <v>48.9</v>
      </c>
      <c r="F16" s="19"/>
      <c r="G16" s="4"/>
      <c r="H16" s="4"/>
      <c r="I16" s="4"/>
      <c r="J16" s="4"/>
      <c r="L16" s="4"/>
      <c r="M16" s="4"/>
      <c r="N16" s="4"/>
      <c r="O16" s="4"/>
    </row>
    <row r="17" spans="1:15" ht="12.6" customHeight="1" x14ac:dyDescent="0.25">
      <c r="A17" s="12">
        <v>8</v>
      </c>
      <c r="B17" s="18"/>
      <c r="C17" s="21" t="s">
        <v>162</v>
      </c>
      <c r="D17" s="1" t="s">
        <v>58</v>
      </c>
      <c r="E17" s="19">
        <f>61+0.8</f>
        <v>61.8</v>
      </c>
      <c r="F17" s="19"/>
      <c r="G17" s="4"/>
      <c r="H17" s="4"/>
      <c r="I17" s="4"/>
      <c r="J17" s="4"/>
      <c r="L17" s="4"/>
      <c r="M17" s="4"/>
      <c r="N17" s="4"/>
      <c r="O17" s="4"/>
    </row>
    <row r="18" spans="1:15" ht="12.6" customHeight="1" x14ac:dyDescent="0.25">
      <c r="A18" s="12">
        <v>9</v>
      </c>
      <c r="B18" s="18"/>
      <c r="C18" s="15" t="s">
        <v>187</v>
      </c>
      <c r="D18" s="1" t="s">
        <v>59</v>
      </c>
      <c r="E18" s="19">
        <f>64.2+2.1</f>
        <v>66.3</v>
      </c>
      <c r="F18" s="19"/>
      <c r="G18" s="4"/>
      <c r="H18" s="4"/>
      <c r="I18" s="4"/>
      <c r="J18" s="4"/>
      <c r="L18" s="4"/>
      <c r="M18" s="4"/>
      <c r="N18" s="4"/>
      <c r="O18" s="4"/>
    </row>
    <row r="19" spans="1:15" ht="12.6" customHeight="1" x14ac:dyDescent="0.25">
      <c r="A19" s="12">
        <v>10</v>
      </c>
      <c r="B19" s="18"/>
      <c r="C19" s="21" t="s">
        <v>46</v>
      </c>
      <c r="D19" s="18" t="s">
        <v>62</v>
      </c>
      <c r="E19" s="19">
        <f>10+6.4</f>
        <v>16.399999999999999</v>
      </c>
      <c r="F19" s="19"/>
      <c r="G19" s="4"/>
      <c r="H19" s="4"/>
      <c r="I19" s="4"/>
      <c r="J19" s="4"/>
      <c r="L19" s="4"/>
      <c r="M19" s="4"/>
      <c r="N19" s="4"/>
      <c r="O19" s="4"/>
    </row>
    <row r="20" spans="1:15" ht="12.6" customHeight="1" x14ac:dyDescent="0.25">
      <c r="A20" s="12">
        <v>11</v>
      </c>
      <c r="B20" s="18"/>
      <c r="C20" s="22" t="s">
        <v>134</v>
      </c>
      <c r="D20" s="1" t="s">
        <v>60</v>
      </c>
      <c r="E20" s="34">
        <f>32.3+0.2</f>
        <v>32.5</v>
      </c>
      <c r="F20" s="34"/>
      <c r="G20" s="4"/>
      <c r="H20" s="4"/>
      <c r="I20" s="4"/>
      <c r="J20" s="4"/>
      <c r="L20" s="4"/>
      <c r="M20" s="4"/>
      <c r="N20" s="4"/>
      <c r="O20" s="4"/>
    </row>
    <row r="21" spans="1:15" ht="12.6" customHeight="1" x14ac:dyDescent="0.25">
      <c r="A21" s="12">
        <v>12</v>
      </c>
      <c r="B21" s="18"/>
      <c r="C21" s="22" t="s">
        <v>135</v>
      </c>
      <c r="D21" s="1" t="s">
        <v>60</v>
      </c>
      <c r="E21" s="34">
        <f>2+1.2</f>
        <v>3.2</v>
      </c>
      <c r="F21" s="34"/>
      <c r="G21" s="4"/>
      <c r="H21" s="4"/>
      <c r="I21" s="4"/>
      <c r="J21" s="4"/>
      <c r="L21" s="4"/>
      <c r="M21" s="4"/>
      <c r="N21" s="4"/>
      <c r="O21" s="4"/>
    </row>
    <row r="22" spans="1:15" ht="12.6" customHeight="1" x14ac:dyDescent="0.25">
      <c r="A22" s="12">
        <v>13</v>
      </c>
      <c r="B22" s="18"/>
      <c r="C22" s="22" t="s">
        <v>40</v>
      </c>
      <c r="D22" s="1" t="s">
        <v>60</v>
      </c>
      <c r="E22" s="34">
        <f>15.3+1.6</f>
        <v>16.900000000000002</v>
      </c>
      <c r="F22" s="34"/>
      <c r="G22" s="4"/>
      <c r="H22" s="4"/>
      <c r="I22" s="4"/>
      <c r="J22" s="4"/>
      <c r="L22" s="4"/>
      <c r="M22" s="4"/>
      <c r="N22" s="4"/>
      <c r="O22" s="4"/>
    </row>
    <row r="23" spans="1:15" ht="12.6" customHeight="1" x14ac:dyDescent="0.25">
      <c r="A23" s="12">
        <v>14</v>
      </c>
      <c r="B23" s="18"/>
      <c r="C23" s="21" t="s">
        <v>137</v>
      </c>
      <c r="D23" s="1" t="s">
        <v>60</v>
      </c>
      <c r="E23" s="19">
        <f>5.3+3</f>
        <v>8.3000000000000007</v>
      </c>
      <c r="F23" s="19"/>
      <c r="G23" s="4"/>
      <c r="H23" s="4"/>
      <c r="I23" s="4"/>
      <c r="J23" s="4"/>
      <c r="L23" s="4"/>
      <c r="M23" s="4"/>
      <c r="N23" s="4"/>
      <c r="O23" s="4"/>
    </row>
    <row r="24" spans="1:15" ht="12.6" customHeight="1" x14ac:dyDescent="0.25">
      <c r="A24" s="12">
        <v>15</v>
      </c>
      <c r="B24" s="18"/>
      <c r="C24" s="22" t="s">
        <v>164</v>
      </c>
      <c r="D24" s="14" t="s">
        <v>222</v>
      </c>
      <c r="E24" s="19">
        <f>3.5+2.1</f>
        <v>5.6</v>
      </c>
      <c r="F24" s="19"/>
      <c r="G24" s="4"/>
      <c r="H24" s="4"/>
      <c r="I24" s="4"/>
      <c r="J24" s="4"/>
      <c r="L24" s="4"/>
      <c r="M24" s="4"/>
      <c r="N24" s="4"/>
      <c r="O24" s="4"/>
    </row>
    <row r="25" spans="1:15" ht="12.6" customHeight="1" x14ac:dyDescent="0.25">
      <c r="A25" s="12">
        <v>16</v>
      </c>
      <c r="B25" s="18"/>
      <c r="C25" s="21" t="s">
        <v>165</v>
      </c>
      <c r="D25" s="14" t="s">
        <v>222</v>
      </c>
      <c r="E25" s="19">
        <f>2+0.4</f>
        <v>2.4</v>
      </c>
      <c r="F25" s="19"/>
      <c r="G25" s="4"/>
      <c r="H25" s="4"/>
      <c r="I25" s="4"/>
      <c r="J25" s="4"/>
      <c r="L25" s="4"/>
      <c r="M25" s="4"/>
      <c r="N25" s="4"/>
      <c r="O25" s="4"/>
    </row>
    <row r="26" spans="1:15" ht="12.6" customHeight="1" x14ac:dyDescent="0.25">
      <c r="A26" s="12">
        <v>17</v>
      </c>
      <c r="B26" s="18"/>
      <c r="C26" s="22" t="s">
        <v>120</v>
      </c>
      <c r="D26" s="1" t="s">
        <v>61</v>
      </c>
      <c r="E26" s="19">
        <f>6.3+1.7</f>
        <v>8</v>
      </c>
      <c r="F26" s="19"/>
      <c r="G26" s="4"/>
      <c r="H26" s="4"/>
      <c r="I26" s="4"/>
      <c r="J26" s="4"/>
      <c r="L26" s="4"/>
      <c r="M26" s="4"/>
      <c r="N26" s="4"/>
      <c r="O26" s="4"/>
    </row>
    <row r="27" spans="1:15" ht="12.6" customHeight="1" x14ac:dyDescent="0.25">
      <c r="A27" s="12">
        <v>18</v>
      </c>
      <c r="B27" s="18"/>
      <c r="C27" s="22" t="s">
        <v>41</v>
      </c>
      <c r="D27" s="1" t="s">
        <v>61</v>
      </c>
      <c r="E27" s="19">
        <f>0.5+0.2</f>
        <v>0.7</v>
      </c>
      <c r="F27" s="19"/>
      <c r="G27" s="4"/>
      <c r="H27" s="4"/>
      <c r="I27" s="4"/>
      <c r="J27" s="4"/>
      <c r="L27" s="4"/>
      <c r="M27" s="4"/>
      <c r="N27" s="4"/>
      <c r="O27" s="4"/>
    </row>
    <row r="28" spans="1:15" ht="12.6" customHeight="1" x14ac:dyDescent="0.25">
      <c r="A28" s="12">
        <v>19</v>
      </c>
      <c r="B28" s="18"/>
      <c r="C28" s="56" t="s">
        <v>136</v>
      </c>
      <c r="D28" s="18" t="s">
        <v>61</v>
      </c>
      <c r="E28" s="34">
        <v>48</v>
      </c>
      <c r="F28" s="34"/>
      <c r="G28" s="4"/>
      <c r="H28" s="4"/>
      <c r="I28" s="4"/>
      <c r="J28" s="4"/>
      <c r="L28" s="4"/>
      <c r="M28" s="4"/>
      <c r="N28" s="4"/>
      <c r="O28" s="4"/>
    </row>
    <row r="29" spans="1:15" ht="12.6" customHeight="1" x14ac:dyDescent="0.25">
      <c r="A29" s="12">
        <v>20</v>
      </c>
      <c r="B29" s="18"/>
      <c r="C29" s="15" t="s">
        <v>42</v>
      </c>
      <c r="D29" s="1" t="s">
        <v>61</v>
      </c>
      <c r="E29" s="34">
        <f>2.3+0.3</f>
        <v>2.5999999999999996</v>
      </c>
      <c r="F29" s="34"/>
      <c r="G29" s="4"/>
      <c r="H29" s="4"/>
      <c r="I29" s="4"/>
      <c r="J29" s="4"/>
      <c r="L29" s="4"/>
      <c r="M29" s="4"/>
      <c r="N29" s="4"/>
      <c r="O29" s="4"/>
    </row>
    <row r="30" spans="1:15" ht="12.6" customHeight="1" x14ac:dyDescent="0.25">
      <c r="A30" s="12">
        <v>21</v>
      </c>
      <c r="B30" s="18"/>
      <c r="C30" s="22" t="s">
        <v>111</v>
      </c>
      <c r="D30" s="18" t="s">
        <v>62</v>
      </c>
      <c r="E30" s="34">
        <f>38.2+6.1</f>
        <v>44.300000000000004</v>
      </c>
      <c r="F30" s="34">
        <v>12.1</v>
      </c>
      <c r="G30" s="4"/>
      <c r="H30" s="4"/>
      <c r="I30" s="4"/>
      <c r="J30" s="4"/>
      <c r="L30" s="4"/>
      <c r="M30" s="4"/>
      <c r="N30" s="4"/>
      <c r="O30" s="4"/>
    </row>
    <row r="31" spans="1:15" ht="12.6" customHeight="1" x14ac:dyDescent="0.25">
      <c r="A31" s="12">
        <v>22</v>
      </c>
      <c r="B31" s="18"/>
      <c r="C31" s="21" t="s">
        <v>366</v>
      </c>
      <c r="D31" s="1" t="s">
        <v>61</v>
      </c>
      <c r="E31" s="34">
        <v>12</v>
      </c>
      <c r="F31" s="34"/>
      <c r="G31" s="4"/>
      <c r="H31" s="4"/>
      <c r="I31" s="4"/>
      <c r="J31" s="4"/>
      <c r="L31" s="4"/>
      <c r="M31" s="4"/>
      <c r="N31" s="4"/>
      <c r="O31" s="4"/>
    </row>
    <row r="32" spans="1:15" ht="12.6" customHeight="1" x14ac:dyDescent="0.25">
      <c r="A32" s="12">
        <v>23</v>
      </c>
      <c r="B32" s="18"/>
      <c r="C32" s="50" t="s">
        <v>54</v>
      </c>
      <c r="D32" s="18" t="s">
        <v>62</v>
      </c>
      <c r="E32" s="34">
        <f>70.5+17.1</f>
        <v>87.6</v>
      </c>
      <c r="F32" s="34"/>
      <c r="G32" s="4"/>
      <c r="H32" s="4"/>
      <c r="I32" s="4"/>
      <c r="J32" s="4"/>
      <c r="L32" s="4"/>
      <c r="M32" s="4"/>
      <c r="N32" s="4"/>
      <c r="O32" s="4"/>
    </row>
    <row r="33" spans="1:15" ht="12.6" customHeight="1" x14ac:dyDescent="0.25">
      <c r="A33" s="12">
        <v>24</v>
      </c>
      <c r="B33" s="18"/>
      <c r="C33" s="50" t="s">
        <v>47</v>
      </c>
      <c r="D33" s="18" t="s">
        <v>62</v>
      </c>
      <c r="E33" s="34">
        <f>53+21.2</f>
        <v>74.2</v>
      </c>
      <c r="F33" s="34"/>
      <c r="G33" s="4"/>
      <c r="H33" s="4"/>
      <c r="I33" s="4"/>
      <c r="J33" s="4"/>
      <c r="L33" s="4"/>
      <c r="M33" s="4"/>
      <c r="N33" s="4"/>
      <c r="O33" s="4"/>
    </row>
    <row r="34" spans="1:15" ht="12.6" customHeight="1" x14ac:dyDescent="0.25">
      <c r="A34" s="12">
        <v>25</v>
      </c>
      <c r="B34" s="18"/>
      <c r="C34" s="50" t="s">
        <v>48</v>
      </c>
      <c r="D34" s="18" t="s">
        <v>62</v>
      </c>
      <c r="E34" s="34">
        <f>59+23.8</f>
        <v>82.8</v>
      </c>
      <c r="F34" s="34"/>
      <c r="G34" s="4"/>
      <c r="H34" s="4"/>
      <c r="I34" s="4"/>
      <c r="J34" s="4"/>
      <c r="L34" s="4"/>
      <c r="M34" s="4"/>
      <c r="N34" s="4"/>
      <c r="O34" s="4"/>
    </row>
    <row r="35" spans="1:15" ht="12.6" customHeight="1" x14ac:dyDescent="0.25">
      <c r="A35" s="12">
        <v>26</v>
      </c>
      <c r="B35" s="18"/>
      <c r="C35" s="50" t="s">
        <v>15</v>
      </c>
      <c r="D35" s="1" t="s">
        <v>58</v>
      </c>
      <c r="E35" s="34">
        <f>15.2+1.3</f>
        <v>16.5</v>
      </c>
      <c r="F35" s="34"/>
      <c r="G35" s="4"/>
      <c r="H35" s="4"/>
      <c r="I35" s="4"/>
      <c r="J35" s="4"/>
      <c r="L35" s="4"/>
      <c r="M35" s="4"/>
      <c r="N35" s="4"/>
      <c r="O35" s="4"/>
    </row>
    <row r="36" spans="1:15" ht="12.6" customHeight="1" x14ac:dyDescent="0.25">
      <c r="A36" s="12">
        <v>27</v>
      </c>
      <c r="B36" s="18"/>
      <c r="C36" s="50" t="s">
        <v>217</v>
      </c>
      <c r="D36" s="1" t="s">
        <v>58</v>
      </c>
      <c r="E36" s="34">
        <f>10+0.1</f>
        <v>10.1</v>
      </c>
      <c r="F36" s="34"/>
      <c r="G36" s="4"/>
      <c r="H36" s="4"/>
      <c r="I36" s="4"/>
      <c r="J36" s="4"/>
      <c r="L36" s="4"/>
      <c r="M36" s="4"/>
      <c r="N36" s="4"/>
      <c r="O36" s="4"/>
    </row>
    <row r="37" spans="1:15" ht="20.100000000000001" customHeight="1" x14ac:dyDescent="0.25">
      <c r="A37" s="12">
        <v>28</v>
      </c>
      <c r="B37" s="11" t="s">
        <v>21</v>
      </c>
      <c r="C37" s="51" t="s">
        <v>22</v>
      </c>
      <c r="D37" s="18"/>
      <c r="E37" s="41">
        <f>SUM(E38:E41)</f>
        <v>837.69999999999993</v>
      </c>
      <c r="F37" s="41">
        <f>SUM(F38:F41)</f>
        <v>457.59999999999997</v>
      </c>
      <c r="G37" s="4"/>
      <c r="H37" s="4"/>
      <c r="I37" s="4"/>
      <c r="J37" s="4"/>
      <c r="L37" s="4"/>
      <c r="M37" s="4"/>
      <c r="N37" s="4"/>
      <c r="O37" s="4"/>
    </row>
    <row r="38" spans="1:15" ht="12.6" customHeight="1" x14ac:dyDescent="0.25">
      <c r="A38" s="12">
        <v>29</v>
      </c>
      <c r="B38" s="18"/>
      <c r="C38" s="50" t="s">
        <v>2</v>
      </c>
      <c r="D38" s="18" t="s">
        <v>71</v>
      </c>
      <c r="E38" s="19">
        <f>306.4+39.7</f>
        <v>346.09999999999997</v>
      </c>
      <c r="F38" s="19">
        <f>198.1+17.8</f>
        <v>215.9</v>
      </c>
      <c r="G38" s="4"/>
      <c r="H38" s="4"/>
      <c r="I38" s="4"/>
      <c r="J38" s="4"/>
      <c r="L38" s="4"/>
      <c r="M38" s="4"/>
      <c r="N38" s="4"/>
      <c r="O38" s="4"/>
    </row>
    <row r="39" spans="1:15" ht="12.6" customHeight="1" x14ac:dyDescent="0.25">
      <c r="A39" s="12">
        <v>30</v>
      </c>
      <c r="B39" s="18"/>
      <c r="C39" s="50" t="s">
        <v>15</v>
      </c>
      <c r="D39" s="23" t="s">
        <v>71</v>
      </c>
      <c r="E39" s="19">
        <f>214.4+17.3</f>
        <v>231.70000000000002</v>
      </c>
      <c r="F39" s="19">
        <f>93.3+36.7</f>
        <v>130</v>
      </c>
      <c r="G39" s="4"/>
      <c r="H39" s="4"/>
      <c r="I39" s="4"/>
      <c r="J39" s="4"/>
      <c r="L39" s="4"/>
      <c r="M39" s="4"/>
      <c r="N39" s="4"/>
      <c r="O39" s="4" t="s">
        <v>285</v>
      </c>
    </row>
    <row r="40" spans="1:15" ht="12.6" customHeight="1" x14ac:dyDescent="0.25">
      <c r="A40" s="12">
        <v>31</v>
      </c>
      <c r="B40" s="18"/>
      <c r="C40" s="50" t="s">
        <v>217</v>
      </c>
      <c r="D40" s="23" t="s">
        <v>71</v>
      </c>
      <c r="E40" s="19">
        <f>220+26.9</f>
        <v>246.9</v>
      </c>
      <c r="F40" s="19">
        <f>91.7+20</f>
        <v>111.7</v>
      </c>
      <c r="G40" s="4"/>
      <c r="H40" s="4"/>
      <c r="I40" s="4"/>
      <c r="J40" s="4"/>
      <c r="L40" s="4"/>
      <c r="M40" s="4"/>
      <c r="N40" s="4"/>
      <c r="O40" s="4"/>
    </row>
    <row r="41" spans="1:15" ht="12.6" customHeight="1" x14ac:dyDescent="0.25">
      <c r="A41" s="12">
        <v>32</v>
      </c>
      <c r="B41" s="18"/>
      <c r="C41" s="24" t="s">
        <v>148</v>
      </c>
      <c r="D41" s="23" t="s">
        <v>23</v>
      </c>
      <c r="E41" s="19">
        <f>12+1</f>
        <v>13</v>
      </c>
      <c r="F41" s="19"/>
      <c r="G41" s="4"/>
      <c r="H41" s="4"/>
      <c r="I41" s="4"/>
      <c r="J41" s="4"/>
      <c r="L41" s="4"/>
      <c r="M41" s="4"/>
      <c r="N41" s="4"/>
      <c r="O41" s="4"/>
    </row>
    <row r="42" spans="1:15" ht="12.6" customHeight="1" x14ac:dyDescent="0.25">
      <c r="A42" s="12">
        <v>33</v>
      </c>
      <c r="B42" s="11" t="s">
        <v>76</v>
      </c>
      <c r="C42" s="17" t="s">
        <v>197</v>
      </c>
      <c r="D42" s="23"/>
      <c r="E42" s="29">
        <f>E43</f>
        <v>21.1</v>
      </c>
      <c r="F42" s="29">
        <f>F43</f>
        <v>0</v>
      </c>
      <c r="G42" s="4"/>
      <c r="H42" s="4"/>
      <c r="I42" s="4"/>
      <c r="J42" s="4"/>
      <c r="L42" s="4"/>
      <c r="M42" s="4"/>
      <c r="N42" s="4"/>
      <c r="O42" s="4"/>
    </row>
    <row r="43" spans="1:15" ht="12.6" customHeight="1" x14ac:dyDescent="0.25">
      <c r="A43" s="12">
        <v>34</v>
      </c>
      <c r="B43" s="18"/>
      <c r="C43" s="21" t="s">
        <v>112</v>
      </c>
      <c r="D43" s="18" t="s">
        <v>62</v>
      </c>
      <c r="E43" s="34">
        <f>17.5+3.6</f>
        <v>21.1</v>
      </c>
      <c r="F43" s="34"/>
      <c r="G43" s="4"/>
      <c r="H43" s="4"/>
      <c r="I43" s="4"/>
      <c r="J43" s="4"/>
      <c r="L43" s="4"/>
      <c r="M43" s="4"/>
      <c r="N43" s="4"/>
      <c r="O43" s="4"/>
    </row>
    <row r="44" spans="1:15" ht="12.6" customHeight="1" x14ac:dyDescent="0.25">
      <c r="A44" s="12">
        <v>35</v>
      </c>
      <c r="B44" s="18"/>
      <c r="C44" s="52" t="s">
        <v>20</v>
      </c>
      <c r="D44" s="18"/>
      <c r="E44" s="41">
        <f>+E10+E37+E42</f>
        <v>1869</v>
      </c>
      <c r="F44" s="41">
        <f>+F10+F37+F42</f>
        <v>469.7</v>
      </c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5">
      <c r="E45" s="20"/>
      <c r="F45" s="20"/>
    </row>
    <row r="46" spans="1:15" x14ac:dyDescent="0.25">
      <c r="C46" s="3" t="s">
        <v>232</v>
      </c>
      <c r="H46" s="4"/>
    </row>
    <row r="47" spans="1:15" x14ac:dyDescent="0.25">
      <c r="E47" s="20"/>
      <c r="F47" s="20"/>
    </row>
    <row r="48" spans="1:15" x14ac:dyDescent="0.25">
      <c r="E48" s="20"/>
      <c r="F48" s="20"/>
    </row>
    <row r="49" spans="5:6" x14ac:dyDescent="0.25">
      <c r="E49" s="20"/>
      <c r="F49" s="20"/>
    </row>
    <row r="51" spans="5:6" x14ac:dyDescent="0.25">
      <c r="E51" s="53"/>
    </row>
  </sheetData>
  <mergeCells count="4">
    <mergeCell ref="E3:F3"/>
    <mergeCell ref="C1:F1"/>
    <mergeCell ref="C2:F2"/>
    <mergeCell ref="B5:F5"/>
  </mergeCells>
  <pageMargins left="0.51181102362204722" right="0" top="0.39370078740157483" bottom="0.19685039370078741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zoomScaleNormal="100" workbookViewId="0">
      <selection activeCell="M18" sqref="M18"/>
    </sheetView>
  </sheetViews>
  <sheetFormatPr defaultColWidth="9.109375" defaultRowHeight="13.2" x14ac:dyDescent="0.25"/>
  <cols>
    <col min="1" max="1" width="4.88671875" style="3" customWidth="1"/>
    <col min="2" max="2" width="7.109375" style="42" customWidth="1"/>
    <col min="3" max="3" width="50.33203125" style="3" customWidth="1"/>
    <col min="4" max="4" width="10.33203125" style="7" customWidth="1"/>
    <col min="5" max="5" width="8.109375" style="3" customWidth="1"/>
    <col min="6" max="6" width="11.33203125" style="3" customWidth="1"/>
    <col min="7" max="16384" width="9.109375" style="2"/>
  </cols>
  <sheetData>
    <row r="1" spans="1:12" ht="15.75" customHeight="1" x14ac:dyDescent="0.3">
      <c r="C1" s="246" t="s">
        <v>149</v>
      </c>
      <c r="D1" s="246"/>
      <c r="E1" s="246"/>
      <c r="F1" s="246"/>
    </row>
    <row r="2" spans="1:12" ht="15.75" customHeight="1" x14ac:dyDescent="0.3">
      <c r="C2" s="246" t="s">
        <v>590</v>
      </c>
      <c r="D2" s="246"/>
      <c r="E2" s="246"/>
      <c r="F2" s="246"/>
    </row>
    <row r="3" spans="1:12" ht="15.6" x14ac:dyDescent="0.25">
      <c r="B3" s="7"/>
      <c r="E3" s="271" t="s">
        <v>117</v>
      </c>
      <c r="F3" s="271"/>
    </row>
    <row r="4" spans="1:12" ht="15.6" x14ac:dyDescent="0.25">
      <c r="B4" s="7"/>
      <c r="E4" s="37"/>
      <c r="F4" s="37"/>
    </row>
    <row r="5" spans="1:12" ht="30" customHeight="1" x14ac:dyDescent="0.25">
      <c r="A5" s="272" t="s">
        <v>601</v>
      </c>
      <c r="B5" s="272"/>
      <c r="C5" s="272"/>
      <c r="D5" s="272"/>
      <c r="E5" s="272"/>
      <c r="F5" s="272"/>
    </row>
    <row r="6" spans="1:12" x14ac:dyDescent="0.25">
      <c r="A6" s="31"/>
      <c r="B6" s="31"/>
      <c r="C6" s="31"/>
      <c r="D6" s="31"/>
      <c r="E6" s="31"/>
      <c r="F6" s="31"/>
    </row>
    <row r="7" spans="1:12" x14ac:dyDescent="0.25">
      <c r="B7" s="7"/>
      <c r="E7" s="5"/>
      <c r="F7" s="5" t="s">
        <v>129</v>
      </c>
    </row>
    <row r="8" spans="1:12" ht="46.5" customHeight="1" x14ac:dyDescent="0.25">
      <c r="A8" s="8" t="s">
        <v>118</v>
      </c>
      <c r="B8" s="9" t="s">
        <v>367</v>
      </c>
      <c r="C8" s="8" t="s">
        <v>16</v>
      </c>
      <c r="D8" s="9" t="s">
        <v>55</v>
      </c>
      <c r="E8" s="8" t="s">
        <v>17</v>
      </c>
      <c r="F8" s="8" t="s">
        <v>29</v>
      </c>
    </row>
    <row r="9" spans="1:12" x14ac:dyDescent="0.25">
      <c r="A9" s="10">
        <v>1</v>
      </c>
      <c r="B9" s="11" t="s">
        <v>18</v>
      </c>
      <c r="C9" s="8">
        <v>3</v>
      </c>
      <c r="D9" s="9">
        <v>4</v>
      </c>
      <c r="E9" s="8">
        <v>5</v>
      </c>
      <c r="F9" s="8">
        <v>6</v>
      </c>
    </row>
    <row r="10" spans="1:12" x14ac:dyDescent="0.25">
      <c r="A10" s="12">
        <v>1</v>
      </c>
      <c r="B10" s="11" t="s">
        <v>56</v>
      </c>
      <c r="C10" s="13" t="s">
        <v>57</v>
      </c>
      <c r="D10" s="9"/>
      <c r="E10" s="115">
        <f>+E11</f>
        <v>988.8</v>
      </c>
      <c r="F10" s="115">
        <f>+F11</f>
        <v>0</v>
      </c>
      <c r="G10" s="4"/>
      <c r="H10" s="4"/>
      <c r="I10" s="4"/>
      <c r="J10" s="4"/>
      <c r="K10" s="4"/>
      <c r="L10" s="4"/>
    </row>
    <row r="11" spans="1:12" x14ac:dyDescent="0.25">
      <c r="A11" s="12">
        <v>2</v>
      </c>
      <c r="B11" s="1"/>
      <c r="C11" s="66" t="s">
        <v>183</v>
      </c>
      <c r="D11" s="1"/>
      <c r="E11" s="120">
        <f>SUM(E12:E15)</f>
        <v>988.8</v>
      </c>
      <c r="F11" s="120">
        <f>SUM(F12:F15)</f>
        <v>0</v>
      </c>
      <c r="G11" s="4"/>
      <c r="H11" s="4"/>
      <c r="I11" s="4"/>
      <c r="J11" s="4"/>
      <c r="K11" s="4"/>
      <c r="L11" s="70"/>
    </row>
    <row r="12" spans="1:12" ht="26.4" x14ac:dyDescent="0.25">
      <c r="A12" s="131" t="s">
        <v>780</v>
      </c>
      <c r="B12" s="1"/>
      <c r="C12" s="62" t="s">
        <v>151</v>
      </c>
      <c r="D12" s="1" t="s">
        <v>61</v>
      </c>
      <c r="E12" s="120">
        <v>22.4</v>
      </c>
      <c r="F12" s="132"/>
      <c r="G12" s="4"/>
      <c r="H12" s="4"/>
      <c r="I12" s="4"/>
      <c r="J12" s="4"/>
      <c r="K12" s="4"/>
      <c r="L12" s="70"/>
    </row>
    <row r="13" spans="1:12" ht="39.6" x14ac:dyDescent="0.25">
      <c r="A13" s="131" t="s">
        <v>781</v>
      </c>
      <c r="B13" s="1"/>
      <c r="C13" s="62" t="s">
        <v>617</v>
      </c>
      <c r="D13" s="1" t="s">
        <v>58</v>
      </c>
      <c r="E13" s="120">
        <v>426</v>
      </c>
      <c r="F13" s="132"/>
      <c r="G13" s="4"/>
      <c r="H13" s="4"/>
      <c r="I13" s="4"/>
      <c r="J13" s="4"/>
      <c r="K13" s="4"/>
      <c r="L13" s="70"/>
    </row>
    <row r="14" spans="1:12" ht="39.6" x14ac:dyDescent="0.25">
      <c r="A14" s="131" t="s">
        <v>782</v>
      </c>
      <c r="B14" s="1"/>
      <c r="C14" s="62" t="s">
        <v>618</v>
      </c>
      <c r="D14" s="1" t="s">
        <v>58</v>
      </c>
      <c r="E14" s="120">
        <v>532</v>
      </c>
      <c r="F14" s="132"/>
      <c r="G14" s="4"/>
      <c r="H14" s="4"/>
      <c r="I14" s="4"/>
      <c r="J14" s="4"/>
      <c r="K14" s="4"/>
      <c r="L14" s="70"/>
    </row>
    <row r="15" spans="1:12" ht="26.4" x14ac:dyDescent="0.25">
      <c r="A15" s="131" t="s">
        <v>783</v>
      </c>
      <c r="B15" s="1"/>
      <c r="C15" s="119" t="s">
        <v>449</v>
      </c>
      <c r="D15" s="1" t="s">
        <v>58</v>
      </c>
      <c r="E15" s="120">
        <v>8.4</v>
      </c>
      <c r="F15" s="132"/>
      <c r="G15" s="4"/>
      <c r="H15" s="4"/>
      <c r="I15" s="4"/>
      <c r="J15" s="4"/>
      <c r="K15" s="4"/>
      <c r="L15" s="70"/>
    </row>
    <row r="16" spans="1:12" x14ac:dyDescent="0.25">
      <c r="A16" s="131" t="s">
        <v>784</v>
      </c>
      <c r="B16" s="11" t="s">
        <v>65</v>
      </c>
      <c r="C16" s="17" t="s">
        <v>66</v>
      </c>
      <c r="D16" s="1"/>
      <c r="E16" s="133">
        <f>+E17</f>
        <v>5.5</v>
      </c>
      <c r="F16" s="133">
        <f>+F17</f>
        <v>0</v>
      </c>
      <c r="G16" s="4"/>
      <c r="H16" s="4"/>
      <c r="I16" s="4"/>
      <c r="J16" s="4"/>
      <c r="K16" s="4"/>
      <c r="L16" s="70"/>
    </row>
    <row r="17" spans="1:13" x14ac:dyDescent="0.25">
      <c r="A17" s="131" t="s">
        <v>30</v>
      </c>
      <c r="B17" s="11"/>
      <c r="C17" s="66" t="s">
        <v>183</v>
      </c>
      <c r="D17" s="1"/>
      <c r="E17" s="120">
        <f>+E18</f>
        <v>5.5</v>
      </c>
      <c r="F17" s="132">
        <f>+F18</f>
        <v>0</v>
      </c>
      <c r="G17" s="4"/>
      <c r="H17" s="4"/>
      <c r="I17" s="4"/>
      <c r="J17" s="4"/>
      <c r="K17" s="4"/>
      <c r="L17" s="70"/>
    </row>
    <row r="18" spans="1:13" ht="26.4" x14ac:dyDescent="0.25">
      <c r="A18" s="131" t="s">
        <v>785</v>
      </c>
      <c r="B18" s="11"/>
      <c r="C18" s="134" t="s">
        <v>198</v>
      </c>
      <c r="D18" s="14" t="s">
        <v>199</v>
      </c>
      <c r="E18" s="120">
        <v>5.5</v>
      </c>
      <c r="F18" s="132"/>
      <c r="G18" s="4"/>
      <c r="H18" s="4"/>
      <c r="I18" s="4"/>
      <c r="J18" s="4"/>
      <c r="K18" s="4"/>
      <c r="L18" s="70"/>
    </row>
    <row r="19" spans="1:13" x14ac:dyDescent="0.25">
      <c r="A19" s="131" t="s">
        <v>788</v>
      </c>
      <c r="B19" s="11" t="s">
        <v>21</v>
      </c>
      <c r="C19" s="17" t="s">
        <v>22</v>
      </c>
      <c r="D19" s="14"/>
      <c r="E19" s="133">
        <f>+E20</f>
        <v>133.20000000000002</v>
      </c>
      <c r="F19" s="133">
        <f>+F20</f>
        <v>0</v>
      </c>
      <c r="G19" s="4"/>
      <c r="H19" s="4"/>
      <c r="I19" s="4"/>
      <c r="J19" s="4"/>
      <c r="K19" s="4"/>
      <c r="L19" s="70"/>
    </row>
    <row r="20" spans="1:13" x14ac:dyDescent="0.25">
      <c r="A20" s="131" t="s">
        <v>789</v>
      </c>
      <c r="B20" s="11"/>
      <c r="C20" s="66" t="s">
        <v>183</v>
      </c>
      <c r="D20" s="14"/>
      <c r="E20" s="120">
        <f>+E21+E22</f>
        <v>133.20000000000002</v>
      </c>
      <c r="F20" s="132">
        <f>+F21</f>
        <v>0</v>
      </c>
      <c r="G20" s="4"/>
      <c r="H20" s="4"/>
      <c r="I20" s="4"/>
      <c r="J20" s="4"/>
      <c r="K20" s="4"/>
      <c r="L20" s="70"/>
    </row>
    <row r="21" spans="1:13" x14ac:dyDescent="0.25">
      <c r="A21" s="131" t="s">
        <v>437</v>
      </c>
      <c r="B21" s="11"/>
      <c r="C21" s="122" t="s">
        <v>152</v>
      </c>
      <c r="D21" s="117" t="s">
        <v>88</v>
      </c>
      <c r="E21" s="120">
        <v>9.8000000000000007</v>
      </c>
      <c r="F21" s="132"/>
      <c r="G21" s="4"/>
      <c r="H21" s="4"/>
      <c r="I21" s="4"/>
      <c r="J21" s="4"/>
      <c r="K21" s="4"/>
      <c r="L21" s="70"/>
    </row>
    <row r="22" spans="1:13" x14ac:dyDescent="0.25">
      <c r="A22" s="131" t="s">
        <v>853</v>
      </c>
      <c r="B22" s="11"/>
      <c r="C22" s="62" t="s">
        <v>850</v>
      </c>
      <c r="D22" s="117"/>
      <c r="E22" s="120">
        <v>123.4</v>
      </c>
      <c r="F22" s="132"/>
      <c r="G22" s="4"/>
      <c r="H22" s="4"/>
      <c r="I22" s="4"/>
      <c r="J22" s="4"/>
      <c r="K22" s="4"/>
      <c r="L22" s="70"/>
    </row>
    <row r="23" spans="1:13" ht="26.4" x14ac:dyDescent="0.25">
      <c r="A23" s="12">
        <v>7</v>
      </c>
      <c r="B23" s="11" t="s">
        <v>104</v>
      </c>
      <c r="C23" s="126" t="s">
        <v>105</v>
      </c>
      <c r="D23" s="14"/>
      <c r="E23" s="133">
        <f>+E24</f>
        <v>250.8</v>
      </c>
      <c r="F23" s="133">
        <v>0</v>
      </c>
      <c r="G23" s="4"/>
      <c r="H23" s="4"/>
      <c r="I23" s="4"/>
      <c r="J23" s="4"/>
      <c r="K23" s="4"/>
      <c r="L23" s="70"/>
    </row>
    <row r="24" spans="1:13" x14ac:dyDescent="0.25">
      <c r="A24" s="12">
        <v>8</v>
      </c>
      <c r="B24" s="1"/>
      <c r="C24" s="66" t="s">
        <v>183</v>
      </c>
      <c r="D24" s="14"/>
      <c r="E24" s="120">
        <f>+E25</f>
        <v>250.8</v>
      </c>
      <c r="F24" s="132">
        <v>0</v>
      </c>
      <c r="G24" s="4"/>
      <c r="H24" s="4"/>
      <c r="I24" s="4"/>
      <c r="J24" s="4"/>
      <c r="K24" s="4"/>
      <c r="L24" s="70"/>
    </row>
    <row r="25" spans="1:13" ht="26.4" x14ac:dyDescent="0.25">
      <c r="A25" s="131" t="s">
        <v>786</v>
      </c>
      <c r="B25" s="1"/>
      <c r="C25" s="66" t="s">
        <v>822</v>
      </c>
      <c r="D25" s="1" t="s">
        <v>157</v>
      </c>
      <c r="E25" s="120">
        <v>250.8</v>
      </c>
      <c r="F25" s="132"/>
      <c r="G25" s="4"/>
      <c r="H25" s="4"/>
      <c r="I25" s="4"/>
      <c r="J25" s="4"/>
      <c r="K25" s="4"/>
      <c r="L25" s="70"/>
    </row>
    <row r="26" spans="1:13" ht="18" customHeight="1" x14ac:dyDescent="0.25">
      <c r="A26" s="12">
        <v>9</v>
      </c>
      <c r="B26" s="11" t="s">
        <v>84</v>
      </c>
      <c r="C26" s="68" t="s">
        <v>85</v>
      </c>
      <c r="D26" s="1"/>
      <c r="E26" s="133">
        <f>+E27</f>
        <v>110.2</v>
      </c>
      <c r="F26" s="133">
        <f>+F27</f>
        <v>0</v>
      </c>
      <c r="G26" s="4"/>
      <c r="H26" s="4"/>
      <c r="I26" s="4"/>
      <c r="J26" s="4"/>
      <c r="K26" s="4"/>
      <c r="L26" s="70"/>
    </row>
    <row r="27" spans="1:13" ht="12.6" customHeight="1" x14ac:dyDescent="0.25">
      <c r="A27" s="12">
        <v>10</v>
      </c>
      <c r="B27" s="1"/>
      <c r="C27" s="66" t="s">
        <v>183</v>
      </c>
      <c r="D27" s="14"/>
      <c r="E27" s="120">
        <f>+E28+E29</f>
        <v>110.2</v>
      </c>
      <c r="F27" s="120">
        <f>+F28</f>
        <v>0</v>
      </c>
      <c r="G27" s="4"/>
      <c r="H27" s="4"/>
      <c r="I27" s="4"/>
      <c r="J27" s="4"/>
      <c r="K27" s="4"/>
      <c r="L27" s="70"/>
    </row>
    <row r="28" spans="1:13" ht="26.4" x14ac:dyDescent="0.25">
      <c r="A28" s="131" t="s">
        <v>787</v>
      </c>
      <c r="B28" s="1"/>
      <c r="C28" s="66" t="s">
        <v>295</v>
      </c>
      <c r="D28" s="14" t="s">
        <v>298</v>
      </c>
      <c r="E28" s="120">
        <v>75</v>
      </c>
      <c r="F28" s="132"/>
      <c r="G28" s="4"/>
      <c r="H28" s="4"/>
      <c r="I28" s="4"/>
      <c r="J28" s="4"/>
      <c r="K28" s="4"/>
      <c r="L28" s="70"/>
    </row>
    <row r="29" spans="1:13" x14ac:dyDescent="0.25">
      <c r="A29" s="131" t="s">
        <v>858</v>
      </c>
      <c r="B29" s="1"/>
      <c r="C29" s="22" t="s">
        <v>820</v>
      </c>
      <c r="D29" s="14" t="s">
        <v>821</v>
      </c>
      <c r="E29" s="120">
        <v>35.200000000000003</v>
      </c>
      <c r="F29" s="132"/>
      <c r="G29" s="4"/>
      <c r="H29" s="4"/>
      <c r="I29" s="4"/>
      <c r="J29" s="4"/>
      <c r="K29" s="4"/>
      <c r="L29" s="70"/>
    </row>
    <row r="30" spans="1:13" ht="18" customHeight="1" x14ac:dyDescent="0.25">
      <c r="A30" s="12">
        <v>11</v>
      </c>
      <c r="B30" s="11" t="s">
        <v>89</v>
      </c>
      <c r="C30" s="17" t="s">
        <v>90</v>
      </c>
      <c r="D30" s="1"/>
      <c r="E30" s="133">
        <f>+E31</f>
        <v>377</v>
      </c>
      <c r="F30" s="133">
        <f>+F31</f>
        <v>0</v>
      </c>
      <c r="G30" s="4"/>
      <c r="H30" s="4"/>
      <c r="I30" s="4"/>
      <c r="J30" s="4"/>
      <c r="K30" s="4"/>
      <c r="L30" s="70"/>
    </row>
    <row r="31" spans="1:13" x14ac:dyDescent="0.25">
      <c r="A31" s="12">
        <v>12</v>
      </c>
      <c r="B31" s="1"/>
      <c r="C31" s="66" t="s">
        <v>183</v>
      </c>
      <c r="D31" s="1"/>
      <c r="E31" s="120">
        <f>+E32+E33</f>
        <v>377</v>
      </c>
      <c r="F31" s="132">
        <f>+F32+F33</f>
        <v>0</v>
      </c>
      <c r="G31" s="4"/>
      <c r="H31" s="4"/>
      <c r="I31" s="4"/>
      <c r="J31" s="4"/>
      <c r="K31" s="4"/>
      <c r="L31" s="70"/>
    </row>
    <row r="32" spans="1:13" ht="29.25" customHeight="1" x14ac:dyDescent="0.25">
      <c r="A32" s="131" t="s">
        <v>855</v>
      </c>
      <c r="B32" s="1"/>
      <c r="C32" s="65" t="s">
        <v>153</v>
      </c>
      <c r="D32" s="1" t="s">
        <v>92</v>
      </c>
      <c r="E32" s="120">
        <v>367</v>
      </c>
      <c r="F32" s="132"/>
      <c r="G32" s="4"/>
      <c r="H32" s="4"/>
      <c r="I32" s="4"/>
      <c r="J32" s="4"/>
      <c r="K32" s="4"/>
      <c r="L32" s="70"/>
      <c r="M32" s="2" t="s">
        <v>387</v>
      </c>
    </row>
    <row r="33" spans="1:12" ht="39.6" x14ac:dyDescent="0.25">
      <c r="A33" s="131" t="s">
        <v>856</v>
      </c>
      <c r="B33" s="1"/>
      <c r="C33" s="65" t="s">
        <v>192</v>
      </c>
      <c r="D33" s="1" t="s">
        <v>143</v>
      </c>
      <c r="E33" s="120">
        <v>10</v>
      </c>
      <c r="F33" s="132"/>
      <c r="G33" s="4"/>
      <c r="H33" s="4"/>
      <c r="I33" s="4"/>
      <c r="J33" s="4"/>
      <c r="K33" s="4"/>
      <c r="L33" s="70"/>
    </row>
    <row r="34" spans="1:12" x14ac:dyDescent="0.25">
      <c r="A34" s="131" t="s">
        <v>833</v>
      </c>
      <c r="B34" s="11" t="s">
        <v>32</v>
      </c>
      <c r="C34" s="17" t="s">
        <v>33</v>
      </c>
      <c r="D34" s="1"/>
      <c r="E34" s="133">
        <f>+E35</f>
        <v>76</v>
      </c>
      <c r="F34" s="133">
        <f>+F35</f>
        <v>0</v>
      </c>
      <c r="G34" s="4"/>
      <c r="H34" s="4"/>
      <c r="I34" s="4"/>
      <c r="J34" s="4"/>
      <c r="K34" s="4"/>
      <c r="L34" s="70"/>
    </row>
    <row r="35" spans="1:12" x14ac:dyDescent="0.25">
      <c r="A35" s="131" t="s">
        <v>859</v>
      </c>
      <c r="B35" s="1"/>
      <c r="C35" s="66" t="s">
        <v>183</v>
      </c>
      <c r="D35" s="1"/>
      <c r="E35" s="120">
        <f>+E36</f>
        <v>76</v>
      </c>
      <c r="F35" s="120">
        <f>+F36</f>
        <v>0</v>
      </c>
      <c r="G35" s="4"/>
      <c r="H35" s="4"/>
      <c r="I35" s="4"/>
      <c r="J35" s="4"/>
      <c r="K35" s="4"/>
      <c r="L35" s="70"/>
    </row>
    <row r="36" spans="1:12" ht="39.6" x14ac:dyDescent="0.25">
      <c r="A36" s="131" t="s">
        <v>857</v>
      </c>
      <c r="B36" s="1"/>
      <c r="C36" s="65" t="s">
        <v>646</v>
      </c>
      <c r="D36" s="14" t="s">
        <v>144</v>
      </c>
      <c r="E36" s="120">
        <v>76</v>
      </c>
      <c r="F36" s="132"/>
      <c r="G36" s="4"/>
      <c r="H36" s="4"/>
      <c r="I36" s="4"/>
      <c r="J36" s="4"/>
      <c r="K36" s="4"/>
      <c r="L36" s="70"/>
    </row>
    <row r="37" spans="1:12" ht="15.75" customHeight="1" x14ac:dyDescent="0.25">
      <c r="A37" s="12">
        <v>15</v>
      </c>
      <c r="B37" s="1"/>
      <c r="C37" s="52" t="s">
        <v>20</v>
      </c>
      <c r="D37" s="1"/>
      <c r="E37" s="41">
        <f>+E10+E16+E19+E23+E26+E30+E34</f>
        <v>1941.5</v>
      </c>
      <c r="F37" s="41">
        <f>+F10+F16+F19+F23+F26+F30+F34</f>
        <v>0</v>
      </c>
      <c r="G37" s="4"/>
      <c r="H37" s="4"/>
      <c r="I37" s="4"/>
      <c r="J37" s="4"/>
      <c r="K37" s="4"/>
      <c r="L37" s="4"/>
    </row>
    <row r="38" spans="1:12" x14ac:dyDescent="0.25">
      <c r="C38" s="3" t="s">
        <v>108</v>
      </c>
      <c r="E38" s="43"/>
      <c r="F38" s="43"/>
    </row>
    <row r="39" spans="1:12" x14ac:dyDescent="0.25">
      <c r="D39" s="6"/>
      <c r="E39" s="43"/>
      <c r="F39" s="43"/>
    </row>
    <row r="40" spans="1:12" x14ac:dyDescent="0.25">
      <c r="C40" s="129"/>
      <c r="E40" s="135"/>
      <c r="F40" s="135"/>
    </row>
    <row r="41" spans="1:12" x14ac:dyDescent="0.25">
      <c r="C41" s="5"/>
      <c r="D41" s="6"/>
      <c r="E41" s="43"/>
      <c r="F41" s="43"/>
    </row>
    <row r="42" spans="1:12" x14ac:dyDescent="0.25">
      <c r="C42" s="59"/>
      <c r="E42" s="43"/>
      <c r="F42" s="43"/>
    </row>
    <row r="43" spans="1:12" x14ac:dyDescent="0.25">
      <c r="C43" s="59"/>
      <c r="E43" s="43"/>
      <c r="F43" s="43"/>
    </row>
    <row r="44" spans="1:12" x14ac:dyDescent="0.25">
      <c r="F44" s="43"/>
    </row>
    <row r="45" spans="1:12" x14ac:dyDescent="0.25">
      <c r="C45" s="5"/>
      <c r="E45" s="43"/>
      <c r="F45" s="43"/>
    </row>
    <row r="46" spans="1:12" x14ac:dyDescent="0.25">
      <c r="C46" s="5"/>
    </row>
    <row r="47" spans="1:12" x14ac:dyDescent="0.25">
      <c r="C47" s="5"/>
    </row>
    <row r="48" spans="1:12" x14ac:dyDescent="0.25">
      <c r="C48" s="5"/>
      <c r="E48" s="43"/>
      <c r="F48" s="43"/>
    </row>
    <row r="49" spans="3:6" x14ac:dyDescent="0.25">
      <c r="C49" s="5"/>
      <c r="E49" s="43"/>
      <c r="F49" s="43"/>
    </row>
    <row r="50" spans="3:6" x14ac:dyDescent="0.25">
      <c r="C50" s="136"/>
      <c r="D50" s="3"/>
      <c r="E50" s="43"/>
      <c r="F50" s="43"/>
    </row>
    <row r="51" spans="3:6" x14ac:dyDescent="0.25">
      <c r="C51" s="137"/>
      <c r="D51" s="43"/>
    </row>
    <row r="52" spans="3:6" x14ac:dyDescent="0.25">
      <c r="C52" s="5"/>
      <c r="D52" s="43"/>
    </row>
    <row r="53" spans="3:6" x14ac:dyDescent="0.25">
      <c r="C53" s="5"/>
      <c r="D53" s="138"/>
    </row>
    <row r="54" spans="3:6" x14ac:dyDescent="0.25">
      <c r="C54" s="5"/>
    </row>
    <row r="55" spans="3:6" x14ac:dyDescent="0.25">
      <c r="C55" s="5"/>
    </row>
    <row r="56" spans="3:6" x14ac:dyDescent="0.25">
      <c r="D56" s="3"/>
    </row>
    <row r="58" spans="3:6" x14ac:dyDescent="0.25">
      <c r="C58" s="5"/>
    </row>
  </sheetData>
  <mergeCells count="4">
    <mergeCell ref="C1:F1"/>
    <mergeCell ref="C2:F2"/>
    <mergeCell ref="E3:F3"/>
    <mergeCell ref="A5:F5"/>
  </mergeCells>
  <phoneticPr fontId="5" type="noConversion"/>
  <pageMargins left="0.70866141732283472" right="0" top="0.74803149606299213" bottom="0.59055118110236227" header="0.31496062992125984" footer="0.31496062992125984"/>
  <pageSetup paperSize="9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zoomScaleNormal="100" workbookViewId="0">
      <selection activeCell="P13" sqref="P13"/>
    </sheetView>
  </sheetViews>
  <sheetFormatPr defaultColWidth="9.109375" defaultRowHeight="13.2" x14ac:dyDescent="0.25"/>
  <cols>
    <col min="1" max="1" width="3.88671875" style="3" customWidth="1"/>
    <col min="2" max="2" width="7.33203125" style="7" customWidth="1"/>
    <col min="3" max="3" width="55.109375" style="129" customWidth="1"/>
    <col min="4" max="4" width="10.33203125" style="139" customWidth="1"/>
    <col min="5" max="5" width="7.6640625" style="5" customWidth="1"/>
    <col min="6" max="6" width="11.109375" style="5" customWidth="1"/>
    <col min="7" max="16384" width="9.109375" style="2"/>
  </cols>
  <sheetData>
    <row r="1" spans="1:8" ht="15.6" x14ac:dyDescent="0.3">
      <c r="C1" s="246" t="s">
        <v>195</v>
      </c>
      <c r="D1" s="246"/>
      <c r="E1" s="246"/>
      <c r="F1" s="246"/>
    </row>
    <row r="2" spans="1:8" ht="15.6" x14ac:dyDescent="0.3">
      <c r="C2" s="246" t="s">
        <v>591</v>
      </c>
      <c r="D2" s="246"/>
      <c r="E2" s="246"/>
      <c r="F2" s="246"/>
    </row>
    <row r="3" spans="1:8" ht="15.6" x14ac:dyDescent="0.3">
      <c r="C3" s="55"/>
      <c r="D3" s="55"/>
      <c r="E3" s="271" t="s">
        <v>233</v>
      </c>
      <c r="F3" s="271"/>
    </row>
    <row r="4" spans="1:8" ht="12" customHeight="1" x14ac:dyDescent="0.25">
      <c r="C4" s="6"/>
      <c r="D4" s="6"/>
      <c r="E4" s="6"/>
      <c r="F4" s="6"/>
    </row>
    <row r="5" spans="1:8" ht="25.5" customHeight="1" x14ac:dyDescent="0.25">
      <c r="A5" s="272" t="s">
        <v>600</v>
      </c>
      <c r="B5" s="272"/>
      <c r="C5" s="272"/>
      <c r="D5" s="272"/>
      <c r="E5" s="272"/>
      <c r="F5" s="272"/>
    </row>
    <row r="6" spans="1:8" x14ac:dyDescent="0.25">
      <c r="A6" s="31"/>
      <c r="B6" s="31"/>
      <c r="C6" s="31"/>
      <c r="D6" s="31"/>
      <c r="E6" s="31"/>
      <c r="F6" s="31"/>
    </row>
    <row r="7" spans="1:8" x14ac:dyDescent="0.25">
      <c r="F7" s="54" t="s">
        <v>129</v>
      </c>
    </row>
    <row r="8" spans="1:8" ht="51.75" customHeight="1" x14ac:dyDescent="0.25">
      <c r="A8" s="8" t="s">
        <v>118</v>
      </c>
      <c r="B8" s="9" t="s">
        <v>367</v>
      </c>
      <c r="C8" s="8" t="s">
        <v>16</v>
      </c>
      <c r="D8" s="9" t="s">
        <v>55</v>
      </c>
      <c r="E8" s="8" t="s">
        <v>17</v>
      </c>
      <c r="F8" s="8" t="s">
        <v>29</v>
      </c>
    </row>
    <row r="9" spans="1:8" s="42" customFormat="1" ht="12" customHeight="1" x14ac:dyDescent="0.25">
      <c r="A9" s="10">
        <v>1</v>
      </c>
      <c r="B9" s="11" t="s">
        <v>18</v>
      </c>
      <c r="C9" s="8">
        <v>3</v>
      </c>
      <c r="D9" s="9">
        <v>4</v>
      </c>
      <c r="E9" s="8">
        <v>5</v>
      </c>
      <c r="F9" s="8">
        <v>6</v>
      </c>
    </row>
    <row r="10" spans="1:8" s="42" customFormat="1" ht="20.100000000000001" customHeight="1" x14ac:dyDescent="0.25">
      <c r="A10" s="12">
        <v>1</v>
      </c>
      <c r="B10" s="9" t="s">
        <v>65</v>
      </c>
      <c r="C10" s="13" t="s">
        <v>66</v>
      </c>
      <c r="D10" s="9"/>
      <c r="E10" s="41">
        <f>SUM(+E11+E13+E15)</f>
        <v>506.59999999999997</v>
      </c>
      <c r="F10" s="41">
        <f>SUM(+F11+F13+F15)</f>
        <v>375.1</v>
      </c>
      <c r="G10" s="140"/>
      <c r="H10" s="141"/>
    </row>
    <row r="11" spans="1:8" s="42" customFormat="1" ht="24.75" customHeight="1" x14ac:dyDescent="0.3">
      <c r="A11" s="12">
        <v>2</v>
      </c>
      <c r="B11" s="14" t="s">
        <v>234</v>
      </c>
      <c r="C11" s="125" t="s">
        <v>440</v>
      </c>
      <c r="D11" s="14" t="s">
        <v>224</v>
      </c>
      <c r="E11" s="142">
        <f>+E12</f>
        <v>416.4</v>
      </c>
      <c r="F11" s="142">
        <f>+F12</f>
        <v>348.3</v>
      </c>
      <c r="G11" s="140"/>
      <c r="H11" s="143"/>
    </row>
    <row r="12" spans="1:8" s="42" customFormat="1" ht="12.6" customHeight="1" x14ac:dyDescent="0.25">
      <c r="A12" s="12">
        <v>3</v>
      </c>
      <c r="B12" s="14"/>
      <c r="C12" s="123" t="s">
        <v>218</v>
      </c>
      <c r="D12" s="9"/>
      <c r="E12" s="39">
        <v>416.4</v>
      </c>
      <c r="F12" s="39">
        <v>348.3</v>
      </c>
      <c r="G12" s="140"/>
      <c r="H12" s="140"/>
    </row>
    <row r="13" spans="1:8" s="42" customFormat="1" ht="26.4" x14ac:dyDescent="0.25">
      <c r="A13" s="12">
        <v>4</v>
      </c>
      <c r="B13" s="14" t="s">
        <v>235</v>
      </c>
      <c r="C13" s="125" t="s">
        <v>803</v>
      </c>
      <c r="D13" s="14" t="s">
        <v>224</v>
      </c>
      <c r="E13" s="142">
        <f>+E14</f>
        <v>88.4</v>
      </c>
      <c r="F13" s="142">
        <f>+F14</f>
        <v>25</v>
      </c>
      <c r="G13" s="140"/>
      <c r="H13" s="140"/>
    </row>
    <row r="14" spans="1:8" s="42" customFormat="1" ht="12.6" customHeight="1" x14ac:dyDescent="0.25">
      <c r="A14" s="12">
        <v>5</v>
      </c>
      <c r="B14" s="14"/>
      <c r="C14" s="123" t="s">
        <v>218</v>
      </c>
      <c r="D14" s="9"/>
      <c r="E14" s="39">
        <v>88.4</v>
      </c>
      <c r="F14" s="39">
        <v>25</v>
      </c>
      <c r="G14" s="140"/>
      <c r="H14" s="140"/>
    </row>
    <row r="15" spans="1:8" s="42" customFormat="1" ht="12.6" customHeight="1" x14ac:dyDescent="0.25">
      <c r="A15" s="12">
        <v>6</v>
      </c>
      <c r="B15" s="14" t="s">
        <v>236</v>
      </c>
      <c r="C15" s="125" t="s">
        <v>237</v>
      </c>
      <c r="D15" s="14" t="s">
        <v>69</v>
      </c>
      <c r="E15" s="142">
        <f>+E16</f>
        <v>1.8</v>
      </c>
      <c r="F15" s="142">
        <f>+F16</f>
        <v>1.8</v>
      </c>
      <c r="G15" s="140"/>
      <c r="H15" s="140"/>
    </row>
    <row r="16" spans="1:8" s="42" customFormat="1" ht="12.6" customHeight="1" x14ac:dyDescent="0.25">
      <c r="A16" s="12">
        <v>7</v>
      </c>
      <c r="B16" s="9"/>
      <c r="C16" s="35" t="s">
        <v>3</v>
      </c>
      <c r="D16" s="9"/>
      <c r="E16" s="39">
        <v>1.8</v>
      </c>
      <c r="F16" s="39">
        <v>1.8</v>
      </c>
      <c r="G16" s="140"/>
      <c r="H16" s="140"/>
    </row>
    <row r="17" spans="1:11" ht="18" customHeight="1" x14ac:dyDescent="0.25">
      <c r="A17" s="12">
        <v>8</v>
      </c>
      <c r="B17" s="11" t="s">
        <v>21</v>
      </c>
      <c r="C17" s="17" t="s">
        <v>22</v>
      </c>
      <c r="D17" s="1"/>
      <c r="E17" s="41">
        <f>SUM(E18+E24+E26+E28+E41+E43+E45)</f>
        <v>3205.3999999999996</v>
      </c>
      <c r="F17" s="41">
        <f>SUM(F18+F24+F26+F28+F41+F43+F45)</f>
        <v>1524.9</v>
      </c>
      <c r="G17" s="4"/>
      <c r="H17" s="4"/>
    </row>
    <row r="18" spans="1:11" ht="24.9" customHeight="1" x14ac:dyDescent="0.25">
      <c r="A18" s="12">
        <v>9</v>
      </c>
      <c r="B18" s="1" t="s">
        <v>238</v>
      </c>
      <c r="C18" s="125" t="s">
        <v>239</v>
      </c>
      <c r="D18" s="18" t="s">
        <v>24</v>
      </c>
      <c r="E18" s="144">
        <f>SUM(E19:E23)</f>
        <v>650</v>
      </c>
      <c r="F18" s="144">
        <f>SUM(F19:F23)</f>
        <v>375.9</v>
      </c>
      <c r="G18" s="4"/>
      <c r="H18" s="4"/>
      <c r="K18" s="38"/>
    </row>
    <row r="19" spans="1:11" ht="12.6" customHeight="1" x14ac:dyDescent="0.25">
      <c r="A19" s="12">
        <v>10</v>
      </c>
      <c r="B19" s="1"/>
      <c r="C19" s="16" t="s">
        <v>1</v>
      </c>
      <c r="D19" s="18"/>
      <c r="E19" s="19">
        <v>212</v>
      </c>
      <c r="F19" s="19">
        <v>208.7</v>
      </c>
      <c r="G19" s="4"/>
      <c r="H19" s="4"/>
    </row>
    <row r="20" spans="1:11" ht="12.6" customHeight="1" x14ac:dyDescent="0.25">
      <c r="A20" s="12">
        <v>11</v>
      </c>
      <c r="B20" s="1"/>
      <c r="C20" s="122" t="s">
        <v>2</v>
      </c>
      <c r="D20" s="18"/>
      <c r="E20" s="19">
        <v>80</v>
      </c>
      <c r="F20" s="19">
        <v>78.8</v>
      </c>
      <c r="G20" s="4"/>
      <c r="H20" s="4"/>
    </row>
    <row r="21" spans="1:11" ht="12.6" customHeight="1" x14ac:dyDescent="0.25">
      <c r="A21" s="12">
        <v>12</v>
      </c>
      <c r="B21" s="1"/>
      <c r="C21" s="122" t="s">
        <v>15</v>
      </c>
      <c r="D21" s="18"/>
      <c r="E21" s="19">
        <v>51</v>
      </c>
      <c r="F21" s="19">
        <v>31</v>
      </c>
      <c r="G21" s="4"/>
      <c r="H21" s="4"/>
    </row>
    <row r="22" spans="1:11" ht="12.6" customHeight="1" x14ac:dyDescent="0.25">
      <c r="A22" s="12">
        <v>13</v>
      </c>
      <c r="B22" s="1"/>
      <c r="C22" s="122" t="s">
        <v>19</v>
      </c>
      <c r="D22" s="18"/>
      <c r="E22" s="19">
        <v>60</v>
      </c>
      <c r="F22" s="19">
        <f>59.1-1.7</f>
        <v>57.4</v>
      </c>
      <c r="G22" s="4"/>
      <c r="H22" s="4"/>
    </row>
    <row r="23" spans="1:11" ht="12.6" customHeight="1" x14ac:dyDescent="0.25">
      <c r="A23" s="116">
        <v>14</v>
      </c>
      <c r="B23" s="117"/>
      <c r="C23" s="35" t="s">
        <v>3</v>
      </c>
      <c r="D23" s="18"/>
      <c r="E23" s="19">
        <v>247</v>
      </c>
      <c r="F23" s="19"/>
      <c r="G23" s="4"/>
      <c r="H23" s="4"/>
    </row>
    <row r="24" spans="1:11" ht="24.9" customHeight="1" x14ac:dyDescent="0.25">
      <c r="A24" s="12">
        <v>15</v>
      </c>
      <c r="B24" s="1" t="s">
        <v>240</v>
      </c>
      <c r="C24" s="125" t="s">
        <v>241</v>
      </c>
      <c r="D24" s="1" t="s">
        <v>23</v>
      </c>
      <c r="E24" s="144">
        <f>SUM(E25:E25)</f>
        <v>872.1</v>
      </c>
      <c r="F24" s="144">
        <f>SUM(F25:F25)</f>
        <v>839</v>
      </c>
      <c r="G24" s="4"/>
      <c r="H24" s="4"/>
    </row>
    <row r="25" spans="1:11" ht="12.6" customHeight="1" x14ac:dyDescent="0.25">
      <c r="A25" s="12">
        <v>16</v>
      </c>
      <c r="B25" s="1"/>
      <c r="C25" s="16" t="s">
        <v>148</v>
      </c>
      <c r="D25" s="1"/>
      <c r="E25" s="19">
        <v>872.1</v>
      </c>
      <c r="F25" s="19">
        <v>839</v>
      </c>
      <c r="G25" s="4"/>
      <c r="H25" s="4"/>
    </row>
    <row r="26" spans="1:11" ht="26.4" x14ac:dyDescent="0.25">
      <c r="A26" s="12">
        <v>17</v>
      </c>
      <c r="B26" s="1" t="s">
        <v>242</v>
      </c>
      <c r="C26" s="125" t="s">
        <v>448</v>
      </c>
      <c r="D26" s="1" t="s">
        <v>23</v>
      </c>
      <c r="E26" s="144">
        <f>SUM(E27:E27)</f>
        <v>136</v>
      </c>
      <c r="F26" s="144">
        <f>SUM(F27:F27)</f>
        <v>134.1</v>
      </c>
      <c r="G26" s="4"/>
      <c r="H26" s="4"/>
    </row>
    <row r="27" spans="1:11" x14ac:dyDescent="0.25">
      <c r="A27" s="12">
        <v>18</v>
      </c>
      <c r="B27" s="1"/>
      <c r="C27" s="16" t="s">
        <v>148</v>
      </c>
      <c r="D27" s="1"/>
      <c r="E27" s="19">
        <v>136</v>
      </c>
      <c r="F27" s="19">
        <v>134.1</v>
      </c>
      <c r="G27" s="4"/>
      <c r="H27" s="4"/>
    </row>
    <row r="28" spans="1:11" ht="45.6" customHeight="1" x14ac:dyDescent="0.25">
      <c r="A28" s="12">
        <v>19</v>
      </c>
      <c r="B28" s="1" t="s">
        <v>245</v>
      </c>
      <c r="C28" s="125" t="s">
        <v>243</v>
      </c>
      <c r="D28" s="14" t="s">
        <v>244</v>
      </c>
      <c r="E28" s="144">
        <f>SUM(E29:E40)</f>
        <v>398.5</v>
      </c>
      <c r="F28" s="144">
        <f>SUM(F29:F40)</f>
        <v>11.3</v>
      </c>
      <c r="G28" s="4"/>
      <c r="H28" s="4"/>
    </row>
    <row r="29" spans="1:11" ht="12.6" customHeight="1" x14ac:dyDescent="0.25">
      <c r="A29" s="12">
        <v>20</v>
      </c>
      <c r="B29" s="1"/>
      <c r="C29" s="35" t="s">
        <v>3</v>
      </c>
      <c r="D29" s="14"/>
      <c r="E29" s="19">
        <v>5</v>
      </c>
      <c r="F29" s="19"/>
      <c r="G29" s="4"/>
      <c r="H29" s="4"/>
    </row>
    <row r="30" spans="1:11" ht="12.6" customHeight="1" x14ac:dyDescent="0.25">
      <c r="A30" s="12">
        <v>21</v>
      </c>
      <c r="B30" s="1"/>
      <c r="C30" s="15" t="s">
        <v>8</v>
      </c>
      <c r="D30" s="1"/>
      <c r="E30" s="19">
        <v>202.7</v>
      </c>
      <c r="F30" s="19">
        <v>5.8</v>
      </c>
      <c r="G30" s="4"/>
      <c r="H30" s="4"/>
    </row>
    <row r="31" spans="1:11" ht="12.6" customHeight="1" x14ac:dyDescent="0.25">
      <c r="A31" s="12">
        <v>22</v>
      </c>
      <c r="B31" s="1"/>
      <c r="C31" s="15" t="s">
        <v>4</v>
      </c>
      <c r="D31" s="1"/>
      <c r="E31" s="19">
        <v>40.799999999999997</v>
      </c>
      <c r="F31" s="19">
        <v>1.2</v>
      </c>
      <c r="G31" s="4"/>
      <c r="H31" s="4"/>
    </row>
    <row r="32" spans="1:11" ht="12.6" customHeight="1" x14ac:dyDescent="0.25">
      <c r="A32" s="12">
        <v>23</v>
      </c>
      <c r="B32" s="1"/>
      <c r="C32" s="15" t="s">
        <v>5</v>
      </c>
      <c r="D32" s="1"/>
      <c r="E32" s="19">
        <v>13.7</v>
      </c>
      <c r="F32" s="19">
        <v>0.4</v>
      </c>
      <c r="G32" s="4"/>
      <c r="H32" s="4"/>
    </row>
    <row r="33" spans="1:8" ht="12.6" customHeight="1" x14ac:dyDescent="0.25">
      <c r="A33" s="12">
        <v>24</v>
      </c>
      <c r="B33" s="1"/>
      <c r="C33" s="15" t="s">
        <v>7</v>
      </c>
      <c r="D33" s="1"/>
      <c r="E33" s="19">
        <v>21.4</v>
      </c>
      <c r="F33" s="19">
        <v>0.6</v>
      </c>
      <c r="G33" s="4"/>
      <c r="H33" s="4"/>
    </row>
    <row r="34" spans="1:8" ht="12.6" customHeight="1" x14ac:dyDescent="0.25">
      <c r="A34" s="12">
        <v>25</v>
      </c>
      <c r="B34" s="1"/>
      <c r="C34" s="15" t="s">
        <v>6</v>
      </c>
      <c r="D34" s="1"/>
      <c r="E34" s="19">
        <v>18.100000000000001</v>
      </c>
      <c r="F34" s="19">
        <v>0.5</v>
      </c>
      <c r="G34" s="4"/>
      <c r="H34" s="4"/>
    </row>
    <row r="35" spans="1:8" ht="12.6" customHeight="1" x14ac:dyDescent="0.25">
      <c r="A35" s="12">
        <v>26</v>
      </c>
      <c r="B35" s="1"/>
      <c r="C35" s="15" t="s">
        <v>9</v>
      </c>
      <c r="D35" s="1"/>
      <c r="E35" s="19">
        <v>27.8</v>
      </c>
      <c r="F35" s="19">
        <v>0.8</v>
      </c>
      <c r="G35" s="4"/>
      <c r="H35" s="4"/>
    </row>
    <row r="36" spans="1:8" ht="12.6" customHeight="1" x14ac:dyDescent="0.25">
      <c r="A36" s="12">
        <v>27</v>
      </c>
      <c r="B36" s="1"/>
      <c r="C36" s="16" t="s">
        <v>10</v>
      </c>
      <c r="D36" s="1"/>
      <c r="E36" s="19">
        <v>13.3</v>
      </c>
      <c r="F36" s="19">
        <v>0.4</v>
      </c>
      <c r="G36" s="4"/>
      <c r="H36" s="4"/>
    </row>
    <row r="37" spans="1:8" ht="12.6" customHeight="1" x14ac:dyDescent="0.25">
      <c r="A37" s="12">
        <v>28</v>
      </c>
      <c r="B37" s="1"/>
      <c r="C37" s="15" t="s">
        <v>12</v>
      </c>
      <c r="D37" s="1"/>
      <c r="E37" s="19">
        <v>8.4</v>
      </c>
      <c r="F37" s="19">
        <v>0.2</v>
      </c>
      <c r="G37" s="4"/>
      <c r="H37" s="4"/>
    </row>
    <row r="38" spans="1:8" ht="12.6" customHeight="1" x14ac:dyDescent="0.25">
      <c r="A38" s="12">
        <v>29</v>
      </c>
      <c r="B38" s="1"/>
      <c r="C38" s="15" t="s">
        <v>11</v>
      </c>
      <c r="D38" s="1"/>
      <c r="E38" s="19">
        <v>17.399999999999999</v>
      </c>
      <c r="F38" s="19">
        <v>0.5</v>
      </c>
      <c r="G38" s="4"/>
      <c r="H38" s="4"/>
    </row>
    <row r="39" spans="1:8" ht="12.6" customHeight="1" x14ac:dyDescent="0.25">
      <c r="A39" s="12">
        <v>30</v>
      </c>
      <c r="B39" s="1"/>
      <c r="C39" s="15" t="s">
        <v>13</v>
      </c>
      <c r="D39" s="1"/>
      <c r="E39" s="19">
        <v>10.1</v>
      </c>
      <c r="F39" s="19">
        <v>0.3</v>
      </c>
      <c r="G39" s="4"/>
      <c r="H39" s="4"/>
    </row>
    <row r="40" spans="1:8" ht="12.6" customHeight="1" x14ac:dyDescent="0.25">
      <c r="A40" s="12">
        <v>31</v>
      </c>
      <c r="B40" s="1"/>
      <c r="C40" s="15" t="s">
        <v>14</v>
      </c>
      <c r="D40" s="1"/>
      <c r="E40" s="19">
        <v>19.8</v>
      </c>
      <c r="F40" s="19">
        <v>0.6</v>
      </c>
      <c r="G40" s="4"/>
      <c r="H40" s="4"/>
    </row>
    <row r="41" spans="1:8" ht="29.25" customHeight="1" x14ac:dyDescent="0.25">
      <c r="A41" s="12">
        <v>32</v>
      </c>
      <c r="B41" s="1" t="s">
        <v>247</v>
      </c>
      <c r="C41" s="145" t="s">
        <v>246</v>
      </c>
      <c r="D41" s="1" t="s">
        <v>31</v>
      </c>
      <c r="E41" s="144">
        <f>+E42</f>
        <v>947.6</v>
      </c>
      <c r="F41" s="144">
        <f>+F42</f>
        <v>16.8</v>
      </c>
      <c r="G41" s="4"/>
      <c r="H41" s="4"/>
    </row>
    <row r="42" spans="1:8" ht="12.6" customHeight="1" x14ac:dyDescent="0.25">
      <c r="A42" s="12">
        <v>33</v>
      </c>
      <c r="B42" s="1"/>
      <c r="C42" s="35" t="s">
        <v>3</v>
      </c>
      <c r="D42" s="1"/>
      <c r="E42" s="19">
        <v>947.6</v>
      </c>
      <c r="F42" s="19">
        <v>16.8</v>
      </c>
      <c r="G42" s="4"/>
      <c r="H42" s="4"/>
    </row>
    <row r="43" spans="1:8" ht="24.9" customHeight="1" x14ac:dyDescent="0.25">
      <c r="A43" s="12">
        <v>34</v>
      </c>
      <c r="B43" s="1" t="s">
        <v>444</v>
      </c>
      <c r="C43" s="145" t="s">
        <v>248</v>
      </c>
      <c r="D43" s="1" t="s">
        <v>72</v>
      </c>
      <c r="E43" s="144">
        <f>+E44</f>
        <v>11.1</v>
      </c>
      <c r="F43" s="144">
        <f>+F44</f>
        <v>0.4</v>
      </c>
      <c r="G43" s="4"/>
      <c r="H43" s="4"/>
    </row>
    <row r="44" spans="1:8" ht="12.6" customHeight="1" x14ac:dyDescent="0.25">
      <c r="A44" s="12">
        <v>35</v>
      </c>
      <c r="B44" s="1"/>
      <c r="C44" s="35" t="s">
        <v>3</v>
      </c>
      <c r="D44" s="1"/>
      <c r="E44" s="19">
        <v>11.1</v>
      </c>
      <c r="F44" s="19">
        <v>0.4</v>
      </c>
      <c r="G44" s="4"/>
      <c r="H44" s="4"/>
    </row>
    <row r="45" spans="1:8" ht="12.6" customHeight="1" x14ac:dyDescent="0.25">
      <c r="A45" s="12">
        <v>36</v>
      </c>
      <c r="B45" s="1" t="s">
        <v>806</v>
      </c>
      <c r="C45" s="145" t="s">
        <v>796</v>
      </c>
      <c r="D45" s="1" t="s">
        <v>39</v>
      </c>
      <c r="E45" s="144">
        <f>SUM(E46:E57)</f>
        <v>190.09999999999997</v>
      </c>
      <c r="F45" s="144">
        <f>SUM(F46:F57)</f>
        <v>147.4</v>
      </c>
      <c r="G45" s="4"/>
      <c r="H45" s="4"/>
    </row>
    <row r="46" spans="1:8" ht="12.6" customHeight="1" x14ac:dyDescent="0.25">
      <c r="A46" s="12">
        <v>37</v>
      </c>
      <c r="B46" s="1"/>
      <c r="C46" s="35" t="s">
        <v>3</v>
      </c>
      <c r="D46" s="1"/>
      <c r="E46" s="144">
        <v>60</v>
      </c>
      <c r="F46" s="144">
        <v>21.6</v>
      </c>
      <c r="G46" s="4"/>
      <c r="H46" s="4"/>
    </row>
    <row r="47" spans="1:8" ht="12.6" customHeight="1" x14ac:dyDescent="0.25">
      <c r="A47" s="12">
        <v>38</v>
      </c>
      <c r="B47" s="1"/>
      <c r="C47" s="15" t="s">
        <v>8</v>
      </c>
      <c r="D47" s="1"/>
      <c r="E47" s="19">
        <v>34.6</v>
      </c>
      <c r="F47" s="19">
        <v>33.299999999999997</v>
      </c>
      <c r="G47" s="4"/>
      <c r="H47" s="4"/>
    </row>
    <row r="48" spans="1:8" ht="12.6" customHeight="1" x14ac:dyDescent="0.25">
      <c r="A48" s="12">
        <v>39</v>
      </c>
      <c r="B48" s="1"/>
      <c r="C48" s="15" t="s">
        <v>4</v>
      </c>
      <c r="D48" s="1"/>
      <c r="E48" s="19">
        <v>11.5</v>
      </c>
      <c r="F48" s="19">
        <v>11.1</v>
      </c>
      <c r="G48" s="4"/>
      <c r="H48" s="4"/>
    </row>
    <row r="49" spans="1:8" ht="12.6" customHeight="1" x14ac:dyDescent="0.25">
      <c r="A49" s="12">
        <v>40</v>
      </c>
      <c r="B49" s="1"/>
      <c r="C49" s="15" t="s">
        <v>5</v>
      </c>
      <c r="D49" s="1"/>
      <c r="E49" s="19">
        <v>11.5</v>
      </c>
      <c r="F49" s="19">
        <v>11.1</v>
      </c>
      <c r="G49" s="4"/>
      <c r="H49" s="4"/>
    </row>
    <row r="50" spans="1:8" ht="12.6" customHeight="1" x14ac:dyDescent="0.25">
      <c r="A50" s="12">
        <v>41</v>
      </c>
      <c r="B50" s="1"/>
      <c r="C50" s="15" t="s">
        <v>7</v>
      </c>
      <c r="D50" s="1"/>
      <c r="E50" s="19">
        <v>11.5</v>
      </c>
      <c r="F50" s="19">
        <v>11.1</v>
      </c>
      <c r="G50" s="4"/>
      <c r="H50" s="4"/>
    </row>
    <row r="51" spans="1:8" ht="12.6" customHeight="1" x14ac:dyDescent="0.25">
      <c r="A51" s="12">
        <v>42</v>
      </c>
      <c r="B51" s="1"/>
      <c r="C51" s="15" t="s">
        <v>6</v>
      </c>
      <c r="D51" s="1"/>
      <c r="E51" s="19">
        <v>7.6</v>
      </c>
      <c r="F51" s="19">
        <v>7.4</v>
      </c>
      <c r="G51" s="4"/>
      <c r="H51" s="4"/>
    </row>
    <row r="52" spans="1:8" ht="12.6" customHeight="1" x14ac:dyDescent="0.25">
      <c r="A52" s="12">
        <v>43</v>
      </c>
      <c r="B52" s="1"/>
      <c r="C52" s="15" t="s">
        <v>9</v>
      </c>
      <c r="D52" s="1"/>
      <c r="E52" s="19">
        <v>11.5</v>
      </c>
      <c r="F52" s="19">
        <v>11.1</v>
      </c>
      <c r="G52" s="4"/>
      <c r="H52" s="4"/>
    </row>
    <row r="53" spans="1:8" ht="12.6" customHeight="1" x14ac:dyDescent="0.25">
      <c r="A53" s="12">
        <v>44</v>
      </c>
      <c r="B53" s="1"/>
      <c r="C53" s="16" t="s">
        <v>10</v>
      </c>
      <c r="D53" s="1"/>
      <c r="E53" s="19">
        <v>7.6</v>
      </c>
      <c r="F53" s="19">
        <v>7.4</v>
      </c>
      <c r="G53" s="4"/>
      <c r="H53" s="4"/>
    </row>
    <row r="54" spans="1:8" ht="12.6" customHeight="1" x14ac:dyDescent="0.25">
      <c r="A54" s="12">
        <v>45</v>
      </c>
      <c r="B54" s="1"/>
      <c r="C54" s="15" t="s">
        <v>12</v>
      </c>
      <c r="D54" s="1"/>
      <c r="E54" s="19">
        <v>7.6</v>
      </c>
      <c r="F54" s="19">
        <v>7.4</v>
      </c>
      <c r="G54" s="4"/>
      <c r="H54" s="4"/>
    </row>
    <row r="55" spans="1:8" ht="12.6" customHeight="1" x14ac:dyDescent="0.25">
      <c r="A55" s="12">
        <v>46</v>
      </c>
      <c r="B55" s="1"/>
      <c r="C55" s="15" t="s">
        <v>11</v>
      </c>
      <c r="D55" s="1"/>
      <c r="E55" s="19">
        <v>7.6</v>
      </c>
      <c r="F55" s="19">
        <v>7.4</v>
      </c>
      <c r="G55" s="4"/>
      <c r="H55" s="4"/>
    </row>
    <row r="56" spans="1:8" ht="12.6" customHeight="1" x14ac:dyDescent="0.25">
      <c r="A56" s="12">
        <v>47</v>
      </c>
      <c r="B56" s="1"/>
      <c r="C56" s="15" t="s">
        <v>13</v>
      </c>
      <c r="D56" s="1"/>
      <c r="E56" s="19">
        <v>7.6</v>
      </c>
      <c r="F56" s="19">
        <v>7.4</v>
      </c>
      <c r="G56" s="4"/>
      <c r="H56" s="4"/>
    </row>
    <row r="57" spans="1:8" ht="12.6" customHeight="1" x14ac:dyDescent="0.25">
      <c r="A57" s="12">
        <v>48</v>
      </c>
      <c r="B57" s="1"/>
      <c r="C57" s="15" t="s">
        <v>14</v>
      </c>
      <c r="D57" s="1"/>
      <c r="E57" s="19">
        <v>11.5</v>
      </c>
      <c r="F57" s="19">
        <v>11.1</v>
      </c>
      <c r="G57" s="4"/>
      <c r="H57" s="4"/>
    </row>
    <row r="58" spans="1:8" ht="18" customHeight="1" x14ac:dyDescent="0.25">
      <c r="A58" s="12">
        <v>49</v>
      </c>
      <c r="B58" s="11" t="s">
        <v>32</v>
      </c>
      <c r="C58" s="17" t="s">
        <v>33</v>
      </c>
      <c r="D58" s="1"/>
      <c r="E58" s="41">
        <f>+E59+E71</f>
        <v>614.80000000000007</v>
      </c>
      <c r="F58" s="41">
        <f>+F59+F71</f>
        <v>236.89999999999995</v>
      </c>
      <c r="G58" s="4"/>
      <c r="H58" s="4"/>
    </row>
    <row r="59" spans="1:8" ht="12.6" customHeight="1" x14ac:dyDescent="0.25">
      <c r="A59" s="12">
        <v>50</v>
      </c>
      <c r="B59" s="1" t="s">
        <v>249</v>
      </c>
      <c r="C59" s="145" t="s">
        <v>250</v>
      </c>
      <c r="D59" s="1" t="s">
        <v>251</v>
      </c>
      <c r="E59" s="144">
        <f>SUM(E60:E70)</f>
        <v>254.80000000000007</v>
      </c>
      <c r="F59" s="144">
        <f>SUM(F60:F70)</f>
        <v>236.89999999999995</v>
      </c>
      <c r="G59" s="4"/>
      <c r="H59" s="4"/>
    </row>
    <row r="60" spans="1:8" ht="12.6" customHeight="1" x14ac:dyDescent="0.25">
      <c r="A60" s="12">
        <v>51</v>
      </c>
      <c r="B60" s="1"/>
      <c r="C60" s="35" t="s">
        <v>3</v>
      </c>
      <c r="D60" s="1"/>
      <c r="E60" s="19">
        <v>136.5</v>
      </c>
      <c r="F60" s="19">
        <v>120.3</v>
      </c>
      <c r="G60" s="4"/>
      <c r="H60" s="4"/>
    </row>
    <row r="61" spans="1:8" ht="12.6" customHeight="1" x14ac:dyDescent="0.25">
      <c r="A61" s="12">
        <v>52</v>
      </c>
      <c r="B61" s="1"/>
      <c r="C61" s="15" t="s">
        <v>4</v>
      </c>
      <c r="D61" s="1"/>
      <c r="E61" s="19">
        <v>13.4</v>
      </c>
      <c r="F61" s="19">
        <v>13.2</v>
      </c>
      <c r="G61" s="4"/>
      <c r="H61" s="4"/>
    </row>
    <row r="62" spans="1:8" ht="12.6" customHeight="1" x14ac:dyDescent="0.25">
      <c r="A62" s="12">
        <v>53</v>
      </c>
      <c r="B62" s="1"/>
      <c r="C62" s="15" t="s">
        <v>5</v>
      </c>
      <c r="D62" s="1"/>
      <c r="E62" s="19">
        <v>10</v>
      </c>
      <c r="F62" s="19">
        <v>9.9</v>
      </c>
      <c r="G62" s="4"/>
      <c r="H62" s="4"/>
    </row>
    <row r="63" spans="1:8" ht="12.6" customHeight="1" x14ac:dyDescent="0.25">
      <c r="A63" s="12">
        <v>54</v>
      </c>
      <c r="B63" s="1"/>
      <c r="C63" s="15" t="s">
        <v>7</v>
      </c>
      <c r="D63" s="1"/>
      <c r="E63" s="19">
        <v>5.5</v>
      </c>
      <c r="F63" s="19">
        <v>5.4</v>
      </c>
      <c r="G63" s="4"/>
      <c r="H63" s="4"/>
    </row>
    <row r="64" spans="1:8" ht="12.6" customHeight="1" x14ac:dyDescent="0.25">
      <c r="A64" s="12">
        <v>55</v>
      </c>
      <c r="B64" s="1"/>
      <c r="C64" s="15" t="s">
        <v>6</v>
      </c>
      <c r="D64" s="1"/>
      <c r="E64" s="19">
        <v>17.899999999999999</v>
      </c>
      <c r="F64" s="19">
        <v>17.600000000000001</v>
      </c>
      <c r="G64" s="4"/>
      <c r="H64" s="4"/>
    </row>
    <row r="65" spans="1:8" ht="12.6" customHeight="1" x14ac:dyDescent="0.25">
      <c r="A65" s="12">
        <v>56</v>
      </c>
      <c r="B65" s="1"/>
      <c r="C65" s="15" t="s">
        <v>9</v>
      </c>
      <c r="D65" s="1"/>
      <c r="E65" s="19">
        <v>14.3</v>
      </c>
      <c r="F65" s="19">
        <v>14.1</v>
      </c>
      <c r="G65" s="4"/>
      <c r="H65" s="4"/>
    </row>
    <row r="66" spans="1:8" ht="12.6" customHeight="1" x14ac:dyDescent="0.25">
      <c r="A66" s="12">
        <v>57</v>
      </c>
      <c r="B66" s="1"/>
      <c r="C66" s="16" t="s">
        <v>10</v>
      </c>
      <c r="D66" s="1"/>
      <c r="E66" s="19">
        <v>10.3</v>
      </c>
      <c r="F66" s="19">
        <v>10.199999999999999</v>
      </c>
      <c r="G66" s="4"/>
      <c r="H66" s="4"/>
    </row>
    <row r="67" spans="1:8" ht="12.6" customHeight="1" x14ac:dyDescent="0.25">
      <c r="A67" s="12">
        <v>58</v>
      </c>
      <c r="B67" s="1"/>
      <c r="C67" s="15" t="s">
        <v>12</v>
      </c>
      <c r="D67" s="1"/>
      <c r="E67" s="19">
        <v>9.3000000000000007</v>
      </c>
      <c r="F67" s="19">
        <v>9.1999999999999993</v>
      </c>
      <c r="G67" s="4"/>
      <c r="H67" s="4"/>
    </row>
    <row r="68" spans="1:8" ht="12.6" customHeight="1" x14ac:dyDescent="0.25">
      <c r="A68" s="12">
        <v>59</v>
      </c>
      <c r="B68" s="1"/>
      <c r="C68" s="15" t="s">
        <v>11</v>
      </c>
      <c r="D68" s="1"/>
      <c r="E68" s="19">
        <v>13.4</v>
      </c>
      <c r="F68" s="19">
        <v>13.2</v>
      </c>
      <c r="G68" s="4"/>
      <c r="H68" s="4"/>
    </row>
    <row r="69" spans="1:8" ht="12.6" customHeight="1" x14ac:dyDescent="0.25">
      <c r="A69" s="12">
        <v>60</v>
      </c>
      <c r="B69" s="1"/>
      <c r="C69" s="15" t="s">
        <v>13</v>
      </c>
      <c r="D69" s="1"/>
      <c r="E69" s="19">
        <v>10.8</v>
      </c>
      <c r="F69" s="19">
        <v>10.6</v>
      </c>
      <c r="G69" s="4"/>
      <c r="H69" s="4"/>
    </row>
    <row r="70" spans="1:8" ht="12.6" customHeight="1" x14ac:dyDescent="0.25">
      <c r="A70" s="12">
        <v>61</v>
      </c>
      <c r="B70" s="1"/>
      <c r="C70" s="15" t="s">
        <v>14</v>
      </c>
      <c r="D70" s="1"/>
      <c r="E70" s="19">
        <v>13.4</v>
      </c>
      <c r="F70" s="19">
        <v>13.2</v>
      </c>
      <c r="G70" s="4"/>
      <c r="H70" s="4"/>
    </row>
    <row r="71" spans="1:8" ht="67.5" customHeight="1" x14ac:dyDescent="0.25">
      <c r="A71" s="252">
        <v>62</v>
      </c>
      <c r="B71" s="254" t="s">
        <v>252</v>
      </c>
      <c r="C71" s="125" t="s">
        <v>657</v>
      </c>
      <c r="D71" s="254"/>
      <c r="E71" s="144">
        <f>+E73</f>
        <v>360</v>
      </c>
      <c r="F71" s="144">
        <f>+F73</f>
        <v>0</v>
      </c>
      <c r="G71" s="4"/>
      <c r="H71" s="4"/>
    </row>
    <row r="72" spans="1:8" ht="12.6" customHeight="1" x14ac:dyDescent="0.25">
      <c r="A72" s="253"/>
      <c r="B72" s="255"/>
      <c r="C72" s="125" t="s">
        <v>253</v>
      </c>
      <c r="D72" s="255"/>
      <c r="E72" s="144">
        <v>9</v>
      </c>
      <c r="F72" s="144"/>
      <c r="G72" s="4"/>
      <c r="H72" s="4"/>
    </row>
    <row r="73" spans="1:8" ht="12.6" customHeight="1" x14ac:dyDescent="0.25">
      <c r="A73" s="12">
        <v>63</v>
      </c>
      <c r="B73" s="1"/>
      <c r="C73" s="35" t="s">
        <v>3</v>
      </c>
      <c r="D73" s="1" t="s">
        <v>254</v>
      </c>
      <c r="E73" s="19">
        <v>360</v>
      </c>
      <c r="F73" s="19"/>
      <c r="G73" s="4"/>
      <c r="H73" s="4"/>
    </row>
    <row r="74" spans="1:8" ht="18" customHeight="1" x14ac:dyDescent="0.25">
      <c r="A74" s="12">
        <v>64</v>
      </c>
      <c r="B74" s="11" t="s">
        <v>25</v>
      </c>
      <c r="C74" s="17" t="s">
        <v>26</v>
      </c>
      <c r="D74" s="1"/>
      <c r="E74" s="41">
        <f>SUM(E75+E77+E79+E81+E83+E85+E87+E89+E91+E93+E95+E97+E99)</f>
        <v>1498.3999999999999</v>
      </c>
      <c r="F74" s="41">
        <f>SUM(F75+F77+F79+F81+F83+F85+F87+F89+F91+F93+F95+F97+F99)</f>
        <v>1349.6000000000004</v>
      </c>
      <c r="G74" s="4"/>
      <c r="H74" s="4"/>
    </row>
    <row r="75" spans="1:8" ht="12.6" customHeight="1" x14ac:dyDescent="0.25">
      <c r="A75" s="12">
        <v>65</v>
      </c>
      <c r="B75" s="1" t="s">
        <v>34</v>
      </c>
      <c r="C75" s="145" t="s">
        <v>256</v>
      </c>
      <c r="D75" s="1" t="s">
        <v>28</v>
      </c>
      <c r="E75" s="144">
        <f>+E76</f>
        <v>1234.5999999999999</v>
      </c>
      <c r="F75" s="144">
        <f>+F76</f>
        <v>1145.7</v>
      </c>
      <c r="G75" s="4"/>
      <c r="H75" s="4"/>
    </row>
    <row r="76" spans="1:8" ht="12.6" customHeight="1" x14ac:dyDescent="0.25">
      <c r="A76" s="12">
        <v>66</v>
      </c>
      <c r="B76" s="127"/>
      <c r="C76" s="15" t="s">
        <v>27</v>
      </c>
      <c r="D76" s="18"/>
      <c r="E76" s="19">
        <v>1234.5999999999999</v>
      </c>
      <c r="F76" s="19">
        <v>1145.7</v>
      </c>
      <c r="G76" s="4"/>
      <c r="H76" s="4"/>
    </row>
    <row r="77" spans="1:8" ht="12.6" customHeight="1" x14ac:dyDescent="0.25">
      <c r="A77" s="12">
        <v>67</v>
      </c>
      <c r="B77" s="1" t="s">
        <v>35</v>
      </c>
      <c r="C77" s="125" t="s">
        <v>257</v>
      </c>
      <c r="D77" s="1" t="s">
        <v>258</v>
      </c>
      <c r="E77" s="144">
        <f>SUM(E78:E78)</f>
        <v>0.8</v>
      </c>
      <c r="F77" s="144">
        <f>SUM(F78:F78)</f>
        <v>0.8</v>
      </c>
      <c r="G77" s="4"/>
      <c r="H77" s="4"/>
    </row>
    <row r="78" spans="1:8" ht="12.6" customHeight="1" x14ac:dyDescent="0.25">
      <c r="A78" s="12">
        <v>68</v>
      </c>
      <c r="B78" s="1"/>
      <c r="C78" s="35" t="s">
        <v>3</v>
      </c>
      <c r="D78" s="1"/>
      <c r="E78" s="19">
        <v>0.8</v>
      </c>
      <c r="F78" s="19">
        <v>0.8</v>
      </c>
      <c r="G78" s="4"/>
      <c r="H78" s="4"/>
    </row>
    <row r="79" spans="1:8" ht="12.6" customHeight="1" x14ac:dyDescent="0.25">
      <c r="A79" s="12">
        <v>69</v>
      </c>
      <c r="B79" s="14" t="s">
        <v>36</v>
      </c>
      <c r="C79" s="125" t="s">
        <v>259</v>
      </c>
      <c r="D79" s="1" t="s">
        <v>258</v>
      </c>
      <c r="E79" s="142">
        <f>+E80</f>
        <v>47.9</v>
      </c>
      <c r="F79" s="142">
        <f>+F80</f>
        <v>42</v>
      </c>
      <c r="G79" s="4"/>
      <c r="H79" s="4"/>
    </row>
    <row r="80" spans="1:8" ht="12.6" customHeight="1" x14ac:dyDescent="0.25">
      <c r="A80" s="12">
        <v>70</v>
      </c>
      <c r="B80" s="1"/>
      <c r="C80" s="35" t="s">
        <v>3</v>
      </c>
      <c r="D80" s="1"/>
      <c r="E80" s="19">
        <v>47.9</v>
      </c>
      <c r="F80" s="19">
        <v>42</v>
      </c>
      <c r="G80" s="4"/>
      <c r="H80" s="4"/>
    </row>
    <row r="81" spans="1:8" ht="12.6" customHeight="1" x14ac:dyDescent="0.25">
      <c r="A81" s="12">
        <v>71</v>
      </c>
      <c r="B81" s="1" t="s">
        <v>37</v>
      </c>
      <c r="C81" s="125" t="s">
        <v>260</v>
      </c>
      <c r="D81" s="1" t="s">
        <v>38</v>
      </c>
      <c r="E81" s="142">
        <f>+E82</f>
        <v>35.5</v>
      </c>
      <c r="F81" s="142">
        <f>+F82</f>
        <v>34.1</v>
      </c>
      <c r="G81" s="4"/>
      <c r="H81" s="4"/>
    </row>
    <row r="82" spans="1:8" ht="12.6" customHeight="1" x14ac:dyDescent="0.25">
      <c r="A82" s="12">
        <v>72</v>
      </c>
      <c r="B82" s="1"/>
      <c r="C82" s="35" t="s">
        <v>3</v>
      </c>
      <c r="D82" s="1"/>
      <c r="E82" s="19">
        <v>35.5</v>
      </c>
      <c r="F82" s="19">
        <v>34.1</v>
      </c>
      <c r="G82" s="4"/>
      <c r="H82" s="4"/>
    </row>
    <row r="83" spans="1:8" ht="12.6" customHeight="1" x14ac:dyDescent="0.25">
      <c r="A83" s="12">
        <v>73</v>
      </c>
      <c r="B83" s="1" t="s">
        <v>185</v>
      </c>
      <c r="C83" s="125" t="s">
        <v>261</v>
      </c>
      <c r="D83" s="14" t="s">
        <v>262</v>
      </c>
      <c r="E83" s="142">
        <f>+E84</f>
        <v>57.8</v>
      </c>
      <c r="F83" s="142">
        <f>+F84</f>
        <v>21.7</v>
      </c>
      <c r="G83" s="4"/>
      <c r="H83" s="4"/>
    </row>
    <row r="84" spans="1:8" ht="12.6" customHeight="1" x14ac:dyDescent="0.25">
      <c r="A84" s="12">
        <v>74</v>
      </c>
      <c r="B84" s="1"/>
      <c r="C84" s="35" t="s">
        <v>3</v>
      </c>
      <c r="D84" s="1"/>
      <c r="E84" s="39">
        <v>57.8</v>
      </c>
      <c r="F84" s="39">
        <v>21.7</v>
      </c>
      <c r="G84" s="4"/>
      <c r="H84" s="4"/>
    </row>
    <row r="85" spans="1:8" ht="12.6" customHeight="1" x14ac:dyDescent="0.25">
      <c r="A85" s="12">
        <v>75</v>
      </c>
      <c r="B85" s="1" t="s">
        <v>263</v>
      </c>
      <c r="C85" s="145" t="s">
        <v>264</v>
      </c>
      <c r="D85" s="1" t="s">
        <v>38</v>
      </c>
      <c r="E85" s="142">
        <f>+E86</f>
        <v>9</v>
      </c>
      <c r="F85" s="142">
        <f>+F86</f>
        <v>8.9</v>
      </c>
      <c r="G85" s="4"/>
      <c r="H85" s="4"/>
    </row>
    <row r="86" spans="1:8" ht="12.6" customHeight="1" x14ac:dyDescent="0.25">
      <c r="A86" s="12">
        <v>76</v>
      </c>
      <c r="B86" s="1"/>
      <c r="C86" s="35" t="s">
        <v>3</v>
      </c>
      <c r="D86" s="1"/>
      <c r="E86" s="19">
        <v>9</v>
      </c>
      <c r="F86" s="19">
        <v>8.9</v>
      </c>
      <c r="G86" s="4"/>
      <c r="H86" s="4"/>
    </row>
    <row r="87" spans="1:8" ht="12.6" customHeight="1" x14ac:dyDescent="0.25">
      <c r="A87" s="12">
        <v>77</v>
      </c>
      <c r="B87" s="1" t="s">
        <v>265</v>
      </c>
      <c r="C87" s="125" t="s">
        <v>266</v>
      </c>
      <c r="D87" s="14" t="s">
        <v>267</v>
      </c>
      <c r="E87" s="144">
        <f>+E88</f>
        <v>32.6</v>
      </c>
      <c r="F87" s="144">
        <f>+F88</f>
        <v>28.7</v>
      </c>
      <c r="G87" s="4"/>
      <c r="H87" s="4"/>
    </row>
    <row r="88" spans="1:8" ht="12.6" customHeight="1" x14ac:dyDescent="0.25">
      <c r="A88" s="12">
        <v>78</v>
      </c>
      <c r="B88" s="1"/>
      <c r="C88" s="35" t="s">
        <v>3</v>
      </c>
      <c r="D88" s="1"/>
      <c r="E88" s="19">
        <v>32.6</v>
      </c>
      <c r="F88" s="19">
        <v>28.7</v>
      </c>
      <c r="G88" s="4"/>
      <c r="H88" s="4"/>
    </row>
    <row r="89" spans="1:8" ht="12.6" customHeight="1" x14ac:dyDescent="0.25">
      <c r="A89" s="12">
        <v>79</v>
      </c>
      <c r="B89" s="1" t="s">
        <v>438</v>
      </c>
      <c r="C89" s="145" t="s">
        <v>269</v>
      </c>
      <c r="D89" s="1" t="s">
        <v>38</v>
      </c>
      <c r="E89" s="144">
        <f>+E90</f>
        <v>19.5</v>
      </c>
      <c r="F89" s="144">
        <f>+F90</f>
        <v>19.2</v>
      </c>
      <c r="G89" s="4"/>
      <c r="H89" s="4"/>
    </row>
    <row r="90" spans="1:8" ht="12.6" customHeight="1" x14ac:dyDescent="0.25">
      <c r="A90" s="12">
        <v>80</v>
      </c>
      <c r="B90" s="1"/>
      <c r="C90" s="35" t="s">
        <v>3</v>
      </c>
      <c r="D90" s="1"/>
      <c r="E90" s="19">
        <v>19.5</v>
      </c>
      <c r="F90" s="19">
        <v>19.2</v>
      </c>
      <c r="G90" s="4"/>
      <c r="H90" s="4"/>
    </row>
    <row r="91" spans="1:8" ht="12.6" customHeight="1" x14ac:dyDescent="0.25">
      <c r="A91" s="12">
        <v>81</v>
      </c>
      <c r="B91" s="1" t="s">
        <v>268</v>
      </c>
      <c r="C91" s="125" t="s">
        <v>271</v>
      </c>
      <c r="D91" s="1" t="s">
        <v>38</v>
      </c>
      <c r="E91" s="144">
        <f>+E92</f>
        <v>12.2</v>
      </c>
      <c r="F91" s="144">
        <f>+F92</f>
        <v>11.5</v>
      </c>
      <c r="G91" s="4"/>
      <c r="H91" s="4"/>
    </row>
    <row r="92" spans="1:8" ht="12.6" customHeight="1" x14ac:dyDescent="0.25">
      <c r="A92" s="12">
        <v>82</v>
      </c>
      <c r="B92" s="1"/>
      <c r="C92" s="35" t="s">
        <v>3</v>
      </c>
      <c r="D92" s="1"/>
      <c r="E92" s="19">
        <v>12.2</v>
      </c>
      <c r="F92" s="19">
        <v>11.5</v>
      </c>
      <c r="G92" s="4"/>
      <c r="H92" s="4"/>
    </row>
    <row r="93" spans="1:8" ht="12.6" customHeight="1" x14ac:dyDescent="0.25">
      <c r="A93" s="12">
        <v>83</v>
      </c>
      <c r="B93" s="1" t="s">
        <v>270</v>
      </c>
      <c r="C93" s="145" t="s">
        <v>801</v>
      </c>
      <c r="D93" s="1" t="s">
        <v>258</v>
      </c>
      <c r="E93" s="144">
        <f>+E94</f>
        <v>1.2</v>
      </c>
      <c r="F93" s="144">
        <f>+F94</f>
        <v>1.2</v>
      </c>
      <c r="G93" s="4"/>
      <c r="H93" s="4"/>
    </row>
    <row r="94" spans="1:8" ht="12.6" customHeight="1" x14ac:dyDescent="0.25">
      <c r="A94" s="12">
        <v>84</v>
      </c>
      <c r="B94" s="1"/>
      <c r="C94" s="35" t="s">
        <v>3</v>
      </c>
      <c r="D94" s="1"/>
      <c r="E94" s="19">
        <v>1.2</v>
      </c>
      <c r="F94" s="19">
        <v>1.2</v>
      </c>
      <c r="G94" s="4"/>
      <c r="H94" s="4"/>
    </row>
    <row r="95" spans="1:8" ht="12.6" customHeight="1" x14ac:dyDescent="0.25">
      <c r="A95" s="12">
        <v>85</v>
      </c>
      <c r="B95" s="1" t="s">
        <v>272</v>
      </c>
      <c r="C95" s="145" t="s">
        <v>274</v>
      </c>
      <c r="D95" s="1" t="s">
        <v>38</v>
      </c>
      <c r="E95" s="144">
        <f>SUM(E96:E96)</f>
        <v>5</v>
      </c>
      <c r="F95" s="144">
        <f>SUM(F96:F96)</f>
        <v>4.9000000000000004</v>
      </c>
      <c r="G95" s="4"/>
      <c r="H95" s="4"/>
    </row>
    <row r="96" spans="1:8" ht="12.6" customHeight="1" x14ac:dyDescent="0.25">
      <c r="A96" s="12">
        <v>86</v>
      </c>
      <c r="B96" s="117"/>
      <c r="C96" s="15" t="s">
        <v>8</v>
      </c>
      <c r="D96" s="117"/>
      <c r="E96" s="19">
        <v>5</v>
      </c>
      <c r="F96" s="19">
        <v>4.9000000000000004</v>
      </c>
      <c r="G96" s="4"/>
      <c r="H96" s="4"/>
    </row>
    <row r="97" spans="1:8" ht="39.6" x14ac:dyDescent="0.25">
      <c r="A97" s="12">
        <v>87</v>
      </c>
      <c r="B97" s="1" t="s">
        <v>273</v>
      </c>
      <c r="C97" s="124" t="s">
        <v>305</v>
      </c>
      <c r="D97" s="146" t="s">
        <v>304</v>
      </c>
      <c r="E97" s="19">
        <f>+E98</f>
        <v>20.2</v>
      </c>
      <c r="F97" s="19">
        <f>+F98</f>
        <v>19.899999999999999</v>
      </c>
      <c r="G97" s="4"/>
      <c r="H97" s="4"/>
    </row>
    <row r="98" spans="1:8" ht="12.6" customHeight="1" x14ac:dyDescent="0.25">
      <c r="A98" s="12">
        <v>88</v>
      </c>
      <c r="B98" s="1"/>
      <c r="C98" s="134" t="s">
        <v>3</v>
      </c>
      <c r="D98" s="146"/>
      <c r="E98" s="19">
        <v>20.2</v>
      </c>
      <c r="F98" s="19">
        <v>19.899999999999999</v>
      </c>
      <c r="G98" s="4"/>
      <c r="H98" s="4"/>
    </row>
    <row r="99" spans="1:8" ht="12.6" customHeight="1" x14ac:dyDescent="0.25">
      <c r="A99" s="12">
        <v>89</v>
      </c>
      <c r="B99" s="1" t="s">
        <v>895</v>
      </c>
      <c r="C99" s="124" t="s">
        <v>255</v>
      </c>
      <c r="D99" s="1" t="s">
        <v>38</v>
      </c>
      <c r="E99" s="19">
        <f>+E100</f>
        <v>22.1</v>
      </c>
      <c r="F99" s="19">
        <f>+F100</f>
        <v>11</v>
      </c>
      <c r="G99" s="4"/>
      <c r="H99" s="4"/>
    </row>
    <row r="100" spans="1:8" ht="12.6" customHeight="1" x14ac:dyDescent="0.25">
      <c r="A100" s="12">
        <v>90</v>
      </c>
      <c r="B100" s="1"/>
      <c r="C100" s="15" t="s">
        <v>3</v>
      </c>
      <c r="D100" s="1"/>
      <c r="E100" s="19">
        <v>22.1</v>
      </c>
      <c r="F100" s="19">
        <v>11</v>
      </c>
      <c r="G100" s="4"/>
      <c r="H100" s="4"/>
    </row>
    <row r="101" spans="1:8" ht="12.6" customHeight="1" x14ac:dyDescent="0.25">
      <c r="A101" s="12">
        <v>91</v>
      </c>
      <c r="B101" s="1"/>
      <c r="C101" s="147" t="s">
        <v>20</v>
      </c>
      <c r="D101" s="11"/>
      <c r="E101" s="41">
        <f>+E10+E17+E58+E74</f>
        <v>5825.1999999999989</v>
      </c>
      <c r="F101" s="41">
        <f>+F10+F17+F58+F74</f>
        <v>3486.5000000000005</v>
      </c>
      <c r="G101" s="4"/>
      <c r="H101" s="4"/>
    </row>
    <row r="102" spans="1:8" ht="10.5" customHeight="1" x14ac:dyDescent="0.25">
      <c r="E102" s="20"/>
      <c r="F102" s="20"/>
    </row>
    <row r="103" spans="1:8" x14ac:dyDescent="0.25">
      <c r="C103" s="3" t="s">
        <v>275</v>
      </c>
      <c r="D103" s="129"/>
      <c r="E103" s="20"/>
      <c r="F103" s="20"/>
    </row>
    <row r="104" spans="1:8" x14ac:dyDescent="0.25">
      <c r="E104" s="43"/>
      <c r="F104" s="43"/>
    </row>
    <row r="105" spans="1:8" x14ac:dyDescent="0.25">
      <c r="E105" s="20"/>
      <c r="F105" s="20"/>
    </row>
    <row r="106" spans="1:8" x14ac:dyDescent="0.25">
      <c r="E106" s="20"/>
      <c r="F106" s="20"/>
    </row>
    <row r="108" spans="1:8" x14ac:dyDescent="0.25">
      <c r="C108" s="148"/>
    </row>
    <row r="109" spans="1:8" x14ac:dyDescent="0.25">
      <c r="C109" s="148"/>
    </row>
    <row r="110" spans="1:8" x14ac:dyDescent="0.25">
      <c r="C110" s="5"/>
    </row>
  </sheetData>
  <mergeCells count="7">
    <mergeCell ref="A71:A72"/>
    <mergeCell ref="B71:B72"/>
    <mergeCell ref="D71:D72"/>
    <mergeCell ref="C1:F1"/>
    <mergeCell ref="C2:F2"/>
    <mergeCell ref="E3:F3"/>
    <mergeCell ref="A5:F5"/>
  </mergeCells>
  <pageMargins left="0.70866141732283472" right="0" top="0.59055118110236227" bottom="0.19685039370078741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zoomScaleNormal="100" workbookViewId="0">
      <selection activeCell="M26" sqref="M26"/>
    </sheetView>
  </sheetViews>
  <sheetFormatPr defaultColWidth="9.109375" defaultRowHeight="13.2" x14ac:dyDescent="0.25"/>
  <cols>
    <col min="1" max="1" width="4.109375" style="3" customWidth="1"/>
    <col min="2" max="2" width="8.109375" style="7" customWidth="1"/>
    <col min="3" max="3" width="47.6640625" style="149" customWidth="1"/>
    <col min="4" max="4" width="10.6640625" style="6" customWidth="1"/>
    <col min="5" max="5" width="9.5546875" style="5" customWidth="1"/>
    <col min="6" max="9" width="11.109375" style="5" customWidth="1"/>
    <col min="10" max="16384" width="9.109375" style="2"/>
  </cols>
  <sheetData>
    <row r="1" spans="1:17" ht="15.6" x14ac:dyDescent="0.3">
      <c r="C1" s="246" t="s">
        <v>370</v>
      </c>
      <c r="D1" s="246"/>
      <c r="E1" s="246"/>
      <c r="F1" s="246"/>
      <c r="G1" s="80"/>
      <c r="H1" s="80"/>
      <c r="I1" s="80"/>
    </row>
    <row r="2" spans="1:17" ht="15.6" x14ac:dyDescent="0.3">
      <c r="C2" s="246" t="s">
        <v>589</v>
      </c>
      <c r="D2" s="246"/>
      <c r="E2" s="246"/>
      <c r="F2" s="246"/>
      <c r="G2" s="80"/>
      <c r="H2" s="80"/>
      <c r="I2" s="80"/>
    </row>
    <row r="3" spans="1:17" ht="15.6" x14ac:dyDescent="0.3">
      <c r="C3" s="55"/>
      <c r="D3" s="55"/>
      <c r="E3" s="271" t="s">
        <v>369</v>
      </c>
      <c r="F3" s="271"/>
      <c r="G3" s="37"/>
      <c r="H3" s="37"/>
      <c r="I3" s="37"/>
    </row>
    <row r="4" spans="1:17" ht="15.6" x14ac:dyDescent="0.25">
      <c r="E4" s="37"/>
      <c r="F4" s="37"/>
      <c r="G4" s="37"/>
      <c r="H4" s="37"/>
      <c r="I4" s="37"/>
    </row>
    <row r="5" spans="1:17" ht="32.25" customHeight="1" x14ac:dyDescent="0.25">
      <c r="A5" s="274" t="s">
        <v>599</v>
      </c>
      <c r="B5" s="274"/>
      <c r="C5" s="274"/>
      <c r="D5" s="274"/>
      <c r="E5" s="274"/>
      <c r="F5" s="274"/>
      <c r="G5" s="150"/>
      <c r="H5" s="150"/>
      <c r="I5" s="150"/>
    </row>
    <row r="6" spans="1:17" x14ac:dyDescent="0.25">
      <c r="A6" s="150"/>
      <c r="B6" s="150"/>
      <c r="C6" s="150"/>
      <c r="D6" s="150"/>
      <c r="E6" s="150"/>
      <c r="F6" s="150"/>
      <c r="G6" s="150"/>
      <c r="H6" s="150"/>
      <c r="I6" s="150"/>
    </row>
    <row r="7" spans="1:17" x14ac:dyDescent="0.25">
      <c r="A7" s="151"/>
      <c r="B7" s="152"/>
      <c r="C7" s="153"/>
      <c r="D7" s="154"/>
      <c r="E7" s="155"/>
      <c r="F7" s="54" t="s">
        <v>129</v>
      </c>
      <c r="G7" s="155"/>
      <c r="H7" s="155"/>
      <c r="I7" s="155"/>
    </row>
    <row r="8" spans="1:17" ht="39.75" customHeight="1" x14ac:dyDescent="0.25">
      <c r="A8" s="8" t="s">
        <v>118</v>
      </c>
      <c r="B8" s="9" t="s">
        <v>367</v>
      </c>
      <c r="C8" s="8" t="s">
        <v>16</v>
      </c>
      <c r="D8" s="9" t="s">
        <v>55</v>
      </c>
      <c r="E8" s="8" t="s">
        <v>17</v>
      </c>
      <c r="F8" s="8" t="s">
        <v>29</v>
      </c>
      <c r="G8" s="81"/>
      <c r="H8" s="81"/>
      <c r="I8" s="81"/>
    </row>
    <row r="9" spans="1:17" s="42" customFormat="1" ht="12.75" customHeight="1" x14ac:dyDescent="0.25">
      <c r="A9" s="10">
        <v>1</v>
      </c>
      <c r="B9" s="11" t="s">
        <v>18</v>
      </c>
      <c r="C9" s="8">
        <v>3</v>
      </c>
      <c r="D9" s="9">
        <v>4</v>
      </c>
      <c r="E9" s="8">
        <v>5</v>
      </c>
      <c r="F9" s="8">
        <v>6</v>
      </c>
      <c r="G9" s="81"/>
      <c r="H9" s="81"/>
      <c r="I9" s="81"/>
      <c r="J9" s="2"/>
      <c r="K9" s="2"/>
      <c r="L9" s="2"/>
      <c r="M9" s="2"/>
      <c r="N9" s="2"/>
    </row>
    <row r="10" spans="1:17" s="42" customFormat="1" ht="18" customHeight="1" x14ac:dyDescent="0.25">
      <c r="A10" s="12">
        <v>1</v>
      </c>
      <c r="B10" s="11" t="s">
        <v>56</v>
      </c>
      <c r="C10" s="13" t="s">
        <v>57</v>
      </c>
      <c r="D10" s="8"/>
      <c r="E10" s="115">
        <f>+E11+E45</f>
        <v>19028.300000000003</v>
      </c>
      <c r="F10" s="115">
        <f>+F11+F45</f>
        <v>18298.3</v>
      </c>
      <c r="G10" s="156"/>
      <c r="H10" s="156"/>
      <c r="I10" s="156"/>
      <c r="J10" s="4"/>
      <c r="K10" s="4"/>
      <c r="L10" s="4"/>
      <c r="M10" s="4"/>
      <c r="N10" s="4"/>
      <c r="O10" s="140"/>
      <c r="P10" s="140"/>
      <c r="Q10" s="140"/>
    </row>
    <row r="11" spans="1:17" s="42" customFormat="1" ht="24.9" customHeight="1" x14ac:dyDescent="0.25">
      <c r="A11" s="12">
        <v>2</v>
      </c>
      <c r="B11" s="14" t="s">
        <v>301</v>
      </c>
      <c r="C11" s="157" t="s">
        <v>281</v>
      </c>
      <c r="D11" s="8"/>
      <c r="E11" s="158">
        <f>+E13+E16+E17+E18+E12+E14+E15+E19+E24+E21+E33+E20+E26+E27+E22+E23+E25+E28+E29+E30+E31+E32+E34+E35+E36+E37+E44+E43</f>
        <v>18339.900000000001</v>
      </c>
      <c r="F11" s="158">
        <f>+F13+F16+F17+F18+F12+F14+F15+F19+F24+F21+F33+F20+F26+F27+F22+F23+F25+F28+F29+F30+F31+F32+F34+F35+F36+F37+F44+F43</f>
        <v>17708.3</v>
      </c>
      <c r="G11" s="159"/>
      <c r="H11" s="159"/>
      <c r="I11" s="159"/>
      <c r="J11" s="4"/>
      <c r="K11" s="4"/>
      <c r="L11" s="4"/>
      <c r="M11" s="4"/>
      <c r="N11" s="4"/>
      <c r="O11" s="140"/>
      <c r="P11" s="140"/>
      <c r="Q11" s="140"/>
    </row>
    <row r="12" spans="1:17" ht="12.6" customHeight="1" x14ac:dyDescent="0.25">
      <c r="A12" s="12">
        <v>3</v>
      </c>
      <c r="B12" s="1"/>
      <c r="C12" s="21" t="s">
        <v>167</v>
      </c>
      <c r="D12" s="1" t="s">
        <v>58</v>
      </c>
      <c r="E12" s="19">
        <v>341.7</v>
      </c>
      <c r="F12" s="19">
        <v>330.5</v>
      </c>
      <c r="G12" s="53"/>
      <c r="H12" s="53"/>
      <c r="I12" s="53"/>
      <c r="J12" s="53"/>
      <c r="K12" s="53"/>
      <c r="L12" s="4"/>
      <c r="M12" s="4"/>
      <c r="N12" s="4"/>
      <c r="O12" s="4"/>
      <c r="P12" s="4"/>
      <c r="Q12" s="4"/>
    </row>
    <row r="13" spans="1:17" ht="12.6" customHeight="1" x14ac:dyDescent="0.25">
      <c r="A13" s="12">
        <v>4</v>
      </c>
      <c r="B13" s="1"/>
      <c r="C13" s="21" t="s">
        <v>158</v>
      </c>
      <c r="D13" s="1" t="s">
        <v>58</v>
      </c>
      <c r="E13" s="19">
        <v>342.2</v>
      </c>
      <c r="F13" s="19">
        <v>331.1</v>
      </c>
      <c r="G13" s="53"/>
      <c r="H13" s="53"/>
      <c r="I13" s="53"/>
      <c r="J13" s="53"/>
      <c r="K13" s="53"/>
      <c r="L13" s="4"/>
      <c r="M13" s="4"/>
      <c r="N13" s="4"/>
      <c r="O13" s="4"/>
      <c r="P13" s="4"/>
      <c r="Q13" s="4"/>
    </row>
    <row r="14" spans="1:17" ht="12.6" customHeight="1" x14ac:dyDescent="0.25">
      <c r="A14" s="12">
        <v>5</v>
      </c>
      <c r="B14" s="1"/>
      <c r="C14" s="21" t="s">
        <v>159</v>
      </c>
      <c r="D14" s="1" t="s">
        <v>58</v>
      </c>
      <c r="E14" s="19">
        <v>411.8</v>
      </c>
      <c r="F14" s="19">
        <v>398.7</v>
      </c>
      <c r="G14" s="53"/>
      <c r="H14" s="53"/>
      <c r="I14" s="53"/>
      <c r="J14" s="53"/>
      <c r="K14" s="53"/>
      <c r="L14" s="4"/>
      <c r="M14" s="4"/>
      <c r="N14" s="4"/>
      <c r="O14" s="4"/>
      <c r="P14" s="4"/>
      <c r="Q14" s="4"/>
    </row>
    <row r="15" spans="1:17" ht="12.6" customHeight="1" x14ac:dyDescent="0.25">
      <c r="A15" s="12">
        <v>6</v>
      </c>
      <c r="B15" s="1"/>
      <c r="C15" s="21" t="s">
        <v>163</v>
      </c>
      <c r="D15" s="1" t="s">
        <v>58</v>
      </c>
      <c r="E15" s="19">
        <v>457.2</v>
      </c>
      <c r="F15" s="19">
        <v>442</v>
      </c>
      <c r="G15" s="53"/>
      <c r="H15" s="53"/>
      <c r="I15" s="53"/>
      <c r="J15" s="53"/>
      <c r="K15" s="53"/>
      <c r="L15" s="4"/>
      <c r="M15" s="4"/>
      <c r="N15" s="4"/>
      <c r="O15" s="4"/>
      <c r="P15" s="4"/>
      <c r="Q15" s="4"/>
    </row>
    <row r="16" spans="1:17" ht="12.6" customHeight="1" x14ac:dyDescent="0.25">
      <c r="A16" s="12">
        <v>7</v>
      </c>
      <c r="B16" s="1"/>
      <c r="C16" s="21" t="s">
        <v>160</v>
      </c>
      <c r="D16" s="1" t="s">
        <v>58</v>
      </c>
      <c r="E16" s="19">
        <v>414.2</v>
      </c>
      <c r="F16" s="19">
        <v>400.8</v>
      </c>
      <c r="G16" s="53"/>
      <c r="H16" s="53"/>
      <c r="I16" s="53"/>
      <c r="J16" s="53"/>
      <c r="K16" s="53"/>
      <c r="L16" s="4"/>
      <c r="M16" s="4"/>
      <c r="N16" s="4"/>
      <c r="O16" s="4"/>
      <c r="P16" s="4"/>
      <c r="Q16" s="4"/>
    </row>
    <row r="17" spans="1:17" ht="12.6" customHeight="1" x14ac:dyDescent="0.25">
      <c r="A17" s="12">
        <v>8</v>
      </c>
      <c r="B17" s="1"/>
      <c r="C17" s="21" t="s">
        <v>161</v>
      </c>
      <c r="D17" s="1" t="s">
        <v>58</v>
      </c>
      <c r="E17" s="19">
        <v>442.4</v>
      </c>
      <c r="F17" s="19">
        <v>429.8</v>
      </c>
      <c r="G17" s="53"/>
      <c r="H17" s="53"/>
      <c r="I17" s="53"/>
      <c r="J17" s="53"/>
      <c r="K17" s="53"/>
      <c r="L17" s="4"/>
      <c r="M17" s="4"/>
      <c r="N17" s="4"/>
      <c r="P17" s="4"/>
      <c r="Q17" s="4"/>
    </row>
    <row r="18" spans="1:17" ht="12.6" customHeight="1" x14ac:dyDescent="0.25">
      <c r="A18" s="12">
        <v>9</v>
      </c>
      <c r="B18" s="1"/>
      <c r="C18" s="21" t="s">
        <v>162</v>
      </c>
      <c r="D18" s="1" t="s">
        <v>58</v>
      </c>
      <c r="E18" s="19">
        <v>430</v>
      </c>
      <c r="F18" s="19">
        <v>415.2</v>
      </c>
      <c r="G18" s="53"/>
      <c r="H18" s="53"/>
      <c r="I18" s="53"/>
      <c r="J18" s="53"/>
      <c r="K18" s="53"/>
      <c r="L18" s="4"/>
      <c r="M18" s="4"/>
      <c r="N18" s="36"/>
      <c r="P18" s="4"/>
      <c r="Q18" s="4"/>
    </row>
    <row r="19" spans="1:17" ht="12.6" customHeight="1" x14ac:dyDescent="0.25">
      <c r="A19" s="12">
        <v>10</v>
      </c>
      <c r="B19" s="117"/>
      <c r="C19" s="15" t="s">
        <v>187</v>
      </c>
      <c r="D19" s="117" t="s">
        <v>59</v>
      </c>
      <c r="E19" s="19">
        <v>481.8</v>
      </c>
      <c r="F19" s="19">
        <v>465.8</v>
      </c>
      <c r="G19" s="53"/>
      <c r="H19" s="53"/>
      <c r="I19" s="53"/>
      <c r="J19" s="53"/>
      <c r="K19" s="53"/>
      <c r="L19" s="4"/>
      <c r="M19" s="4"/>
      <c r="N19" s="4"/>
      <c r="P19" s="4"/>
      <c r="Q19" s="4"/>
    </row>
    <row r="20" spans="1:17" ht="12.6" customHeight="1" x14ac:dyDescent="0.25">
      <c r="A20" s="12">
        <v>11</v>
      </c>
      <c r="B20" s="117"/>
      <c r="C20" s="21" t="s">
        <v>166</v>
      </c>
      <c r="D20" s="117" t="s">
        <v>60</v>
      </c>
      <c r="E20" s="19">
        <v>1230.5999999999999</v>
      </c>
      <c r="F20" s="19">
        <v>1188.5999999999999</v>
      </c>
      <c r="G20" s="53"/>
      <c r="H20" s="53"/>
      <c r="I20" s="53"/>
      <c r="J20" s="53"/>
      <c r="K20" s="53"/>
      <c r="L20" s="4"/>
      <c r="M20" s="4"/>
      <c r="N20" s="4"/>
      <c r="O20" s="4"/>
      <c r="P20" s="4"/>
      <c r="Q20" s="4"/>
    </row>
    <row r="21" spans="1:17" ht="12.6" customHeight="1" x14ac:dyDescent="0.25">
      <c r="A21" s="12">
        <v>12</v>
      </c>
      <c r="B21" s="117"/>
      <c r="C21" s="21" t="s">
        <v>46</v>
      </c>
      <c r="D21" s="117" t="s">
        <v>60</v>
      </c>
      <c r="E21" s="19">
        <v>1300.5</v>
      </c>
      <c r="F21" s="19">
        <v>1256.4000000000001</v>
      </c>
      <c r="G21" s="53"/>
      <c r="H21" s="53"/>
      <c r="I21" s="53"/>
      <c r="J21" s="53"/>
      <c r="K21" s="53"/>
      <c r="L21" s="4"/>
      <c r="M21" s="4"/>
      <c r="N21" s="4"/>
      <c r="O21" s="4"/>
      <c r="P21" s="4"/>
      <c r="Q21" s="4"/>
    </row>
    <row r="22" spans="1:17" ht="12.6" customHeight="1" x14ac:dyDescent="0.25">
      <c r="A22" s="12">
        <v>13</v>
      </c>
      <c r="B22" s="117"/>
      <c r="C22" s="22" t="s">
        <v>134</v>
      </c>
      <c r="D22" s="117" t="s">
        <v>60</v>
      </c>
      <c r="E22" s="19">
        <v>1046.5999999999999</v>
      </c>
      <c r="F22" s="19">
        <v>1012.4</v>
      </c>
      <c r="G22" s="53"/>
      <c r="H22" s="53"/>
      <c r="I22" s="53"/>
      <c r="J22" s="53"/>
      <c r="K22" s="53"/>
      <c r="L22" s="4"/>
      <c r="M22" s="4"/>
      <c r="N22" s="4"/>
      <c r="O22" s="4"/>
      <c r="P22" s="4"/>
      <c r="Q22" s="4"/>
    </row>
    <row r="23" spans="1:17" ht="12.6" customHeight="1" x14ac:dyDescent="0.25">
      <c r="A23" s="12">
        <v>14</v>
      </c>
      <c r="B23" s="117"/>
      <c r="C23" s="22" t="s">
        <v>135</v>
      </c>
      <c r="D23" s="117" t="s">
        <v>60</v>
      </c>
      <c r="E23" s="19">
        <v>787.9</v>
      </c>
      <c r="F23" s="19">
        <v>761.6</v>
      </c>
      <c r="G23" s="53"/>
      <c r="H23" s="53"/>
      <c r="I23" s="53"/>
      <c r="J23" s="53"/>
      <c r="K23" s="53"/>
      <c r="L23" s="4"/>
      <c r="M23" s="4"/>
      <c r="N23" s="4"/>
      <c r="O23" s="4"/>
      <c r="P23" s="4"/>
      <c r="Q23" s="4"/>
    </row>
    <row r="24" spans="1:17" ht="12.6" customHeight="1" x14ac:dyDescent="0.25">
      <c r="A24" s="12">
        <v>15</v>
      </c>
      <c r="B24" s="117"/>
      <c r="C24" s="22" t="s">
        <v>40</v>
      </c>
      <c r="D24" s="117" t="s">
        <v>60</v>
      </c>
      <c r="E24" s="19">
        <v>896.6</v>
      </c>
      <c r="F24" s="19">
        <v>849.7</v>
      </c>
      <c r="G24" s="53"/>
      <c r="H24" s="53"/>
      <c r="I24" s="53"/>
      <c r="J24" s="53"/>
      <c r="K24" s="53"/>
      <c r="L24" s="4"/>
      <c r="M24" s="4"/>
      <c r="N24" s="4"/>
      <c r="O24" s="4"/>
      <c r="P24" s="4"/>
      <c r="Q24" s="4"/>
    </row>
    <row r="25" spans="1:17" ht="12.6" customHeight="1" x14ac:dyDescent="0.25">
      <c r="A25" s="12">
        <v>16</v>
      </c>
      <c r="B25" s="117"/>
      <c r="C25" s="21" t="s">
        <v>137</v>
      </c>
      <c r="D25" s="117" t="s">
        <v>60</v>
      </c>
      <c r="E25" s="19">
        <v>855.9</v>
      </c>
      <c r="F25" s="19">
        <v>828.9</v>
      </c>
      <c r="G25" s="53"/>
      <c r="H25" s="53"/>
      <c r="I25" s="53"/>
      <c r="J25" s="53"/>
      <c r="K25" s="53"/>
      <c r="L25" s="4"/>
      <c r="M25" s="4"/>
      <c r="N25" s="4"/>
      <c r="O25" s="4"/>
      <c r="P25" s="4"/>
      <c r="Q25" s="4"/>
    </row>
    <row r="26" spans="1:17" ht="12.6" customHeight="1" x14ac:dyDescent="0.25">
      <c r="A26" s="12">
        <v>17</v>
      </c>
      <c r="B26" s="117"/>
      <c r="C26" s="22" t="s">
        <v>164</v>
      </c>
      <c r="D26" s="117" t="s">
        <v>61</v>
      </c>
      <c r="E26" s="19">
        <v>1773.7</v>
      </c>
      <c r="F26" s="19">
        <v>1705.9</v>
      </c>
      <c r="G26" s="53"/>
      <c r="H26" s="53"/>
      <c r="I26" s="53"/>
      <c r="J26" s="53"/>
      <c r="K26" s="53"/>
      <c r="L26" s="4"/>
      <c r="M26" s="4"/>
      <c r="N26" s="4"/>
      <c r="O26" s="4"/>
      <c r="P26" s="4"/>
      <c r="Q26" s="4"/>
    </row>
    <row r="27" spans="1:17" ht="12.6" customHeight="1" x14ac:dyDescent="0.25">
      <c r="A27" s="12">
        <v>18</v>
      </c>
      <c r="B27" s="117"/>
      <c r="C27" s="21" t="s">
        <v>165</v>
      </c>
      <c r="D27" s="118" t="s">
        <v>222</v>
      </c>
      <c r="E27" s="19">
        <v>1824.2</v>
      </c>
      <c r="F27" s="19">
        <v>1752</v>
      </c>
      <c r="G27" s="53"/>
      <c r="H27" s="53"/>
      <c r="I27" s="53"/>
      <c r="J27" s="53"/>
      <c r="K27" s="53"/>
      <c r="L27" s="4"/>
      <c r="M27" s="4"/>
      <c r="N27" s="4"/>
      <c r="O27" s="4"/>
      <c r="P27" s="4"/>
      <c r="Q27" s="4"/>
    </row>
    <row r="28" spans="1:17" ht="12.6" customHeight="1" x14ac:dyDescent="0.25">
      <c r="A28" s="12">
        <v>19</v>
      </c>
      <c r="B28" s="117"/>
      <c r="C28" s="22" t="s">
        <v>120</v>
      </c>
      <c r="D28" s="118" t="s">
        <v>222</v>
      </c>
      <c r="E28" s="19">
        <v>1228.0999999999999</v>
      </c>
      <c r="F28" s="19">
        <v>1180.7</v>
      </c>
      <c r="G28" s="53"/>
      <c r="H28" s="53"/>
      <c r="I28" s="53"/>
      <c r="J28" s="53"/>
      <c r="K28" s="53"/>
      <c r="L28" s="4"/>
      <c r="M28" s="4"/>
      <c r="N28" s="4"/>
      <c r="O28" s="4"/>
      <c r="P28" s="4"/>
      <c r="Q28" s="4"/>
    </row>
    <row r="29" spans="1:17" ht="12.6" customHeight="1" x14ac:dyDescent="0.25">
      <c r="A29" s="12">
        <v>20</v>
      </c>
      <c r="B29" s="117"/>
      <c r="C29" s="22" t="s">
        <v>41</v>
      </c>
      <c r="D29" s="117" t="s">
        <v>61</v>
      </c>
      <c r="E29" s="19">
        <v>457.7</v>
      </c>
      <c r="F29" s="19">
        <v>445.9</v>
      </c>
      <c r="G29" s="53"/>
      <c r="H29" s="53"/>
      <c r="I29" s="53"/>
      <c r="J29" s="53"/>
      <c r="K29" s="53"/>
      <c r="L29" s="4"/>
      <c r="M29" s="4"/>
      <c r="N29" s="4"/>
      <c r="O29" s="4"/>
      <c r="P29" s="4"/>
      <c r="Q29" s="4"/>
    </row>
    <row r="30" spans="1:17" ht="12.6" customHeight="1" x14ac:dyDescent="0.25">
      <c r="A30" s="12">
        <v>21</v>
      </c>
      <c r="B30" s="117"/>
      <c r="C30" s="22" t="s">
        <v>136</v>
      </c>
      <c r="D30" s="117" t="s">
        <v>61</v>
      </c>
      <c r="E30" s="19">
        <v>863.7</v>
      </c>
      <c r="F30" s="19">
        <v>838.7</v>
      </c>
      <c r="G30" s="53"/>
      <c r="H30" s="53"/>
      <c r="I30" s="53"/>
      <c r="J30" s="53"/>
      <c r="K30" s="53"/>
      <c r="L30" s="4"/>
      <c r="M30" s="4"/>
      <c r="N30" s="4"/>
      <c r="O30" s="4"/>
      <c r="P30" s="4"/>
      <c r="Q30" s="4"/>
    </row>
    <row r="31" spans="1:17" ht="12.6" customHeight="1" x14ac:dyDescent="0.25">
      <c r="A31" s="12">
        <v>22</v>
      </c>
      <c r="B31" s="117"/>
      <c r="C31" s="22" t="s">
        <v>215</v>
      </c>
      <c r="D31" s="117" t="s">
        <v>61</v>
      </c>
      <c r="E31" s="19">
        <v>343.6</v>
      </c>
      <c r="F31" s="19">
        <v>335.1</v>
      </c>
      <c r="G31" s="53"/>
      <c r="H31" s="53"/>
      <c r="I31" s="53"/>
      <c r="J31" s="53"/>
      <c r="K31" s="53"/>
      <c r="L31" s="4"/>
      <c r="M31" s="4"/>
      <c r="N31" s="4"/>
      <c r="O31" s="4"/>
      <c r="P31" s="4"/>
      <c r="Q31" s="4"/>
    </row>
    <row r="32" spans="1:17" ht="12.6" customHeight="1" x14ac:dyDescent="0.25">
      <c r="A32" s="12">
        <v>23</v>
      </c>
      <c r="B32" s="160"/>
      <c r="C32" s="22" t="s">
        <v>42</v>
      </c>
      <c r="D32" s="117" t="s">
        <v>61</v>
      </c>
      <c r="E32" s="19">
        <v>382.6</v>
      </c>
      <c r="F32" s="19">
        <v>372.5</v>
      </c>
      <c r="G32" s="53"/>
      <c r="H32" s="53"/>
      <c r="I32" s="53"/>
      <c r="J32" s="53"/>
      <c r="K32" s="53"/>
      <c r="L32" s="4"/>
      <c r="M32" s="4"/>
      <c r="N32" s="4"/>
      <c r="O32" s="4"/>
      <c r="P32" s="4"/>
      <c r="Q32" s="4"/>
    </row>
    <row r="33" spans="1:17" ht="26.4" x14ac:dyDescent="0.25">
      <c r="A33" s="12">
        <v>24</v>
      </c>
      <c r="B33" s="117"/>
      <c r="C33" s="22" t="s">
        <v>111</v>
      </c>
      <c r="D33" s="118" t="s">
        <v>282</v>
      </c>
      <c r="E33" s="19">
        <v>261.3</v>
      </c>
      <c r="F33" s="19">
        <v>250.7</v>
      </c>
      <c r="G33" s="53"/>
      <c r="H33" s="53"/>
      <c r="I33" s="53"/>
      <c r="J33" s="53"/>
      <c r="K33" s="53"/>
      <c r="L33" s="4"/>
      <c r="M33" s="4"/>
      <c r="N33" s="4"/>
      <c r="O33" s="4"/>
      <c r="P33" s="4"/>
      <c r="Q33" s="4"/>
    </row>
    <row r="34" spans="1:17" ht="12.6" customHeight="1" x14ac:dyDescent="0.25">
      <c r="A34" s="12">
        <v>25</v>
      </c>
      <c r="B34" s="117"/>
      <c r="C34" s="21" t="s">
        <v>366</v>
      </c>
      <c r="D34" s="117" t="s">
        <v>61</v>
      </c>
      <c r="E34" s="19">
        <v>689.8</v>
      </c>
      <c r="F34" s="19">
        <v>675.6</v>
      </c>
      <c r="G34" s="53"/>
      <c r="H34" s="53"/>
      <c r="I34" s="53"/>
      <c r="J34" s="53"/>
      <c r="K34" s="53"/>
      <c r="L34" s="4"/>
      <c r="M34" s="4"/>
      <c r="N34" s="4"/>
      <c r="O34" s="4"/>
      <c r="P34" s="4"/>
      <c r="Q34" s="4"/>
    </row>
    <row r="35" spans="1:17" ht="12.6" customHeight="1" x14ac:dyDescent="0.25">
      <c r="A35" s="12">
        <v>26</v>
      </c>
      <c r="B35" s="1"/>
      <c r="C35" s="21" t="s">
        <v>54</v>
      </c>
      <c r="D35" s="1" t="s">
        <v>62</v>
      </c>
      <c r="E35" s="19">
        <v>26.6</v>
      </c>
      <c r="F35" s="19">
        <v>26.2</v>
      </c>
      <c r="G35" s="53"/>
      <c r="H35" s="53"/>
      <c r="I35" s="53"/>
      <c r="J35" s="53"/>
      <c r="K35" s="53"/>
      <c r="L35" s="4"/>
      <c r="M35" s="4"/>
      <c r="N35" s="4"/>
      <c r="O35" s="4"/>
      <c r="P35" s="4"/>
      <c r="Q35" s="4"/>
    </row>
    <row r="36" spans="1:17" ht="12.6" customHeight="1" x14ac:dyDescent="0.25">
      <c r="A36" s="12">
        <v>27</v>
      </c>
      <c r="B36" s="1"/>
      <c r="C36" s="21" t="s">
        <v>48</v>
      </c>
      <c r="D36" s="1" t="s">
        <v>62</v>
      </c>
      <c r="E36" s="19">
        <v>33</v>
      </c>
      <c r="F36" s="19">
        <v>32.5</v>
      </c>
      <c r="G36" s="53"/>
      <c r="H36" s="53"/>
      <c r="I36" s="53"/>
      <c r="J36" s="53"/>
      <c r="K36" s="53"/>
      <c r="L36" s="4"/>
      <c r="M36" s="4"/>
      <c r="N36" s="4"/>
      <c r="O36" s="4"/>
      <c r="P36" s="4"/>
      <c r="Q36" s="4"/>
    </row>
    <row r="37" spans="1:17" ht="12.6" customHeight="1" x14ac:dyDescent="0.25">
      <c r="A37" s="12">
        <v>28</v>
      </c>
      <c r="B37" s="1"/>
      <c r="C37" s="21" t="s">
        <v>283</v>
      </c>
      <c r="D37" s="1" t="s">
        <v>223</v>
      </c>
      <c r="E37" s="19">
        <f>+E38+E39+E40+E41+E42</f>
        <v>757.4</v>
      </c>
      <c r="F37" s="19">
        <f>+F38+F39+F40+F41+F42</f>
        <v>729.40000000000009</v>
      </c>
      <c r="G37" s="53"/>
      <c r="H37" s="53"/>
      <c r="I37" s="53"/>
      <c r="J37" s="53"/>
      <c r="K37" s="53"/>
      <c r="L37" s="4"/>
      <c r="M37" s="4"/>
      <c r="N37" s="4"/>
      <c r="O37" s="4"/>
      <c r="P37" s="4"/>
      <c r="Q37" s="4"/>
    </row>
    <row r="38" spans="1:17" ht="24.9" customHeight="1" x14ac:dyDescent="0.25">
      <c r="A38" s="161" t="s">
        <v>610</v>
      </c>
      <c r="B38" s="162"/>
      <c r="C38" s="22" t="s">
        <v>363</v>
      </c>
      <c r="D38" s="1"/>
      <c r="E38" s="19">
        <v>233.9</v>
      </c>
      <c r="F38" s="19">
        <v>215.8</v>
      </c>
      <c r="G38" s="53"/>
      <c r="H38" s="53"/>
      <c r="I38" s="53"/>
      <c r="J38" s="53"/>
      <c r="K38" s="53"/>
      <c r="L38" s="4"/>
      <c r="M38" s="4"/>
      <c r="N38" s="4"/>
      <c r="O38" s="4"/>
      <c r="P38" s="4"/>
      <c r="Q38" s="4"/>
    </row>
    <row r="39" spans="1:17" ht="12.6" customHeight="1" x14ac:dyDescent="0.25">
      <c r="A39" s="161" t="s">
        <v>611</v>
      </c>
      <c r="B39" s="162"/>
      <c r="C39" s="22" t="s">
        <v>362</v>
      </c>
      <c r="D39" s="1"/>
      <c r="E39" s="19">
        <v>9.6</v>
      </c>
      <c r="F39" s="19">
        <v>9.5</v>
      </c>
      <c r="G39" s="53"/>
      <c r="H39" s="53"/>
      <c r="I39" s="53"/>
      <c r="J39" s="53"/>
      <c r="K39" s="53"/>
      <c r="L39" s="4"/>
      <c r="M39" s="4"/>
      <c r="N39" s="4"/>
      <c r="O39" s="4"/>
      <c r="P39" s="4"/>
      <c r="Q39" s="4"/>
    </row>
    <row r="40" spans="1:17" ht="12.6" customHeight="1" x14ac:dyDescent="0.25">
      <c r="A40" s="161" t="s">
        <v>612</v>
      </c>
      <c r="B40" s="162"/>
      <c r="C40" s="22" t="s">
        <v>364</v>
      </c>
      <c r="D40" s="1"/>
      <c r="E40" s="19">
        <v>116.8</v>
      </c>
      <c r="F40" s="19">
        <v>113.3</v>
      </c>
      <c r="G40" s="53"/>
      <c r="H40" s="53"/>
      <c r="I40" s="53"/>
      <c r="J40" s="53"/>
      <c r="K40" s="53"/>
      <c r="L40" s="4"/>
      <c r="M40" s="4"/>
      <c r="N40" s="4"/>
      <c r="O40" s="4"/>
      <c r="P40" s="4"/>
      <c r="Q40" s="4"/>
    </row>
    <row r="41" spans="1:17" ht="12.6" customHeight="1" x14ac:dyDescent="0.25">
      <c r="A41" s="161" t="s">
        <v>613</v>
      </c>
      <c r="B41" s="163"/>
      <c r="C41" s="22" t="s">
        <v>365</v>
      </c>
      <c r="D41" s="1"/>
      <c r="E41" s="19">
        <v>65.099999999999994</v>
      </c>
      <c r="F41" s="19">
        <v>63.5</v>
      </c>
      <c r="G41" s="53"/>
      <c r="H41" s="53"/>
      <c r="I41" s="53"/>
      <c r="J41" s="53"/>
      <c r="K41" s="53"/>
      <c r="L41" s="4"/>
      <c r="M41" s="4"/>
      <c r="N41" s="4"/>
      <c r="O41" s="4"/>
      <c r="P41" s="4"/>
      <c r="Q41" s="4"/>
    </row>
    <row r="42" spans="1:17" ht="12.6" customHeight="1" x14ac:dyDescent="0.25">
      <c r="A42" s="161" t="s">
        <v>614</v>
      </c>
      <c r="B42" s="163"/>
      <c r="C42" s="22" t="s">
        <v>615</v>
      </c>
      <c r="D42" s="1"/>
      <c r="E42" s="19">
        <v>332</v>
      </c>
      <c r="F42" s="19">
        <v>327.3</v>
      </c>
      <c r="G42" s="53"/>
      <c r="H42" s="53"/>
      <c r="I42" s="53"/>
      <c r="J42" s="53"/>
      <c r="K42" s="53"/>
      <c r="L42" s="4"/>
      <c r="M42" s="4"/>
      <c r="N42" s="4"/>
      <c r="O42" s="4"/>
      <c r="P42" s="4"/>
      <c r="Q42" s="4"/>
    </row>
    <row r="43" spans="1:17" ht="12.6" customHeight="1" x14ac:dyDescent="0.25">
      <c r="A43" s="12">
        <v>29</v>
      </c>
      <c r="B43" s="1"/>
      <c r="C43" s="164" t="s">
        <v>15</v>
      </c>
      <c r="D43" s="1" t="s">
        <v>58</v>
      </c>
      <c r="E43" s="19">
        <v>157.6</v>
      </c>
      <c r="F43" s="19">
        <v>153.30000000000001</v>
      </c>
      <c r="G43" s="53"/>
      <c r="H43" s="53"/>
      <c r="I43" s="53"/>
      <c r="J43" s="53"/>
      <c r="K43" s="53"/>
      <c r="L43" s="4"/>
      <c r="M43" s="4"/>
      <c r="N43" s="4"/>
      <c r="O43" s="4"/>
      <c r="P43" s="4"/>
      <c r="Q43" s="4"/>
    </row>
    <row r="44" spans="1:17" ht="12.6" customHeight="1" x14ac:dyDescent="0.25">
      <c r="A44" s="12">
        <v>30</v>
      </c>
      <c r="B44" s="1"/>
      <c r="C44" s="164" t="s">
        <v>284</v>
      </c>
      <c r="D44" s="1" t="s">
        <v>58</v>
      </c>
      <c r="E44" s="19">
        <v>101.2</v>
      </c>
      <c r="F44" s="19">
        <v>98.3</v>
      </c>
      <c r="G44" s="53"/>
      <c r="H44" s="53"/>
      <c r="I44" s="53"/>
      <c r="J44" s="53"/>
      <c r="K44" s="53"/>
      <c r="L44" s="4"/>
      <c r="M44" s="4"/>
      <c r="N44" s="4"/>
      <c r="O44" s="4"/>
      <c r="P44" s="4"/>
      <c r="Q44" s="4"/>
    </row>
    <row r="45" spans="1:17" ht="26.4" x14ac:dyDescent="0.25">
      <c r="A45" s="12">
        <v>31</v>
      </c>
      <c r="B45" s="14" t="s">
        <v>302</v>
      </c>
      <c r="C45" s="157" t="s">
        <v>205</v>
      </c>
      <c r="D45" s="162"/>
      <c r="E45" s="144">
        <f>+E46</f>
        <v>688.4</v>
      </c>
      <c r="F45" s="144">
        <f>+F46</f>
        <v>590</v>
      </c>
      <c r="G45" s="165"/>
      <c r="H45" s="53"/>
      <c r="I45" s="53"/>
      <c r="J45" s="4"/>
      <c r="K45" s="4"/>
      <c r="L45" s="4"/>
      <c r="M45" s="4"/>
      <c r="N45" s="4"/>
      <c r="O45" s="4"/>
      <c r="P45" s="4"/>
      <c r="Q45" s="4"/>
    </row>
    <row r="46" spans="1:17" ht="12.6" customHeight="1" x14ac:dyDescent="0.25">
      <c r="A46" s="12">
        <v>32</v>
      </c>
      <c r="B46" s="1"/>
      <c r="C46" s="21" t="s">
        <v>366</v>
      </c>
      <c r="D46" s="117" t="s">
        <v>61</v>
      </c>
      <c r="E46" s="19">
        <v>688.4</v>
      </c>
      <c r="F46" s="19">
        <v>590</v>
      </c>
      <c r="G46" s="53"/>
      <c r="H46" s="53"/>
      <c r="I46" s="53"/>
      <c r="J46" s="53"/>
      <c r="K46" s="53"/>
      <c r="L46" s="4"/>
      <c r="M46" s="4"/>
      <c r="N46" s="4"/>
      <c r="O46" s="4"/>
      <c r="P46" s="4"/>
      <c r="Q46" s="4"/>
    </row>
    <row r="47" spans="1:17" ht="18" customHeight="1" x14ac:dyDescent="0.25">
      <c r="A47" s="12">
        <v>33</v>
      </c>
      <c r="B47" s="11" t="s">
        <v>76</v>
      </c>
      <c r="C47" s="17" t="s">
        <v>197</v>
      </c>
      <c r="D47" s="23"/>
      <c r="E47" s="29">
        <f>+E48</f>
        <v>57.9</v>
      </c>
      <c r="F47" s="29">
        <f>+F48</f>
        <v>57.1</v>
      </c>
      <c r="G47" s="166"/>
      <c r="H47" s="53"/>
      <c r="I47" s="53"/>
      <c r="J47" s="4"/>
      <c r="K47" s="4"/>
      <c r="L47" s="4"/>
      <c r="M47" s="4"/>
      <c r="N47" s="4"/>
      <c r="O47" s="4"/>
      <c r="P47" s="4"/>
      <c r="Q47" s="4"/>
    </row>
    <row r="48" spans="1:17" ht="12.6" customHeight="1" x14ac:dyDescent="0.25">
      <c r="A48" s="12">
        <v>34</v>
      </c>
      <c r="B48" s="14" t="s">
        <v>308</v>
      </c>
      <c r="C48" s="157" t="s">
        <v>281</v>
      </c>
      <c r="D48" s="23"/>
      <c r="E48" s="158">
        <f>+E49</f>
        <v>57.9</v>
      </c>
      <c r="F48" s="158">
        <f>+F49</f>
        <v>57.1</v>
      </c>
      <c r="G48" s="159"/>
      <c r="H48" s="53"/>
      <c r="I48" s="53"/>
      <c r="J48" s="4"/>
      <c r="K48" s="4"/>
      <c r="L48" s="4"/>
      <c r="M48" s="4"/>
      <c r="N48" s="4"/>
      <c r="O48" s="4"/>
      <c r="P48" s="4"/>
      <c r="Q48" s="4"/>
    </row>
    <row r="49" spans="1:17" ht="12.6" customHeight="1" x14ac:dyDescent="0.25">
      <c r="A49" s="12">
        <v>35</v>
      </c>
      <c r="B49" s="18"/>
      <c r="C49" s="21" t="s">
        <v>112</v>
      </c>
      <c r="D49" s="1" t="s">
        <v>62</v>
      </c>
      <c r="E49" s="19">
        <v>57.9</v>
      </c>
      <c r="F49" s="19">
        <v>57.1</v>
      </c>
      <c r="G49" s="53"/>
      <c r="H49" s="53"/>
      <c r="I49" s="53"/>
      <c r="J49" s="53"/>
      <c r="K49" s="53"/>
      <c r="L49" s="4"/>
      <c r="M49" s="4"/>
      <c r="N49" s="4"/>
      <c r="O49" s="4"/>
      <c r="P49" s="4"/>
      <c r="Q49" s="4"/>
    </row>
    <row r="50" spans="1:17" ht="12.75" customHeight="1" x14ac:dyDescent="0.25">
      <c r="A50" s="12">
        <v>36</v>
      </c>
      <c r="B50" s="11"/>
      <c r="C50" s="52" t="s">
        <v>20</v>
      </c>
      <c r="D50" s="1"/>
      <c r="E50" s="41">
        <f>+E10+E47</f>
        <v>19086.200000000004</v>
      </c>
      <c r="F50" s="41">
        <f>+F10+F47</f>
        <v>18355.399999999998</v>
      </c>
      <c r="G50" s="167"/>
      <c r="H50" s="167"/>
      <c r="I50" s="167"/>
      <c r="J50" s="4"/>
      <c r="K50" s="4"/>
      <c r="L50" s="4"/>
      <c r="M50" s="4"/>
      <c r="N50" s="4"/>
      <c r="O50" s="4"/>
      <c r="P50" s="4"/>
      <c r="Q50" s="4"/>
    </row>
    <row r="51" spans="1:17" ht="12.75" customHeight="1" x14ac:dyDescent="0.25">
      <c r="A51" s="5"/>
      <c r="B51" s="168"/>
      <c r="C51" s="169"/>
      <c r="D51" s="7"/>
      <c r="E51" s="170"/>
      <c r="F51" s="170"/>
      <c r="G51" s="167"/>
      <c r="H51" s="167"/>
      <c r="I51" s="167"/>
      <c r="J51" s="4"/>
      <c r="K51" s="4"/>
      <c r="L51" s="4"/>
      <c r="M51" s="4"/>
      <c r="N51" s="4"/>
      <c r="O51" s="4"/>
      <c r="P51" s="4"/>
      <c r="Q51" s="4"/>
    </row>
    <row r="52" spans="1:17" x14ac:dyDescent="0.25">
      <c r="C52" s="149" t="s">
        <v>113</v>
      </c>
      <c r="D52" s="7"/>
      <c r="E52" s="20"/>
      <c r="F52" s="20"/>
      <c r="G52" s="20"/>
      <c r="H52" s="20"/>
      <c r="I52" s="20"/>
    </row>
    <row r="53" spans="1:17" x14ac:dyDescent="0.25">
      <c r="E53" s="20"/>
      <c r="F53" s="20"/>
      <c r="G53" s="20"/>
      <c r="H53" s="20"/>
      <c r="I53" s="20"/>
    </row>
    <row r="54" spans="1:17" x14ac:dyDescent="0.25">
      <c r="E54" s="43"/>
      <c r="F54" s="43"/>
      <c r="G54" s="43"/>
      <c r="H54" s="43"/>
      <c r="I54" s="43"/>
    </row>
    <row r="55" spans="1:17" x14ac:dyDescent="0.25">
      <c r="E55" s="43"/>
      <c r="F55" s="43"/>
      <c r="G55" s="43"/>
      <c r="H55" s="43"/>
      <c r="I55" s="43"/>
    </row>
    <row r="56" spans="1:17" x14ac:dyDescent="0.25">
      <c r="E56" s="43"/>
      <c r="F56" s="43"/>
      <c r="G56" s="43"/>
      <c r="H56" s="43"/>
      <c r="I56" s="43"/>
    </row>
    <row r="57" spans="1:17" x14ac:dyDescent="0.25">
      <c r="E57" s="43"/>
      <c r="F57" s="43"/>
      <c r="G57" s="43"/>
      <c r="H57" s="43"/>
      <c r="I57" s="43"/>
      <c r="J57" s="43"/>
      <c r="K57" s="43"/>
      <c r="L57" s="43"/>
      <c r="M57" s="43"/>
    </row>
    <row r="58" spans="1:17" x14ac:dyDescent="0.25">
      <c r="C58" s="3"/>
      <c r="E58" s="20"/>
      <c r="F58" s="20"/>
      <c r="G58" s="20"/>
      <c r="H58" s="20"/>
      <c r="I58" s="20"/>
    </row>
    <row r="59" spans="1:17" x14ac:dyDescent="0.25">
      <c r="E59" s="3"/>
      <c r="F59" s="3"/>
      <c r="G59" s="3"/>
      <c r="H59" s="3"/>
      <c r="I59" s="3"/>
    </row>
    <row r="60" spans="1:17" x14ac:dyDescent="0.25">
      <c r="C60" s="139"/>
      <c r="E60" s="43"/>
      <c r="F60" s="43"/>
      <c r="G60" s="43"/>
      <c r="H60" s="43"/>
      <c r="I60" s="43"/>
    </row>
    <row r="61" spans="1:17" x14ac:dyDescent="0.25">
      <c r="E61" s="43"/>
      <c r="F61" s="43"/>
      <c r="G61" s="43"/>
      <c r="H61" s="43"/>
      <c r="I61" s="43"/>
    </row>
    <row r="62" spans="1:17" x14ac:dyDescent="0.25">
      <c r="E62" s="3"/>
      <c r="F62" s="3"/>
      <c r="G62" s="3"/>
      <c r="H62" s="3"/>
      <c r="I62" s="3"/>
    </row>
    <row r="63" spans="1:17" x14ac:dyDescent="0.25">
      <c r="E63" s="43"/>
      <c r="F63" s="43"/>
      <c r="G63" s="43"/>
      <c r="H63" s="43"/>
      <c r="I63" s="43"/>
    </row>
    <row r="64" spans="1:17" x14ac:dyDescent="0.25">
      <c r="E64" s="3"/>
      <c r="F64" s="3"/>
      <c r="G64" s="3"/>
      <c r="H64" s="3"/>
      <c r="I64" s="3"/>
    </row>
    <row r="65" spans="5:9" x14ac:dyDescent="0.25">
      <c r="E65" s="3"/>
      <c r="F65" s="3"/>
      <c r="G65" s="3"/>
      <c r="H65" s="3"/>
      <c r="I65" s="3"/>
    </row>
  </sheetData>
  <mergeCells count="4">
    <mergeCell ref="C1:F1"/>
    <mergeCell ref="C2:F2"/>
    <mergeCell ref="E3:F3"/>
    <mergeCell ref="A5:F5"/>
  </mergeCells>
  <phoneticPr fontId="17" type="noConversion"/>
  <pageMargins left="0.59055118110236227" right="0" top="0.39370078740157483" bottom="0.19685039370078741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13</vt:i4>
      </vt:variant>
      <vt:variant>
        <vt:lpstr>Įvardinti diapazonai</vt:lpstr>
      </vt:variant>
      <vt:variant>
        <vt:i4>22</vt:i4>
      </vt:variant>
    </vt:vector>
  </HeadingPairs>
  <TitlesOfParts>
    <vt:vector size="35" baseType="lpstr">
      <vt:lpstr>1 pr</vt:lpstr>
      <vt:lpstr>2 pr</vt:lpstr>
      <vt:lpstr>3 pr</vt:lpstr>
      <vt:lpstr>4 pr</vt:lpstr>
      <vt:lpstr>5 pr</vt:lpstr>
      <vt:lpstr>6 pr</vt:lpstr>
      <vt:lpstr>7 pr</vt:lpstr>
      <vt:lpstr>8 pr</vt:lpstr>
      <vt:lpstr>9 pr</vt:lpstr>
      <vt:lpstr>10 pr</vt:lpstr>
      <vt:lpstr>11 pr</vt:lpstr>
      <vt:lpstr>12 pr</vt:lpstr>
      <vt:lpstr>13 pr</vt:lpstr>
      <vt:lpstr>'1 pr'!Print_Area</vt:lpstr>
      <vt:lpstr>'10 pr'!Print_Area</vt:lpstr>
      <vt:lpstr>'11 pr'!Print_Area</vt:lpstr>
      <vt:lpstr>'2 pr'!Print_Area</vt:lpstr>
      <vt:lpstr>'3 pr'!Print_Area</vt:lpstr>
      <vt:lpstr>'4 pr'!Print_Area</vt:lpstr>
      <vt:lpstr>'5 pr'!Print_Area</vt:lpstr>
      <vt:lpstr>'6 pr'!Print_Area</vt:lpstr>
      <vt:lpstr>'7 pr'!Print_Area</vt:lpstr>
      <vt:lpstr>'8 pr'!Print_Area</vt:lpstr>
      <vt:lpstr>'9 pr'!Print_Area</vt:lpstr>
      <vt:lpstr>'1 pr'!Print_Titles</vt:lpstr>
      <vt:lpstr>'10 pr'!Print_Titles</vt:lpstr>
      <vt:lpstr>'11 pr'!Print_Titles</vt:lpstr>
      <vt:lpstr>'2 pr'!Print_Titles</vt:lpstr>
      <vt:lpstr>'3 pr'!Print_Titles</vt:lpstr>
      <vt:lpstr>'4 pr'!Print_Titles</vt:lpstr>
      <vt:lpstr>'5 pr'!Print_Titles</vt:lpstr>
      <vt:lpstr>'6 pr'!Print_Titles</vt:lpstr>
      <vt:lpstr>'7 pr'!Print_Titles</vt:lpstr>
      <vt:lpstr>'8 pr'!Print_Titles</vt:lpstr>
      <vt:lpstr>'9 pr'!Print_Titles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Vartotoja</cp:lastModifiedBy>
  <cp:lastPrinted>2023-01-19T08:44:34Z</cp:lastPrinted>
  <dcterms:created xsi:type="dcterms:W3CDTF">1996-10-14T23:33:28Z</dcterms:created>
  <dcterms:modified xsi:type="dcterms:W3CDTF">2023-01-19T09:46:43Z</dcterms:modified>
</cp:coreProperties>
</file>