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\Documents\seni dokumentai\2023 m sprendimai\2023-06-23 Tarybos posėdiis\Biudžetas\Projekto lyginamasis variantas\"/>
    </mc:Choice>
  </mc:AlternateContent>
  <xr:revisionPtr revIDLastSave="0" documentId="13_ncr:1_{D24DF342-D8FA-4A0C-B51B-1ED915E4B0D1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1 pr" sheetId="75" r:id="rId1"/>
    <sheet name="3 pr" sheetId="76" r:id="rId2"/>
    <sheet name="7 pr" sheetId="77" r:id="rId3"/>
    <sheet name="8 pr" sheetId="78" r:id="rId4"/>
    <sheet name="10 pr" sheetId="79" r:id="rId5"/>
    <sheet name="13 pr" sheetId="81" r:id="rId6"/>
  </sheets>
  <definedNames>
    <definedName name="_xlnm.Print_Area" localSheetId="0">'1 pr'!$A$1:$C$134</definedName>
    <definedName name="_xlnm.Print_Area" localSheetId="4">'10 pr'!$A$1:$F$150</definedName>
    <definedName name="_xlnm.Print_Area" localSheetId="1">'3 pr'!$A$1:$F$332</definedName>
    <definedName name="_xlnm.Print_Area" localSheetId="2">'7 pr'!$A$1:$F$43</definedName>
    <definedName name="_xlnm.Print_Area" localSheetId="3">'8 pr'!$A$1:$F$109</definedName>
    <definedName name="_xlnm.Print_Titles" localSheetId="0">'1 pr'!$7:$7</definedName>
    <definedName name="_xlnm.Print_Titles" localSheetId="4">'10 pr'!$9:$9</definedName>
    <definedName name="_xlnm.Print_Titles" localSheetId="1">'3 pr'!$9:$9</definedName>
    <definedName name="_xlnm.Print_Titles" localSheetId="2">'7 pr'!$9:$9</definedName>
    <definedName name="_xlnm.Print_Titles" localSheetId="3">'8 pr'!$9:$9</definedName>
  </definedNames>
  <calcPr calcId="181029"/>
  <fileRecoveryPr autoRecover="0"/>
</workbook>
</file>

<file path=xl/calcChain.xml><?xml version="1.0" encoding="utf-8"?>
<calcChain xmlns="http://schemas.openxmlformats.org/spreadsheetml/2006/main">
  <c r="C62" i="75" l="1"/>
  <c r="C35" i="75"/>
  <c r="C23" i="75"/>
  <c r="C21" i="75"/>
  <c r="E247" i="76"/>
  <c r="F108" i="76"/>
  <c r="E108" i="76"/>
  <c r="F106" i="76"/>
  <c r="E106" i="76"/>
  <c r="F104" i="76"/>
  <c r="E104" i="76"/>
  <c r="F102" i="76"/>
  <c r="E102" i="76"/>
  <c r="E99" i="76"/>
  <c r="F97" i="76"/>
  <c r="E97" i="76"/>
  <c r="C112" i="75" l="1"/>
  <c r="F203" i="76" l="1"/>
  <c r="F167" i="76"/>
  <c r="F49" i="76"/>
  <c r="E102" i="79" l="1"/>
  <c r="E98" i="79"/>
  <c r="E94" i="79"/>
  <c r="E136" i="79"/>
  <c r="E140" i="79"/>
  <c r="E229" i="76" l="1"/>
  <c r="F113" i="79"/>
  <c r="E113" i="79"/>
  <c r="F80" i="79"/>
  <c r="E80" i="79"/>
  <c r="E128" i="79"/>
  <c r="E127" i="79" s="1"/>
  <c r="E36" i="77"/>
  <c r="E125" i="79"/>
  <c r="E119" i="79"/>
  <c r="E123" i="79"/>
  <c r="E39" i="79"/>
  <c r="F14" i="79"/>
  <c r="E14" i="79"/>
  <c r="E13" i="79"/>
  <c r="F145" i="79" l="1"/>
  <c r="F144" i="79" s="1"/>
  <c r="E145" i="79"/>
  <c r="E144" i="79" s="1"/>
  <c r="E68" i="79"/>
  <c r="C65" i="75"/>
  <c r="C66" i="75"/>
  <c r="F70" i="79"/>
  <c r="E70" i="79"/>
  <c r="F132" i="79"/>
  <c r="E132" i="79"/>
  <c r="C73" i="75"/>
  <c r="E35" i="79"/>
  <c r="F22" i="79"/>
  <c r="E22" i="79"/>
  <c r="F24" i="79"/>
  <c r="E24" i="79"/>
  <c r="F38" i="79"/>
  <c r="E38" i="79"/>
  <c r="E37" i="79"/>
  <c r="F27" i="79"/>
  <c r="E27" i="79"/>
  <c r="F26" i="79"/>
  <c r="E26" i="79"/>
  <c r="F23" i="79"/>
  <c r="E23" i="79"/>
  <c r="F25" i="79"/>
  <c r="E25" i="79"/>
  <c r="F35" i="79"/>
  <c r="F29" i="79"/>
  <c r="E29" i="79"/>
  <c r="F36" i="79"/>
  <c r="E36" i="79"/>
  <c r="F32" i="79"/>
  <c r="E32" i="79"/>
  <c r="E31" i="79"/>
  <c r="F33" i="79"/>
  <c r="E33" i="79"/>
  <c r="F34" i="79"/>
  <c r="E34" i="79"/>
  <c r="F28" i="79"/>
  <c r="E28" i="79"/>
  <c r="E30" i="79"/>
  <c r="C75" i="75"/>
  <c r="F130" i="79" l="1"/>
  <c r="F129" i="79" s="1"/>
  <c r="E130" i="79"/>
  <c r="E129" i="79" s="1"/>
  <c r="F121" i="79"/>
  <c r="F120" i="79" s="1"/>
  <c r="E121" i="79"/>
  <c r="E120" i="79" s="1"/>
  <c r="F118" i="79"/>
  <c r="F117" i="79" s="1"/>
  <c r="E118" i="79"/>
  <c r="E117" i="79" s="1"/>
  <c r="F111" i="79"/>
  <c r="F110" i="79" s="1"/>
  <c r="E111" i="79"/>
  <c r="E110" i="79" s="1"/>
  <c r="F108" i="79"/>
  <c r="E108" i="79"/>
  <c r="F75" i="79"/>
  <c r="E75" i="79"/>
  <c r="F73" i="79"/>
  <c r="E73" i="79"/>
  <c r="F71" i="79"/>
  <c r="E71" i="79"/>
  <c r="F69" i="79"/>
  <c r="E69" i="79"/>
  <c r="F67" i="79"/>
  <c r="E67" i="79"/>
  <c r="F65" i="79"/>
  <c r="E65" i="79"/>
  <c r="F61" i="79"/>
  <c r="E61" i="79"/>
  <c r="F59" i="79"/>
  <c r="E59" i="79"/>
  <c r="F57" i="79"/>
  <c r="E57" i="79"/>
  <c r="F55" i="79"/>
  <c r="E55" i="79"/>
  <c r="F21" i="79"/>
  <c r="E21" i="79"/>
  <c r="F19" i="79"/>
  <c r="F18" i="79" s="1"/>
  <c r="E19" i="79"/>
  <c r="E18" i="79" s="1"/>
  <c r="F16" i="79"/>
  <c r="F15" i="79" s="1"/>
  <c r="E16" i="79"/>
  <c r="E15" i="79" s="1"/>
  <c r="F12" i="79"/>
  <c r="E12" i="79"/>
  <c r="C117" i="75"/>
  <c r="C108" i="75"/>
  <c r="C104" i="75"/>
  <c r="C99" i="75"/>
  <c r="C72" i="75"/>
  <c r="C54" i="75"/>
  <c r="C53" i="75"/>
  <c r="C15" i="75"/>
  <c r="C11" i="75"/>
  <c r="E10" i="79" l="1"/>
  <c r="C8" i="75"/>
  <c r="C98" i="75"/>
  <c r="E312" i="76" l="1"/>
  <c r="E117" i="76"/>
  <c r="E163" i="76"/>
  <c r="E159" i="76"/>
  <c r="E269" i="76"/>
  <c r="E39" i="76" l="1"/>
  <c r="E76" i="78" l="1"/>
  <c r="E20" i="77" l="1"/>
  <c r="D30" i="81" l="1"/>
  <c r="D25" i="81"/>
  <c r="D83" i="81"/>
  <c r="D82" i="81" s="1"/>
  <c r="D78" i="81"/>
  <c r="D67" i="81"/>
  <c r="D64" i="81"/>
  <c r="D50" i="81"/>
  <c r="D49" i="81" s="1"/>
  <c r="D33" i="81"/>
  <c r="D37" i="81" s="1"/>
  <c r="D19" i="81"/>
  <c r="D16" i="81"/>
  <c r="E24" i="77"/>
  <c r="E23" i="77" s="1"/>
  <c r="F20" i="77"/>
  <c r="F19" i="77" s="1"/>
  <c r="E19" i="77"/>
  <c r="D20" i="81" l="1"/>
  <c r="D102" i="81"/>
  <c r="E126" i="76" l="1"/>
  <c r="E110" i="76" s="1"/>
  <c r="E42" i="76" l="1"/>
  <c r="F23" i="78"/>
  <c r="F145" i="76"/>
  <c r="E145" i="76"/>
  <c r="E270" i="76"/>
  <c r="F141" i="76" l="1"/>
  <c r="E141" i="76"/>
  <c r="F140" i="76"/>
  <c r="E140" i="76"/>
  <c r="E25" i="76" l="1"/>
  <c r="E211" i="76" l="1"/>
  <c r="F149" i="76" l="1"/>
  <c r="E149" i="76"/>
  <c r="F147" i="76" l="1"/>
  <c r="E147" i="76"/>
  <c r="F143" i="76"/>
  <c r="E143" i="76"/>
  <c r="F138" i="76"/>
  <c r="E138" i="76"/>
  <c r="F136" i="76"/>
  <c r="E136" i="76"/>
  <c r="F133" i="76"/>
  <c r="E133" i="76"/>
  <c r="F131" i="76"/>
  <c r="E131" i="76"/>
  <c r="F50" i="78"/>
  <c r="E50" i="78"/>
  <c r="E156" i="76" l="1"/>
  <c r="F307" i="76"/>
  <c r="E307" i="76"/>
  <c r="F92" i="76"/>
  <c r="E92" i="76"/>
  <c r="E72" i="76" s="1"/>
  <c r="F11" i="77"/>
  <c r="F28" i="77"/>
  <c r="F26" i="77" s="1"/>
  <c r="F72" i="76" l="1"/>
  <c r="E193" i="76"/>
  <c r="E70" i="76" l="1"/>
  <c r="E36" i="76"/>
  <c r="F39" i="77" l="1"/>
  <c r="F38" i="77" s="1"/>
  <c r="E39" i="77"/>
  <c r="E38" i="77" s="1"/>
  <c r="E293" i="76" l="1"/>
  <c r="E157" i="76"/>
  <c r="E11" i="77" l="1"/>
  <c r="E19" i="78" l="1"/>
  <c r="E31" i="78"/>
  <c r="E44" i="78"/>
  <c r="F44" i="78"/>
  <c r="F11" i="78"/>
  <c r="F10" i="77"/>
  <c r="E228" i="76"/>
  <c r="E226" i="76" s="1"/>
  <c r="F102" i="78"/>
  <c r="E102" i="78"/>
  <c r="F100" i="78"/>
  <c r="E100" i="78"/>
  <c r="F98" i="78"/>
  <c r="E98" i="78"/>
  <c r="F96" i="78"/>
  <c r="E96" i="78"/>
  <c r="E94" i="78"/>
  <c r="F94" i="78"/>
  <c r="F92" i="78"/>
  <c r="E92" i="78"/>
  <c r="F90" i="78"/>
  <c r="E90" i="78"/>
  <c r="F88" i="78"/>
  <c r="E88" i="78"/>
  <c r="F86" i="78"/>
  <c r="E86" i="78"/>
  <c r="F84" i="78"/>
  <c r="E84" i="78"/>
  <c r="F82" i="78"/>
  <c r="E82" i="78"/>
  <c r="F80" i="78"/>
  <c r="E80" i="78"/>
  <c r="F104" i="78"/>
  <c r="E104" i="78"/>
  <c r="F76" i="78"/>
  <c r="F64" i="78"/>
  <c r="E64" i="78"/>
  <c r="E63" i="78" s="1"/>
  <c r="F46" i="78"/>
  <c r="F31" i="78"/>
  <c r="F27" i="78"/>
  <c r="E27" i="78"/>
  <c r="F25" i="78"/>
  <c r="E25" i="78"/>
  <c r="F19" i="78"/>
  <c r="F15" i="78"/>
  <c r="E15" i="78"/>
  <c r="F13" i="78"/>
  <c r="E13" i="78"/>
  <c r="E11" i="78"/>
  <c r="E219" i="76"/>
  <c r="E214" i="76" s="1"/>
  <c r="E210" i="76" s="1"/>
  <c r="F43" i="76"/>
  <c r="F35" i="77"/>
  <c r="F34" i="77" s="1"/>
  <c r="E35" i="77"/>
  <c r="E34" i="77" s="1"/>
  <c r="F17" i="77"/>
  <c r="F16" i="77" s="1"/>
  <c r="E17" i="77"/>
  <c r="E16" i="77" s="1"/>
  <c r="E10" i="77"/>
  <c r="F300" i="76"/>
  <c r="F299" i="76" s="1"/>
  <c r="E300" i="76"/>
  <c r="E299" i="76" s="1"/>
  <c r="F293" i="76"/>
  <c r="F291" i="76" s="1"/>
  <c r="F290" i="76" s="1"/>
  <c r="F275" i="76"/>
  <c r="F267" i="76" s="1"/>
  <c r="F266" i="76" s="1"/>
  <c r="F229" i="76"/>
  <c r="F228" i="76" s="1"/>
  <c r="F226" i="76" s="1"/>
  <c r="F219" i="76"/>
  <c r="F214" i="76" s="1"/>
  <c r="F210" i="76" s="1"/>
  <c r="F195" i="76"/>
  <c r="F184" i="76" s="1"/>
  <c r="F157" i="76"/>
  <c r="F126" i="76"/>
  <c r="F110" i="76" s="1"/>
  <c r="F69" i="76"/>
  <c r="E275" i="76"/>
  <c r="E267" i="76" s="1"/>
  <c r="E291" i="76"/>
  <c r="E290" i="76" s="1"/>
  <c r="E79" i="78" l="1"/>
  <c r="F79" i="78"/>
  <c r="F63" i="78"/>
  <c r="F41" i="77"/>
  <c r="E266" i="76"/>
  <c r="F154" i="76"/>
  <c r="F10" i="78"/>
  <c r="E10" i="78"/>
  <c r="E304" i="76"/>
  <c r="F304" i="76"/>
  <c r="E69" i="76"/>
  <c r="C17" i="75" l="1"/>
  <c r="C115" i="75" l="1"/>
  <c r="C118" i="75" l="1"/>
  <c r="C132" i="75"/>
</calcChain>
</file>

<file path=xl/sharedStrings.xml><?xml version="1.0" encoding="utf-8"?>
<sst xmlns="http://schemas.openxmlformats.org/spreadsheetml/2006/main" count="1516" uniqueCount="937">
  <si>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</si>
  <si>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</si>
  <si>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</si>
  <si>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</si>
  <si>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</si>
  <si>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</si>
  <si>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</si>
  <si>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</si>
  <si>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</si>
  <si>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</si>
  <si>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</si>
  <si>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</si>
  <si>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</si>
  <si>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</si>
  <si>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</si>
  <si>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</si>
  <si>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</si>
  <si>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</si>
  <si>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</si>
  <si>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</si>
  <si>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</si>
  <si>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</si>
  <si>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</si>
  <si>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</si>
  <si>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10.01.02.02</t>
  </si>
  <si>
    <t>11</t>
  </si>
  <si>
    <t>SAVIVALDYBĖS VALDYMO TOBULINIMAS</t>
  </si>
  <si>
    <t>Kėdainių rajono savivaldybės priešgaisrinė tarnyba</t>
  </si>
  <si>
    <t>03.02.01.01</t>
  </si>
  <si>
    <t>iš jų darbo užmokesčiui</t>
  </si>
  <si>
    <t>4</t>
  </si>
  <si>
    <t>10.04.01.40</t>
  </si>
  <si>
    <t>09</t>
  </si>
  <si>
    <t xml:space="preserve"> ŽEMĖS ŪKIO PLĖTRA IR MELIORACIJA</t>
  </si>
  <si>
    <t>11.1</t>
  </si>
  <si>
    <t>11.2</t>
  </si>
  <si>
    <t>11.3</t>
  </si>
  <si>
    <t>11.4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</si>
  <si>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</si>
  <si>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</si>
  <si>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</si>
  <si>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</si>
  <si>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</si>
  <si>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</si>
  <si>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</si>
  <si>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</si>
  <si>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</si>
  <si>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</si>
  <si>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</si>
  <si>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</si>
  <si>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</si>
  <si>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</si>
  <si>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</si>
  <si>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</si>
  <si>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</si>
  <si>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</si>
  <si>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</si>
  <si>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</si>
  <si>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</si>
  <si>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</si>
  <si>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</si>
  <si>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</si>
  <si>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</si>
  <si>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</si>
  <si>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</si>
  <si>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</si>
  <si>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</si>
  <si>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</si>
  <si>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</si>
  <si>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</si>
  <si>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</si>
  <si>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</si>
  <si>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</si>
  <si>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</si>
  <si>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</si>
  <si>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</si>
  <si>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</si>
  <si>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</si>
  <si>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</si>
  <si>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</si>
  <si>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</si>
  <si>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</si>
  <si>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</si>
  <si>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</si>
  <si>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</si>
  <si>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</si>
  <si>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</si>
  <si>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</si>
  <si>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</si>
  <si>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</si>
  <si>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</si>
  <si>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</si>
  <si>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</si>
  <si>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</si>
  <si>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</si>
  <si>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</si>
  <si>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</si>
  <si>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</si>
  <si>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</si>
  <si>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</si>
  <si>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</si>
  <si>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</si>
  <si>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</si>
  <si>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</si>
  <si>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</si>
  <si>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</si>
  <si>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</si>
  <si>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</si>
  <si>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 xml:space="preserve">                                                               ___________________________________________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</si>
  <si>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</si>
  <si>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</si>
  <si>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</si>
  <si>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</si>
  <si>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</si>
  <si>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</si>
  <si>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</si>
  <si>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</si>
  <si>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7 priedas</t>
  </si>
  <si>
    <t>Eil.   Nr.</t>
  </si>
  <si>
    <t>09.02.02.01
09.05.01.01</t>
  </si>
  <si>
    <t>Kėdainių Juozo Paukštelio progimnazija</t>
  </si>
  <si>
    <t>01.06.01.04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</si>
  <si>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</si>
  <si>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</si>
  <si>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</si>
  <si>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</si>
  <si>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</si>
  <si>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</si>
  <si>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</si>
  <si>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</si>
  <si>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</si>
  <si>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</si>
  <si>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</si>
  <si>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</si>
  <si>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</si>
  <si>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</si>
  <si>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</si>
  <si>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</si>
  <si>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</si>
  <si>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</si>
  <si>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Įgyvendinti Kėdainių rajono savivaldybės bažnyčių rėmimo programą</t>
  </si>
  <si>
    <t>08.02.01.06
08.06.01.09</t>
  </si>
  <si>
    <t>08.04.01.02</t>
  </si>
  <si>
    <t>05.06.01.01</t>
  </si>
  <si>
    <t>05.02.01.01.</t>
  </si>
  <si>
    <t>Vykdyti savivaldybės viešųjų teritorijų tvarkymą</t>
  </si>
  <si>
    <t>Įgyvendinti priemones, finansuojamas iš Savivaldybės administracijos direktoriaus rezervo</t>
  </si>
  <si>
    <t>Kėdainių r. Miegėnų pagrindinė mokykla</t>
  </si>
  <si>
    <t>Kėdainių pagalbos šeimai centras</t>
  </si>
  <si>
    <t>09.05.01.01  09.05.01.02 09.05.01.03</t>
  </si>
  <si>
    <t>Atnaujinti Lietuvos sporto universiteto Kėdainių  „Aušros“ progimnaziją, kuriant modernias ir saugias erdves</t>
  </si>
  <si>
    <t xml:space="preserve">Užtikrinti socialinio būsto fondo plėtrą Kėdainiuose </t>
  </si>
  <si>
    <t>Atnaujinti ir plėsti komunalinių atliekų tvarkymo infrastruktūrą Kėdainių rajono savivaldybėje</t>
  </si>
  <si>
    <t>06.03.01.01</t>
  </si>
  <si>
    <t>Rekonstruoti ir plėsti vandentiekio ir buitinių nuotekų infrastruktūrą Šėtos miestelyje, Kunionių kaime bei Kėdainių mieste</t>
  </si>
  <si>
    <t>09.</t>
  </si>
  <si>
    <t>01-10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</si>
  <si>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</si>
  <si>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</si>
  <si>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</si>
  <si>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</si>
  <si>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</si>
  <si>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</si>
  <si>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</si>
  <si>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</si>
  <si>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</si>
  <si>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</si>
  <si>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</si>
  <si>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</si>
  <si>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</si>
  <si>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</si>
  <si>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</si>
  <si>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</si>
  <si>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</si>
  <si>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</si>
  <si>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</si>
  <si>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</si>
  <si>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15.1</t>
  </si>
  <si>
    <t>07.02.01.01</t>
  </si>
  <si>
    <t>10.06.01.40 06.01.01.01</t>
  </si>
  <si>
    <t>Gerinti pirminės asmens sveikatos priežiūros paslaugų teikimo prieinamumą tuberkuliozės srityje</t>
  </si>
  <si>
    <t xml:space="preserve">iš jų: teikti integralią pagalbą į namus Kėdainių rajone </t>
  </si>
  <si>
    <t>Kėdainių rajono savivaldybės administracija iš viso:</t>
  </si>
  <si>
    <t>Finansuoti VšĮ Kėdainių turizmo ir verslo informacijos centro turizmo veiklos programą</t>
  </si>
  <si>
    <t>11.5</t>
  </si>
  <si>
    <t>Mokesčiai už valstybinius gamtos išteklius</t>
  </si>
  <si>
    <t>Kėdainių r. Vilainių mokykla-darželis „Obelėlė“</t>
  </si>
  <si>
    <t>Finansuoti vaikų dienos centrų veiklos programas</t>
  </si>
  <si>
    <t>Pritaikyti viešąją aplinką specialiųjų poreikių turintiems gyventojams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</si>
  <si>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</si>
  <si>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</si>
  <si>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</si>
  <si>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</si>
  <si>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</si>
  <si>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>Mokėti palūkanas</t>
  </si>
  <si>
    <t xml:space="preserve">SPORTO VEIKLOS PLĖTRA </t>
  </si>
  <si>
    <t>Įgyvendinti priemones, skirtas žemo slenksčio paslaugų kokybės gerinimui Kėdainių rajono savivaldybėje</t>
  </si>
  <si>
    <t>07.06.01.05</t>
  </si>
  <si>
    <t>05.02.01.01 
06.03.01.01</t>
  </si>
  <si>
    <t>05.02.01.01</t>
  </si>
  <si>
    <t>Dalyvauti Kauno regiono plėtros agentūros veikloje</t>
  </si>
  <si>
    <t>Vykdyti endoskopinių paslaugų prieinamumo ir kokybės gerinimo Kėdainių rajono savivaldybėje 2020-2025 m. programą</t>
  </si>
  <si>
    <t>Rekonstruoti Kėdainių miesto nuotekų valyklą</t>
  </si>
  <si>
    <t>Kėdainių švietimo pagalbos tarnyba</t>
  </si>
  <si>
    <t>Kėdainių rajono savivaldybės visuomenės sveikatos biuras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</si>
  <si>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</si>
  <si>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09.02.01.01   </t>
  </si>
  <si>
    <t>07.04.01.02</t>
  </si>
  <si>
    <t>8 priedas</t>
  </si>
  <si>
    <t>02.1</t>
  </si>
  <si>
    <t>02.2</t>
  </si>
  <si>
    <t>02.3</t>
  </si>
  <si>
    <t>Neveiksnių asmenų būklės peržiūrėjimui</t>
  </si>
  <si>
    <t>03.1</t>
  </si>
  <si>
    <t>Socialinėms paslaugoms:
Socialinei globai asmenims su sunkia negalia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</si>
  <si>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</si>
  <si>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</si>
  <si>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</si>
  <si>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</si>
  <si>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</si>
  <si>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</si>
  <si>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</si>
  <si>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</si>
  <si>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</si>
  <si>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</si>
  <si>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</si>
  <si>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</si>
  <si>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</si>
  <si>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iš jų: polderiams eksploatuoti</t>
  </si>
  <si>
    <t>04.02.01.01</t>
  </si>
  <si>
    <t>Tvarkyti erdvinių duomenų rinkinį</t>
  </si>
  <si>
    <t>Priešgaisrinių tarnybų organizavimas</t>
  </si>
  <si>
    <t>Gyventojų registro tvarkymas ir duomenų valstybės registrui teikimas</t>
  </si>
  <si>
    <t>01.03.03.02</t>
  </si>
  <si>
    <t>Archyvinių dokumentų tvarkymas</t>
  </si>
  <si>
    <t>Civilinės būklės aktų registravimas</t>
  </si>
  <si>
    <t>Civilinės saugos organizavimas</t>
  </si>
  <si>
    <t>02.02.01.01</t>
  </si>
  <si>
    <t>11.6</t>
  </si>
  <si>
    <t>Valstybinės kalbos vartojimo ir taisyklingumo kontrolė</t>
  </si>
  <si>
    <t>11.7</t>
  </si>
  <si>
    <t>Mobilizacijos administravimas</t>
  </si>
  <si>
    <t>02.01.01.04</t>
  </si>
  <si>
    <t>11.9</t>
  </si>
  <si>
    <t>Jaunimo teisių apsauga</t>
  </si>
  <si>
    <t>11.10</t>
  </si>
  <si>
    <t>Pirminė teisinė pagalba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</si>
  <si>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</si>
  <si>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</si>
  <si>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</si>
  <si>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</si>
  <si>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</si>
  <si>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Vykdyti mamografijos paslaugų tęstinumo, kokybės gerinimo Kėdainių rajono savivaldybėje 2020-2025 m. programą</t>
  </si>
  <si>
    <t>Šėtos socialinis ir ugdymo centras</t>
  </si>
  <si>
    <t xml:space="preserve">Finansuoti vaikų vasaros stovyklų ir kitų neformaliojo vaikų švietimo veiklų programas  </t>
  </si>
  <si>
    <t>Teikti vienkartinę išmoką gimus vaikui Lietuvos Respublikos teritorijoje ir gyvenančiam Kėdainių rajono savivaldybėje</t>
  </si>
  <si>
    <t>Sudaryti saugias ugdymo sąlygas įstaigose, vykdančiose ugdymo programas</t>
  </si>
  <si>
    <t>Įrengti vėdinimo  ir kondicionavimo sistemas savivaldybės ugdymo įstaigose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</si>
  <si>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</si>
  <si>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</si>
  <si>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>Atlikti Paberžės klebonijos ir svirno restauravimo ir remonto darbus</t>
  </si>
  <si>
    <t>Įrengti  valstybinės reikšmės kelių nuorodas į savivaldybės kultūros paveldo objektus</t>
  </si>
  <si>
    <t>Įgyvendinti projektą "Kėdainių gatvių apšvietimo modernizavimas"</t>
  </si>
  <si>
    <t>13.1</t>
  </si>
  <si>
    <t>Kėdainių krašto muziejus iš viso:</t>
  </si>
  <si>
    <t>06.04.01.01.</t>
  </si>
  <si>
    <t>Grąžinti valstybės biudžeto lėšas (dotaciją)</t>
  </si>
  <si>
    <t>iš jų: užimtumo didinimo programai įgyvendinti</t>
  </si>
  <si>
    <t>01.1</t>
  </si>
  <si>
    <t>01.2</t>
  </si>
  <si>
    <t>iš jų: modernizuoti Kėdainių krašto muziejaus Daugiakultūrio centrą</t>
  </si>
  <si>
    <t>09.08.01.09</t>
  </si>
  <si>
    <t>Koordinuotai teikiamų paslaugų vaikams nuo gimimo iki 18 metų (turintiems didelių ir labai didelių specialiųjų ugdymosi poreikių − iki 21 metų) ir vaiko atstovams koordinavimas</t>
  </si>
  <si>
    <t>01.08.01.02</t>
  </si>
  <si>
    <t xml:space="preserve">                                                 1 priedas</t>
  </si>
  <si>
    <t xml:space="preserve">             Pajamų pavadinimas</t>
  </si>
  <si>
    <t>Suma (tūkst. Eur)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</si>
  <si>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</si>
  <si>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</si>
  <si>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</si>
  <si>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</si>
  <si>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</si>
  <si>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</si>
  <si>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</si>
  <si>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 xml:space="preserve">     dalyvauti rengiant ir vykdant mobilizaciją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</si>
  <si>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</si>
  <si>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</si>
  <si>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</si>
  <si>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</t>
  </si>
  <si>
    <t xml:space="preserve">     jaunimo teisių apsaugai</t>
  </si>
  <si>
    <t xml:space="preserve">     būsto nuomos ar išperkamosios būsto nuomos mokesčių dalies kompensacijoms</t>
  </si>
  <si>
    <t xml:space="preserve">     civilinės būklės aktams registruoti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</si>
  <si>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</si>
  <si>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</si>
  <si>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</si>
  <si>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</si>
  <si>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</si>
  <si>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archyviniems dokumentams tvarkyti</t>
  </si>
  <si>
    <t xml:space="preserve">     neveiksnių asmenų būklės peržiūrėjimui</t>
  </si>
  <si>
    <t>Kita tikslinė dotacija, iš jos:</t>
  </si>
  <si>
    <t xml:space="preserve">     mokyklos specialiųjų ugdymosi poreikių turintiems mokiniams</t>
  </si>
  <si>
    <t>Kitos dotacijos, iš jų: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</si>
  <si>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</si>
  <si>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</si>
  <si>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</si>
  <si>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</si>
  <si>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</si>
  <si>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</si>
  <si>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</si>
  <si>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</si>
  <si>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</si>
  <si>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Materialiojo ir nematerialiojo turto realizavimo pajamos</t>
  </si>
  <si>
    <t>FINANSINIŲ ĮSIPAREIGOJIMŲ PRISIĖMIMO (SKOLINIMOSI) PAJAMOS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</si>
  <si>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</si>
  <si>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</si>
  <si>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</si>
  <si>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</si>
  <si>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</si>
  <si>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</si>
  <si>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</si>
  <si>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</si>
  <si>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>IŠ VISO (34+35)</t>
  </si>
  <si>
    <t>________________________________________________</t>
  </si>
  <si>
    <t>09.02.01.01
09.02.02.01 
09.05.01.01
09.05.01.02</t>
  </si>
  <si>
    <t>16.1</t>
  </si>
  <si>
    <t>Kėdainių „Spindulio“ mokykla</t>
  </si>
  <si>
    <t>Progra- mos kodas</t>
  </si>
  <si>
    <t>10 priedas</t>
  </si>
  <si>
    <t>Remontuoti Kėdainių „Ryto“ progimnaziją, kuriant šiuolaikines mokymosi erdves</t>
  </si>
  <si>
    <t>Vykdyti E. sveikatos informacinės sistemos diegimo,  palaikymo ir tobulinimo VšĮ PSPC  ir VšĮ Kėdainių ligoninėje 2022 -2026 m. programą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</si>
  <si>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</si>
  <si>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</si>
  <si>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>Organizuoti  nemokamą socialiai remtinų vaikų maitinimą ikimokyklinėse įstaigose</t>
  </si>
  <si>
    <t>Kompensuoti nemokamo mokinių maitinimo kainą bendrojo lavinimo mokyklose</t>
  </si>
  <si>
    <t xml:space="preserve">Organizuoti socialinės reabilitacijos paslaugų neįgaliesiems bendruomenėje projektų konkursus </t>
  </si>
  <si>
    <t>Dengti kainų skirtumą gyventojams už šildymą</t>
  </si>
  <si>
    <t>Kompensuoti  karšto ir šalto vandens pardavimo kainą socialiai remtiniems  asmenims</t>
  </si>
  <si>
    <t>Kompensuoti kelionės išlaidas už lengvatinį keleivių vežimą</t>
  </si>
  <si>
    <t xml:space="preserve">Remontuoti savivaldybės ir socialinį būstą </t>
  </si>
  <si>
    <t>Sudaryti sąlygas bendruomeninių organizacijų veiklai</t>
  </si>
  <si>
    <t>Skatinti nevyriausybinių organizacijų, bendruomeninių organizacijų plėtrą rajone</t>
  </si>
  <si>
    <t xml:space="preserve"> </t>
  </si>
  <si>
    <t>Atlikti archeologinius ir kitus tyrinėjimus kultūros paveldo teritorijose, vykdyti paveldo objektams parengtų tvarkybos projektų ekspertizę, parengti sąmatas</t>
  </si>
  <si>
    <t>Teikti finansinę paramą verslą pradedantiems ar sunkumų patiriantiems SVV subjektams Kėdainių rajone per Savivaldybės smulkiojo verslo rėmimo fondą</t>
  </si>
  <si>
    <t xml:space="preserve">Kompensuoti UAB "Kėdbusas" nuostolingus  maršrutus </t>
  </si>
  <si>
    <t xml:space="preserve">Įgyvendinti priemones, finansuojamas iš Savivaldybės mero fondo </t>
  </si>
  <si>
    <t>Rengti specialiuosius, bendruosius, detaliuosius, geodezinius planus bei  topografines nuotraukas</t>
  </si>
  <si>
    <t xml:space="preserve">Atlikti turto inventorizavimą, teisinę registraciją, parengti  dokumentus turto pardavimui  </t>
  </si>
  <si>
    <t xml:space="preserve">Plėsti vandentiekio ir nuotekų tinklus Šlapaberžės kaime </t>
  </si>
  <si>
    <t>Parengti nuotekų tinklų įrengimo Josvainių mstl. P.Cvirkos g. projektą</t>
  </si>
  <si>
    <t>Finansuoti inžinerines paslaugas, darbus ir įrengimus</t>
  </si>
  <si>
    <t>Apmokėti Europos Sąjungos projektų,  kuriems taikomas apmokėjimas kompensavimo būdu, išlaidas</t>
  </si>
  <si>
    <t xml:space="preserve"> MOKESČIAI (2+3+4+8)</t>
  </si>
  <si>
    <t>Gyventojų pajamų mokestis, mokamas už pajamas, gautas iš veiklos, kuria verčiamasi turint verslo liudijimą</t>
  </si>
  <si>
    <t>Turto mokesčiai (5+6+7)</t>
  </si>
  <si>
    <t>Prekių ir paslaugų mokesčiai (9)</t>
  </si>
  <si>
    <t>DOTACIJOS (11+12+16)</t>
  </si>
  <si>
    <t>Dotacija savivaldybėms iš Europos Sąjungos, kitos tarptautinės finansinės paramos ir bendrojo finansavimo lėšų (11.1+11.2 )</t>
  </si>
  <si>
    <t>Speciali tikslinė dotacija (13+14+15), iš jos:</t>
  </si>
  <si>
    <t>Valstybinėms (perduotoms savivaldybėms) funkcijoms atlikti, iš jos: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</si>
  <si>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</si>
  <si>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</si>
  <si>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</si>
  <si>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</si>
  <si>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</si>
  <si>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</si>
  <si>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</si>
  <si>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</si>
  <si>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</si>
  <si>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</si>
  <si>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</si>
  <si>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</si>
  <si>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</si>
  <si>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</si>
  <si>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</si>
  <si>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</si>
  <si>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</si>
  <si>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</si>
  <si>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</si>
  <si>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</si>
  <si>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 xml:space="preserve">     sveikos gyvensenos plėtojimui ir stiprinimui, visuomenės sveikatos stebėsenai</t>
  </si>
  <si>
    <t>13.22</t>
  </si>
  <si>
    <t>13.23</t>
  </si>
  <si>
    <t>Ugdymo reikmėms finansuoti</t>
  </si>
  <si>
    <t>KITOS PAJAMOS (18+23+27+30+31+32)</t>
  </si>
  <si>
    <t>Turto pajamos (19+20+21+22)</t>
  </si>
  <si>
    <t>Pajamos už prekes ir paslaugas (24+25+26)</t>
  </si>
  <si>
    <t>Rinkliavos (28+29 )</t>
  </si>
  <si>
    <t xml:space="preserve">                                       IŠ VISO PAJAMŲ IR DOTACIJŲ (1+10+17)</t>
  </si>
  <si>
    <t>IŠ VISO (33+34)</t>
  </si>
  <si>
    <t>iš jų: aprūpinti ikimokyklinio ugdymo įstaigų sveikatos kabinetus metodinėmis priemonėmis</t>
  </si>
  <si>
    <t>6.1</t>
  </si>
  <si>
    <t>11.8</t>
  </si>
  <si>
    <t xml:space="preserve">Parengti vandentiekio ir nuotekų tinklų išplėtimo Mantviliškio  kaime techninį projektą </t>
  </si>
  <si>
    <t xml:space="preserve"> Sveikos gyvensenos plėtojimui ir stiprinimui, visuomenės sveikatos stebėsenai</t>
  </si>
  <si>
    <t>04.01.02.09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</si>
  <si>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</si>
  <si>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>03.6</t>
  </si>
  <si>
    <t xml:space="preserve">Teikti apdovanojimus aukšto meistriškumo sportininkams ir jų treneriams už sporto pasiekimus </t>
  </si>
  <si>
    <t xml:space="preserve">Parengti Senojo Upytės kelio specialųjį planą ("Isos slėnis") </t>
  </si>
  <si>
    <t>Sutvarkyti namų ūkiuose susidariusias asbesto atliekas</t>
  </si>
  <si>
    <t xml:space="preserve">Socialinėms paslaugoms:
Teikti šeimoms individualios priežiūros darbuotojų paslaugas </t>
  </si>
  <si>
    <t>Vykdyti Kėdainių lopšelio-darželio „Žilvitis“ infrastruktūros modernizavimo projektą</t>
  </si>
  <si>
    <t>10.01.02.01
10.01.02.02
10.06.01.01
10.09.01.01 
10.09.01.09</t>
  </si>
  <si>
    <t>13 priedas</t>
  </si>
  <si>
    <t xml:space="preserve">                 KĖDAINIŲ RAJONO SAVIVALDYBĖS APLINKOS APSAUGOS RĖMIMO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</si>
  <si>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</si>
  <si>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</si>
  <si>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</si>
  <si>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</si>
  <si>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</si>
  <si>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</si>
  <si>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</si>
  <si>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</si>
  <si>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</si>
  <si>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</si>
  <si>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</si>
  <si>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1.5.</t>
  </si>
  <si>
    <t>1.6.</t>
  </si>
  <si>
    <t>Mokesčiai, sumokėti už medžiojamųjų gyvūnų išteklių naudojimą</t>
  </si>
  <si>
    <t>1.7.</t>
  </si>
  <si>
    <t xml:space="preserve">Ankstesnio ataskaitinio laikotarpio ataskaitos atitinkamų lėšų likutis </t>
  </si>
  <si>
    <t>1.8.</t>
  </si>
  <si>
    <t>(2) Savivaldybės visuomenės sveikatos rėmimo specialiajai programai skirtinos lėšos</t>
  </si>
  <si>
    <t>Lėšos,                 tūkst. Eur</t>
  </si>
  <si>
    <t>1.10.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</si>
  <si>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</si>
  <si>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1.11.</t>
  </si>
  <si>
    <t>(3) Kitoms Programos priemonėms skirtinos lėšos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</si>
  <si>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</si>
  <si>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</si>
  <si>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</si>
  <si>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</si>
  <si>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</si>
  <si>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</si>
  <si>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2.1.2.</t>
  </si>
  <si>
    <t>Informacijai apie parengtą preliminarų medžioklės plotų vieneto sudarymo ar jo ribų keitimo projektą paskelbti šalies ir vietinėje spaudoje</t>
  </si>
  <si>
    <t>2.2.</t>
  </si>
  <si>
    <t>Kartografinės ir kitos medžiagos, reikalingos pagal Medžioklės įstatymo reikalavimus rengiamiems medžioklės plotų vienetų sudarymo ar jų ribų pakeitimo projektų parengimo priemonės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</si>
  <si>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</si>
  <si>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</si>
  <si>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</si>
  <si>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</si>
  <si>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</si>
  <si>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</si>
  <si>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</si>
  <si>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</si>
  <si>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</si>
  <si>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</si>
  <si>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</si>
  <si>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</si>
  <si>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</si>
  <si>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</si>
  <si>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</si>
  <si>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</si>
  <si>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</si>
  <si>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</si>
  <si>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</si>
  <si>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</si>
  <si>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</si>
  <si>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</si>
  <si>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</si>
  <si>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</si>
  <si>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</si>
  <si>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>Gudžiūnų seniūnijai</t>
  </si>
  <si>
    <t>4.1.2</t>
  </si>
  <si>
    <t>Sosnovskio barsčio naikinimui Kėdainių r. pagal gausos reguliavimo veiksmų planą</t>
  </si>
  <si>
    <t>4.1.3</t>
  </si>
  <si>
    <t>Kraujupio upelio minimaliam debitui papildyti Nevėžio upės vandeniu</t>
  </si>
  <si>
    <t>4.1.4.</t>
  </si>
  <si>
    <t>Individualių nuotekų valymo įrenginių kompensavimui Kėdainių r. sav.</t>
  </si>
  <si>
    <t>4.1.5.</t>
  </si>
  <si>
    <t>4.1.6.</t>
  </si>
  <si>
    <t>Kėdainių miesto gatvių plovimo, laistymo darbams</t>
  </si>
  <si>
    <t>4.2.</t>
  </si>
  <si>
    <t>Atliekų, kurių turėtojo nustatyti neįmanoma arba kuris nebeegzistuoja, tvarkymo priemonės</t>
  </si>
  <si>
    <t>4.2.1.</t>
  </si>
  <si>
    <t>Atliekų, kuriomis užteršta teritorija, nustatymo ir atliekomis užterštos teritorijos išvalymo ir sutvarkymo darbai</t>
  </si>
  <si>
    <t>4.3.</t>
  </si>
  <si>
    <t>Aplinkos monitoringo, prevencinės, aplinkos atkūrimo priemonės</t>
  </si>
  <si>
    <t>4.3.1.</t>
  </si>
  <si>
    <t>Gelbėjimo ir cheminių avarijų padariniams likviduoti ir priemonėms finansuoti</t>
  </si>
  <si>
    <t>4.3.2.</t>
  </si>
  <si>
    <t>4.3.3.</t>
  </si>
  <si>
    <t>Aplinkos oro, dirvožemio, požeminio ir paviršinio vandens nuotekų tyrimų atlikimui Kėdainių r.</t>
  </si>
  <si>
    <t>4.3.4.</t>
  </si>
  <si>
    <t>Nevėžio upės pakrančių valymui, tvarkymui Kėdainių m.</t>
  </si>
  <si>
    <t>4.3.5.</t>
  </si>
  <si>
    <t>Dotnuvėlės upelio pakrančių valymui, tvarkymui Kėdainių m.</t>
  </si>
  <si>
    <t>4.3.6.</t>
  </si>
  <si>
    <t>Jūrinių erelių perimviečių stebėjimui Kėdainių rajone</t>
  </si>
  <si>
    <t>4.3.7.</t>
  </si>
  <si>
    <t>Upių vandens tyrimams atlikti Kėdainių r. sav.</t>
  </si>
  <si>
    <t>4.3.8.</t>
  </si>
  <si>
    <t>4.3.9.</t>
  </si>
  <si>
    <t>4.3.10.</t>
  </si>
  <si>
    <t>Pažeistų Dotnuvėlės upės krantų tvirtinimui</t>
  </si>
  <si>
    <t>4.4.</t>
  </si>
  <si>
    <t>Visuomenės švietimo ir mokymo aplinkosaugos klausimais priemonės</t>
  </si>
  <si>
    <t>4.4.1.</t>
  </si>
  <si>
    <t>Kėdainių r. sav. aplinkosauginio švietimo  įgyvendinimui</t>
  </si>
  <si>
    <t>4.4.2.</t>
  </si>
  <si>
    <t>Prenumeruoti spaudos leidinius aplinkosaugine tema ugdymo įstaigoms</t>
  </si>
  <si>
    <t>4.4.3.</t>
  </si>
  <si>
    <t>Konkursui „Gražiausiai tvarkoma aplinka“ rengti</t>
  </si>
  <si>
    <t>4.5.</t>
  </si>
  <si>
    <t>Želdynų ir želdinių apsaugos, tvarkymo, būklės stebėsenos, želdynų kūrimo, želdinių veisimo ir inventorizavimo priemonės</t>
  </si>
  <si>
    <t>4.5.1.</t>
  </si>
  <si>
    <t>Medeliams ir želdiniams sodinti ir prižiūrėti:</t>
  </si>
  <si>
    <t>4.5.1.1.</t>
  </si>
  <si>
    <t>4.5.1.2.</t>
  </si>
  <si>
    <t xml:space="preserve">Gudžiūnų seniūnijai </t>
  </si>
  <si>
    <t>4.5.1.3.</t>
  </si>
  <si>
    <t xml:space="preserve">Josvainių seniūnijai </t>
  </si>
  <si>
    <t>4.5.1.4.</t>
  </si>
  <si>
    <t>4.5.1.5.</t>
  </si>
  <si>
    <t>4.5.1.6.</t>
  </si>
  <si>
    <t>4.5.1.7.</t>
  </si>
  <si>
    <t xml:space="preserve">Pernaravos seniūnijai </t>
  </si>
  <si>
    <t>4.5.1.8.</t>
  </si>
  <si>
    <t>4.5.1.9.</t>
  </si>
  <si>
    <t>4.5.1.10.</t>
  </si>
  <si>
    <t>Truskavos seniūnijai</t>
  </si>
  <si>
    <t>4.5.1.11.</t>
  </si>
  <si>
    <t>4.5.2.</t>
  </si>
  <si>
    <t>Kaštoninio karšelio gaudyklėms įsigyti</t>
  </si>
  <si>
    <t>4.5.3.</t>
  </si>
  <si>
    <t>4.5.4.</t>
  </si>
  <si>
    <t>Viešųjų erdvių apželdinimas Kėdainių m.</t>
  </si>
  <si>
    <t>4.5.5.</t>
  </si>
  <si>
    <t>4.6.</t>
  </si>
  <si>
    <t>Kitos išlaidos</t>
  </si>
  <si>
    <t>Iš viso:</t>
  </si>
  <si>
    <t xml:space="preserve">                                                __________________________</t>
  </si>
  <si>
    <t>Rekonstruoti/įrengti/modernizuoti Kėdainių miesto ir rajono  gatvių apšvietimą</t>
  </si>
  <si>
    <t xml:space="preserve">                 SPECIALIOSIOS PROGRAMOS 2023 METŲ PRIEMONIŲ SĄMATA                                                                                                                 </t>
  </si>
  <si>
    <t xml:space="preserve">2023 METŲ VALSTYBĖS BIUDŽETO SPECIALIOS TIKSLINĖS DOTACIJOS SAVIVALDYBĖS BIUDŽETUI KITI ASIGNAVIMAI </t>
  </si>
  <si>
    <t>2023 METŲ VALSTYBĖS BIUDŽETO SPECIALIOS TIKSLINĖS DOTACIJOS SAVIVALDYBĖS BIUDŽETUI VALSTYBINĖMS (VALSTYBĖS PERDUOTOMS SAVIVALDYBEI) FUNKCIJOMS ATLIKTI ASIGNAVIMAI</t>
  </si>
  <si>
    <t xml:space="preserve">KĖDAINIŲ RAJONO SAVIVALDYBĖS 2023 METŲ BIUDŽETO ASIGNAVIMAI PROJEKTAMS FINANSUOTI EUROPOS SĄJUNGOS LĖŠOMIS </t>
  </si>
  <si>
    <t>KĖDAINIŲ RAJONO SAVIVALDYBĖS 2023 METŲ BIUDŽETO ASIGNAVIMAI  SAVARANKIŠKOMS FUNKCIJOMS ATLIKTI</t>
  </si>
  <si>
    <t xml:space="preserve">          KĖDAINIŲ RAJONO SAVIVALDYBĖS 2023 METŲ BIUDŽETO PAJAMOS</t>
  </si>
  <si>
    <t>Kėdainių rajono savivaldybės 2023 m. biudžeto asignavimai investicijų projektams ir remonto darbams finansuoti pagal objektus:</t>
  </si>
  <si>
    <t>iš jų: vykdyti socialinės paramos 2023 m. programą</t>
  </si>
  <si>
    <t xml:space="preserve">Įdiegti saulės elektrinės pagamintos  energijos kaupimo įrenginį Kėdainių r. Šėtos gimnazijoje 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</si>
  <si>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</si>
  <si>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</si>
  <si>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 xml:space="preserve">Didinti ugdymo prieinamumą atskirtį patiriantiems vaikams </t>
  </si>
  <si>
    <t>Plėtoti įvairialypį švietimą, vykdant visos dienos mokyklos veiklą</t>
  </si>
  <si>
    <t xml:space="preserve">Vykdyti Kėdainių rajono tuberkuliozės prevencijos, ankstyvosios diagnostikos, gydymo ir kontrolės 2023–2027 m. programą </t>
  </si>
  <si>
    <t>Vykdyti pirminės asmens sveikatos priežiūros paslaugų prieinamumo ir kokybės užtikrinimo Kėdainių rajono kaimiškųjų vietovių gyventojams 2017–2025 m. programą</t>
  </si>
  <si>
    <t>Įgyvendinti žemo slenksčio paslaugų kokybės  Kėdainių rajone užtikrinimo 2023-2027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</si>
  <si>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</si>
  <si>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</si>
  <si>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</si>
  <si>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</si>
  <si>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</si>
  <si>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>Futbolo komandos Kėdainių „Nevėžis“ klubinio futbolo vystymo programai</t>
  </si>
  <si>
    <t>Bokso sporto šakos vystymo programai</t>
  </si>
  <si>
    <t>Kėdainių rajono vaikų ir jaunimo futbolo plėtros programai</t>
  </si>
  <si>
    <t>3 prieš 3 krepšinio plėtros programai</t>
  </si>
  <si>
    <t>Moterų futbolo komandos Kėdainių „Nevėžis“ programai</t>
  </si>
  <si>
    <t>Finansuoti sporto projektus</t>
  </si>
  <si>
    <t>Rengti techninę dokumentaciją  Kėdainių miesto ir rajono ugdymo įstaigų stadionų /sporto aikštynų atnaujinimui</t>
  </si>
  <si>
    <t xml:space="preserve">Kėdainių krepšinio komandos „Nevėžis-Optibet“ klubinio krepšinio vystymo programai </t>
  </si>
  <si>
    <t>iš jų: dalyvauti Žydų kultūros paveldo kelio asociacijos veikloje ir puoselėti žydų kultūros paveldo atminimą Kėdainiuose</t>
  </si>
  <si>
    <t xml:space="preserve">Įsigyti Janinos Monkutės-Marks pastatą </t>
  </si>
  <si>
    <t xml:space="preserve">Parengti Nekilnojamųjų kultūros vertybių vertinimo medžiagą,  nekilnojamųjų kultūros paveldo objektų, vietovių  individualius apsaugos reglamentus </t>
  </si>
  <si>
    <t>Rengti dokumentaciją, atlikti lankytinų objektų,  kultūros paveldo objektų ar objektų, esančių kultūros paveldo teritorijų prieigose, tvarkybos, atnaujinimo, restauravimo darbus seniūnijose</t>
  </si>
  <si>
    <t>Įrengti, rekonstruoti, išplėsti vandentiekio ir/ar nuotekų tinklus Kėdainių mieste ( Šviesos, g. Pievų g.)</t>
  </si>
  <si>
    <t xml:space="preserve">Įrengti biologinius nuotekų valymo įrenginius </t>
  </si>
  <si>
    <t>Parengti  nuotekų tinklų ir nuotekų valyklos įrengimo  Okainių k. techninį projektą</t>
  </si>
  <si>
    <t>Parengti vandentiekio ir nuotekų tinklų, nuotekų valyklos įrengimo  Langakių k. techninį projektą</t>
  </si>
  <si>
    <t>Sutvarkyti naudotas padangas, kurių turėtojų nustatyti neįmanoma arba kurie neegzistuoja</t>
  </si>
  <si>
    <t>Vykdyti Kėdainių rajono Dotnuvos seniūnijos Kruostos upės Vaidatonių tvenkinio hidrotechnikos statinių rekonstrukciją ir techninės priežiūros paslaugas</t>
  </si>
  <si>
    <t>Dalyvauti projekto „MSNA „Daukšių drenažas“ nariams priklausančių ir valstybinių melioracijos statinių rekonstravimas“ įgyvendinime</t>
  </si>
  <si>
    <t xml:space="preserve">Parengti techninę dokumentaciją ir atlikti Kėdainių miesto hidrotechnikos statinio ant Dotnuvėlės upės remonto darbus </t>
  </si>
  <si>
    <t>Didinti piliečių įtraukimo į biudžeto formavimą galimybes, įgyvendinant dalyvaujamojo biudžeto iniciatyvas</t>
  </si>
  <si>
    <t>Kėdainių r. sav. teritorijoje esančių saugomų teritorijų apsaugos ir tvarkymo darbai (šienavimas, menkaverčių krūmų iškirtimas)</t>
  </si>
  <si>
    <t>Kėdainių r. sav. 2019–2024 m. aplinkos monitoringo programos 2023 m. paslaugų įgyvendinimui</t>
  </si>
  <si>
    <t>Vandens telkinių tvarkymo darbų projektų parengimas</t>
  </si>
  <si>
    <t>Želdinių būklės ekspertizės paslaugos</t>
  </si>
  <si>
    <t xml:space="preserve">Kita dotacija kompleksinėms paslaugoms šeimai organizuoti 2023 metais </t>
  </si>
  <si>
    <t>2022 METŲ NEPANAUDOTOS BIUDŽETO PAJAMOS, IŠ JŲ: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</si>
  <si>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</si>
  <si>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31.1</t>
  </si>
  <si>
    <t>31.2</t>
  </si>
  <si>
    <t>31.3</t>
  </si>
  <si>
    <t>31.4</t>
  </si>
  <si>
    <t>31.5</t>
  </si>
  <si>
    <t>31.5.1</t>
  </si>
  <si>
    <t>31.5.2</t>
  </si>
  <si>
    <t>31.5.3</t>
  </si>
  <si>
    <t>31.5.4</t>
  </si>
  <si>
    <t>31.5.5</t>
  </si>
  <si>
    <t>31.5.6</t>
  </si>
  <si>
    <t>31.5.7</t>
  </si>
  <si>
    <t>31.5.8</t>
  </si>
  <si>
    <t>31.5.9</t>
  </si>
  <si>
    <t>31.5.10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</si>
  <si>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</si>
  <si>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</si>
  <si>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</si>
  <si>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</si>
  <si>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</si>
  <si>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</si>
  <si>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</si>
  <si>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</si>
  <si>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</si>
  <si>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</si>
  <si>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</si>
  <si>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</si>
  <si>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</si>
  <si>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</si>
  <si>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</si>
  <si>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</si>
  <si>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</si>
  <si>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</si>
  <si>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</si>
  <si>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</si>
  <si>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</si>
  <si>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</si>
  <si>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</si>
  <si>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</si>
  <si>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</si>
  <si>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</si>
  <si>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</si>
  <si>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</si>
  <si>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</si>
  <si>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55.1</t>
  </si>
  <si>
    <t>55.2</t>
  </si>
  <si>
    <t>55.3</t>
  </si>
  <si>
    <t>55.4</t>
  </si>
  <si>
    <t>55.5</t>
  </si>
  <si>
    <t>55.6</t>
  </si>
  <si>
    <t>55.6.1</t>
  </si>
  <si>
    <t>55.6.2</t>
  </si>
  <si>
    <t>74.1</t>
  </si>
  <si>
    <t>74.2</t>
  </si>
  <si>
    <t>74.3</t>
  </si>
  <si>
    <t>74.4</t>
  </si>
  <si>
    <t>74.5</t>
  </si>
  <si>
    <t>74.6</t>
  </si>
  <si>
    <t>74.7</t>
  </si>
  <si>
    <t>74.7.1</t>
  </si>
  <si>
    <t>74.7.2</t>
  </si>
  <si>
    <t>78.1</t>
  </si>
  <si>
    <t>Finansuoti sporto šakų programas, iš jų:</t>
  </si>
  <si>
    <t>78.2</t>
  </si>
  <si>
    <t>78.3</t>
  </si>
  <si>
    <t>78.4</t>
  </si>
  <si>
    <t>2.1</t>
  </si>
  <si>
    <t>2.2</t>
  </si>
  <si>
    <t>2.3</t>
  </si>
  <si>
    <t>2.4</t>
  </si>
  <si>
    <t>3</t>
  </si>
  <si>
    <t>4.1</t>
  </si>
  <si>
    <t>8.1</t>
  </si>
  <si>
    <t>10.1</t>
  </si>
  <si>
    <t>5</t>
  </si>
  <si>
    <t>6</t>
  </si>
  <si>
    <t>10.</t>
  </si>
  <si>
    <t xml:space="preserve">01.03.02.09
</t>
  </si>
  <si>
    <t>Vykdyti kompiuterinės tomografijos paslaugų kokybės gerinimo Kėdainių rajono savivaldybėje 2023-2030 m. programą</t>
  </si>
  <si>
    <t xml:space="preserve">     užimtumo didinimo programoms įgyvendinti</t>
  </si>
  <si>
    <t>Užimtumo didinimo programų įgyvendinimas</t>
  </si>
  <si>
    <t xml:space="preserve">   pirminei valstybės garantuojamai teisinei pagalbai teikti</t>
  </si>
  <si>
    <t xml:space="preserve">     gyvenamosios vietos deklaravimo duomenų ir gyvenamosios vietos nedeklaravusių asmenų apskaitos duomenims tvarkyti</t>
  </si>
  <si>
    <t xml:space="preserve">     erdvinių duomenų rinkiniui tvarkyti</t>
  </si>
  <si>
    <t xml:space="preserve">     duomenų teikimas suteiktos valstybės pagalbos registrui</t>
  </si>
  <si>
    <t>Duomenų teikimas suteiktos valstybės pagalbos registrui</t>
  </si>
  <si>
    <t xml:space="preserve">     psichosocialinės pagalbos ir savižudžių prevencijos priemonių įgyvendinimui</t>
  </si>
  <si>
    <t xml:space="preserve"> Psichosocialinės pagalbos ir savižudžių prevencijos priemonių įgyvendinimui</t>
  </si>
  <si>
    <t xml:space="preserve">     koordinuotai teikiamų paslaugų vaikams nuo gimimo iki 18 metų (turintiems didelių ir labai didelių specialiųjų ugdymosi poreikių − iki 21 metų) ir vaiko atstovams koordinavimui</t>
  </si>
  <si>
    <t>1.12.</t>
  </si>
  <si>
    <t>03.7</t>
  </si>
  <si>
    <t xml:space="preserve">04.01.02.01 10.06.01.01 10.07.01.01
10.09.01.09 </t>
  </si>
  <si>
    <t>04.01.02.01 10.06.01.01 10.07.01.01
10.09.01.09</t>
  </si>
  <si>
    <t>iš jų: parengti Kėdainių evangelikų ir reformatų bažnyčios tvarkybos darbų projektą ir atlikti tvarkybos darbus</t>
  </si>
  <si>
    <t xml:space="preserve"> 10.06.01.01 10.07.01.01
10.09.01.09</t>
  </si>
  <si>
    <t>16.2</t>
  </si>
  <si>
    <t>16.3</t>
  </si>
  <si>
    <t xml:space="preserve">      valstybės biudžeto lėšos, skirtos 2023 metais socialinės reabilitacijos paslaugų neįgaliesiems teikimo bendruomenėje organizuoti, teikti ir administruoti</t>
  </si>
  <si>
    <t>Kita dotacija 2023 metais socialinės reabilitacijos paslaugų neįgaliesiems teikimo bendruomenėje organizuoti, teikti ir administruoti</t>
  </si>
  <si>
    <t>Kita dotacija 2023 m. akredituotai vaikų dienos socialinei priežiūrai organizuoti, teikti ir administruot</t>
  </si>
  <si>
    <t>Įgyvendinti mokytojų ir pagalbos mokiniui specialistų  motyvacijos programą</t>
  </si>
  <si>
    <t>Prisidėti prie savivaldybei priklausančio būsto renovacijos savivaldybės biudžeto lėšomis</t>
  </si>
  <si>
    <t>31.5.11</t>
  </si>
  <si>
    <t>Koofinansuoti  ugdymo įstaigų dalyvavimą infrastruktūros gerinimo/modernizavimo projektuose</t>
  </si>
  <si>
    <t xml:space="preserve">Įrengti pėsčiųjų ir dviračių takus Pramonės g. Kėdainių mieste  </t>
  </si>
  <si>
    <t>04.05.01.02</t>
  </si>
  <si>
    <t>Kompleksiškai sutvarkyti ir pritaikyti bendruomenei ir verslui Kėdainių miesto viešąsias erdves</t>
  </si>
  <si>
    <t>4.2.2.</t>
  </si>
  <si>
    <t>Bešeimininkėms atliekoms ir nelegalioms sąvartoms tvarkyti, rekreacinių teritorijų tvarkai užtikrinti seniūnijose</t>
  </si>
  <si>
    <t>4.5.6.</t>
  </si>
  <si>
    <t>Želdynų kūrimo ir tvarkymo projektų rengimui</t>
  </si>
  <si>
    <t>Iš viso (1.1 + 1.2):</t>
  </si>
  <si>
    <t>Iš viso (1.4 + 1.5):</t>
  </si>
  <si>
    <t>Faktinės Programos lėšos (1.3 + 1.6)</t>
  </si>
  <si>
    <t>Iš viso (2.1 + 2.2):</t>
  </si>
  <si>
    <t>13</t>
  </si>
  <si>
    <t>05.1</t>
  </si>
  <si>
    <t>Kita dotacija savivaldybės viešajai bibliotekai dokumentams 2022 metais įsigyti</t>
  </si>
  <si>
    <t xml:space="preserve">  savivaldybės viešajai bibliotekai dokumentams 2023 m. įsigyti</t>
  </si>
  <si>
    <t xml:space="preserve">     valstybės biudžeto lėšos, skirtos 2023 m. apmokėti būstų nuomai iš fizinių ar juridinių asmenų</t>
  </si>
  <si>
    <t xml:space="preserve">     valstybės biudžeto lėšos, skirtos 2023 m. asmeninei pagalbai teikti ir administruoti</t>
  </si>
  <si>
    <t xml:space="preserve">     valstybės biudžeto lėšos, skirtos vykdyti Nevėžio upės vientisumo atkūrimą, nugriaunant neeksploatuojamus hidroelektrinės statinius ir techninės priežiūros paslaugas </t>
  </si>
  <si>
    <t>16.4</t>
  </si>
  <si>
    <t>16.5</t>
  </si>
  <si>
    <t>16.6</t>
  </si>
  <si>
    <t>16.7</t>
  </si>
  <si>
    <t>08.1</t>
  </si>
  <si>
    <t xml:space="preserve">Kita dotacija  vykdyti Nevėžio upės vientisumo atkūrimą, nugriaunant neeksploatuojamus hidroelektrinės statinius ir techninės priežiūros paslaugas </t>
  </si>
  <si>
    <t>Kita dotacija 2023 metais asmeninei pagalbai teikti ir administruoti</t>
  </si>
  <si>
    <t>Kita dotacija 2023 m. apmokėti būstų nuomai iš fizinių ar juridinių asmenų</t>
  </si>
  <si>
    <t>prioritetinės ir neprioritetinės infrastruktūros įmokos</t>
  </si>
  <si>
    <t>Kitos neišvardytos pajamos, iš jų:</t>
  </si>
  <si>
    <t>Teikti kompleksines paslaugas šeimai Kėdainių rajone</t>
  </si>
  <si>
    <t>Rengti infrastruktūros plėtros  technines dokumentacijas</t>
  </si>
  <si>
    <t>Mokėti išmokas pagal savivaldybės infrastruktūros plėtros sutartis</t>
  </si>
  <si>
    <t>6.2</t>
  </si>
  <si>
    <t>12.1</t>
  </si>
  <si>
    <t>12.2</t>
  </si>
  <si>
    <t>14.1</t>
  </si>
  <si>
    <t>10.2</t>
  </si>
  <si>
    <t>14</t>
  </si>
  <si>
    <t>16.8</t>
  </si>
  <si>
    <t xml:space="preserve">  valstybės biudžeto lėšos, skirtos 2023 m. akredituotai vaikų dienos socialinei priežiūrai organizuoti, teikti ir administruoti</t>
  </si>
  <si>
    <t xml:space="preserve">  valstybės biudžeto lėšos kompleksinėms paslaugoms šeimai organizuoti 2023 metais </t>
  </si>
  <si>
    <t xml:space="preserve">    valstybės biudžeto lėšos, skirtos savivaldybės administracijai vienkartinėms išmokoms įsikurti gyvenamojoje vietoje savivaldybės teritorijoje ir (ar) mėnesinėms kompensacijoms atlyginimui švietimo teikėjui už vaiko, ugdymo pagal ikimokyklinio ir priešmokyklinio ugdymo programą išlaidoms</t>
  </si>
  <si>
    <t>Kita dotacija  vienkartinėms išmokoms įsikurti gyvenamojoje vietoje savivaldybės teritorijoje ir (ar) mėnesinėms kompensacijoms atlyginimui švietimo teikėjui už vaiko, ugdymo pagal ikimokyklinio ir priešmokyklinio ugdymo programą išlaidoms</t>
  </si>
  <si>
    <t xml:space="preserve">Teikti ir administruoti asmeninę pagalbą </t>
  </si>
  <si>
    <t>41.16</t>
  </si>
  <si>
    <t>41.16.1</t>
  </si>
  <si>
    <t>41.16.2</t>
  </si>
  <si>
    <t>41.16.3</t>
  </si>
  <si>
    <t>41.16.4</t>
  </si>
  <si>
    <t>Įrengti gamtos ir technologijų mokslų laboratorijas</t>
  </si>
  <si>
    <t>Atnaujinti Kėdainių muzikos mokyklos pastato fasadą, laiptus į rūsį</t>
  </si>
  <si>
    <t>Parengti Akademijos parko tvarkybos  techninį projektą</t>
  </si>
  <si>
    <t>78.5</t>
  </si>
  <si>
    <t>78.5.1</t>
  </si>
  <si>
    <t>78.5.2</t>
  </si>
  <si>
    <t>78.5.3</t>
  </si>
  <si>
    <t>78.5.4</t>
  </si>
  <si>
    <t>78.5.5</t>
  </si>
  <si>
    <t>78.5.6</t>
  </si>
  <si>
    <t>iš jų: vykdyti socialinio - emocinio ugdymo programas</t>
  </si>
  <si>
    <t>31.5.12</t>
  </si>
  <si>
    <t>Kita dotacija už būsto suteikimą užsieniečiams, pasitraukusiems iš Ukrainos dėl Rusijos federacijos karinės agresijos, finansuoti</t>
  </si>
  <si>
    <t>16.9</t>
  </si>
  <si>
    <t xml:space="preserve">     kompensuoti išlaidas už būsto suteikimą užsieniečiams, pasitraukusiems iš Ukrainos dėl Rusijos federacijos karinės agresijos</t>
  </si>
  <si>
    <t xml:space="preserve">    valstybės biudžeto lėšos, skirtos neformaliajam vaikų švietimui </t>
  </si>
  <si>
    <t>16.10</t>
  </si>
  <si>
    <t>Kita dotacija neformaliajam vaikų švietimui</t>
  </si>
  <si>
    <t xml:space="preserve"> 09.05.01.03</t>
  </si>
  <si>
    <t>Kėdainių rajono savivaldybės administracija</t>
  </si>
  <si>
    <t xml:space="preserve"> 09.05.01.01</t>
  </si>
  <si>
    <t>iš jų: kurti modernias ir šiuolaikines mokymosi erdves Kėdainių kalbų mokykloje</t>
  </si>
  <si>
    <t>11.13</t>
  </si>
  <si>
    <t>Įgyvendinti savarankiško gyvenimo namų paslaugų asmenims su sutrikusiu intelekĮgyvendinti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</si>
  <si>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</si>
  <si>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</si>
  <si>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Parengti bendrojo ir ikimokyklinio ugdymo įstaigų (skyrių) pastatų modernizavimo technines dokumentacijas</t>
  </si>
  <si>
    <t>Įsigyti tekstilės atliekų surinkimo konteinerius</t>
  </si>
  <si>
    <t>Parengti projektus hidrotechninių įrenginių atnaujinimui</t>
  </si>
  <si>
    <t>1.9</t>
  </si>
  <si>
    <t>Iš viso (1.8+1.9):</t>
  </si>
  <si>
    <t>1.13.</t>
  </si>
  <si>
    <t>Iš viso (1.11 + 1.12):</t>
  </si>
  <si>
    <t>Išplėsti nuotekų tinklus Aukštųjų Kaplių k. Liepų g. ir įrengti siurblinę</t>
  </si>
  <si>
    <t>Vykdyti pacientų eilių valdymo sistemos palaikymo Kėdainių pirminės priežiūros centre 2022-2026 m. programą</t>
  </si>
  <si>
    <t>Vykdyti sveikatos priežiūros specialistų skatinimo dirbti VšĮ Kėdainių ligoninėje 2023-2028 m. programą</t>
  </si>
  <si>
    <t>Vykdyti VšĮ Kėdainių ligoninės sterilizacinės modernizavimo 2023-2028 m. programą</t>
  </si>
  <si>
    <t>Vykdyti tinkamų ir saugių darbo sąlygų užtikrinimo, įrengiant vėdinimo bei kondicionavimo sistemas VšĮ Kėdainių ligoninėje 2023-2028 m. programą "</t>
  </si>
  <si>
    <t xml:space="preserve">Vykdyti tinkamų ir saugių darbo sąlygų užtikrinimo, įrengiant vėdinimo bei kondicionavimo sistemas VšĮ Kėdainių  PSPC 2022-2026 m. programą  </t>
  </si>
  <si>
    <t>34.15</t>
  </si>
  <si>
    <t>34.16</t>
  </si>
  <si>
    <t>34.17</t>
  </si>
  <si>
    <t>34.18</t>
  </si>
  <si>
    <t>34.19</t>
  </si>
  <si>
    <t>34.20</t>
  </si>
  <si>
    <t>34.20.1</t>
  </si>
  <si>
    <t>34.20.2</t>
  </si>
  <si>
    <t>81.1</t>
  </si>
  <si>
    <t>81.1.1</t>
  </si>
  <si>
    <t>81.1.2</t>
  </si>
  <si>
    <t>81.1.3</t>
  </si>
  <si>
    <t>81.1.4</t>
  </si>
  <si>
    <t>81.1.5</t>
  </si>
  <si>
    <t>81.1.6</t>
  </si>
  <si>
    <t>81.1.7</t>
  </si>
  <si>
    <t>81.1.8</t>
  </si>
  <si>
    <t>81.1.9</t>
  </si>
  <si>
    <t>81.1.10</t>
  </si>
  <si>
    <t>81.1.11</t>
  </si>
  <si>
    <t>81.1.12</t>
  </si>
  <si>
    <t>81.1.13</t>
  </si>
  <si>
    <t>81.1.14</t>
  </si>
  <si>
    <t>81.1.15</t>
  </si>
  <si>
    <t>81.1.16</t>
  </si>
  <si>
    <t>81.1.17</t>
  </si>
  <si>
    <t>81.1.18</t>
  </si>
  <si>
    <t>81.1.19</t>
  </si>
  <si>
    <t>81.1.20</t>
  </si>
  <si>
    <t>81.1.21</t>
  </si>
  <si>
    <t>81.1.22</t>
  </si>
  <si>
    <t>81.1.23</t>
  </si>
  <si>
    <t>94.1</t>
  </si>
  <si>
    <t>94.2</t>
  </si>
  <si>
    <t>94.3</t>
  </si>
  <si>
    <t>94.4</t>
  </si>
  <si>
    <t>94.5</t>
  </si>
  <si>
    <t>94.6</t>
  </si>
  <si>
    <t>94.7</t>
  </si>
  <si>
    <t>94.8</t>
  </si>
  <si>
    <t>94.8.1</t>
  </si>
  <si>
    <t>94.8.2</t>
  </si>
  <si>
    <t>94.8.3</t>
  </si>
  <si>
    <t>107.1</t>
  </si>
  <si>
    <t>107.2</t>
  </si>
  <si>
    <t>107.2.1</t>
  </si>
  <si>
    <t>107.2.2</t>
  </si>
  <si>
    <t>107.2.3</t>
  </si>
  <si>
    <t>107.2.4</t>
  </si>
  <si>
    <t>107.2.5</t>
  </si>
  <si>
    <t>109.1</t>
  </si>
  <si>
    <t>109.2</t>
  </si>
  <si>
    <t>109.3</t>
  </si>
  <si>
    <t>113.1</t>
  </si>
  <si>
    <t>113.2</t>
  </si>
  <si>
    <t>113.3</t>
  </si>
  <si>
    <t>113.4</t>
  </si>
  <si>
    <t>113.5</t>
  </si>
  <si>
    <t>113.6</t>
  </si>
  <si>
    <t>113.7</t>
  </si>
  <si>
    <t>113.8</t>
  </si>
  <si>
    <t>113.9</t>
  </si>
  <si>
    <t>Vykdyti trūkstamos kvalifikacijos sveikatos priežiūros specialistų skatinimo VšĮ Kėdainių pirminės priežiūros centre  2023-2026 m. programą</t>
  </si>
  <si>
    <t xml:space="preserve">     valstybės biudžeto lėšos, skirtos savivaldybės administracijai  mokėti 20 proc. bazinės socialinės išmokos (BSĮ) neįgaliesiems</t>
  </si>
  <si>
    <t>Kita dotacija savivaldybės administracijai  mokėti 20 proc. bazinės socialinės išmokos (BSĮ) neįgaliesiems</t>
  </si>
  <si>
    <t xml:space="preserve">      valstybės biudžeto lėšos, skirtos 2023 metais būstams pritaikyti neįgaliesiems</t>
  </si>
  <si>
    <t>Kita dotaacija 2022 metais būstams pritaikyti neįgaliesiems</t>
  </si>
  <si>
    <t>03.8</t>
  </si>
  <si>
    <t>03.9</t>
  </si>
  <si>
    <t xml:space="preserve">      valstybės biudžeto lėšos, skirtos socialinių paslaugų šakos kolektyvinėje sutartyje nustatytiems įsipareigojimams igyvendinti</t>
  </si>
  <si>
    <t xml:space="preserve">       valstybės investicijų 2023 m. programoje numatytoms kapitalo investicijoms</t>
  </si>
  <si>
    <t>03.10</t>
  </si>
  <si>
    <t>Kita dotacija socialinių paslaugų šakos kolektyvinėje sutartyje nustatytiems įsipareigojimams igyvendinti</t>
  </si>
  <si>
    <t xml:space="preserve">Modernizuoti Kėdainių šviesiosios gimnazijos pastatą Kėdainiuose, Didžioji g. 60 </t>
  </si>
  <si>
    <t>Rekonstruoti Kėdainių rajono savivaldybės kultūros centro pastatą Kėdainiuose, J. Basanavičiaus g. 24</t>
  </si>
  <si>
    <t>Kita dotacija valstybės investicijų 2023 m. programoje numatytoms kapitalo investicijoms</t>
  </si>
  <si>
    <t>05.2</t>
  </si>
  <si>
    <t xml:space="preserve">Remontuoti Akademijos kultūros centrą </t>
  </si>
  <si>
    <t xml:space="preserve">      savivaldybės institucijos valdomiems vietinės reikšmės keliams</t>
  </si>
  <si>
    <t>16.11</t>
  </si>
  <si>
    <t>16.12</t>
  </si>
  <si>
    <t>16.13</t>
  </si>
  <si>
    <t>16.14</t>
  </si>
  <si>
    <t>16.15</t>
  </si>
  <si>
    <t xml:space="preserve">       lėšos, skirtos ugdyti ir pavėžėti į mokyklą ir atgal vaikus, atvykusius į Lietuvos Respubliką iš Ukrainos dėl Rusijos federacijos karinių veiksmų Ukrainoje</t>
  </si>
  <si>
    <t>16.16</t>
  </si>
  <si>
    <t>16.17</t>
  </si>
  <si>
    <t xml:space="preserve">     valstybės biudžeto lėšos, skirtos viešosios paskirties rekreacijai ir poilsiui skirtų valstybės miško žemės sklypų priežiūros, apsaugos ir tvarkymo darbams Kėdainių mieste</t>
  </si>
  <si>
    <t>16.18</t>
  </si>
  <si>
    <t>07.1</t>
  </si>
  <si>
    <t>Kita dotacija  savivaldybės institucijos valdomiems vietinės reikšmės keliams</t>
  </si>
  <si>
    <t>Kita dotacija ugdyti ir pavežėti į mokyklą ir atgal vaikus, atvykusius į Lietuvos Respubliką iš Ukrainos dėl Rusijos federacijos karinių veiksmų Ukrainoje</t>
  </si>
  <si>
    <t>01.3</t>
  </si>
  <si>
    <t>Kita dotacija viešosios paskirties rekreacijai ir poilsiui skirtų valstybės miško žemės sklypų priežiūros, apsaugos ir tvarkymo darbams Kėdainių mieste</t>
  </si>
  <si>
    <t>Atnaujinti Kėdainių Juozo Paukštelio progimnazijos sporto aikštyną</t>
  </si>
  <si>
    <t xml:space="preserve"> Kita dotacija 2023 metais švietimo įstaigų sporto aikštynų atnaujinimo programos įgyvendinimui</t>
  </si>
  <si>
    <t xml:space="preserve">      valstybės biudžeto lėšos, skirtos 2023 metais švietimo įstaigų sporto aikštynų atnaujinimo programos įgyvendinimui</t>
  </si>
  <si>
    <t>01.4</t>
  </si>
  <si>
    <t xml:space="preserve">     valstybės biudžeto lėšos, skirtos užtikrinti 2023 metais Lietuvos Respublikos piniginės socialinės paramos nepasiturintiems gyventojams įstatymo įgyvendinimą </t>
  </si>
  <si>
    <t xml:space="preserve">Kita dotacija užtikrinti 2023 metais Lietuvos Respublikos piniginės socialinės paramos nepasiturintiems gyventojams įstatymo įgyvendinimą </t>
  </si>
  <si>
    <t>Kita dotacija įgyvendinti valstybei nuosavybės taeise priklausančių žemės savininkų ir kitų naudotojų žemėje esančių melioracijos statinių rekonstravimo ir remonto darbus</t>
  </si>
  <si>
    <t xml:space="preserve">     kompensuoti savivaldybės patirtas išlaidas valdant nepaprastąją padėtį dėl užsieniečių, pasitraukusių iš Ukrainos dėl Rusijos federacijos karinių veiksmų Ukrainoje</t>
  </si>
  <si>
    <t xml:space="preserve"> Kita dotacija kompensuoti savivaldybės patirtas išlaidas valdant nepaprastąją padėtį dėl užsieniečių, pasitraukusių iš Ukrainos dėl Rusijos federacijos karinių veiksmų Ukrainoje</t>
  </si>
  <si>
    <t xml:space="preserve">     valstybės biudžeto lėšos, skirtos išlaidoms, susijusioms su savivaldybės mokyklų mokytojų, dirbančių pagal ikimokyklinio, priešmokyklinio, bendrojo ugdymo programas, personalo optimizavimu ir atnaujinimu</t>
  </si>
  <si>
    <t>Kita dotacija savivaldybės mokyklų mokytojų, dirbančių pagal ikimokyklinio, priešmokyklinio, bendrojo ugdymo programas, personalo optimizavimui ir atnaujinimui</t>
  </si>
  <si>
    <t>01.5</t>
  </si>
  <si>
    <t xml:space="preserve">      valstybės biudžeto lėšos, skirtos sutvarkyti naudotas padangas, kurių turėtojų nustatyti neįmanoma arba kurie neegzistuoja     </t>
  </si>
  <si>
    <t>Kita dotacija sutvarkyti naudotas padangas, kurių turėtojų nustatyti neįmanoma arba kurie neegzistuoja</t>
  </si>
  <si>
    <t xml:space="preserve">     valstybės biudžeto lėšos, skirtos sutvarkyti namų ūkiuose susidariusias asbesto atliekas</t>
  </si>
  <si>
    <t>Kita dotacija sutvarkyti namų ūkiuose susidariusias asbesto atliekas</t>
  </si>
  <si>
    <t>08.2</t>
  </si>
  <si>
    <t>08.3</t>
  </si>
  <si>
    <t>Kita dotacija įsigyti tekstilės atliekų surinkimo konteinerius</t>
  </si>
  <si>
    <t>08.4</t>
  </si>
  <si>
    <t>03.11</t>
  </si>
  <si>
    <t>16.19</t>
  </si>
  <si>
    <t>16.20</t>
  </si>
  <si>
    <t>16.21</t>
  </si>
  <si>
    <t>16.22</t>
  </si>
  <si>
    <t>16.23</t>
  </si>
  <si>
    <t>16.24</t>
  </si>
  <si>
    <t>16.25</t>
  </si>
  <si>
    <t xml:space="preserve">     valstybei nuosavybės teise priklausančių žemės savininkų ir kitų naudotojų žemėje esančių melioracijos statinių rekonstravimo ir remonto darbams</t>
  </si>
  <si>
    <t>16.26</t>
  </si>
  <si>
    <t xml:space="preserve">     valstybės biudžeto lėšos, skirtos įsigyti tekstilės atliekų surinkimo konteinerius</t>
  </si>
  <si>
    <t>05.3</t>
  </si>
  <si>
    <t>Kita dotacija stiprinti bendruomenines veiklas savivaldybėje</t>
  </si>
  <si>
    <t>10.09.01.01</t>
  </si>
  <si>
    <t xml:space="preserve">      valstybės biudžeto lėšos, skirtos stiprinti bendruomeninę veiklą savivaldybėje įgyvendinant bandomąjį modelį</t>
  </si>
  <si>
    <t xml:space="preserve">Įgyvendinti projektą "Kėdainių miesto A. Kanapinsko, P. Lukšio, Mindaugo, Pavasario ir Žemaitės gatvių rekonstrukcija"     </t>
  </si>
  <si>
    <t xml:space="preserve">04.05.01.02 </t>
  </si>
  <si>
    <t>16.27</t>
  </si>
  <si>
    <t>16.28</t>
  </si>
  <si>
    <t>16.29</t>
  </si>
  <si>
    <t>03.12</t>
  </si>
  <si>
    <t>16.30</t>
  </si>
  <si>
    <t xml:space="preserve">     valstybės biudžeto lėšos, skirtos socialinių paslaugų srities darbuotojų minimaliems pareiginės algos pastoviosios dalies koeficientams didinti</t>
  </si>
  <si>
    <t>Kita dotacija socialinių paslaugų srities darbuotojų minimaliems pareiginės algos pastoviosios dalies koeficientams didinti</t>
  </si>
  <si>
    <t>16.31</t>
  </si>
  <si>
    <t>16.32</t>
  </si>
  <si>
    <t xml:space="preserve">      valstybės biudžeto lėšos, skirtos projektui „Kėdainių miesto viešosios inžinierinės infrastruktūros, svarbios verslui, atnaujinimas ir plėtra“ (LEZ gatvių projektas)</t>
  </si>
  <si>
    <t>Kita dotacija įgyvendinti projektą „Kėdainių miesto viešosios inžinierinės infrastruktūros, svarbios verslui, atnaujinimas ir plėtra“ (LEZ gatvių projektas)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</si>
  <si>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</si>
  <si>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 xml:space="preserve">    valstybės biudžeto lėšos, skirtos investicinių žemės sklypų, iki kurių ribos ir (ar) kurių ribose įrengiama ir (ar) sutvarkoma infrastruktūra, projektui „Kėdainių miesto viešosios inžinierinės infrastruktūros, svarbios verslui, atnaujinimas ir plėtra“</t>
  </si>
  <si>
    <t>03.13</t>
  </si>
  <si>
    <t>03.14</t>
  </si>
  <si>
    <t>03.15</t>
  </si>
  <si>
    <t>31.5.13</t>
  </si>
  <si>
    <t>31.5.14</t>
  </si>
  <si>
    <t>74.7.3</t>
  </si>
  <si>
    <t>55.6.3</t>
  </si>
  <si>
    <t>55.6.4</t>
  </si>
  <si>
    <t>10.3</t>
  </si>
  <si>
    <t xml:space="preserve">     valstybės biudžeto lėšos, skirtos išlaidoms, patirtoms teikiant socialinę paramą mokiniams pagal Lietuvos Respublikos socialinės paramos mokiniams įstatymą užsieniečiams, pasitraukusiems iš Ukrainos dėl Rusijos federacijos karinių veiksmų Ukrainoje</t>
  </si>
  <si>
    <t xml:space="preserve">     valstybės biudžeto lėšos, skirtos išlaidoms patirtoms teikiant piniginę socialinę paramą vadovaujantis Lietuvos Respublikos piniginės socialinės paramos nepasiturintiems gyventojams įstatymu, užsieniečiams, pasitraukusiems iš Ukrainos dėl Rusijos federacijos karinių veiksmų Ukrainoje</t>
  </si>
  <si>
    <t xml:space="preserve">     valstybės biudžeto lėšos, skirtos išlaidoms patirtoms teikiant paramą būstui išsinuomoti pagal Lietuvos Respublikos paramos būstui įsigyti ar išsinuomoti įstatymą užsieniečiams, pasitraukusiems iš Ukrainos dėl Rusijos federacijos karinių veiksmų Ukrainoje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</si>
  <si>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</si>
  <si>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</si>
  <si>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Kita dotacija teikti paramą būstui išsinuomoti pagal Lietuvos Respublikos paramos būstui įsigyti ar išsinuomoti įstatymą užsieniečiams, pasitraukusiems iš Ukrainos dėl Rusijos federacijos karinių veiksmų Ukrainoje</t>
  </si>
  <si>
    <t>Kėdainių miesto parko želdynų inventorizacijai ir apskaitai Kėdainių m. sen.</t>
  </si>
  <si>
    <t xml:space="preserve">Kėdainių rajono želdynų ir želdinių inventorizacijai ir apskaitai  </t>
  </si>
  <si>
    <t>Projekto lyginamasis variantas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</si>
</sst>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</numFmts>
  <fonts count="21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trike/>
      <sz val="10"/>
      <name val="Times New Roman"/>
      <family val="1"/>
      <charset val="186"/>
    </font>
    <font>
      <i/>
      <strike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">
    <xf numFmtId="0" fontId="0" fillId="0" borderId="0"/>
    <xf numFmtId="0" fontId="7" fillId="0" borderId="0"/>
    <xf numFmtId="0" fontId="1" fillId="0" borderId="0"/>
    <xf numFmtId="0" fontId="7" fillId="0" borderId="0"/>
    <xf numFmtId="0" fontId="14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7" fontId="1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 wrapText="1"/>
    </xf>
    <xf numFmtId="167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8" fontId="1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7" fillId="0" borderId="0" xfId="0" applyFont="1"/>
    <xf numFmtId="0" fontId="1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13" fillId="0" borderId="0" xfId="0" applyFont="1" applyAlignment="1">
      <alignment horizontal="justify" vertical="center"/>
    </xf>
    <xf numFmtId="167" fontId="3" fillId="0" borderId="0" xfId="0" applyNumberFormat="1" applyFont="1" applyAlignment="1">
      <alignment vertical="center"/>
    </xf>
    <xf numFmtId="167" fontId="2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167" fontId="1" fillId="0" borderId="6" xfId="0" applyNumberFormat="1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left" vertical="center" wrapText="1"/>
    </xf>
    <xf numFmtId="167" fontId="1" fillId="0" borderId="7" xfId="0" applyNumberFormat="1" applyFont="1" applyBorder="1" applyAlignment="1">
      <alignment horizontal="center" vertical="center" wrapText="1"/>
    </xf>
    <xf numFmtId="167" fontId="1" fillId="0" borderId="8" xfId="0" applyNumberFormat="1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horizontal="left" vertical="center" wrapText="1"/>
    </xf>
    <xf numFmtId="167" fontId="1" fillId="0" borderId="9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horizontal="left" vertical="center" wrapText="1"/>
    </xf>
    <xf numFmtId="167" fontId="2" fillId="0" borderId="0" xfId="0" applyNumberFormat="1" applyFont="1" applyAlignment="1">
      <alignment horizontal="right" vertical="center" wrapText="1"/>
    </xf>
    <xf numFmtId="168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justify"/>
    </xf>
    <xf numFmtId="167" fontId="1" fillId="0" borderId="1" xfId="0" applyNumberFormat="1" applyFont="1" applyBorder="1"/>
    <xf numFmtId="168" fontId="3" fillId="0" borderId="0" xfId="0" applyNumberFormat="1" applyFont="1"/>
    <xf numFmtId="168" fontId="1" fillId="0" borderId="3" xfId="0" applyNumberFormat="1" applyFont="1" applyBorder="1" applyAlignment="1">
      <alignment horizontal="right" vertical="center"/>
    </xf>
    <xf numFmtId="168" fontId="1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67" fontId="19" fillId="0" borderId="1" xfId="0" applyNumberFormat="1" applyFont="1" applyBorder="1" applyAlignment="1">
      <alignment horizontal="left" vertical="center" wrapText="1"/>
    </xf>
    <xf numFmtId="0" fontId="1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7" fontId="1" fillId="0" borderId="0" xfId="0" applyNumberFormat="1" applyFont="1"/>
    <xf numFmtId="168" fontId="2" fillId="0" borderId="1" xfId="0" applyNumberFormat="1" applyFont="1" applyBorder="1" applyAlignment="1">
      <alignment vertical="center"/>
    </xf>
    <xf numFmtId="18" fontId="1" fillId="0" borderId="0" xfId="0" applyNumberFormat="1" applyFont="1"/>
    <xf numFmtId="0" fontId="2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/>
    </xf>
    <xf numFmtId="168" fontId="19" fillId="0" borderId="3" xfId="0" applyNumberFormat="1" applyFont="1" applyBorder="1" applyAlignment="1">
      <alignment horizontal="right"/>
    </xf>
    <xf numFmtId="168" fontId="2" fillId="0" borderId="10" xfId="0" applyNumberFormat="1" applyFont="1" applyBorder="1" applyAlignment="1">
      <alignment horizontal="right"/>
    </xf>
    <xf numFmtId="169" fontId="1" fillId="0" borderId="0" xfId="0" applyNumberFormat="1" applyFont="1"/>
    <xf numFmtId="167" fontId="15" fillId="0" borderId="0" xfId="0" applyNumberFormat="1" applyFont="1"/>
    <xf numFmtId="16" fontId="1" fillId="0" borderId="1" xfId="1" applyNumberFormat="1" applyFont="1" applyBorder="1" applyAlignment="1">
      <alignment horizontal="right" vertical="center"/>
    </xf>
    <xf numFmtId="1" fontId="1" fillId="0" borderId="0" xfId="0" applyNumberFormat="1" applyFont="1"/>
    <xf numFmtId="0" fontId="1" fillId="0" borderId="1" xfId="1" applyFont="1" applyBorder="1" applyAlignment="1">
      <alignment horizontal="left" vertical="center" wrapText="1"/>
    </xf>
    <xf numFmtId="168" fontId="16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167" fontId="10" fillId="0" borderId="0" xfId="0" applyNumberFormat="1" applyFont="1"/>
    <xf numFmtId="167" fontId="1" fillId="0" borderId="0" xfId="0" applyNumberFormat="1" applyFont="1" applyAlignment="1">
      <alignment vertical="center" wrapText="1"/>
    </xf>
    <xf numFmtId="0" fontId="1" fillId="0" borderId="0" xfId="1" applyFont="1" applyAlignment="1">
      <alignment horizontal="right"/>
    </xf>
    <xf numFmtId="168" fontId="2" fillId="0" borderId="0" xfId="1" applyNumberFormat="1" applyFont="1"/>
    <xf numFmtId="0" fontId="1" fillId="0" borderId="0" xfId="0" applyFont="1" applyAlignment="1">
      <alignment horizontal="right"/>
    </xf>
    <xf numFmtId="168" fontId="17" fillId="0" borderId="0" xfId="0" applyNumberFormat="1" applyFont="1"/>
    <xf numFmtId="168" fontId="15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69" fontId="19" fillId="0" borderId="3" xfId="0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 vertical="center" wrapText="1"/>
    </xf>
    <xf numFmtId="169" fontId="2" fillId="0" borderId="10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vertical="center" wrapText="1"/>
    </xf>
    <xf numFmtId="169" fontId="19" fillId="0" borderId="3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 vertical="center"/>
    </xf>
    <xf numFmtId="168" fontId="1" fillId="0" borderId="1" xfId="20" applyNumberForma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 wrapText="1"/>
    </xf>
    <xf numFmtId="0" fontId="1" fillId="0" borderId="1" xfId="18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1" fillId="0" borderId="10" xfId="18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0" fontId="1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20" applyNumberFormat="1" applyBorder="1" applyAlignment="1">
      <alignment horizontal="center" vertical="center" wrapText="1"/>
    </xf>
    <xf numFmtId="49" fontId="1" fillId="0" borderId="1" xfId="20" applyNumberFormat="1" applyBorder="1" applyAlignment="1">
      <alignment horizontal="center" vertical="center"/>
    </xf>
    <xf numFmtId="168" fontId="2" fillId="0" borderId="1" xfId="20" applyNumberFormat="1" applyFont="1" applyBorder="1" applyAlignment="1">
      <alignment horizontal="right" vertical="center"/>
    </xf>
    <xf numFmtId="169" fontId="19" fillId="0" borderId="3" xfId="0" applyNumberFormat="1" applyFont="1" applyBorder="1" applyAlignment="1">
      <alignment horizontal="center" vertical="center"/>
    </xf>
    <xf numFmtId="0" fontId="6" fillId="0" borderId="1" xfId="18" applyFont="1" applyBorder="1" applyAlignment="1">
      <alignment vertical="center" wrapText="1"/>
    </xf>
    <xf numFmtId="167" fontId="1" fillId="0" borderId="1" xfId="20" applyNumberFormat="1" applyBorder="1" applyAlignment="1">
      <alignment vertical="center"/>
    </xf>
    <xf numFmtId="167" fontId="2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18" applyNumberFormat="1" applyBorder="1" applyAlignment="1">
      <alignment horizontal="center" vertical="center" wrapText="1"/>
    </xf>
    <xf numFmtId="49" fontId="2" fillId="0" borderId="1" xfId="2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8" fontId="1" fillId="0" borderId="0" xfId="0" applyNumberFormat="1" applyFont="1" applyAlignment="1">
      <alignment horizontal="right" vertical="center"/>
    </xf>
    <xf numFmtId="169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67" fontId="1" fillId="0" borderId="2" xfId="0" applyNumberFormat="1" applyFont="1" applyBorder="1" applyAlignment="1">
      <alignment horizontal="left" vertical="center" wrapText="1"/>
    </xf>
    <xf numFmtId="167" fontId="9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8" fontId="1" fillId="0" borderId="1" xfId="20" applyNumberFormat="1" applyBorder="1" applyAlignment="1">
      <alignment horizontal="center" vertical="center"/>
    </xf>
    <xf numFmtId="168" fontId="2" fillId="0" borderId="1" xfId="2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7" fontId="1" fillId="0" borderId="2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167" fontId="9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right" vertical="center" wrapText="1"/>
    </xf>
    <xf numFmtId="167" fontId="11" fillId="0" borderId="0" xfId="0" applyNumberFormat="1" applyFont="1"/>
    <xf numFmtId="167" fontId="1" fillId="0" borderId="1" xfId="0" applyNumberFormat="1" applyFont="1" applyBorder="1" applyAlignment="1">
      <alignment horizontal="left" vertical="center"/>
    </xf>
    <xf numFmtId="16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right"/>
    </xf>
    <xf numFmtId="167" fontId="1" fillId="0" borderId="1" xfId="19" applyNumberFormat="1" applyBorder="1" applyAlignment="1">
      <alignment vertical="center" wrapText="1"/>
    </xf>
    <xf numFmtId="169" fontId="20" fillId="0" borderId="3" xfId="0" applyNumberFormat="1" applyFont="1" applyBorder="1" applyAlignment="1">
      <alignment horizontal="right" vertical="center"/>
    </xf>
    <xf numFmtId="169" fontId="10" fillId="0" borderId="10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/>
    </xf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3" fillId="0" borderId="0" xfId="1" applyFont="1" applyAlignment="1">
      <alignment horizontal="right"/>
    </xf>
    <xf numFmtId="0" fontId="3" fillId="0" borderId="0" xfId="1" applyFont="1"/>
    <xf numFmtId="0" fontId="1" fillId="0" borderId="3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left" vertical="center" wrapText="1"/>
    </xf>
    <xf numFmtId="167" fontId="1" fillId="0" borderId="10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right" vertical="center"/>
    </xf>
    <xf numFmtId="168" fontId="1" fillId="0" borderId="10" xfId="0" applyNumberFormat="1" applyFont="1" applyBorder="1" applyAlignment="1">
      <alignment horizontal="right" vertical="center"/>
    </xf>
    <xf numFmtId="167" fontId="10" fillId="0" borderId="3" xfId="0" applyNumberFormat="1" applyFont="1" applyBorder="1" applyAlignment="1">
      <alignment horizontal="left" vertical="center" wrapText="1"/>
    </xf>
    <xf numFmtId="167" fontId="10" fillId="0" borderId="1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167" fontId="2" fillId="0" borderId="3" xfId="0" applyNumberFormat="1" applyFont="1" applyBorder="1" applyAlignment="1">
      <alignment horizontal="left" vertical="center" wrapText="1"/>
    </xf>
    <xf numFmtId="167" fontId="2" fillId="0" borderId="10" xfId="0" applyNumberFormat="1" applyFont="1" applyBorder="1" applyAlignment="1">
      <alignment horizontal="left" vertical="center" wrapText="1"/>
    </xf>
    <xf numFmtId="169" fontId="2" fillId="0" borderId="3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right" vertical="center" wrapText="1"/>
    </xf>
    <xf numFmtId="167" fontId="2" fillId="0" borderId="10" xfId="0" applyNumberFormat="1" applyFont="1" applyBorder="1" applyAlignment="1">
      <alignment horizontal="right" vertical="center" wrapText="1"/>
    </xf>
    <xf numFmtId="49" fontId="9" fillId="0" borderId="3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horizontal="right" vertical="center"/>
    </xf>
    <xf numFmtId="49" fontId="9" fillId="0" borderId="1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right" vertical="center"/>
    </xf>
    <xf numFmtId="168" fontId="2" fillId="0" borderId="3" xfId="20" applyNumberFormat="1" applyFont="1" applyBorder="1" applyAlignment="1">
      <alignment horizontal="center" vertical="center"/>
    </xf>
    <xf numFmtId="168" fontId="2" fillId="0" borderId="10" xfId="20" applyNumberFormat="1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left" vertical="center" wrapText="1"/>
    </xf>
    <xf numFmtId="167" fontId="6" fillId="0" borderId="10" xfId="0" applyNumberFormat="1" applyFont="1" applyBorder="1" applyAlignment="1">
      <alignment horizontal="left" vertical="center" wrapText="1"/>
    </xf>
    <xf numFmtId="169" fontId="1" fillId="0" borderId="3" xfId="0" applyNumberFormat="1" applyFont="1" applyBorder="1" applyAlignment="1">
      <alignment horizontal="right" vertical="center"/>
    </xf>
    <xf numFmtId="169" fontId="1" fillId="0" borderId="10" xfId="0" applyNumberFormat="1" applyFont="1" applyBorder="1" applyAlignment="1">
      <alignment horizontal="right" vertical="center"/>
    </xf>
    <xf numFmtId="168" fontId="6" fillId="0" borderId="3" xfId="0" applyNumberFormat="1" applyFont="1" applyBorder="1" applyAlignment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7" fontId="1" fillId="0" borderId="3" xfId="0" applyNumberFormat="1" applyFont="1" applyBorder="1" applyAlignment="1">
      <alignment horizontal="right" vertical="center"/>
    </xf>
    <xf numFmtId="167" fontId="1" fillId="0" borderId="1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right" vertical="center"/>
    </xf>
    <xf numFmtId="167" fontId="6" fillId="0" borderId="10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67" fontId="2" fillId="0" borderId="0" xfId="0" applyNumberFormat="1" applyFont="1" applyAlignment="1">
      <alignment horizontal="left" vertical="center" wrapText="1"/>
    </xf>
    <xf numFmtId="0" fontId="13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</cellXfs>
  <cellStyles count="22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biudžetas 6_2009 m 02 men biudzetas." xfId="18" xr:uid="{00000000-0005-0000-0000-000012000000}"/>
    <cellStyle name="Normal_Sheet1" xfId="19" xr:uid="{00000000-0005-0000-0000-000013000000}"/>
    <cellStyle name="Normal_Sheet1_2009 m 02 men biudzetas." xfId="20" xr:uid="{00000000-0005-0000-0000-000014000000}"/>
    <cellStyle name="Paprastas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1"/>
  <sheetViews>
    <sheetView tabSelected="1" zoomScaleNormal="100" workbookViewId="0">
      <selection activeCell="G9" sqref="G9"/>
    </sheetView>
  </sheetViews>
  <sheetFormatPr defaultColWidth="9.140625" defaultRowHeight="12.75" x14ac:dyDescent="0.2"/>
  <cols>
    <col min="1" max="1" width="6.28515625" style="2" customWidth="1"/>
    <col min="2" max="2" width="69.28515625" style="1" customWidth="1"/>
    <col min="3" max="3" width="14.5703125" style="1" bestFit="1" customWidth="1"/>
    <col min="4" max="4" width="9.28515625" style="1" customWidth="1"/>
    <col min="5" max="5" width="11.7109375" style="1" bestFit="1" customWidth="1"/>
    <col min="6" max="16384" width="9.140625" style="1"/>
  </cols>
  <sheetData>
    <row r="1" spans="1:12" ht="15.75" x14ac:dyDescent="0.25">
      <c r="A1" s="43"/>
      <c r="B1" s="194"/>
      <c r="C1" s="194"/>
    </row>
    <row r="2" spans="1:12" ht="15.75" x14ac:dyDescent="0.25">
      <c r="A2" s="43"/>
      <c r="B2" s="219" t="s">
        <v>936</v>
      </c>
      <c r="C2" s="219"/>
      <c r="D2" s="9"/>
      <c r="E2" s="9"/>
    </row>
    <row r="3" spans="1:12" ht="15.75" x14ac:dyDescent="0.25">
      <c r="A3" s="193" t="s">
        <v>274</v>
      </c>
      <c r="B3" s="193"/>
      <c r="C3" s="193"/>
    </row>
    <row r="4" spans="1:12" ht="15.75" x14ac:dyDescent="0.25">
      <c r="A4" s="46"/>
      <c r="B4" s="45"/>
      <c r="C4" s="45"/>
    </row>
    <row r="5" spans="1:12" x14ac:dyDescent="0.2">
      <c r="A5" s="43"/>
      <c r="B5" s="47" t="s">
        <v>540</v>
      </c>
      <c r="C5" s="48"/>
    </row>
    <row r="6" spans="1:12" x14ac:dyDescent="0.2">
      <c r="A6" s="43"/>
      <c r="B6" s="48"/>
      <c r="C6" s="48"/>
    </row>
    <row r="7" spans="1:12" s="2" customFormat="1" x14ac:dyDescent="0.2">
      <c r="A7" s="49" t="s">
        <v>0</v>
      </c>
      <c r="B7" s="50" t="s">
        <v>275</v>
      </c>
      <c r="C7" s="50" t="s">
        <v>276</v>
      </c>
    </row>
    <row r="8" spans="1:12" ht="12.6" customHeight="1" x14ac:dyDescent="0.2">
      <c r="A8" s="51">
        <v>1</v>
      </c>
      <c r="B8" s="49" t="s">
        <v>352</v>
      </c>
      <c r="C8" s="52">
        <f>+C9+C10+C11+C15</f>
        <v>42384</v>
      </c>
      <c r="E8" s="53"/>
    </row>
    <row r="9" spans="1:12" ht="12.6" customHeight="1" x14ac:dyDescent="0.2">
      <c r="A9" s="51">
        <v>2</v>
      </c>
      <c r="B9" s="49" t="s">
        <v>277</v>
      </c>
      <c r="C9" s="54">
        <v>39669</v>
      </c>
      <c r="D9" s="55"/>
      <c r="E9" s="10"/>
    </row>
    <row r="10" spans="1:12" ht="25.5" x14ac:dyDescent="0.2">
      <c r="A10" s="51">
        <v>3</v>
      </c>
      <c r="B10" s="56" t="s">
        <v>353</v>
      </c>
      <c r="C10" s="54">
        <v>50</v>
      </c>
      <c r="D10" s="55"/>
      <c r="E10" s="10"/>
    </row>
    <row r="11" spans="1:12" ht="12.6" customHeight="1" x14ac:dyDescent="0.2">
      <c r="A11" s="51">
        <v>4</v>
      </c>
      <c r="B11" s="49" t="s">
        <v>354</v>
      </c>
      <c r="C11" s="54">
        <f>+C12+C14+C13</f>
        <v>2415</v>
      </c>
      <c r="D11" s="55"/>
    </row>
    <row r="12" spans="1:12" ht="12.6" customHeight="1" x14ac:dyDescent="0.2">
      <c r="A12" s="51">
        <v>5</v>
      </c>
      <c r="B12" s="57" t="s">
        <v>278</v>
      </c>
      <c r="C12" s="4">
        <v>900</v>
      </c>
      <c r="D12" s="53"/>
    </row>
    <row r="13" spans="1:12" ht="12.6" customHeight="1" x14ac:dyDescent="0.2">
      <c r="A13" s="51">
        <v>6</v>
      </c>
      <c r="B13" s="57" t="s">
        <v>279</v>
      </c>
      <c r="C13" s="4">
        <v>15</v>
      </c>
      <c r="D13" s="53"/>
    </row>
    <row r="14" spans="1:12" ht="12.6" customHeight="1" x14ac:dyDescent="0.2">
      <c r="A14" s="51">
        <v>7</v>
      </c>
      <c r="B14" s="57" t="s">
        <v>280</v>
      </c>
      <c r="C14" s="4">
        <v>1500</v>
      </c>
      <c r="D14" s="53"/>
      <c r="L14" s="53"/>
    </row>
    <row r="15" spans="1:12" ht="12.6" customHeight="1" x14ac:dyDescent="0.2">
      <c r="A15" s="51">
        <v>8</v>
      </c>
      <c r="B15" s="49" t="s">
        <v>355</v>
      </c>
      <c r="C15" s="52">
        <f>+C16</f>
        <v>250</v>
      </c>
      <c r="D15" s="55"/>
    </row>
    <row r="16" spans="1:12" ht="12.6" customHeight="1" x14ac:dyDescent="0.2">
      <c r="A16" s="51">
        <v>9</v>
      </c>
      <c r="B16" s="57" t="s">
        <v>281</v>
      </c>
      <c r="C16" s="4">
        <v>250</v>
      </c>
    </row>
    <row r="17" spans="1:5" x14ac:dyDescent="0.2">
      <c r="A17" s="197">
        <v>10</v>
      </c>
      <c r="B17" s="199" t="s">
        <v>356</v>
      </c>
      <c r="C17" s="58">
        <f>+C25+C56+C19</f>
        <v>34284</v>
      </c>
      <c r="D17" s="53"/>
    </row>
    <row r="18" spans="1:5" x14ac:dyDescent="0.2">
      <c r="A18" s="198"/>
      <c r="B18" s="200"/>
      <c r="C18" s="59">
        <v>38608.400000000001</v>
      </c>
      <c r="D18" s="53"/>
      <c r="E18" s="60"/>
    </row>
    <row r="19" spans="1:5" ht="13.5" customHeight="1" x14ac:dyDescent="0.2">
      <c r="A19" s="197">
        <v>11</v>
      </c>
      <c r="B19" s="199" t="s">
        <v>357</v>
      </c>
      <c r="C19" s="58">
        <v>1766</v>
      </c>
      <c r="D19" s="53"/>
      <c r="E19" s="53"/>
    </row>
    <row r="20" spans="1:5" x14ac:dyDescent="0.2">
      <c r="A20" s="198"/>
      <c r="B20" s="200"/>
      <c r="C20" s="59">
        <v>1937.5</v>
      </c>
      <c r="D20" s="53"/>
      <c r="E20" s="60"/>
    </row>
    <row r="21" spans="1:5" ht="15" customHeight="1" x14ac:dyDescent="0.2">
      <c r="A21" s="197" t="s">
        <v>34</v>
      </c>
      <c r="B21" s="195" t="s">
        <v>282</v>
      </c>
      <c r="C21" s="58">
        <f>1941.5-213.2</f>
        <v>1728.3</v>
      </c>
      <c r="D21" s="53"/>
      <c r="E21" s="61"/>
    </row>
    <row r="22" spans="1:5" x14ac:dyDescent="0.2">
      <c r="A22" s="198"/>
      <c r="B22" s="196"/>
      <c r="C22" s="59">
        <v>1787</v>
      </c>
      <c r="D22" s="53"/>
      <c r="E22" s="61"/>
    </row>
    <row r="23" spans="1:5" x14ac:dyDescent="0.2">
      <c r="A23" s="197" t="s">
        <v>35</v>
      </c>
      <c r="B23" s="195" t="s">
        <v>283</v>
      </c>
      <c r="C23" s="58">
        <f>38.1-0.4</f>
        <v>37.700000000000003</v>
      </c>
      <c r="D23" s="53"/>
      <c r="E23" s="55"/>
    </row>
    <row r="24" spans="1:5" x14ac:dyDescent="0.2">
      <c r="A24" s="198"/>
      <c r="B24" s="196"/>
      <c r="C24" s="59">
        <v>150.5</v>
      </c>
      <c r="D24" s="53"/>
      <c r="E24" s="55"/>
    </row>
    <row r="25" spans="1:5" ht="12.6" customHeight="1" x14ac:dyDescent="0.2">
      <c r="A25" s="197">
        <v>12</v>
      </c>
      <c r="B25" s="199" t="s">
        <v>358</v>
      </c>
      <c r="C25" s="58">
        <v>25246</v>
      </c>
      <c r="D25" s="53"/>
    </row>
    <row r="26" spans="1:5" ht="12.6" customHeight="1" x14ac:dyDescent="0.2">
      <c r="A26" s="198"/>
      <c r="B26" s="200"/>
      <c r="C26" s="59">
        <v>25248</v>
      </c>
      <c r="D26" s="53"/>
    </row>
    <row r="27" spans="1:5" ht="12.6" customHeight="1" x14ac:dyDescent="0.2">
      <c r="A27" s="197">
        <v>13</v>
      </c>
      <c r="B27" s="195" t="s">
        <v>359</v>
      </c>
      <c r="C27" s="58">
        <v>5823</v>
      </c>
      <c r="D27" s="53"/>
      <c r="E27" s="55"/>
    </row>
    <row r="28" spans="1:5" ht="12.6" customHeight="1" x14ac:dyDescent="0.2">
      <c r="A28" s="198"/>
      <c r="B28" s="196"/>
      <c r="C28" s="59">
        <v>5825</v>
      </c>
      <c r="D28" s="53"/>
      <c r="E28" s="55"/>
    </row>
    <row r="29" spans="1:5" ht="12.6" customHeight="1" x14ac:dyDescent="0.2">
      <c r="A29" s="62" t="s">
        <v>263</v>
      </c>
      <c r="B29" s="57" t="s">
        <v>284</v>
      </c>
      <c r="C29" s="4">
        <v>32.6</v>
      </c>
      <c r="D29" s="53"/>
      <c r="E29" s="55"/>
    </row>
    <row r="30" spans="1:5" ht="12.6" customHeight="1" x14ac:dyDescent="0.2">
      <c r="A30" s="51" t="s">
        <v>360</v>
      </c>
      <c r="B30" s="57" t="s">
        <v>285</v>
      </c>
      <c r="C30" s="4">
        <v>9</v>
      </c>
      <c r="D30" s="53"/>
      <c r="E30" s="55"/>
    </row>
    <row r="31" spans="1:5" ht="12.6" customHeight="1" x14ac:dyDescent="0.2">
      <c r="A31" s="62" t="s">
        <v>361</v>
      </c>
      <c r="B31" s="57" t="s">
        <v>286</v>
      </c>
      <c r="C31" s="4">
        <v>398.5</v>
      </c>
      <c r="E31" s="61"/>
    </row>
    <row r="32" spans="1:5" ht="12.6" customHeight="1" x14ac:dyDescent="0.2">
      <c r="A32" s="51" t="s">
        <v>362</v>
      </c>
      <c r="B32" s="57" t="s">
        <v>287</v>
      </c>
      <c r="C32" s="4">
        <v>947.6</v>
      </c>
      <c r="E32" s="61"/>
    </row>
    <row r="33" spans="1:5" ht="12.6" customHeight="1" x14ac:dyDescent="0.2">
      <c r="A33" s="62" t="s">
        <v>363</v>
      </c>
      <c r="B33" s="57" t="s">
        <v>288</v>
      </c>
      <c r="C33" s="4">
        <v>1658.1</v>
      </c>
      <c r="D33" s="53"/>
      <c r="E33" s="53"/>
    </row>
    <row r="34" spans="1:5" x14ac:dyDescent="0.2">
      <c r="A34" s="51" t="s">
        <v>364</v>
      </c>
      <c r="B34" s="57" t="s">
        <v>289</v>
      </c>
      <c r="C34" s="4">
        <v>19.5</v>
      </c>
      <c r="D34" s="53"/>
    </row>
    <row r="35" spans="1:5" x14ac:dyDescent="0.2">
      <c r="A35" s="197" t="s">
        <v>365</v>
      </c>
      <c r="B35" s="195" t="s">
        <v>290</v>
      </c>
      <c r="C35" s="58">
        <f>11.1</f>
        <v>11.1</v>
      </c>
      <c r="D35" s="53"/>
      <c r="E35" s="63"/>
    </row>
    <row r="36" spans="1:5" x14ac:dyDescent="0.2">
      <c r="A36" s="198"/>
      <c r="B36" s="196"/>
      <c r="C36" s="59">
        <v>13.1</v>
      </c>
      <c r="D36" s="53"/>
      <c r="E36" s="63"/>
    </row>
    <row r="37" spans="1:5" ht="12.6" customHeight="1" x14ac:dyDescent="0.2">
      <c r="A37" s="51" t="s">
        <v>366</v>
      </c>
      <c r="B37" s="64" t="s">
        <v>663</v>
      </c>
      <c r="C37" s="4">
        <v>190.1</v>
      </c>
      <c r="D37" s="53"/>
    </row>
    <row r="38" spans="1:5" ht="12.6" customHeight="1" x14ac:dyDescent="0.2">
      <c r="A38" s="62" t="s">
        <v>367</v>
      </c>
      <c r="B38" s="64" t="s">
        <v>291</v>
      </c>
      <c r="C38" s="4">
        <v>35.5</v>
      </c>
      <c r="D38" s="53"/>
    </row>
    <row r="39" spans="1:5" ht="12.6" customHeight="1" x14ac:dyDescent="0.2">
      <c r="A39" s="51" t="s">
        <v>368</v>
      </c>
      <c r="B39" s="64" t="s">
        <v>665</v>
      </c>
      <c r="C39" s="4">
        <v>12.2</v>
      </c>
      <c r="D39" s="53"/>
    </row>
    <row r="40" spans="1:5" ht="12.6" customHeight="1" x14ac:dyDescent="0.2">
      <c r="A40" s="62" t="s">
        <v>369</v>
      </c>
      <c r="B40" s="64" t="s">
        <v>292</v>
      </c>
      <c r="C40" s="4">
        <v>0.8</v>
      </c>
      <c r="D40" s="53"/>
    </row>
    <row r="41" spans="1:5" ht="12.6" customHeight="1" x14ac:dyDescent="0.2">
      <c r="A41" s="51" t="s">
        <v>370</v>
      </c>
      <c r="B41" s="64" t="s">
        <v>293</v>
      </c>
      <c r="C41" s="4">
        <v>57.8</v>
      </c>
      <c r="D41" s="53"/>
    </row>
    <row r="42" spans="1:5" x14ac:dyDescent="0.2">
      <c r="A42" s="62" t="s">
        <v>371</v>
      </c>
      <c r="B42" s="64" t="s">
        <v>294</v>
      </c>
      <c r="C42" s="4">
        <v>1234.5999999999999</v>
      </c>
      <c r="D42" s="53"/>
    </row>
    <row r="43" spans="1:5" ht="25.5" x14ac:dyDescent="0.2">
      <c r="A43" s="51" t="s">
        <v>372</v>
      </c>
      <c r="B43" s="64" t="s">
        <v>666</v>
      </c>
      <c r="C43" s="4">
        <v>5</v>
      </c>
      <c r="D43" s="53"/>
    </row>
    <row r="44" spans="1:5" ht="12.6" customHeight="1" x14ac:dyDescent="0.2">
      <c r="A44" s="62" t="s">
        <v>373</v>
      </c>
      <c r="B44" s="64" t="s">
        <v>295</v>
      </c>
      <c r="C44" s="4">
        <v>254.8</v>
      </c>
      <c r="D44" s="53"/>
    </row>
    <row r="45" spans="1:5" ht="12.6" customHeight="1" x14ac:dyDescent="0.2">
      <c r="A45" s="51" t="s">
        <v>374</v>
      </c>
      <c r="B45" s="57" t="s">
        <v>296</v>
      </c>
      <c r="C45" s="4">
        <v>360</v>
      </c>
      <c r="D45" s="53"/>
    </row>
    <row r="46" spans="1:5" ht="12.6" customHeight="1" x14ac:dyDescent="0.2">
      <c r="A46" s="62" t="s">
        <v>375</v>
      </c>
      <c r="B46" s="57" t="s">
        <v>667</v>
      </c>
      <c r="C46" s="65">
        <v>19.899999999999999</v>
      </c>
      <c r="D46" s="53"/>
    </row>
    <row r="47" spans="1:5" ht="12.6" customHeight="1" x14ac:dyDescent="0.2">
      <c r="A47" s="62" t="s">
        <v>376</v>
      </c>
      <c r="B47" s="57" t="s">
        <v>297</v>
      </c>
      <c r="C47" s="4">
        <v>47.9</v>
      </c>
      <c r="D47" s="53"/>
    </row>
    <row r="48" spans="1:5" ht="12.6" customHeight="1" x14ac:dyDescent="0.2">
      <c r="A48" s="62" t="s">
        <v>377</v>
      </c>
      <c r="B48" s="66" t="s">
        <v>668</v>
      </c>
      <c r="C48" s="4">
        <v>1.2</v>
      </c>
      <c r="D48" s="53"/>
    </row>
    <row r="49" spans="1:5" x14ac:dyDescent="0.2">
      <c r="A49" s="51" t="s">
        <v>378</v>
      </c>
      <c r="B49" s="66" t="s">
        <v>380</v>
      </c>
      <c r="C49" s="4">
        <v>416.4</v>
      </c>
      <c r="D49" s="53"/>
    </row>
    <row r="50" spans="1:5" ht="15.75" customHeight="1" x14ac:dyDescent="0.2">
      <c r="A50" s="62" t="s">
        <v>379</v>
      </c>
      <c r="B50" s="66" t="s">
        <v>298</v>
      </c>
      <c r="C50" s="4">
        <v>1.8</v>
      </c>
      <c r="D50" s="53"/>
    </row>
    <row r="51" spans="1:5" ht="12.75" customHeight="1" x14ac:dyDescent="0.2">
      <c r="A51" s="51" t="s">
        <v>381</v>
      </c>
      <c r="B51" s="66" t="s">
        <v>670</v>
      </c>
      <c r="C51" s="4">
        <v>88.4</v>
      </c>
      <c r="D51" s="53"/>
    </row>
    <row r="52" spans="1:5" ht="26.25" customHeight="1" x14ac:dyDescent="0.2">
      <c r="A52" s="62" t="s">
        <v>382</v>
      </c>
      <c r="B52" s="66" t="s">
        <v>672</v>
      </c>
      <c r="C52" s="4">
        <v>20.2</v>
      </c>
      <c r="D52" s="53"/>
    </row>
    <row r="53" spans="1:5" x14ac:dyDescent="0.2">
      <c r="A53" s="51">
        <v>14</v>
      </c>
      <c r="B53" s="57" t="s">
        <v>383</v>
      </c>
      <c r="C53" s="4">
        <f>18397.8+336.8</f>
        <v>18734.599999999999</v>
      </c>
      <c r="D53" s="53"/>
      <c r="E53" s="55"/>
    </row>
    <row r="54" spans="1:5" ht="12.6" customHeight="1" x14ac:dyDescent="0.2">
      <c r="A54" s="51">
        <v>15</v>
      </c>
      <c r="B54" s="57" t="s">
        <v>299</v>
      </c>
      <c r="C54" s="67">
        <f>+C55</f>
        <v>688.4</v>
      </c>
      <c r="D54" s="53"/>
      <c r="E54" s="55"/>
    </row>
    <row r="55" spans="1:5" ht="12.6" customHeight="1" x14ac:dyDescent="0.2">
      <c r="A55" s="68" t="s">
        <v>177</v>
      </c>
      <c r="B55" s="66" t="s">
        <v>300</v>
      </c>
      <c r="C55" s="4">
        <v>688.4</v>
      </c>
      <c r="D55" s="53"/>
    </row>
    <row r="56" spans="1:5" ht="12.6" customHeight="1" x14ac:dyDescent="0.2">
      <c r="A56" s="197">
        <v>16</v>
      </c>
      <c r="B56" s="199" t="s">
        <v>301</v>
      </c>
      <c r="C56" s="58">
        <v>7272</v>
      </c>
      <c r="D56" s="53"/>
      <c r="E56" s="53"/>
    </row>
    <row r="57" spans="1:5" ht="12.6" customHeight="1" x14ac:dyDescent="0.2">
      <c r="A57" s="198"/>
      <c r="B57" s="200"/>
      <c r="C57" s="59">
        <v>11422.9</v>
      </c>
      <c r="D57" s="53"/>
      <c r="E57" s="53"/>
    </row>
    <row r="58" spans="1:5" ht="12.6" customHeight="1" x14ac:dyDescent="0.2">
      <c r="A58" s="51" t="s">
        <v>324</v>
      </c>
      <c r="B58" s="57" t="s">
        <v>751</v>
      </c>
      <c r="C58" s="4">
        <v>261.60000000000002</v>
      </c>
      <c r="D58" s="53"/>
      <c r="E58" s="53"/>
    </row>
    <row r="59" spans="1:5" x14ac:dyDescent="0.2">
      <c r="A59" s="51" t="s">
        <v>679</v>
      </c>
      <c r="B59" s="66" t="s">
        <v>727</v>
      </c>
      <c r="C59" s="4">
        <v>24.7</v>
      </c>
      <c r="E59" s="53"/>
    </row>
    <row r="60" spans="1:5" ht="25.5" x14ac:dyDescent="0.2">
      <c r="A60" s="51" t="s">
        <v>680</v>
      </c>
      <c r="B60" s="66" t="s">
        <v>726</v>
      </c>
      <c r="C60" s="4">
        <v>160.69999999999999</v>
      </c>
      <c r="D60" s="53"/>
      <c r="E60" s="53"/>
    </row>
    <row r="61" spans="1:5" ht="25.5" x14ac:dyDescent="0.2">
      <c r="A61" s="51" t="s">
        <v>706</v>
      </c>
      <c r="B61" s="66" t="s">
        <v>681</v>
      </c>
      <c r="C61" s="4">
        <v>102.6</v>
      </c>
      <c r="D61" s="53"/>
      <c r="E61" s="53"/>
    </row>
    <row r="62" spans="1:5" x14ac:dyDescent="0.2">
      <c r="A62" s="197" t="s">
        <v>707</v>
      </c>
      <c r="B62" s="195" t="s">
        <v>704</v>
      </c>
      <c r="C62" s="58">
        <f>132.8</f>
        <v>132.80000000000001</v>
      </c>
      <c r="D62" s="53"/>
      <c r="E62" s="53"/>
    </row>
    <row r="63" spans="1:5" x14ac:dyDescent="0.2">
      <c r="A63" s="198"/>
      <c r="B63" s="196"/>
      <c r="C63" s="59">
        <v>67.7</v>
      </c>
      <c r="D63" s="53"/>
      <c r="E63" s="53"/>
    </row>
    <row r="64" spans="1:5" ht="25.5" x14ac:dyDescent="0.2">
      <c r="A64" s="51" t="s">
        <v>708</v>
      </c>
      <c r="B64" s="66" t="s">
        <v>703</v>
      </c>
      <c r="C64" s="4">
        <v>0.7</v>
      </c>
      <c r="D64" s="53"/>
      <c r="E64" s="53"/>
    </row>
    <row r="65" spans="1:11" ht="51" x14ac:dyDescent="0.2">
      <c r="A65" s="51" t="s">
        <v>709</v>
      </c>
      <c r="B65" s="66" t="s">
        <v>728</v>
      </c>
      <c r="C65" s="4">
        <f>0.6+1</f>
        <v>1.6</v>
      </c>
      <c r="D65" s="53"/>
      <c r="E65" s="53"/>
    </row>
    <row r="66" spans="1:11" ht="25.5" x14ac:dyDescent="0.2">
      <c r="A66" s="51" t="s">
        <v>725</v>
      </c>
      <c r="B66" s="66" t="s">
        <v>750</v>
      </c>
      <c r="C66" s="4">
        <f>24.9+22.6+16.5+19+23.3</f>
        <v>106.3</v>
      </c>
      <c r="D66" s="53"/>
      <c r="E66" s="53"/>
    </row>
    <row r="67" spans="1:11" x14ac:dyDescent="0.2">
      <c r="A67" s="51" t="s">
        <v>749</v>
      </c>
      <c r="B67" s="57" t="s">
        <v>702</v>
      </c>
      <c r="C67" s="4">
        <v>54.6</v>
      </c>
      <c r="D67" s="53"/>
      <c r="E67" s="53"/>
    </row>
    <row r="68" spans="1:11" ht="25.5" customHeight="1" x14ac:dyDescent="0.2">
      <c r="A68" s="51" t="s">
        <v>752</v>
      </c>
      <c r="B68" s="66" t="s">
        <v>705</v>
      </c>
      <c r="C68" s="4">
        <v>282</v>
      </c>
      <c r="D68" s="53"/>
      <c r="E68" s="53"/>
      <c r="F68" s="13"/>
      <c r="G68" s="13"/>
      <c r="H68" s="13"/>
      <c r="I68" s="13"/>
      <c r="J68" s="13"/>
      <c r="K68" s="13"/>
    </row>
    <row r="69" spans="1:11" ht="25.5" x14ac:dyDescent="0.2">
      <c r="A69" s="51" t="s">
        <v>854</v>
      </c>
      <c r="B69" s="66" t="s">
        <v>838</v>
      </c>
      <c r="C69" s="4">
        <v>0.1</v>
      </c>
      <c r="D69" s="53"/>
      <c r="E69" s="53"/>
      <c r="F69" s="13"/>
      <c r="G69" s="13"/>
      <c r="H69" s="13"/>
      <c r="I69" s="13"/>
      <c r="J69" s="13"/>
      <c r="K69" s="13"/>
    </row>
    <row r="70" spans="1:11" x14ac:dyDescent="0.2">
      <c r="A70" s="51" t="s">
        <v>855</v>
      </c>
      <c r="B70" s="66" t="s">
        <v>840</v>
      </c>
      <c r="C70" s="4">
        <v>28.7</v>
      </c>
      <c r="D70" s="53"/>
      <c r="E70" s="53"/>
      <c r="F70" s="13"/>
      <c r="G70" s="13"/>
      <c r="H70" s="13"/>
      <c r="I70" s="13"/>
      <c r="J70" s="13"/>
      <c r="K70" s="13"/>
    </row>
    <row r="71" spans="1:11" ht="25.5" x14ac:dyDescent="0.2">
      <c r="A71" s="51" t="s">
        <v>856</v>
      </c>
      <c r="B71" s="66" t="s">
        <v>844</v>
      </c>
      <c r="C71" s="4">
        <v>18</v>
      </c>
      <c r="D71" s="53"/>
      <c r="E71" s="53"/>
      <c r="F71" s="13"/>
      <c r="G71" s="13"/>
      <c r="H71" s="13"/>
      <c r="I71" s="13"/>
      <c r="J71" s="13"/>
      <c r="K71" s="13"/>
    </row>
    <row r="72" spans="1:11" x14ac:dyDescent="0.2">
      <c r="A72" s="51" t="s">
        <v>857</v>
      </c>
      <c r="B72" s="66" t="s">
        <v>845</v>
      </c>
      <c r="C72" s="4">
        <f>300+484</f>
        <v>784</v>
      </c>
      <c r="D72" s="53"/>
      <c r="E72" s="53"/>
      <c r="F72" s="13"/>
      <c r="G72" s="13"/>
      <c r="H72" s="13"/>
      <c r="I72" s="13"/>
      <c r="J72" s="13"/>
      <c r="K72" s="13"/>
    </row>
    <row r="73" spans="1:11" x14ac:dyDescent="0.2">
      <c r="A73" s="51" t="s">
        <v>858</v>
      </c>
      <c r="B73" s="66" t="s">
        <v>853</v>
      </c>
      <c r="C73" s="4">
        <f>2878.6+117</f>
        <v>2995.6</v>
      </c>
      <c r="D73" s="53"/>
      <c r="E73" s="53"/>
      <c r="F73" s="13"/>
      <c r="G73" s="13"/>
      <c r="H73" s="13"/>
      <c r="I73" s="13"/>
      <c r="J73" s="13"/>
      <c r="K73" s="13"/>
    </row>
    <row r="74" spans="1:11" ht="25.5" x14ac:dyDescent="0.2">
      <c r="A74" s="51" t="s">
        <v>860</v>
      </c>
      <c r="B74" s="66" t="s">
        <v>871</v>
      </c>
      <c r="C74" s="4">
        <v>232</v>
      </c>
      <c r="D74" s="53"/>
      <c r="E74" s="53"/>
      <c r="F74" s="13"/>
      <c r="G74" s="13"/>
      <c r="H74" s="13"/>
      <c r="I74" s="13"/>
      <c r="J74" s="13"/>
      <c r="K74" s="13"/>
    </row>
    <row r="75" spans="1:11" ht="25.5" x14ac:dyDescent="0.2">
      <c r="A75" s="51" t="s">
        <v>861</v>
      </c>
      <c r="B75" s="66" t="s">
        <v>859</v>
      </c>
      <c r="C75" s="4">
        <f>18.5+18.7</f>
        <v>37.200000000000003</v>
      </c>
      <c r="D75" s="53"/>
      <c r="E75" s="53"/>
      <c r="F75" s="13"/>
      <c r="G75" s="13"/>
      <c r="H75" s="13"/>
      <c r="I75" s="13"/>
      <c r="J75" s="13"/>
      <c r="K75" s="13"/>
    </row>
    <row r="76" spans="1:11" ht="25.5" customHeight="1" x14ac:dyDescent="0.2">
      <c r="A76" s="51" t="s">
        <v>863</v>
      </c>
      <c r="B76" s="66" t="s">
        <v>862</v>
      </c>
      <c r="C76" s="4">
        <v>14.1</v>
      </c>
      <c r="D76" s="53"/>
      <c r="E76" s="53"/>
      <c r="F76" s="13"/>
      <c r="G76" s="13"/>
      <c r="H76" s="13"/>
      <c r="I76" s="13"/>
      <c r="J76" s="13"/>
      <c r="K76" s="13"/>
    </row>
    <row r="77" spans="1:11" ht="25.5" customHeight="1" x14ac:dyDescent="0.2">
      <c r="A77" s="51" t="s">
        <v>890</v>
      </c>
      <c r="B77" s="66" t="s">
        <v>873</v>
      </c>
      <c r="C77" s="4">
        <v>1639.3</v>
      </c>
      <c r="D77" s="53"/>
      <c r="E77" s="53"/>
      <c r="F77" s="13"/>
      <c r="G77" s="13"/>
      <c r="H77" s="13"/>
      <c r="I77" s="13"/>
      <c r="J77" s="13"/>
      <c r="K77" s="13"/>
    </row>
    <row r="78" spans="1:11" ht="25.5" customHeight="1" x14ac:dyDescent="0.2">
      <c r="A78" s="51" t="s">
        <v>891</v>
      </c>
      <c r="B78" s="66" t="s">
        <v>897</v>
      </c>
      <c r="C78" s="4">
        <v>300</v>
      </c>
      <c r="D78" s="53"/>
      <c r="E78" s="53"/>
      <c r="F78" s="13"/>
      <c r="G78" s="13"/>
      <c r="H78" s="13"/>
      <c r="I78" s="13"/>
      <c r="J78" s="13"/>
      <c r="K78" s="13"/>
    </row>
    <row r="79" spans="1:11" ht="25.5" customHeight="1" x14ac:dyDescent="0.2">
      <c r="A79" s="51" t="s">
        <v>892</v>
      </c>
      <c r="B79" s="66" t="s">
        <v>876</v>
      </c>
      <c r="C79" s="4">
        <v>8.6</v>
      </c>
      <c r="D79" s="53"/>
      <c r="E79" s="53"/>
      <c r="F79" s="13"/>
      <c r="G79" s="13"/>
      <c r="H79" s="13"/>
      <c r="I79" s="13"/>
      <c r="J79" s="13"/>
      <c r="K79" s="13"/>
    </row>
    <row r="80" spans="1:11" ht="25.5" customHeight="1" x14ac:dyDescent="0.2">
      <c r="A80" s="51" t="s">
        <v>893</v>
      </c>
      <c r="B80" s="66" t="s">
        <v>878</v>
      </c>
      <c r="C80" s="4">
        <v>13.6</v>
      </c>
      <c r="D80" s="53"/>
      <c r="E80" s="53"/>
      <c r="F80" s="13"/>
      <c r="G80" s="13"/>
      <c r="H80" s="13"/>
      <c r="I80" s="13"/>
      <c r="J80" s="13"/>
      <c r="K80" s="13"/>
    </row>
    <row r="81" spans="1:11" ht="25.5" customHeight="1" x14ac:dyDescent="0.2">
      <c r="A81" s="51" t="s">
        <v>894</v>
      </c>
      <c r="B81" s="66" t="s">
        <v>881</v>
      </c>
      <c r="C81" s="4">
        <v>15.4</v>
      </c>
      <c r="D81" s="53"/>
      <c r="E81" s="53"/>
      <c r="F81" s="13"/>
      <c r="G81" s="13"/>
      <c r="H81" s="13"/>
      <c r="I81" s="13"/>
      <c r="J81" s="13"/>
      <c r="K81" s="13"/>
    </row>
    <row r="82" spans="1:11" ht="25.5" customHeight="1" x14ac:dyDescent="0.2">
      <c r="A82" s="51" t="s">
        <v>895</v>
      </c>
      <c r="B82" s="66" t="s">
        <v>883</v>
      </c>
      <c r="C82" s="4">
        <v>27.8</v>
      </c>
      <c r="D82" s="53"/>
      <c r="E82" s="53"/>
      <c r="F82" s="13"/>
      <c r="G82" s="13"/>
      <c r="H82" s="13"/>
      <c r="I82" s="13"/>
      <c r="J82" s="13"/>
      <c r="K82" s="13"/>
    </row>
    <row r="83" spans="1:11" ht="19.5" customHeight="1" x14ac:dyDescent="0.2">
      <c r="A83" s="51" t="s">
        <v>896</v>
      </c>
      <c r="B83" s="66" t="s">
        <v>899</v>
      </c>
      <c r="C83" s="4">
        <v>30</v>
      </c>
      <c r="D83" s="53"/>
      <c r="E83" s="53"/>
      <c r="F83" s="13"/>
      <c r="G83" s="13"/>
      <c r="H83" s="13"/>
      <c r="I83" s="13"/>
      <c r="J83" s="13"/>
      <c r="K83" s="13"/>
    </row>
    <row r="84" spans="1:11" ht="15" customHeight="1" x14ac:dyDescent="0.2">
      <c r="A84" s="197" t="s">
        <v>898</v>
      </c>
      <c r="B84" s="195" t="s">
        <v>903</v>
      </c>
      <c r="C84" s="58">
        <v>0</v>
      </c>
      <c r="D84" s="53"/>
      <c r="E84" s="53"/>
      <c r="F84" s="13"/>
      <c r="G84" s="13"/>
      <c r="H84" s="13"/>
      <c r="I84" s="13"/>
      <c r="J84" s="13"/>
      <c r="K84" s="13"/>
    </row>
    <row r="85" spans="1:11" ht="15" customHeight="1" x14ac:dyDescent="0.2">
      <c r="A85" s="198"/>
      <c r="B85" s="196"/>
      <c r="C85" s="59">
        <v>32</v>
      </c>
      <c r="D85" s="53"/>
      <c r="E85" s="53"/>
      <c r="F85" s="13"/>
      <c r="G85" s="13"/>
      <c r="H85" s="13"/>
      <c r="I85" s="13"/>
      <c r="J85" s="13"/>
      <c r="K85" s="13"/>
    </row>
    <row r="86" spans="1:11" ht="40.5" customHeight="1" x14ac:dyDescent="0.2">
      <c r="A86" s="197" t="s">
        <v>906</v>
      </c>
      <c r="B86" s="195" t="s">
        <v>928</v>
      </c>
      <c r="C86" s="58">
        <v>0</v>
      </c>
      <c r="D86" s="53"/>
      <c r="E86" s="53"/>
      <c r="F86" s="13"/>
      <c r="G86" s="13"/>
      <c r="H86" s="13"/>
      <c r="I86" s="13"/>
      <c r="J86" s="13"/>
      <c r="K86" s="13"/>
    </row>
    <row r="87" spans="1:11" ht="14.25" customHeight="1" x14ac:dyDescent="0.2">
      <c r="A87" s="198"/>
      <c r="B87" s="196"/>
      <c r="C87" s="59">
        <v>5.8</v>
      </c>
      <c r="D87" s="53"/>
      <c r="E87" s="53"/>
      <c r="F87" s="13"/>
      <c r="G87" s="13"/>
      <c r="H87" s="13"/>
      <c r="I87" s="13"/>
      <c r="J87" s="13"/>
      <c r="K87" s="13"/>
    </row>
    <row r="88" spans="1:11" ht="37.5" customHeight="1" x14ac:dyDescent="0.2">
      <c r="A88" s="197" t="s">
        <v>907</v>
      </c>
      <c r="B88" s="195" t="s">
        <v>929</v>
      </c>
      <c r="C88" s="58">
        <v>0</v>
      </c>
      <c r="D88" s="53"/>
      <c r="E88" s="53"/>
      <c r="F88" s="13"/>
      <c r="G88" s="13"/>
      <c r="H88" s="13"/>
      <c r="I88" s="13"/>
      <c r="J88" s="13"/>
      <c r="K88" s="13"/>
    </row>
    <row r="89" spans="1:11" ht="15" customHeight="1" x14ac:dyDescent="0.2">
      <c r="A89" s="198"/>
      <c r="B89" s="196"/>
      <c r="C89" s="59">
        <v>51.7</v>
      </c>
      <c r="D89" s="53"/>
      <c r="E89" s="53"/>
      <c r="F89" s="13"/>
      <c r="G89" s="13"/>
      <c r="H89" s="13"/>
      <c r="I89" s="13"/>
      <c r="J89" s="13"/>
      <c r="K89" s="13"/>
    </row>
    <row r="90" spans="1:11" ht="36.75" customHeight="1" x14ac:dyDescent="0.2">
      <c r="A90" s="197" t="s">
        <v>908</v>
      </c>
      <c r="B90" s="195" t="s">
        <v>930</v>
      </c>
      <c r="C90" s="58">
        <v>0</v>
      </c>
      <c r="D90" s="53"/>
      <c r="E90" s="53"/>
      <c r="F90" s="13"/>
      <c r="G90" s="13"/>
      <c r="H90" s="13"/>
      <c r="I90" s="13"/>
      <c r="J90" s="13"/>
      <c r="K90" s="13"/>
    </row>
    <row r="91" spans="1:11" ht="11.25" customHeight="1" x14ac:dyDescent="0.2">
      <c r="A91" s="198"/>
      <c r="B91" s="196"/>
      <c r="C91" s="59">
        <v>0.4</v>
      </c>
      <c r="D91" s="53"/>
      <c r="E91" s="53"/>
      <c r="F91" s="13"/>
      <c r="G91" s="13"/>
      <c r="H91" s="13"/>
      <c r="I91" s="13"/>
      <c r="J91" s="13"/>
      <c r="K91" s="13"/>
    </row>
    <row r="92" spans="1:11" x14ac:dyDescent="0.2">
      <c r="A92" s="197" t="s">
        <v>910</v>
      </c>
      <c r="B92" s="195" t="s">
        <v>911</v>
      </c>
      <c r="C92" s="58">
        <v>0</v>
      </c>
      <c r="D92" s="53"/>
      <c r="E92" s="53"/>
      <c r="F92" s="13"/>
      <c r="G92" s="13"/>
      <c r="H92" s="13"/>
      <c r="I92" s="13"/>
      <c r="J92" s="13"/>
      <c r="K92" s="13"/>
    </row>
    <row r="93" spans="1:11" x14ac:dyDescent="0.2">
      <c r="A93" s="198"/>
      <c r="B93" s="196"/>
      <c r="C93" s="59">
        <v>147.19999999999999</v>
      </c>
      <c r="D93" s="53"/>
      <c r="E93" s="53"/>
      <c r="F93" s="13"/>
      <c r="G93" s="13"/>
      <c r="H93" s="13"/>
      <c r="I93" s="13"/>
      <c r="J93" s="13"/>
      <c r="K93" s="13"/>
    </row>
    <row r="94" spans="1:11" ht="27" customHeight="1" x14ac:dyDescent="0.2">
      <c r="A94" s="197" t="s">
        <v>913</v>
      </c>
      <c r="B94" s="195" t="s">
        <v>918</v>
      </c>
      <c r="C94" s="58">
        <v>0</v>
      </c>
      <c r="D94" s="53"/>
      <c r="E94" s="53"/>
      <c r="F94" s="13"/>
      <c r="G94" s="13"/>
      <c r="H94" s="13"/>
      <c r="I94" s="13"/>
      <c r="J94" s="13"/>
      <c r="K94" s="13"/>
    </row>
    <row r="95" spans="1:11" ht="14.25" customHeight="1" x14ac:dyDescent="0.2">
      <c r="A95" s="198"/>
      <c r="B95" s="196"/>
      <c r="C95" s="59">
        <v>1482.4</v>
      </c>
      <c r="D95" s="53"/>
      <c r="E95" s="53"/>
      <c r="F95" s="13"/>
      <c r="G95" s="13"/>
      <c r="H95" s="13"/>
      <c r="I95" s="13"/>
      <c r="J95" s="13"/>
      <c r="K95" s="13"/>
    </row>
    <row r="96" spans="1:11" x14ac:dyDescent="0.2">
      <c r="A96" s="197" t="s">
        <v>914</v>
      </c>
      <c r="B96" s="195" t="s">
        <v>915</v>
      </c>
      <c r="C96" s="58">
        <v>0</v>
      </c>
      <c r="D96" s="53"/>
      <c r="E96" s="53"/>
      <c r="F96" s="13"/>
      <c r="G96" s="13"/>
      <c r="H96" s="13"/>
      <c r="I96" s="13"/>
      <c r="J96" s="13"/>
      <c r="K96" s="13"/>
    </row>
    <row r="97" spans="1:11" x14ac:dyDescent="0.2">
      <c r="A97" s="198"/>
      <c r="B97" s="196"/>
      <c r="C97" s="59">
        <v>2496.5</v>
      </c>
      <c r="D97" s="53"/>
      <c r="E97" s="53"/>
      <c r="F97" s="13"/>
      <c r="G97" s="13"/>
      <c r="H97" s="13"/>
      <c r="I97" s="13"/>
      <c r="J97" s="13"/>
      <c r="K97" s="13"/>
    </row>
    <row r="98" spans="1:11" x14ac:dyDescent="0.2">
      <c r="A98" s="51">
        <v>17</v>
      </c>
      <c r="B98" s="49" t="s">
        <v>384</v>
      </c>
      <c r="C98" s="54">
        <f>C99+C104+C108+C111+C112+C114</f>
        <v>4832</v>
      </c>
      <c r="D98" s="53"/>
    </row>
    <row r="99" spans="1:11" x14ac:dyDescent="0.2">
      <c r="A99" s="51">
        <v>18</v>
      </c>
      <c r="B99" s="49" t="s">
        <v>385</v>
      </c>
      <c r="C99" s="54">
        <f>C101+C102+C103+C100</f>
        <v>720</v>
      </c>
      <c r="D99" s="55"/>
    </row>
    <row r="100" spans="1:11" x14ac:dyDescent="0.2">
      <c r="A100" s="51">
        <v>19</v>
      </c>
      <c r="B100" s="69" t="s">
        <v>302</v>
      </c>
      <c r="C100" s="4">
        <v>20</v>
      </c>
      <c r="D100" s="53"/>
    </row>
    <row r="101" spans="1:11" ht="25.5" x14ac:dyDescent="0.2">
      <c r="A101" s="51">
        <v>20</v>
      </c>
      <c r="B101" s="66" t="s">
        <v>303</v>
      </c>
      <c r="C101" s="4">
        <v>600</v>
      </c>
      <c r="D101" s="53"/>
    </row>
    <row r="102" spans="1:11" x14ac:dyDescent="0.2">
      <c r="A102" s="51">
        <v>21</v>
      </c>
      <c r="B102" s="57" t="s">
        <v>304</v>
      </c>
      <c r="C102" s="4">
        <v>50</v>
      </c>
      <c r="D102" s="55"/>
    </row>
    <row r="103" spans="1:11" x14ac:dyDescent="0.2">
      <c r="A103" s="51">
        <v>22</v>
      </c>
      <c r="B103" s="70" t="s">
        <v>185</v>
      </c>
      <c r="C103" s="4">
        <v>50</v>
      </c>
      <c r="D103" s="55"/>
    </row>
    <row r="104" spans="1:11" x14ac:dyDescent="0.2">
      <c r="A104" s="51">
        <v>23</v>
      </c>
      <c r="B104" s="49" t="s">
        <v>386</v>
      </c>
      <c r="C104" s="54">
        <f>+C106+C105+C107</f>
        <v>2083</v>
      </c>
      <c r="D104" s="53"/>
    </row>
    <row r="105" spans="1:11" x14ac:dyDescent="0.2">
      <c r="A105" s="51">
        <v>24</v>
      </c>
      <c r="B105" s="57" t="s">
        <v>305</v>
      </c>
      <c r="C105" s="4">
        <v>259.10000000000002</v>
      </c>
      <c r="D105" s="55"/>
      <c r="E105" s="55"/>
    </row>
    <row r="106" spans="1:11" x14ac:dyDescent="0.2">
      <c r="A106" s="51">
        <v>25</v>
      </c>
      <c r="B106" s="57" t="s">
        <v>306</v>
      </c>
      <c r="C106" s="4">
        <v>148.69999999999999</v>
      </c>
      <c r="D106" s="55"/>
      <c r="E106" s="55"/>
    </row>
    <row r="107" spans="1:11" x14ac:dyDescent="0.2">
      <c r="A107" s="51">
        <v>26</v>
      </c>
      <c r="B107" s="57" t="s">
        <v>307</v>
      </c>
      <c r="C107" s="4">
        <v>1675.2</v>
      </c>
      <c r="D107" s="55"/>
      <c r="E107" s="55"/>
    </row>
    <row r="108" spans="1:11" x14ac:dyDescent="0.2">
      <c r="A108" s="51">
        <v>27</v>
      </c>
      <c r="B108" s="49" t="s">
        <v>387</v>
      </c>
      <c r="C108" s="52">
        <f>+C109+C110</f>
        <v>1645</v>
      </c>
      <c r="D108" s="53"/>
      <c r="E108" s="63"/>
    </row>
    <row r="109" spans="1:11" x14ac:dyDescent="0.2">
      <c r="A109" s="51">
        <v>28</v>
      </c>
      <c r="B109" s="57" t="s">
        <v>308</v>
      </c>
      <c r="C109" s="4">
        <v>45</v>
      </c>
      <c r="D109" s="53"/>
    </row>
    <row r="110" spans="1:11" x14ac:dyDescent="0.2">
      <c r="A110" s="51">
        <v>29</v>
      </c>
      <c r="B110" s="57" t="s">
        <v>309</v>
      </c>
      <c r="C110" s="4">
        <v>1600</v>
      </c>
      <c r="E110" s="55"/>
    </row>
    <row r="111" spans="1:11" x14ac:dyDescent="0.2">
      <c r="A111" s="51">
        <v>30</v>
      </c>
      <c r="B111" s="49" t="s">
        <v>310</v>
      </c>
      <c r="C111" s="54">
        <v>50</v>
      </c>
      <c r="D111" s="53"/>
      <c r="E111" s="63"/>
    </row>
    <row r="112" spans="1:11" x14ac:dyDescent="0.2">
      <c r="A112" s="51">
        <v>31</v>
      </c>
      <c r="B112" s="49" t="s">
        <v>715</v>
      </c>
      <c r="C112" s="54">
        <f>8+C113</f>
        <v>233</v>
      </c>
      <c r="D112" s="53"/>
      <c r="E112" s="53"/>
    </row>
    <row r="113" spans="1:5" x14ac:dyDescent="0.2">
      <c r="A113" s="51" t="s">
        <v>584</v>
      </c>
      <c r="B113" s="57" t="s">
        <v>714</v>
      </c>
      <c r="C113" s="4">
        <v>225</v>
      </c>
      <c r="D113" s="53"/>
      <c r="E113" s="53"/>
    </row>
    <row r="114" spans="1:5" x14ac:dyDescent="0.2">
      <c r="A114" s="51">
        <v>32</v>
      </c>
      <c r="B114" s="49" t="s">
        <v>311</v>
      </c>
      <c r="C114" s="54">
        <v>101</v>
      </c>
      <c r="D114" s="53"/>
    </row>
    <row r="115" spans="1:5" ht="13.5" x14ac:dyDescent="0.25">
      <c r="A115" s="197">
        <v>33</v>
      </c>
      <c r="B115" s="201" t="s">
        <v>388</v>
      </c>
      <c r="C115" s="58">
        <f>+C8+C17+C98</f>
        <v>81500</v>
      </c>
      <c r="D115" s="71"/>
      <c r="E115" s="53"/>
    </row>
    <row r="116" spans="1:5" ht="13.5" x14ac:dyDescent="0.25">
      <c r="A116" s="198"/>
      <c r="B116" s="202"/>
      <c r="C116" s="59">
        <v>85824.4</v>
      </c>
      <c r="D116" s="71"/>
      <c r="E116" s="53"/>
    </row>
    <row r="117" spans="1:5" ht="12.6" customHeight="1" x14ac:dyDescent="0.2">
      <c r="A117" s="51">
        <v>34</v>
      </c>
      <c r="B117" s="56" t="s">
        <v>312</v>
      </c>
      <c r="C117" s="52">
        <f>1836.7+426+532+1046</f>
        <v>3840.7</v>
      </c>
      <c r="D117" s="12"/>
    </row>
    <row r="118" spans="1:5" ht="13.5" customHeight="1" x14ac:dyDescent="0.2">
      <c r="A118" s="197">
        <v>35</v>
      </c>
      <c r="B118" s="201" t="s">
        <v>389</v>
      </c>
      <c r="C118" s="58">
        <f>+C115+C117</f>
        <v>85340.7</v>
      </c>
      <c r="D118" s="53"/>
      <c r="E118" s="53"/>
    </row>
    <row r="119" spans="1:5" ht="13.5" customHeight="1" x14ac:dyDescent="0.25">
      <c r="A119" s="198"/>
      <c r="B119" s="202"/>
      <c r="C119" s="59">
        <v>89665.1</v>
      </c>
      <c r="D119" s="71"/>
      <c r="E119" s="53"/>
    </row>
    <row r="120" spans="1:5" ht="14.25" customHeight="1" x14ac:dyDescent="0.2">
      <c r="A120" s="197">
        <v>36</v>
      </c>
      <c r="B120" s="199" t="s">
        <v>582</v>
      </c>
      <c r="C120" s="58">
        <v>7355.8</v>
      </c>
      <c r="E120" s="53"/>
    </row>
    <row r="121" spans="1:5" ht="14.25" customHeight="1" x14ac:dyDescent="0.25">
      <c r="A121" s="198"/>
      <c r="B121" s="200"/>
      <c r="C121" s="59">
        <v>7372.4</v>
      </c>
      <c r="D121" s="71"/>
      <c r="E121" s="53"/>
    </row>
    <row r="122" spans="1:5" x14ac:dyDescent="0.2">
      <c r="A122" s="51">
        <v>37</v>
      </c>
      <c r="B122" s="57" t="s">
        <v>313</v>
      </c>
      <c r="C122" s="4">
        <v>6100.4</v>
      </c>
      <c r="D122" s="53"/>
      <c r="E122" s="53"/>
    </row>
    <row r="123" spans="1:5" ht="12.6" customHeight="1" x14ac:dyDescent="0.2">
      <c r="A123" s="51">
        <v>38</v>
      </c>
      <c r="B123" s="57" t="s">
        <v>314</v>
      </c>
      <c r="C123" s="4">
        <v>109.5</v>
      </c>
      <c r="D123" s="55"/>
      <c r="E123" s="55"/>
    </row>
    <row r="124" spans="1:5" ht="12.6" customHeight="1" x14ac:dyDescent="0.2">
      <c r="A124" s="51">
        <v>39</v>
      </c>
      <c r="B124" s="57" t="s">
        <v>315</v>
      </c>
      <c r="C124" s="4">
        <v>49.3</v>
      </c>
      <c r="D124" s="55"/>
      <c r="E124" s="55"/>
    </row>
    <row r="125" spans="1:5" ht="12.6" customHeight="1" x14ac:dyDescent="0.2">
      <c r="A125" s="51">
        <v>40</v>
      </c>
      <c r="B125" s="66" t="s">
        <v>316</v>
      </c>
      <c r="C125" s="4">
        <v>193.8</v>
      </c>
      <c r="D125" s="55"/>
      <c r="E125" s="55"/>
    </row>
    <row r="126" spans="1:5" ht="12.6" customHeight="1" x14ac:dyDescent="0.2">
      <c r="A126" s="51">
        <v>41</v>
      </c>
      <c r="B126" s="57" t="s">
        <v>317</v>
      </c>
      <c r="C126" s="4">
        <v>331.2</v>
      </c>
      <c r="D126" s="53"/>
    </row>
    <row r="127" spans="1:5" ht="12.6" customHeight="1" x14ac:dyDescent="0.2">
      <c r="A127" s="51">
        <v>42</v>
      </c>
      <c r="B127" s="57" t="s">
        <v>318</v>
      </c>
      <c r="C127" s="4">
        <v>13</v>
      </c>
      <c r="D127" s="53"/>
      <c r="E127" s="55"/>
    </row>
    <row r="128" spans="1:5" ht="13.5" customHeight="1" x14ac:dyDescent="0.2">
      <c r="A128" s="197">
        <v>43</v>
      </c>
      <c r="B128" s="195" t="s">
        <v>319</v>
      </c>
      <c r="C128" s="58">
        <v>345</v>
      </c>
      <c r="D128" s="53"/>
      <c r="E128" s="72"/>
    </row>
    <row r="129" spans="1:8" ht="13.5" customHeight="1" x14ac:dyDescent="0.25">
      <c r="A129" s="198"/>
      <c r="B129" s="196"/>
      <c r="C129" s="59">
        <v>361.6</v>
      </c>
      <c r="D129" s="71"/>
      <c r="E129" s="72"/>
    </row>
    <row r="130" spans="1:8" ht="12.6" customHeight="1" x14ac:dyDescent="0.2">
      <c r="A130" s="51">
        <v>44</v>
      </c>
      <c r="B130" s="64" t="s">
        <v>282</v>
      </c>
      <c r="C130" s="4">
        <v>213.2</v>
      </c>
      <c r="D130" s="53"/>
      <c r="E130" s="55"/>
      <c r="H130" s="10"/>
    </row>
    <row r="131" spans="1:8" ht="12.6" customHeight="1" x14ac:dyDescent="0.2">
      <c r="A131" s="51">
        <v>45</v>
      </c>
      <c r="B131" s="64" t="s">
        <v>320</v>
      </c>
      <c r="C131" s="4">
        <v>0.4</v>
      </c>
      <c r="D131" s="53"/>
      <c r="E131" s="55"/>
    </row>
    <row r="132" spans="1:8" ht="17.25" customHeight="1" x14ac:dyDescent="0.2">
      <c r="A132" s="197">
        <v>46</v>
      </c>
      <c r="B132" s="201" t="s">
        <v>321</v>
      </c>
      <c r="C132" s="58">
        <f>+C118+C120</f>
        <v>92696.5</v>
      </c>
      <c r="D132" s="11"/>
    </row>
    <row r="133" spans="1:8" ht="13.5" customHeight="1" x14ac:dyDescent="0.25">
      <c r="A133" s="198"/>
      <c r="B133" s="202"/>
      <c r="C133" s="59">
        <v>97037.5</v>
      </c>
      <c r="D133" s="71"/>
      <c r="E133" s="60"/>
    </row>
    <row r="134" spans="1:8" ht="12.6" customHeight="1" x14ac:dyDescent="0.2">
      <c r="A134" s="43"/>
      <c r="B134" s="73" t="s">
        <v>322</v>
      </c>
      <c r="C134" s="74"/>
    </row>
    <row r="135" spans="1:8" ht="12.6" customHeight="1" x14ac:dyDescent="0.2">
      <c r="A135" s="43"/>
      <c r="B135" s="73"/>
      <c r="C135" s="12"/>
    </row>
    <row r="136" spans="1:8" ht="12.6" customHeight="1" x14ac:dyDescent="0.2">
      <c r="A136" s="43"/>
      <c r="B136" s="73"/>
      <c r="C136" s="12"/>
    </row>
    <row r="137" spans="1:8" x14ac:dyDescent="0.2">
      <c r="B137" s="75"/>
    </row>
    <row r="138" spans="1:8" x14ac:dyDescent="0.2">
      <c r="B138" s="75"/>
      <c r="C138" s="12"/>
    </row>
    <row r="139" spans="1:8" x14ac:dyDescent="0.2">
      <c r="B139" s="75"/>
      <c r="C139" s="12"/>
    </row>
    <row r="140" spans="1:8" x14ac:dyDescent="0.2">
      <c r="B140" s="75"/>
      <c r="C140" s="12"/>
    </row>
    <row r="141" spans="1:8" x14ac:dyDescent="0.2">
      <c r="B141" s="75"/>
      <c r="C141" s="10"/>
      <c r="D141" s="12"/>
    </row>
    <row r="142" spans="1:8" x14ac:dyDescent="0.2">
      <c r="B142" s="75"/>
      <c r="C142" s="12"/>
      <c r="D142" s="10"/>
    </row>
    <row r="143" spans="1:8" x14ac:dyDescent="0.2">
      <c r="B143" s="75"/>
      <c r="C143" s="12"/>
    </row>
    <row r="144" spans="1:8" ht="15.75" x14ac:dyDescent="0.25">
      <c r="B144" s="9"/>
      <c r="C144" s="12"/>
    </row>
    <row r="145" spans="2:3" ht="15.75" x14ac:dyDescent="0.25">
      <c r="B145" s="9"/>
      <c r="C145" s="76"/>
    </row>
    <row r="153" spans="2:3" ht="12" customHeight="1" x14ac:dyDescent="0.2"/>
    <row r="154" spans="2:3" ht="12" customHeight="1" x14ac:dyDescent="0.2"/>
    <row r="155" spans="2:3" ht="12" customHeight="1" x14ac:dyDescent="0.2"/>
    <row r="156" spans="2:3" ht="12" customHeight="1" x14ac:dyDescent="0.2"/>
    <row r="157" spans="2:3" ht="12" customHeight="1" x14ac:dyDescent="0.2"/>
    <row r="158" spans="2:3" ht="12" customHeight="1" x14ac:dyDescent="0.2"/>
    <row r="159" spans="2:3" ht="12" customHeight="1" x14ac:dyDescent="0.2"/>
    <row r="160" spans="2:3" ht="12" customHeight="1" x14ac:dyDescent="0.2"/>
    <row r="161" spans="5:5" x14ac:dyDescent="0.2">
      <c r="E161" s="77"/>
    </row>
  </sheetData>
  <mergeCells count="45">
    <mergeCell ref="A128:A129"/>
    <mergeCell ref="B128:B129"/>
    <mergeCell ref="A132:A133"/>
    <mergeCell ref="B132:B133"/>
    <mergeCell ref="A115:A116"/>
    <mergeCell ref="B115:B116"/>
    <mergeCell ref="A118:A119"/>
    <mergeCell ref="B118:B119"/>
    <mergeCell ref="A120:A121"/>
    <mergeCell ref="B120:B121"/>
    <mergeCell ref="A94:A95"/>
    <mergeCell ref="B94:B95"/>
    <mergeCell ref="A96:A97"/>
    <mergeCell ref="B96:B97"/>
    <mergeCell ref="A17:A18"/>
    <mergeCell ref="B17:B18"/>
    <mergeCell ref="A27:A28"/>
    <mergeCell ref="B27:B28"/>
    <mergeCell ref="A88:A89"/>
    <mergeCell ref="B88:B89"/>
    <mergeCell ref="A90:A91"/>
    <mergeCell ref="B90:B91"/>
    <mergeCell ref="A92:A93"/>
    <mergeCell ref="B92:B93"/>
    <mergeCell ref="A62:A63"/>
    <mergeCell ref="B62:B63"/>
    <mergeCell ref="A84:A85"/>
    <mergeCell ref="B84:B85"/>
    <mergeCell ref="A86:A87"/>
    <mergeCell ref="B86:B87"/>
    <mergeCell ref="A25:A26"/>
    <mergeCell ref="B25:B26"/>
    <mergeCell ref="A35:A36"/>
    <mergeCell ref="B35:B36"/>
    <mergeCell ref="A56:A57"/>
    <mergeCell ref="B56:B57"/>
    <mergeCell ref="A3:C3"/>
    <mergeCell ref="B1:C1"/>
    <mergeCell ref="B21:B22"/>
    <mergeCell ref="A21:A22"/>
    <mergeCell ref="A23:A24"/>
    <mergeCell ref="B23:B24"/>
    <mergeCell ref="B19:B20"/>
    <mergeCell ref="A19:A20"/>
    <mergeCell ref="B2:C2"/>
  </mergeCells>
  <phoneticPr fontId="12" type="noConversion"/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0"/>
  <sheetViews>
    <sheetView zoomScaleNormal="100" workbookViewId="0">
      <selection activeCell="L11" sqref="L11"/>
    </sheetView>
  </sheetViews>
  <sheetFormatPr defaultColWidth="9.140625" defaultRowHeight="12.75" x14ac:dyDescent="0.2"/>
  <cols>
    <col min="1" max="1" width="5.85546875" style="78" customWidth="1"/>
    <col min="2" max="2" width="6.7109375" style="79" customWidth="1"/>
    <col min="3" max="3" width="51.28515625" style="2" customWidth="1"/>
    <col min="4" max="4" width="11.42578125" style="80" customWidth="1"/>
    <col min="5" max="5" width="9.7109375" style="2" customWidth="1"/>
    <col min="6" max="6" width="11" style="2" customWidth="1"/>
    <col min="7" max="16384" width="9.140625" style="1"/>
  </cols>
  <sheetData>
    <row r="1" spans="1:10" ht="15.75" customHeight="1" x14ac:dyDescent="0.25">
      <c r="C1" s="9"/>
      <c r="D1" s="9"/>
      <c r="E1" s="9"/>
      <c r="F1" s="9"/>
    </row>
    <row r="2" spans="1:10" ht="15.75" x14ac:dyDescent="0.25">
      <c r="C2" s="219" t="s">
        <v>936</v>
      </c>
      <c r="D2" s="219"/>
      <c r="E2" s="219"/>
      <c r="F2" s="219"/>
    </row>
    <row r="3" spans="1:10" ht="14.25" customHeight="1" x14ac:dyDescent="0.2">
      <c r="B3" s="80"/>
      <c r="E3" s="220" t="s">
        <v>115</v>
      </c>
      <c r="F3" s="220"/>
    </row>
    <row r="4" spans="1:10" ht="15.75" x14ac:dyDescent="0.2">
      <c r="B4" s="80"/>
      <c r="E4" s="5"/>
      <c r="F4" s="5"/>
    </row>
    <row r="5" spans="1:10" ht="25.5" customHeight="1" x14ac:dyDescent="0.2">
      <c r="A5" s="221" t="s">
        <v>539</v>
      </c>
      <c r="B5" s="221"/>
      <c r="C5" s="221"/>
      <c r="D5" s="221"/>
      <c r="E5" s="221"/>
      <c r="F5" s="221"/>
    </row>
    <row r="6" spans="1:10" x14ac:dyDescent="0.2">
      <c r="A6" s="81"/>
      <c r="B6" s="81"/>
      <c r="C6" s="81"/>
      <c r="D6" s="81"/>
      <c r="E6" s="81"/>
      <c r="F6" s="81"/>
    </row>
    <row r="7" spans="1:10" x14ac:dyDescent="0.2">
      <c r="B7" s="80"/>
      <c r="E7" s="78"/>
      <c r="F7" s="82" t="s">
        <v>129</v>
      </c>
    </row>
    <row r="8" spans="1:10" ht="43.5" customHeight="1" x14ac:dyDescent="0.2">
      <c r="A8" s="83" t="s">
        <v>118</v>
      </c>
      <c r="B8" s="84" t="s">
        <v>326</v>
      </c>
      <c r="C8" s="83" t="s">
        <v>16</v>
      </c>
      <c r="D8" s="84" t="s">
        <v>55</v>
      </c>
      <c r="E8" s="83" t="s">
        <v>17</v>
      </c>
      <c r="F8" s="83" t="s">
        <v>29</v>
      </c>
    </row>
    <row r="9" spans="1:10" x14ac:dyDescent="0.2">
      <c r="A9" s="85">
        <v>1</v>
      </c>
      <c r="B9" s="86" t="s">
        <v>18</v>
      </c>
      <c r="C9" s="83">
        <v>3</v>
      </c>
      <c r="D9" s="84">
        <v>4</v>
      </c>
      <c r="E9" s="83">
        <v>5</v>
      </c>
      <c r="F9" s="83">
        <v>6</v>
      </c>
    </row>
    <row r="10" spans="1:10" ht="20.100000000000001" customHeight="1" x14ac:dyDescent="0.2">
      <c r="A10" s="204">
        <v>1</v>
      </c>
      <c r="B10" s="209" t="s">
        <v>56</v>
      </c>
      <c r="C10" s="222" t="s">
        <v>57</v>
      </c>
      <c r="D10" s="206"/>
      <c r="E10" s="90">
        <v>14360.7</v>
      </c>
      <c r="F10" s="224">
        <v>10201.5</v>
      </c>
      <c r="I10" s="91"/>
      <c r="J10" s="91"/>
    </row>
    <row r="11" spans="1:10" ht="20.100000000000001" customHeight="1" x14ac:dyDescent="0.2">
      <c r="A11" s="205"/>
      <c r="B11" s="211"/>
      <c r="C11" s="223"/>
      <c r="D11" s="207"/>
      <c r="E11" s="92">
        <v>14542.7</v>
      </c>
      <c r="F11" s="225"/>
      <c r="G11" s="60"/>
      <c r="I11" s="91"/>
      <c r="J11" s="91"/>
    </row>
    <row r="12" spans="1:10" ht="12.6" customHeight="1" x14ac:dyDescent="0.2">
      <c r="A12" s="93">
        <v>2</v>
      </c>
      <c r="B12" s="94"/>
      <c r="C12" s="95" t="s">
        <v>166</v>
      </c>
      <c r="D12" s="94" t="s">
        <v>58</v>
      </c>
      <c r="E12" s="96">
        <v>447.7</v>
      </c>
      <c r="F12" s="96">
        <v>354.9</v>
      </c>
    </row>
    <row r="13" spans="1:10" ht="12.6" customHeight="1" x14ac:dyDescent="0.2">
      <c r="A13" s="93">
        <v>3</v>
      </c>
      <c r="B13" s="94"/>
      <c r="C13" s="95" t="s">
        <v>157</v>
      </c>
      <c r="D13" s="94" t="s">
        <v>58</v>
      </c>
      <c r="E13" s="96">
        <v>486.3</v>
      </c>
      <c r="F13" s="96">
        <v>387.8</v>
      </c>
    </row>
    <row r="14" spans="1:10" ht="12.6" customHeight="1" x14ac:dyDescent="0.2">
      <c r="A14" s="93">
        <v>4</v>
      </c>
      <c r="B14" s="94"/>
      <c r="C14" s="95" t="s">
        <v>158</v>
      </c>
      <c r="D14" s="94" t="s">
        <v>58</v>
      </c>
      <c r="E14" s="96">
        <v>448.2</v>
      </c>
      <c r="F14" s="96">
        <v>351.9</v>
      </c>
    </row>
    <row r="15" spans="1:10" ht="12.6" customHeight="1" x14ac:dyDescent="0.2">
      <c r="A15" s="93">
        <v>5</v>
      </c>
      <c r="B15" s="94"/>
      <c r="C15" s="95" t="s">
        <v>162</v>
      </c>
      <c r="D15" s="94" t="s">
        <v>58</v>
      </c>
      <c r="E15" s="96">
        <v>450.2</v>
      </c>
      <c r="F15" s="96">
        <v>352.9</v>
      </c>
    </row>
    <row r="16" spans="1:10" ht="12.6" customHeight="1" x14ac:dyDescent="0.2">
      <c r="A16" s="93">
        <v>6</v>
      </c>
      <c r="B16" s="94"/>
      <c r="C16" s="95" t="s">
        <v>159</v>
      </c>
      <c r="D16" s="94" t="s">
        <v>58</v>
      </c>
      <c r="E16" s="96">
        <v>468.8</v>
      </c>
      <c r="F16" s="96">
        <v>369.8</v>
      </c>
    </row>
    <row r="17" spans="1:6" ht="12.6" customHeight="1" x14ac:dyDescent="0.2">
      <c r="A17" s="93">
        <v>7</v>
      </c>
      <c r="B17" s="94"/>
      <c r="C17" s="95" t="s">
        <v>160</v>
      </c>
      <c r="D17" s="94" t="s">
        <v>58</v>
      </c>
      <c r="E17" s="96">
        <v>541.5</v>
      </c>
      <c r="F17" s="96">
        <v>435.1</v>
      </c>
    </row>
    <row r="18" spans="1:6" ht="12.6" customHeight="1" x14ac:dyDescent="0.2">
      <c r="A18" s="93">
        <v>8</v>
      </c>
      <c r="B18" s="94"/>
      <c r="C18" s="95" t="s">
        <v>161</v>
      </c>
      <c r="D18" s="94" t="s">
        <v>58</v>
      </c>
      <c r="E18" s="96">
        <v>510</v>
      </c>
      <c r="F18" s="96">
        <v>396.3</v>
      </c>
    </row>
    <row r="19" spans="1:6" ht="12.6" customHeight="1" x14ac:dyDescent="0.2">
      <c r="A19" s="93">
        <v>9</v>
      </c>
      <c r="B19" s="94"/>
      <c r="C19" s="97" t="s">
        <v>186</v>
      </c>
      <c r="D19" s="94" t="s">
        <v>59</v>
      </c>
      <c r="E19" s="96">
        <v>444.6</v>
      </c>
      <c r="F19" s="96">
        <v>346.2</v>
      </c>
    </row>
    <row r="20" spans="1:6" ht="12.6" customHeight="1" x14ac:dyDescent="0.2">
      <c r="A20" s="93">
        <v>10</v>
      </c>
      <c r="B20" s="94"/>
      <c r="C20" s="95" t="s">
        <v>165</v>
      </c>
      <c r="D20" s="94" t="s">
        <v>60</v>
      </c>
      <c r="E20" s="96">
        <v>459.3</v>
      </c>
      <c r="F20" s="96">
        <v>307.8</v>
      </c>
    </row>
    <row r="21" spans="1:6" ht="25.5" x14ac:dyDescent="0.2">
      <c r="A21" s="93">
        <v>11</v>
      </c>
      <c r="B21" s="94"/>
      <c r="C21" s="95" t="s">
        <v>46</v>
      </c>
      <c r="D21" s="98" t="s">
        <v>119</v>
      </c>
      <c r="E21" s="96">
        <v>420</v>
      </c>
      <c r="F21" s="96">
        <v>258</v>
      </c>
    </row>
    <row r="22" spans="1:6" ht="12.6" customHeight="1" x14ac:dyDescent="0.2">
      <c r="A22" s="93">
        <v>12</v>
      </c>
      <c r="B22" s="94"/>
      <c r="C22" s="97" t="s">
        <v>134</v>
      </c>
      <c r="D22" s="94" t="s">
        <v>60</v>
      </c>
      <c r="E22" s="96">
        <v>944.7</v>
      </c>
      <c r="F22" s="96">
        <v>679.6</v>
      </c>
    </row>
    <row r="23" spans="1:6" ht="12.6" customHeight="1" x14ac:dyDescent="0.2">
      <c r="A23" s="93">
        <v>13</v>
      </c>
      <c r="B23" s="94"/>
      <c r="C23" s="97" t="s">
        <v>135</v>
      </c>
      <c r="D23" s="94" t="s">
        <v>60</v>
      </c>
      <c r="E23" s="96">
        <v>407</v>
      </c>
      <c r="F23" s="96">
        <v>278.60000000000002</v>
      </c>
    </row>
    <row r="24" spans="1:6" ht="12.6" customHeight="1" x14ac:dyDescent="0.2">
      <c r="A24" s="93">
        <v>14</v>
      </c>
      <c r="B24" s="94"/>
      <c r="C24" s="97" t="s">
        <v>40</v>
      </c>
      <c r="D24" s="94" t="s">
        <v>60</v>
      </c>
      <c r="E24" s="96">
        <v>948.2</v>
      </c>
      <c r="F24" s="96">
        <v>655.1</v>
      </c>
    </row>
    <row r="25" spans="1:6" ht="12.6" customHeight="1" x14ac:dyDescent="0.2">
      <c r="A25" s="93">
        <v>15</v>
      </c>
      <c r="B25" s="94"/>
      <c r="C25" s="95" t="s">
        <v>137</v>
      </c>
      <c r="D25" s="94" t="s">
        <v>60</v>
      </c>
      <c r="E25" s="96">
        <f>672.6+17.5</f>
        <v>690.1</v>
      </c>
      <c r="F25" s="96">
        <v>435</v>
      </c>
    </row>
    <row r="26" spans="1:6" ht="12.6" customHeight="1" x14ac:dyDescent="0.2">
      <c r="A26" s="93">
        <v>16</v>
      </c>
      <c r="B26" s="94"/>
      <c r="C26" s="97" t="s">
        <v>163</v>
      </c>
      <c r="D26" s="94" t="s">
        <v>61</v>
      </c>
      <c r="E26" s="96">
        <v>638.70000000000005</v>
      </c>
      <c r="F26" s="96">
        <v>400.9</v>
      </c>
    </row>
    <row r="27" spans="1:6" ht="12.6" customHeight="1" x14ac:dyDescent="0.2">
      <c r="A27" s="93">
        <v>17</v>
      </c>
      <c r="B27" s="94"/>
      <c r="C27" s="95" t="s">
        <v>164</v>
      </c>
      <c r="D27" s="94" t="s">
        <v>61</v>
      </c>
      <c r="E27" s="96">
        <v>478.1</v>
      </c>
      <c r="F27" s="96">
        <v>312.5</v>
      </c>
    </row>
    <row r="28" spans="1:6" ht="12.6" customHeight="1" x14ac:dyDescent="0.2">
      <c r="A28" s="93">
        <v>18</v>
      </c>
      <c r="B28" s="94"/>
      <c r="C28" s="97" t="s">
        <v>120</v>
      </c>
      <c r="D28" s="94" t="s">
        <v>61</v>
      </c>
      <c r="E28" s="96">
        <v>485.9</v>
      </c>
      <c r="F28" s="96">
        <v>311.2</v>
      </c>
    </row>
    <row r="29" spans="1:6" ht="12.6" customHeight="1" x14ac:dyDescent="0.2">
      <c r="A29" s="93">
        <v>19</v>
      </c>
      <c r="B29" s="94"/>
      <c r="C29" s="97" t="s">
        <v>41</v>
      </c>
      <c r="D29" s="94" t="s">
        <v>61</v>
      </c>
      <c r="E29" s="96">
        <v>321.60000000000002</v>
      </c>
      <c r="F29" s="96">
        <v>214</v>
      </c>
    </row>
    <row r="30" spans="1:6" ht="12.6" customHeight="1" x14ac:dyDescent="0.2">
      <c r="A30" s="93">
        <v>20</v>
      </c>
      <c r="B30" s="94"/>
      <c r="C30" s="97" t="s">
        <v>136</v>
      </c>
      <c r="D30" s="94" t="s">
        <v>61</v>
      </c>
      <c r="E30" s="96">
        <v>850.1</v>
      </c>
      <c r="F30" s="96">
        <v>569.70000000000005</v>
      </c>
    </row>
    <row r="31" spans="1:6" ht="12.6" customHeight="1" x14ac:dyDescent="0.2">
      <c r="A31" s="93">
        <v>21</v>
      </c>
      <c r="B31" s="94"/>
      <c r="C31" s="97" t="s">
        <v>147</v>
      </c>
      <c r="D31" s="94" t="s">
        <v>61</v>
      </c>
      <c r="E31" s="96">
        <v>213.7</v>
      </c>
      <c r="F31" s="96">
        <v>131.1</v>
      </c>
    </row>
    <row r="32" spans="1:6" ht="12.6" customHeight="1" x14ac:dyDescent="0.2">
      <c r="A32" s="93">
        <v>22</v>
      </c>
      <c r="B32" s="94"/>
      <c r="C32" s="97" t="s">
        <v>42</v>
      </c>
      <c r="D32" s="94" t="s">
        <v>61</v>
      </c>
      <c r="E32" s="96">
        <v>272.39999999999998</v>
      </c>
      <c r="F32" s="96">
        <v>207.5</v>
      </c>
    </row>
    <row r="33" spans="1:7" ht="51" x14ac:dyDescent="0.2">
      <c r="A33" s="93">
        <v>23</v>
      </c>
      <c r="B33" s="94"/>
      <c r="C33" s="97" t="s">
        <v>111</v>
      </c>
      <c r="D33" s="98" t="s">
        <v>323</v>
      </c>
      <c r="E33" s="96">
        <v>555</v>
      </c>
      <c r="F33" s="96">
        <v>342.8</v>
      </c>
    </row>
    <row r="34" spans="1:7" ht="12.6" customHeight="1" x14ac:dyDescent="0.2">
      <c r="A34" s="93">
        <v>24</v>
      </c>
      <c r="B34" s="94"/>
      <c r="C34" s="99" t="s">
        <v>325</v>
      </c>
      <c r="D34" s="98" t="s">
        <v>61</v>
      </c>
      <c r="E34" s="96">
        <v>0.3</v>
      </c>
      <c r="F34" s="96"/>
    </row>
    <row r="35" spans="1:7" ht="12.6" customHeight="1" x14ac:dyDescent="0.2">
      <c r="A35" s="93">
        <v>25</v>
      </c>
      <c r="B35" s="94"/>
      <c r="C35" s="95" t="s">
        <v>54</v>
      </c>
      <c r="D35" s="94" t="s">
        <v>62</v>
      </c>
      <c r="E35" s="96">
        <v>337.5</v>
      </c>
      <c r="F35" s="96">
        <v>308.60000000000002</v>
      </c>
    </row>
    <row r="36" spans="1:7" ht="12.6" customHeight="1" x14ac:dyDescent="0.2">
      <c r="A36" s="204">
        <v>26</v>
      </c>
      <c r="B36" s="94"/>
      <c r="C36" s="95" t="s">
        <v>47</v>
      </c>
      <c r="D36" s="206" t="s">
        <v>62</v>
      </c>
      <c r="E36" s="96">
        <f>+E37+366</f>
        <v>377</v>
      </c>
      <c r="F36" s="96">
        <v>347.8</v>
      </c>
    </row>
    <row r="37" spans="1:7" ht="25.5" x14ac:dyDescent="0.2">
      <c r="A37" s="205"/>
      <c r="B37" s="94"/>
      <c r="C37" s="97" t="s">
        <v>757</v>
      </c>
      <c r="D37" s="207"/>
      <c r="E37" s="96">
        <v>11</v>
      </c>
      <c r="F37" s="96"/>
    </row>
    <row r="38" spans="1:7" ht="12.6" customHeight="1" x14ac:dyDescent="0.2">
      <c r="A38" s="93">
        <v>27</v>
      </c>
      <c r="B38" s="94"/>
      <c r="C38" s="95" t="s">
        <v>48</v>
      </c>
      <c r="D38" s="94" t="s">
        <v>62</v>
      </c>
      <c r="E38" s="96">
        <v>951.3</v>
      </c>
      <c r="F38" s="96">
        <v>913.9</v>
      </c>
    </row>
    <row r="39" spans="1:7" ht="38.25" customHeight="1" x14ac:dyDescent="0.2">
      <c r="A39" s="226">
        <v>28</v>
      </c>
      <c r="B39" s="206"/>
      <c r="C39" s="95" t="s">
        <v>133</v>
      </c>
      <c r="D39" s="228" t="s">
        <v>149</v>
      </c>
      <c r="E39" s="96">
        <f>139.6+30.2</f>
        <v>169.79999999999998</v>
      </c>
      <c r="F39" s="96">
        <v>113</v>
      </c>
    </row>
    <row r="40" spans="1:7" x14ac:dyDescent="0.2">
      <c r="A40" s="227"/>
      <c r="B40" s="207"/>
      <c r="C40" s="101" t="s">
        <v>746</v>
      </c>
      <c r="D40" s="229"/>
      <c r="E40" s="96">
        <v>30.2</v>
      </c>
      <c r="F40" s="96"/>
    </row>
    <row r="41" spans="1:7" ht="12.6" customHeight="1" x14ac:dyDescent="0.2">
      <c r="A41" s="93">
        <v>29</v>
      </c>
      <c r="B41" s="94"/>
      <c r="C41" s="103" t="s">
        <v>15</v>
      </c>
      <c r="D41" s="94" t="s">
        <v>58</v>
      </c>
      <c r="E41" s="96">
        <v>165</v>
      </c>
      <c r="F41" s="96">
        <v>134.30000000000001</v>
      </c>
    </row>
    <row r="42" spans="1:7" ht="12.6" customHeight="1" x14ac:dyDescent="0.2">
      <c r="A42" s="93">
        <v>30</v>
      </c>
      <c r="B42" s="94"/>
      <c r="C42" s="103" t="s">
        <v>19</v>
      </c>
      <c r="D42" s="94" t="s">
        <v>58</v>
      </c>
      <c r="E42" s="96">
        <f>174.6+0.7</f>
        <v>175.29999999999998</v>
      </c>
      <c r="F42" s="96">
        <v>136</v>
      </c>
    </row>
    <row r="43" spans="1:7" ht="12.6" customHeight="1" x14ac:dyDescent="0.2">
      <c r="A43" s="204">
        <v>31</v>
      </c>
      <c r="B43" s="206"/>
      <c r="C43" s="213" t="s">
        <v>167</v>
      </c>
      <c r="D43" s="206"/>
      <c r="E43" s="104">
        <v>702.4</v>
      </c>
      <c r="F43" s="215">
        <f>+F45+F49+F46+F47+F48</f>
        <v>149.19999999999999</v>
      </c>
    </row>
    <row r="44" spans="1:7" ht="12.6" customHeight="1" x14ac:dyDescent="0.2">
      <c r="A44" s="205"/>
      <c r="B44" s="207"/>
      <c r="C44" s="214"/>
      <c r="D44" s="207"/>
      <c r="E44" s="105">
        <v>884.4</v>
      </c>
      <c r="F44" s="216"/>
      <c r="G44" s="60"/>
    </row>
    <row r="45" spans="1:7" ht="15" customHeight="1" x14ac:dyDescent="0.2">
      <c r="A45" s="106" t="s">
        <v>584</v>
      </c>
      <c r="B45" s="94"/>
      <c r="C45" s="95" t="s">
        <v>3</v>
      </c>
      <c r="D45" s="98" t="s">
        <v>138</v>
      </c>
      <c r="E45" s="107">
        <v>181.7</v>
      </c>
      <c r="F45" s="107">
        <v>149.19999999999999</v>
      </c>
    </row>
    <row r="46" spans="1:7" ht="25.5" x14ac:dyDescent="0.2">
      <c r="A46" s="106" t="s">
        <v>585</v>
      </c>
      <c r="B46" s="94"/>
      <c r="C46" s="97" t="s">
        <v>684</v>
      </c>
      <c r="D46" s="98" t="s">
        <v>155</v>
      </c>
      <c r="E46" s="107">
        <v>95</v>
      </c>
      <c r="F46" s="96"/>
    </row>
    <row r="47" spans="1:7" ht="25.5" x14ac:dyDescent="0.2">
      <c r="A47" s="106" t="s">
        <v>586</v>
      </c>
      <c r="B47" s="94"/>
      <c r="C47" s="101" t="s">
        <v>254</v>
      </c>
      <c r="D47" s="94" t="s">
        <v>63</v>
      </c>
      <c r="E47" s="107">
        <v>50</v>
      </c>
      <c r="F47" s="96"/>
    </row>
    <row r="48" spans="1:7" ht="12.6" customHeight="1" x14ac:dyDescent="0.2">
      <c r="A48" s="106" t="s">
        <v>587</v>
      </c>
      <c r="B48" s="94"/>
      <c r="C48" s="101" t="s">
        <v>168</v>
      </c>
      <c r="D48" s="94" t="s">
        <v>64</v>
      </c>
      <c r="E48" s="107">
        <v>17</v>
      </c>
      <c r="F48" s="96"/>
    </row>
    <row r="49" spans="1:7" ht="24" customHeight="1" x14ac:dyDescent="0.2">
      <c r="A49" s="204" t="s">
        <v>588</v>
      </c>
      <c r="B49" s="206"/>
      <c r="C49" s="217" t="s">
        <v>541</v>
      </c>
      <c r="D49" s="206"/>
      <c r="E49" s="104">
        <v>358.7</v>
      </c>
      <c r="F49" s="215">
        <f>SUM(F51:F67)</f>
        <v>0</v>
      </c>
    </row>
    <row r="50" spans="1:7" ht="24" customHeight="1" x14ac:dyDescent="0.2">
      <c r="A50" s="205"/>
      <c r="B50" s="207"/>
      <c r="C50" s="218"/>
      <c r="D50" s="207"/>
      <c r="E50" s="105">
        <v>540.70000000000005</v>
      </c>
      <c r="F50" s="216"/>
      <c r="G50" s="60"/>
    </row>
    <row r="51" spans="1:7" ht="25.5" x14ac:dyDescent="0.2">
      <c r="A51" s="106" t="s">
        <v>589</v>
      </c>
      <c r="B51" s="94"/>
      <c r="C51" s="108" t="s">
        <v>150</v>
      </c>
      <c r="D51" s="94" t="s">
        <v>61</v>
      </c>
      <c r="E51" s="107">
        <v>89</v>
      </c>
      <c r="F51" s="96"/>
    </row>
    <row r="52" spans="1:7" x14ac:dyDescent="0.2">
      <c r="A52" s="106" t="s">
        <v>590</v>
      </c>
      <c r="B52" s="94"/>
      <c r="C52" s="109" t="s">
        <v>546</v>
      </c>
      <c r="D52" s="98" t="s">
        <v>155</v>
      </c>
      <c r="E52" s="107">
        <v>30</v>
      </c>
      <c r="F52" s="96"/>
    </row>
    <row r="53" spans="1:7" x14ac:dyDescent="0.2">
      <c r="A53" s="204" t="s">
        <v>591</v>
      </c>
      <c r="B53" s="206"/>
      <c r="C53" s="213" t="s">
        <v>328</v>
      </c>
      <c r="D53" s="206" t="s">
        <v>61</v>
      </c>
      <c r="E53" s="104">
        <v>20</v>
      </c>
      <c r="F53" s="215"/>
      <c r="G53" s="53"/>
    </row>
    <row r="54" spans="1:7" x14ac:dyDescent="0.2">
      <c r="A54" s="205"/>
      <c r="B54" s="207"/>
      <c r="C54" s="214"/>
      <c r="D54" s="207"/>
      <c r="E54" s="105">
        <v>0</v>
      </c>
      <c r="F54" s="216"/>
      <c r="G54" s="60"/>
    </row>
    <row r="55" spans="1:7" ht="25.5" x14ac:dyDescent="0.2">
      <c r="A55" s="106" t="s">
        <v>592</v>
      </c>
      <c r="B55" s="94"/>
      <c r="C55" s="101" t="s">
        <v>543</v>
      </c>
      <c r="D55" s="94" t="s">
        <v>60</v>
      </c>
      <c r="E55" s="107">
        <v>15.7</v>
      </c>
      <c r="F55" s="96"/>
    </row>
    <row r="56" spans="1:7" ht="25.5" x14ac:dyDescent="0.2">
      <c r="A56" s="106" t="s">
        <v>593</v>
      </c>
      <c r="B56" s="94"/>
      <c r="C56" s="110" t="s">
        <v>256</v>
      </c>
      <c r="D56" s="98" t="s">
        <v>155</v>
      </c>
      <c r="E56" s="107">
        <v>50</v>
      </c>
      <c r="F56" s="96"/>
    </row>
    <row r="57" spans="1:7" ht="25.5" x14ac:dyDescent="0.2">
      <c r="A57" s="106" t="s">
        <v>594</v>
      </c>
      <c r="B57" s="111"/>
      <c r="C57" s="108" t="s">
        <v>257</v>
      </c>
      <c r="D57" s="98" t="s">
        <v>155</v>
      </c>
      <c r="E57" s="4">
        <v>30</v>
      </c>
      <c r="F57" s="4"/>
    </row>
    <row r="58" spans="1:7" ht="25.5" x14ac:dyDescent="0.2">
      <c r="A58" s="106" t="s">
        <v>595</v>
      </c>
      <c r="B58" s="94"/>
      <c r="C58" s="101" t="s">
        <v>687</v>
      </c>
      <c r="D58" s="98" t="s">
        <v>155</v>
      </c>
      <c r="E58" s="107">
        <v>20</v>
      </c>
      <c r="F58" s="96"/>
    </row>
    <row r="59" spans="1:7" ht="25.5" x14ac:dyDescent="0.2">
      <c r="A59" s="106" t="s">
        <v>596</v>
      </c>
      <c r="B59" s="94"/>
      <c r="C59" s="101" t="s">
        <v>547</v>
      </c>
      <c r="D59" s="98" t="s">
        <v>32</v>
      </c>
      <c r="E59" s="107">
        <v>30</v>
      </c>
      <c r="F59" s="96"/>
    </row>
    <row r="60" spans="1:7" ht="25.5" x14ac:dyDescent="0.2">
      <c r="A60" s="106" t="s">
        <v>597</v>
      </c>
      <c r="B60" s="94"/>
      <c r="C60" s="101" t="s">
        <v>402</v>
      </c>
      <c r="D60" s="94" t="s">
        <v>58</v>
      </c>
      <c r="E60" s="107">
        <v>1</v>
      </c>
      <c r="F60" s="96"/>
    </row>
    <row r="61" spans="1:7" ht="31.5" customHeight="1" x14ac:dyDescent="0.2">
      <c r="A61" s="106" t="s">
        <v>598</v>
      </c>
      <c r="B61" s="94"/>
      <c r="C61" s="101" t="s">
        <v>762</v>
      </c>
      <c r="D61" s="98" t="s">
        <v>155</v>
      </c>
      <c r="E61" s="107">
        <v>18</v>
      </c>
      <c r="F61" s="96"/>
    </row>
    <row r="62" spans="1:7" x14ac:dyDescent="0.2">
      <c r="A62" s="106" t="s">
        <v>686</v>
      </c>
      <c r="B62" s="94"/>
      <c r="C62" s="101" t="s">
        <v>736</v>
      </c>
      <c r="D62" s="98" t="s">
        <v>155</v>
      </c>
      <c r="E62" s="107">
        <v>50</v>
      </c>
      <c r="F62" s="96"/>
    </row>
    <row r="63" spans="1:7" ht="15" customHeight="1" x14ac:dyDescent="0.2">
      <c r="A63" s="204" t="s">
        <v>747</v>
      </c>
      <c r="B63" s="206"/>
      <c r="C63" s="213" t="s">
        <v>737</v>
      </c>
      <c r="D63" s="206" t="s">
        <v>62</v>
      </c>
      <c r="E63" s="104">
        <v>5</v>
      </c>
      <c r="F63" s="215"/>
      <c r="G63" s="53"/>
    </row>
    <row r="64" spans="1:7" ht="15" customHeight="1" x14ac:dyDescent="0.2">
      <c r="A64" s="205"/>
      <c r="B64" s="207"/>
      <c r="C64" s="214"/>
      <c r="D64" s="207"/>
      <c r="E64" s="105">
        <v>7</v>
      </c>
      <c r="F64" s="216"/>
      <c r="G64" s="60"/>
    </row>
    <row r="65" spans="1:7" ht="20.25" customHeight="1" x14ac:dyDescent="0.2">
      <c r="A65" s="204" t="s">
        <v>922</v>
      </c>
      <c r="B65" s="206"/>
      <c r="C65" s="213" t="s">
        <v>544</v>
      </c>
      <c r="D65" s="206" t="s">
        <v>58</v>
      </c>
      <c r="E65" s="104">
        <v>0</v>
      </c>
      <c r="F65" s="215"/>
      <c r="G65" s="53"/>
    </row>
    <row r="66" spans="1:7" ht="20.25" customHeight="1" x14ac:dyDescent="0.2">
      <c r="A66" s="205"/>
      <c r="B66" s="207"/>
      <c r="C66" s="214"/>
      <c r="D66" s="207"/>
      <c r="E66" s="105">
        <v>50</v>
      </c>
      <c r="F66" s="216"/>
      <c r="G66" s="60"/>
    </row>
    <row r="67" spans="1:7" ht="24.75" customHeight="1" x14ac:dyDescent="0.2">
      <c r="A67" s="204" t="s">
        <v>923</v>
      </c>
      <c r="B67" s="206"/>
      <c r="C67" s="213" t="s">
        <v>545</v>
      </c>
      <c r="D67" s="206" t="s">
        <v>58</v>
      </c>
      <c r="E67" s="104">
        <v>0</v>
      </c>
      <c r="F67" s="215"/>
      <c r="G67" s="53"/>
    </row>
    <row r="68" spans="1:7" ht="15" customHeight="1" x14ac:dyDescent="0.2">
      <c r="A68" s="205"/>
      <c r="B68" s="207"/>
      <c r="C68" s="214"/>
      <c r="D68" s="207"/>
      <c r="E68" s="105">
        <v>150</v>
      </c>
      <c r="F68" s="216"/>
      <c r="G68" s="60"/>
    </row>
    <row r="69" spans="1:7" ht="20.100000000000001" customHeight="1" x14ac:dyDescent="0.2">
      <c r="A69" s="93">
        <v>32</v>
      </c>
      <c r="B69" s="86" t="s">
        <v>65</v>
      </c>
      <c r="C69" s="112" t="s">
        <v>66</v>
      </c>
      <c r="D69" s="84"/>
      <c r="E69" s="113">
        <f>+E70+E72</f>
        <v>937.1</v>
      </c>
      <c r="F69" s="113">
        <f>+F70+F72</f>
        <v>78.5</v>
      </c>
    </row>
    <row r="70" spans="1:7" ht="25.5" x14ac:dyDescent="0.2">
      <c r="A70" s="204">
        <v>33</v>
      </c>
      <c r="B70" s="86"/>
      <c r="C70" s="97" t="s">
        <v>169</v>
      </c>
      <c r="D70" s="228" t="s">
        <v>170</v>
      </c>
      <c r="E70" s="96">
        <f>+E71+81.6</f>
        <v>97.6</v>
      </c>
      <c r="F70" s="96">
        <v>78.5</v>
      </c>
    </row>
    <row r="71" spans="1:7" ht="25.5" x14ac:dyDescent="0.2">
      <c r="A71" s="208"/>
      <c r="B71" s="86"/>
      <c r="C71" s="114" t="s">
        <v>390</v>
      </c>
      <c r="D71" s="230"/>
      <c r="E71" s="96">
        <v>16</v>
      </c>
      <c r="F71" s="96"/>
    </row>
    <row r="72" spans="1:7" ht="12.6" customHeight="1" x14ac:dyDescent="0.2">
      <c r="A72" s="93">
        <v>34</v>
      </c>
      <c r="B72" s="94"/>
      <c r="C72" s="3" t="s">
        <v>167</v>
      </c>
      <c r="D72" s="98"/>
      <c r="E72" s="96">
        <f>SUM(E73:E91)+E92</f>
        <v>839.5</v>
      </c>
      <c r="F72" s="96">
        <f>SUM(F73:F91)</f>
        <v>0</v>
      </c>
    </row>
    <row r="73" spans="1:7" ht="12.6" customHeight="1" x14ac:dyDescent="0.2">
      <c r="A73" s="106" t="s">
        <v>599</v>
      </c>
      <c r="B73" s="94"/>
      <c r="C73" s="95" t="s">
        <v>3</v>
      </c>
      <c r="D73" s="94" t="s">
        <v>109</v>
      </c>
      <c r="E73" s="96">
        <v>3</v>
      </c>
      <c r="F73" s="96"/>
    </row>
    <row r="74" spans="1:7" ht="42" customHeight="1" x14ac:dyDescent="0.2">
      <c r="A74" s="106" t="s">
        <v>600</v>
      </c>
      <c r="B74" s="94"/>
      <c r="C74" s="115" t="s">
        <v>329</v>
      </c>
      <c r="D74" s="98" t="s">
        <v>67</v>
      </c>
      <c r="E74" s="96">
        <v>20</v>
      </c>
      <c r="F74" s="96"/>
    </row>
    <row r="75" spans="1:7" ht="30" customHeight="1" x14ac:dyDescent="0.2">
      <c r="A75" s="106" t="s">
        <v>601</v>
      </c>
      <c r="B75" s="94"/>
      <c r="C75" s="116" t="s">
        <v>548</v>
      </c>
      <c r="D75" s="98" t="s">
        <v>68</v>
      </c>
      <c r="E75" s="96">
        <v>1.8</v>
      </c>
      <c r="F75" s="96"/>
    </row>
    <row r="76" spans="1:7" ht="38.25" x14ac:dyDescent="0.2">
      <c r="A76" s="106" t="s">
        <v>602</v>
      </c>
      <c r="B76" s="94"/>
      <c r="C76" s="115" t="s">
        <v>549</v>
      </c>
      <c r="D76" s="98" t="s">
        <v>127</v>
      </c>
      <c r="E76" s="96">
        <v>65</v>
      </c>
      <c r="F76" s="96"/>
    </row>
    <row r="77" spans="1:7" ht="45" customHeight="1" x14ac:dyDescent="0.2">
      <c r="A77" s="106" t="s">
        <v>603</v>
      </c>
      <c r="B77" s="94"/>
      <c r="C77" s="115" t="s">
        <v>171</v>
      </c>
      <c r="D77" s="98" t="s">
        <v>178</v>
      </c>
      <c r="E77" s="96">
        <v>7</v>
      </c>
      <c r="F77" s="96"/>
    </row>
    <row r="78" spans="1:7" ht="25.5" x14ac:dyDescent="0.2">
      <c r="A78" s="106" t="s">
        <v>604</v>
      </c>
      <c r="B78" s="94"/>
      <c r="C78" s="115" t="s">
        <v>201</v>
      </c>
      <c r="D78" s="98" t="s">
        <v>68</v>
      </c>
      <c r="E78" s="96">
        <v>21.1</v>
      </c>
      <c r="F78" s="96"/>
    </row>
    <row r="79" spans="1:7" ht="25.5" x14ac:dyDescent="0.2">
      <c r="A79" s="106" t="s">
        <v>605</v>
      </c>
      <c r="B79" s="94"/>
      <c r="C79" s="115" t="s">
        <v>252</v>
      </c>
      <c r="D79" s="98" t="s">
        <v>68</v>
      </c>
      <c r="E79" s="96">
        <v>19.100000000000001</v>
      </c>
      <c r="F79" s="96"/>
    </row>
    <row r="80" spans="1:7" ht="27.6" customHeight="1" x14ac:dyDescent="0.2">
      <c r="A80" s="106" t="s">
        <v>606</v>
      </c>
      <c r="B80" s="94"/>
      <c r="C80" s="116" t="s">
        <v>330</v>
      </c>
      <c r="D80" s="98" t="s">
        <v>178</v>
      </c>
      <c r="E80" s="96">
        <v>25.9</v>
      </c>
      <c r="F80" s="96"/>
    </row>
    <row r="81" spans="1:8" ht="27.6" customHeight="1" x14ac:dyDescent="0.2">
      <c r="A81" s="106" t="s">
        <v>607</v>
      </c>
      <c r="B81" s="94"/>
      <c r="C81" s="116" t="s">
        <v>331</v>
      </c>
      <c r="D81" s="98" t="s">
        <v>178</v>
      </c>
      <c r="E81" s="96">
        <v>28.5</v>
      </c>
      <c r="F81" s="96"/>
    </row>
    <row r="82" spans="1:8" ht="25.5" x14ac:dyDescent="0.2">
      <c r="A82" s="106" t="s">
        <v>608</v>
      </c>
      <c r="B82" s="94"/>
      <c r="C82" s="116" t="s">
        <v>550</v>
      </c>
      <c r="D82" s="98" t="s">
        <v>197</v>
      </c>
      <c r="E82" s="96">
        <v>4.8</v>
      </c>
      <c r="F82" s="96"/>
    </row>
    <row r="83" spans="1:8" ht="25.5" x14ac:dyDescent="0.2">
      <c r="A83" s="106" t="s">
        <v>609</v>
      </c>
      <c r="B83" s="94"/>
      <c r="C83" s="116" t="s">
        <v>662</v>
      </c>
      <c r="D83" s="98" t="s">
        <v>178</v>
      </c>
      <c r="E83" s="96">
        <v>122.1</v>
      </c>
      <c r="F83" s="96"/>
    </row>
    <row r="84" spans="1:8" ht="38.25" x14ac:dyDescent="0.2">
      <c r="A84" s="106" t="s">
        <v>610</v>
      </c>
      <c r="B84" s="94"/>
      <c r="C84" s="115" t="s">
        <v>551</v>
      </c>
      <c r="D84" s="98" t="s">
        <v>67</v>
      </c>
      <c r="E84" s="96">
        <v>15</v>
      </c>
      <c r="F84" s="96"/>
    </row>
    <row r="85" spans="1:8" ht="25.5" x14ac:dyDescent="0.2">
      <c r="A85" s="106" t="s">
        <v>611</v>
      </c>
      <c r="B85" s="94"/>
      <c r="C85" s="115" t="s">
        <v>770</v>
      </c>
      <c r="D85" s="98" t="s">
        <v>69</v>
      </c>
      <c r="E85" s="96">
        <v>3</v>
      </c>
      <c r="F85" s="96"/>
    </row>
    <row r="86" spans="1:8" ht="25.5" x14ac:dyDescent="0.2">
      <c r="A86" s="106" t="s">
        <v>612</v>
      </c>
      <c r="B86" s="94"/>
      <c r="C86" s="115" t="s">
        <v>771</v>
      </c>
      <c r="D86" s="117" t="s">
        <v>109</v>
      </c>
      <c r="E86" s="96">
        <v>120</v>
      </c>
      <c r="F86" s="96"/>
    </row>
    <row r="87" spans="1:8" ht="38.25" x14ac:dyDescent="0.2">
      <c r="A87" s="106" t="s">
        <v>775</v>
      </c>
      <c r="B87" s="94"/>
      <c r="C87" s="115" t="s">
        <v>837</v>
      </c>
      <c r="D87" s="117" t="s">
        <v>109</v>
      </c>
      <c r="E87" s="96">
        <v>105.1</v>
      </c>
      <c r="F87" s="96"/>
    </row>
    <row r="88" spans="1:8" ht="25.5" x14ac:dyDescent="0.2">
      <c r="A88" s="106" t="s">
        <v>776</v>
      </c>
      <c r="B88" s="94"/>
      <c r="C88" s="115" t="s">
        <v>772</v>
      </c>
      <c r="D88" s="117" t="s">
        <v>68</v>
      </c>
      <c r="E88" s="96">
        <v>53.3</v>
      </c>
      <c r="F88" s="96"/>
    </row>
    <row r="89" spans="1:8" ht="38.25" x14ac:dyDescent="0.2">
      <c r="A89" s="106" t="s">
        <v>777</v>
      </c>
      <c r="B89" s="94"/>
      <c r="C89" s="115" t="s">
        <v>773</v>
      </c>
      <c r="D89" s="117" t="s">
        <v>109</v>
      </c>
      <c r="E89" s="96">
        <v>50.7</v>
      </c>
      <c r="F89" s="96"/>
    </row>
    <row r="90" spans="1:8" ht="38.25" x14ac:dyDescent="0.2">
      <c r="A90" s="106" t="s">
        <v>778</v>
      </c>
      <c r="B90" s="94"/>
      <c r="C90" s="115" t="s">
        <v>774</v>
      </c>
      <c r="D90" s="117" t="s">
        <v>109</v>
      </c>
      <c r="E90" s="96">
        <v>37.700000000000003</v>
      </c>
      <c r="F90" s="96"/>
    </row>
    <row r="91" spans="1:8" ht="29.25" customHeight="1" x14ac:dyDescent="0.2">
      <c r="A91" s="106" t="s">
        <v>779</v>
      </c>
      <c r="B91" s="94"/>
      <c r="C91" s="118" t="s">
        <v>251</v>
      </c>
      <c r="D91" s="102" t="s">
        <v>69</v>
      </c>
      <c r="E91" s="40">
        <v>132.4</v>
      </c>
      <c r="F91" s="40"/>
    </row>
    <row r="92" spans="1:8" ht="38.450000000000003" customHeight="1" x14ac:dyDescent="0.2">
      <c r="A92" s="106" t="s">
        <v>780</v>
      </c>
      <c r="B92" s="94"/>
      <c r="C92" s="119" t="s">
        <v>541</v>
      </c>
      <c r="D92" s="98"/>
      <c r="E92" s="120">
        <f>+E93+E94</f>
        <v>4</v>
      </c>
      <c r="F92" s="120">
        <f>+F93+F94</f>
        <v>0</v>
      </c>
    </row>
    <row r="93" spans="1:8" ht="25.5" x14ac:dyDescent="0.2">
      <c r="A93" s="106" t="s">
        <v>781</v>
      </c>
      <c r="B93" s="94"/>
      <c r="C93" s="115" t="s">
        <v>180</v>
      </c>
      <c r="D93" s="98" t="s">
        <v>127</v>
      </c>
      <c r="E93" s="96">
        <v>0.6</v>
      </c>
      <c r="F93" s="96"/>
    </row>
    <row r="94" spans="1:8" ht="25.5" x14ac:dyDescent="0.2">
      <c r="A94" s="106" t="s">
        <v>782</v>
      </c>
      <c r="B94" s="94"/>
      <c r="C94" s="109" t="s">
        <v>172</v>
      </c>
      <c r="D94" s="98" t="s">
        <v>68</v>
      </c>
      <c r="E94" s="96">
        <v>3.4</v>
      </c>
      <c r="F94" s="96"/>
    </row>
    <row r="95" spans="1:8" ht="21.75" customHeight="1" x14ac:dyDescent="0.2">
      <c r="A95" s="204">
        <v>35</v>
      </c>
      <c r="B95" s="209" t="s">
        <v>21</v>
      </c>
      <c r="C95" s="222" t="s">
        <v>22</v>
      </c>
      <c r="D95" s="206"/>
      <c r="E95" s="90">
        <v>12927.4</v>
      </c>
      <c r="F95" s="90">
        <v>3427.8</v>
      </c>
    </row>
    <row r="96" spans="1:8" ht="21.75" customHeight="1" x14ac:dyDescent="0.2">
      <c r="A96" s="205"/>
      <c r="B96" s="211"/>
      <c r="C96" s="223"/>
      <c r="D96" s="207"/>
      <c r="E96" s="92">
        <v>12780.2</v>
      </c>
      <c r="F96" s="92">
        <v>3282.7</v>
      </c>
      <c r="G96" s="60"/>
      <c r="H96" s="60"/>
    </row>
    <row r="97" spans="1:10" ht="12.6" customHeight="1" x14ac:dyDescent="0.2">
      <c r="A97" s="231">
        <v>36</v>
      </c>
      <c r="B97" s="232"/>
      <c r="C97" s="213" t="s">
        <v>1</v>
      </c>
      <c r="D97" s="233" t="s">
        <v>70</v>
      </c>
      <c r="E97" s="104">
        <f>1378.8</f>
        <v>1378.8</v>
      </c>
      <c r="F97" s="104">
        <f>1078</f>
        <v>1078</v>
      </c>
    </row>
    <row r="98" spans="1:10" ht="12.6" customHeight="1" x14ac:dyDescent="0.2">
      <c r="A98" s="231"/>
      <c r="B98" s="232"/>
      <c r="C98" s="214"/>
      <c r="D98" s="233"/>
      <c r="E98" s="105">
        <v>1317.9</v>
      </c>
      <c r="F98" s="105">
        <v>1018</v>
      </c>
      <c r="G98" s="60"/>
      <c r="H98" s="60"/>
    </row>
    <row r="99" spans="1:10" ht="12.6" customHeight="1" x14ac:dyDescent="0.2">
      <c r="A99" s="231"/>
      <c r="B99" s="232"/>
      <c r="C99" s="239" t="s">
        <v>542</v>
      </c>
      <c r="D99" s="233"/>
      <c r="E99" s="104">
        <f>201.9</f>
        <v>201.9</v>
      </c>
      <c r="F99" s="104"/>
      <c r="G99" s="121"/>
      <c r="J99" s="121"/>
    </row>
    <row r="100" spans="1:10" ht="12.6" customHeight="1" x14ac:dyDescent="0.2">
      <c r="A100" s="231"/>
      <c r="B100" s="232"/>
      <c r="C100" s="240"/>
      <c r="D100" s="233"/>
      <c r="E100" s="105">
        <v>214.3</v>
      </c>
      <c r="F100" s="105"/>
      <c r="G100" s="60"/>
      <c r="H100" s="60"/>
      <c r="J100" s="121"/>
    </row>
    <row r="101" spans="1:10" ht="12.6" customHeight="1" x14ac:dyDescent="0.2">
      <c r="A101" s="231"/>
      <c r="B101" s="232"/>
      <c r="C101" s="114" t="s">
        <v>181</v>
      </c>
      <c r="D101" s="233"/>
      <c r="E101" s="96">
        <v>10</v>
      </c>
      <c r="F101" s="96"/>
    </row>
    <row r="102" spans="1:10" ht="12.6" customHeight="1" x14ac:dyDescent="0.2">
      <c r="A102" s="204">
        <v>37</v>
      </c>
      <c r="B102" s="206"/>
      <c r="C102" s="213" t="s">
        <v>2</v>
      </c>
      <c r="D102" s="241" t="s">
        <v>71</v>
      </c>
      <c r="E102" s="104">
        <f>335.7</f>
        <v>335.7</v>
      </c>
      <c r="F102" s="104">
        <f>216.2</f>
        <v>216.2</v>
      </c>
    </row>
    <row r="103" spans="1:10" ht="12.6" customHeight="1" x14ac:dyDescent="0.2">
      <c r="A103" s="205"/>
      <c r="B103" s="207"/>
      <c r="C103" s="214"/>
      <c r="D103" s="242"/>
      <c r="E103" s="105">
        <v>328.7</v>
      </c>
      <c r="F103" s="105">
        <v>209.3</v>
      </c>
      <c r="G103" s="60"/>
      <c r="H103" s="60"/>
    </row>
    <row r="104" spans="1:10" ht="12.6" customHeight="1" x14ac:dyDescent="0.2">
      <c r="A104" s="204">
        <v>38</v>
      </c>
      <c r="B104" s="206"/>
      <c r="C104" s="213" t="s">
        <v>15</v>
      </c>
      <c r="D104" s="241" t="s">
        <v>103</v>
      </c>
      <c r="E104" s="104">
        <f>352.1</f>
        <v>352.1</v>
      </c>
      <c r="F104" s="104">
        <f>296.6</f>
        <v>296.60000000000002</v>
      </c>
    </row>
    <row r="105" spans="1:10" ht="12.6" customHeight="1" x14ac:dyDescent="0.2">
      <c r="A105" s="205"/>
      <c r="B105" s="207"/>
      <c r="C105" s="214"/>
      <c r="D105" s="242"/>
      <c r="E105" s="105">
        <v>339.4</v>
      </c>
      <c r="F105" s="105">
        <v>284.10000000000002</v>
      </c>
      <c r="G105" s="60"/>
      <c r="H105" s="60"/>
    </row>
    <row r="106" spans="1:10" ht="12.6" customHeight="1" x14ac:dyDescent="0.2">
      <c r="A106" s="204">
        <v>39</v>
      </c>
      <c r="B106" s="206"/>
      <c r="C106" s="213" t="s">
        <v>19</v>
      </c>
      <c r="D106" s="241" t="s">
        <v>71</v>
      </c>
      <c r="E106" s="104">
        <f>395.5+2.4</f>
        <v>397.9</v>
      </c>
      <c r="F106" s="104">
        <f>318.9</f>
        <v>318.89999999999998</v>
      </c>
    </row>
    <row r="107" spans="1:10" ht="12.6" customHeight="1" x14ac:dyDescent="0.2">
      <c r="A107" s="205"/>
      <c r="B107" s="207"/>
      <c r="C107" s="214"/>
      <c r="D107" s="242"/>
      <c r="E107" s="105">
        <v>388.4</v>
      </c>
      <c r="F107" s="105">
        <v>309.5</v>
      </c>
      <c r="G107" s="60"/>
      <c r="H107" s="60"/>
    </row>
    <row r="108" spans="1:10" ht="12.6" customHeight="1" x14ac:dyDescent="0.2">
      <c r="A108" s="204">
        <v>40</v>
      </c>
      <c r="B108" s="206"/>
      <c r="C108" s="213" t="s">
        <v>148</v>
      </c>
      <c r="D108" s="241" t="s">
        <v>23</v>
      </c>
      <c r="E108" s="104">
        <f>1498.1</f>
        <v>1498.1</v>
      </c>
      <c r="F108" s="104">
        <f>1084.8</f>
        <v>1084.8</v>
      </c>
    </row>
    <row r="109" spans="1:10" ht="12.6" customHeight="1" x14ac:dyDescent="0.2">
      <c r="A109" s="205"/>
      <c r="B109" s="207"/>
      <c r="C109" s="214"/>
      <c r="D109" s="242"/>
      <c r="E109" s="105">
        <v>1441</v>
      </c>
      <c r="F109" s="105">
        <v>1028.5</v>
      </c>
      <c r="G109" s="60"/>
      <c r="H109" s="60"/>
    </row>
    <row r="110" spans="1:10" ht="12" customHeight="1" x14ac:dyDescent="0.2">
      <c r="A110" s="93">
        <v>41</v>
      </c>
      <c r="B110" s="94"/>
      <c r="C110" s="3" t="s">
        <v>167</v>
      </c>
      <c r="D110" s="94"/>
      <c r="E110" s="107">
        <f>+E112+E113+E114+E115+E116+E117+E118+E119+E120+E121+E122+E123+E124+E126+E111+E125</f>
        <v>3592.4</v>
      </c>
      <c r="F110" s="107">
        <f>+F112+F113+F114+F115+F116+F117+F118+F119+F120+F121+F122+F123+F124+F126+F111</f>
        <v>68.8</v>
      </c>
    </row>
    <row r="111" spans="1:10" ht="63.75" x14ac:dyDescent="0.2">
      <c r="A111" s="106" t="s">
        <v>613</v>
      </c>
      <c r="B111" s="94"/>
      <c r="C111" s="3" t="s">
        <v>3</v>
      </c>
      <c r="D111" s="122" t="s">
        <v>403</v>
      </c>
      <c r="E111" s="96">
        <v>1467.9</v>
      </c>
      <c r="F111" s="96">
        <v>68.8</v>
      </c>
    </row>
    <row r="112" spans="1:10" ht="27.6" customHeight="1" x14ac:dyDescent="0.2">
      <c r="A112" s="106" t="s">
        <v>614</v>
      </c>
      <c r="B112" s="94"/>
      <c r="C112" s="123" t="s">
        <v>332</v>
      </c>
      <c r="D112" s="124" t="s">
        <v>72</v>
      </c>
      <c r="E112" s="96">
        <v>75</v>
      </c>
      <c r="F112" s="96"/>
    </row>
    <row r="113" spans="1:6" ht="26.25" customHeight="1" x14ac:dyDescent="0.2">
      <c r="A113" s="106" t="s">
        <v>615</v>
      </c>
      <c r="B113" s="94"/>
      <c r="C113" s="115" t="s">
        <v>333</v>
      </c>
      <c r="D113" s="124" t="s">
        <v>72</v>
      </c>
      <c r="E113" s="96">
        <v>240</v>
      </c>
      <c r="F113" s="96"/>
    </row>
    <row r="114" spans="1:6" ht="28.5" customHeight="1" x14ac:dyDescent="0.2">
      <c r="A114" s="106" t="s">
        <v>616</v>
      </c>
      <c r="B114" s="94"/>
      <c r="C114" s="108" t="s">
        <v>334</v>
      </c>
      <c r="D114" s="94" t="s">
        <v>107</v>
      </c>
      <c r="E114" s="4">
        <v>58.5</v>
      </c>
      <c r="F114" s="4"/>
    </row>
    <row r="115" spans="1:6" ht="12.6" customHeight="1" x14ac:dyDescent="0.2">
      <c r="A115" s="106" t="s">
        <v>617</v>
      </c>
      <c r="B115" s="94"/>
      <c r="C115" s="108" t="s">
        <v>335</v>
      </c>
      <c r="D115" s="125" t="s">
        <v>73</v>
      </c>
      <c r="E115" s="96">
        <v>153.5</v>
      </c>
      <c r="F115" s="96"/>
    </row>
    <row r="116" spans="1:6" ht="26.25" customHeight="1" x14ac:dyDescent="0.2">
      <c r="A116" s="106" t="s">
        <v>618</v>
      </c>
      <c r="B116" s="94"/>
      <c r="C116" s="108" t="s">
        <v>336</v>
      </c>
      <c r="D116" s="124" t="s">
        <v>73</v>
      </c>
      <c r="E116" s="96">
        <v>170</v>
      </c>
      <c r="F116" s="96"/>
    </row>
    <row r="117" spans="1:6" ht="39" customHeight="1" x14ac:dyDescent="0.2">
      <c r="A117" s="106" t="s">
        <v>619</v>
      </c>
      <c r="B117" s="94"/>
      <c r="C117" s="108" t="s">
        <v>337</v>
      </c>
      <c r="D117" s="124" t="s">
        <v>74</v>
      </c>
      <c r="E117" s="4">
        <f>807-99.8</f>
        <v>707.2</v>
      </c>
      <c r="F117" s="4"/>
    </row>
    <row r="118" spans="1:6" ht="38.25" x14ac:dyDescent="0.2">
      <c r="A118" s="106" t="s">
        <v>620</v>
      </c>
      <c r="B118" s="94"/>
      <c r="C118" s="108" t="s">
        <v>759</v>
      </c>
      <c r="D118" s="94" t="s">
        <v>75</v>
      </c>
      <c r="E118" s="4">
        <v>90</v>
      </c>
      <c r="F118" s="4"/>
    </row>
    <row r="119" spans="1:6" ht="25.5" x14ac:dyDescent="0.2">
      <c r="A119" s="106" t="s">
        <v>621</v>
      </c>
      <c r="B119" s="94"/>
      <c r="C119" s="108" t="s">
        <v>553</v>
      </c>
      <c r="D119" s="94" t="s">
        <v>660</v>
      </c>
      <c r="E119" s="4">
        <v>15</v>
      </c>
      <c r="F119" s="4"/>
    </row>
    <row r="120" spans="1:6" ht="25.5" x14ac:dyDescent="0.2">
      <c r="A120" s="106" t="s">
        <v>622</v>
      </c>
      <c r="B120" s="94"/>
      <c r="C120" s="108" t="s">
        <v>554</v>
      </c>
      <c r="D120" s="94" t="s">
        <v>660</v>
      </c>
      <c r="E120" s="4">
        <v>10</v>
      </c>
      <c r="F120" s="4"/>
    </row>
    <row r="121" spans="1:6" x14ac:dyDescent="0.2">
      <c r="A121" s="106" t="s">
        <v>623</v>
      </c>
      <c r="B121" s="94"/>
      <c r="C121" s="108" t="s">
        <v>187</v>
      </c>
      <c r="D121" s="125" t="s">
        <v>23</v>
      </c>
      <c r="E121" s="4">
        <v>117.1</v>
      </c>
      <c r="F121" s="4"/>
    </row>
    <row r="122" spans="1:6" ht="25.5" x14ac:dyDescent="0.2">
      <c r="A122" s="106" t="s">
        <v>624</v>
      </c>
      <c r="B122" s="94"/>
      <c r="C122" s="108" t="s">
        <v>255</v>
      </c>
      <c r="D122" s="125" t="s">
        <v>23</v>
      </c>
      <c r="E122" s="4">
        <v>30</v>
      </c>
      <c r="F122" s="4"/>
    </row>
    <row r="123" spans="1:6" ht="25.5" x14ac:dyDescent="0.2">
      <c r="A123" s="106" t="s">
        <v>625</v>
      </c>
      <c r="B123" s="94"/>
      <c r="C123" s="108" t="s">
        <v>552</v>
      </c>
      <c r="D123" s="125" t="s">
        <v>31</v>
      </c>
      <c r="E123" s="4">
        <v>18.399999999999999</v>
      </c>
      <c r="F123" s="4"/>
    </row>
    <row r="124" spans="1:6" ht="38.25" x14ac:dyDescent="0.2">
      <c r="A124" s="106" t="s">
        <v>626</v>
      </c>
      <c r="B124" s="94"/>
      <c r="C124" s="108" t="s">
        <v>555</v>
      </c>
      <c r="D124" s="125" t="s">
        <v>660</v>
      </c>
      <c r="E124" s="4">
        <v>10.8</v>
      </c>
      <c r="F124" s="4"/>
    </row>
    <row r="125" spans="1:6" x14ac:dyDescent="0.2">
      <c r="A125" s="106" t="s">
        <v>627</v>
      </c>
      <c r="B125" s="94"/>
      <c r="C125" s="108" t="s">
        <v>730</v>
      </c>
      <c r="D125" s="125" t="s">
        <v>660</v>
      </c>
      <c r="E125" s="4">
        <v>2</v>
      </c>
      <c r="F125" s="4"/>
    </row>
    <row r="126" spans="1:6" ht="39" customHeight="1" x14ac:dyDescent="0.2">
      <c r="A126" s="106" t="s">
        <v>731</v>
      </c>
      <c r="B126" s="94"/>
      <c r="C126" s="119" t="s">
        <v>541</v>
      </c>
      <c r="D126" s="86"/>
      <c r="E126" s="126">
        <f>SUM(E127:E130)</f>
        <v>427</v>
      </c>
      <c r="F126" s="126">
        <f>SUM(F127:F129)</f>
        <v>0</v>
      </c>
    </row>
    <row r="127" spans="1:6" ht="12.6" customHeight="1" x14ac:dyDescent="0.2">
      <c r="A127" s="106" t="s">
        <v>732</v>
      </c>
      <c r="B127" s="94"/>
      <c r="C127" s="108" t="s">
        <v>151</v>
      </c>
      <c r="D127" s="94" t="s">
        <v>88</v>
      </c>
      <c r="E127" s="4">
        <v>220</v>
      </c>
      <c r="F127" s="4"/>
    </row>
    <row r="128" spans="1:6" ht="25.5" x14ac:dyDescent="0.2">
      <c r="A128" s="106" t="s">
        <v>733</v>
      </c>
      <c r="B128" s="94"/>
      <c r="C128" s="108" t="s">
        <v>338</v>
      </c>
      <c r="D128" s="98" t="s">
        <v>179</v>
      </c>
      <c r="E128" s="4">
        <v>150</v>
      </c>
      <c r="F128" s="4"/>
    </row>
    <row r="129" spans="1:10" ht="25.5" x14ac:dyDescent="0.2">
      <c r="A129" s="106" t="s">
        <v>734</v>
      </c>
      <c r="B129" s="94"/>
      <c r="C129" s="108" t="s">
        <v>188</v>
      </c>
      <c r="D129" s="94" t="s">
        <v>75</v>
      </c>
      <c r="E129" s="4">
        <v>42</v>
      </c>
      <c r="F129" s="4"/>
    </row>
    <row r="130" spans="1:10" ht="25.5" x14ac:dyDescent="0.2">
      <c r="A130" s="106" t="s">
        <v>735</v>
      </c>
      <c r="B130" s="89"/>
      <c r="C130" s="109" t="s">
        <v>685</v>
      </c>
      <c r="D130" s="94" t="s">
        <v>88</v>
      </c>
      <c r="E130" s="4">
        <v>15</v>
      </c>
      <c r="F130" s="4"/>
    </row>
    <row r="131" spans="1:10" ht="51" x14ac:dyDescent="0.2">
      <c r="A131" s="204">
        <v>42</v>
      </c>
      <c r="B131" s="206"/>
      <c r="C131" s="97" t="s">
        <v>8</v>
      </c>
      <c r="D131" s="98" t="s">
        <v>675</v>
      </c>
      <c r="E131" s="96">
        <f>1753.6+E132</f>
        <v>1775.6999999999998</v>
      </c>
      <c r="F131" s="96">
        <f>108+F132</f>
        <v>129.80000000000001</v>
      </c>
    </row>
    <row r="132" spans="1:10" x14ac:dyDescent="0.2">
      <c r="A132" s="205"/>
      <c r="B132" s="207"/>
      <c r="C132" s="97" t="s">
        <v>267</v>
      </c>
      <c r="D132" s="98" t="s">
        <v>39</v>
      </c>
      <c r="E132" s="96">
        <v>22.1</v>
      </c>
      <c r="F132" s="96">
        <v>21.8</v>
      </c>
      <c r="J132" s="10"/>
    </row>
    <row r="133" spans="1:10" ht="54" customHeight="1" x14ac:dyDescent="0.2">
      <c r="A133" s="204">
        <v>43</v>
      </c>
      <c r="B133" s="206"/>
      <c r="C133" s="97" t="s">
        <v>4</v>
      </c>
      <c r="D133" s="98" t="s">
        <v>676</v>
      </c>
      <c r="E133" s="96">
        <f>692.6+E134</f>
        <v>700</v>
      </c>
      <c r="F133" s="96">
        <f>32+F134</f>
        <v>39.299999999999997</v>
      </c>
    </row>
    <row r="134" spans="1:10" x14ac:dyDescent="0.2">
      <c r="A134" s="205"/>
      <c r="B134" s="207"/>
      <c r="C134" s="97" t="s">
        <v>267</v>
      </c>
      <c r="D134" s="98" t="s">
        <v>39</v>
      </c>
      <c r="E134" s="96">
        <v>7.4</v>
      </c>
      <c r="F134" s="96">
        <v>7.3</v>
      </c>
    </row>
    <row r="135" spans="1:10" ht="39.75" customHeight="1" x14ac:dyDescent="0.2">
      <c r="A135" s="93">
        <v>44</v>
      </c>
      <c r="B135" s="94"/>
      <c r="C135" s="97" t="s">
        <v>5</v>
      </c>
      <c r="D135" s="98" t="s">
        <v>114</v>
      </c>
      <c r="E135" s="96">
        <v>380</v>
      </c>
      <c r="F135" s="96">
        <v>13.2</v>
      </c>
    </row>
    <row r="136" spans="1:10" ht="51" customHeight="1" x14ac:dyDescent="0.2">
      <c r="A136" s="204">
        <v>45</v>
      </c>
      <c r="B136" s="206"/>
      <c r="C136" s="97" t="s">
        <v>7</v>
      </c>
      <c r="D136" s="98" t="s">
        <v>676</v>
      </c>
      <c r="E136" s="96">
        <f>329.4+E137</f>
        <v>333.09999999999997</v>
      </c>
      <c r="F136" s="96">
        <f>18+F137</f>
        <v>21.6</v>
      </c>
    </row>
    <row r="137" spans="1:10" x14ac:dyDescent="0.2">
      <c r="A137" s="205"/>
      <c r="B137" s="207"/>
      <c r="C137" s="97" t="s">
        <v>267</v>
      </c>
      <c r="D137" s="98" t="s">
        <v>39</v>
      </c>
      <c r="E137" s="96">
        <v>3.7</v>
      </c>
      <c r="F137" s="96">
        <v>3.6</v>
      </c>
    </row>
    <row r="138" spans="1:10" ht="50.25" customHeight="1" x14ac:dyDescent="0.2">
      <c r="A138" s="204">
        <v>46</v>
      </c>
      <c r="B138" s="206"/>
      <c r="C138" s="97" t="s">
        <v>6</v>
      </c>
      <c r="D138" s="98" t="s">
        <v>676</v>
      </c>
      <c r="E138" s="96">
        <f>357.4+E139</f>
        <v>361.09999999999997</v>
      </c>
      <c r="F138" s="96">
        <f>27.8+F139</f>
        <v>31.400000000000002</v>
      </c>
    </row>
    <row r="139" spans="1:10" x14ac:dyDescent="0.2">
      <c r="A139" s="205"/>
      <c r="B139" s="207"/>
      <c r="C139" s="97" t="s">
        <v>267</v>
      </c>
      <c r="D139" s="98" t="s">
        <v>39</v>
      </c>
      <c r="E139" s="96">
        <v>3.7</v>
      </c>
      <c r="F139" s="96">
        <v>3.6</v>
      </c>
    </row>
    <row r="140" spans="1:10" ht="40.5" customHeight="1" x14ac:dyDescent="0.2">
      <c r="A140" s="87">
        <v>47</v>
      </c>
      <c r="B140" s="89"/>
      <c r="C140" s="97" t="s">
        <v>9</v>
      </c>
      <c r="D140" s="98" t="s">
        <v>678</v>
      </c>
      <c r="E140" s="96">
        <f>426.9</f>
        <v>426.9</v>
      </c>
      <c r="F140" s="96">
        <f>17.6</f>
        <v>17.600000000000001</v>
      </c>
    </row>
    <row r="141" spans="1:10" ht="51.75" customHeight="1" x14ac:dyDescent="0.2">
      <c r="A141" s="204">
        <v>48</v>
      </c>
      <c r="B141" s="206"/>
      <c r="C141" s="3" t="s">
        <v>10</v>
      </c>
      <c r="D141" s="98" t="s">
        <v>676</v>
      </c>
      <c r="E141" s="96">
        <f>323.6+E142</f>
        <v>327.3</v>
      </c>
      <c r="F141" s="96">
        <f>14.8+F142</f>
        <v>18.400000000000002</v>
      </c>
    </row>
    <row r="142" spans="1:10" x14ac:dyDescent="0.2">
      <c r="A142" s="205"/>
      <c r="B142" s="207"/>
      <c r="C142" s="97" t="s">
        <v>267</v>
      </c>
      <c r="D142" s="98" t="s">
        <v>39</v>
      </c>
      <c r="E142" s="96">
        <v>3.7</v>
      </c>
      <c r="F142" s="96">
        <v>3.6</v>
      </c>
    </row>
    <row r="143" spans="1:10" ht="52.5" customHeight="1" x14ac:dyDescent="0.2">
      <c r="A143" s="204">
        <v>49</v>
      </c>
      <c r="B143" s="206"/>
      <c r="C143" s="97" t="s">
        <v>12</v>
      </c>
      <c r="D143" s="98" t="s">
        <v>676</v>
      </c>
      <c r="E143" s="96">
        <f>302.6+E144</f>
        <v>306.3</v>
      </c>
      <c r="F143" s="96">
        <f>14.3+F144</f>
        <v>17.900000000000002</v>
      </c>
    </row>
    <row r="144" spans="1:10" x14ac:dyDescent="0.2">
      <c r="A144" s="205"/>
      <c r="B144" s="207"/>
      <c r="C144" s="97" t="s">
        <v>267</v>
      </c>
      <c r="D144" s="98" t="s">
        <v>39</v>
      </c>
      <c r="E144" s="96">
        <v>3.7</v>
      </c>
      <c r="F144" s="96">
        <v>3.6</v>
      </c>
    </row>
    <row r="145" spans="1:8" ht="51" x14ac:dyDescent="0.2">
      <c r="A145" s="204">
        <v>50</v>
      </c>
      <c r="B145" s="206"/>
      <c r="C145" s="97" t="s">
        <v>11</v>
      </c>
      <c r="D145" s="98" t="s">
        <v>676</v>
      </c>
      <c r="E145" s="96">
        <f>344.5+E146</f>
        <v>348.2</v>
      </c>
      <c r="F145" s="96">
        <f>18.5+F146</f>
        <v>22.1</v>
      </c>
    </row>
    <row r="146" spans="1:8" x14ac:dyDescent="0.2">
      <c r="A146" s="205"/>
      <c r="B146" s="207"/>
      <c r="C146" s="97" t="s">
        <v>267</v>
      </c>
      <c r="D146" s="98" t="s">
        <v>39</v>
      </c>
      <c r="E146" s="96">
        <v>3.7</v>
      </c>
      <c r="F146" s="96">
        <v>3.6</v>
      </c>
    </row>
    <row r="147" spans="1:8" ht="53.25" customHeight="1" x14ac:dyDescent="0.2">
      <c r="A147" s="226">
        <v>51</v>
      </c>
      <c r="B147" s="206"/>
      <c r="C147" s="97" t="s">
        <v>13</v>
      </c>
      <c r="D147" s="98" t="s">
        <v>676</v>
      </c>
      <c r="E147" s="96">
        <f>170.5+E148</f>
        <v>174.2</v>
      </c>
      <c r="F147" s="96">
        <f>15.6+F148</f>
        <v>19.2</v>
      </c>
    </row>
    <row r="148" spans="1:8" x14ac:dyDescent="0.2">
      <c r="A148" s="227"/>
      <c r="B148" s="207"/>
      <c r="C148" s="97" t="s">
        <v>267</v>
      </c>
      <c r="D148" s="98" t="s">
        <v>39</v>
      </c>
      <c r="E148" s="96">
        <v>3.7</v>
      </c>
      <c r="F148" s="96">
        <v>3.6</v>
      </c>
    </row>
    <row r="149" spans="1:8" ht="54" customHeight="1" x14ac:dyDescent="0.2">
      <c r="A149" s="204">
        <v>52</v>
      </c>
      <c r="B149" s="206"/>
      <c r="C149" s="97" t="s">
        <v>14</v>
      </c>
      <c r="D149" s="98" t="s">
        <v>676</v>
      </c>
      <c r="E149" s="96">
        <f>232.2+E150</f>
        <v>239.6</v>
      </c>
      <c r="F149" s="96">
        <f>26.7+F150</f>
        <v>34</v>
      </c>
    </row>
    <row r="150" spans="1:8" x14ac:dyDescent="0.2">
      <c r="A150" s="205"/>
      <c r="B150" s="207"/>
      <c r="C150" s="97" t="s">
        <v>267</v>
      </c>
      <c r="D150" s="98" t="s">
        <v>39</v>
      </c>
      <c r="E150" s="96">
        <v>7.4</v>
      </c>
      <c r="F150" s="96">
        <v>7.3</v>
      </c>
    </row>
    <row r="151" spans="1:8" ht="24" customHeight="1" x14ac:dyDescent="0.2">
      <c r="A151" s="204">
        <v>53</v>
      </c>
      <c r="B151" s="209" t="s">
        <v>76</v>
      </c>
      <c r="C151" s="222" t="s">
        <v>195</v>
      </c>
      <c r="D151" s="206"/>
      <c r="E151" s="127">
        <v>1895.9</v>
      </c>
      <c r="F151" s="224">
        <v>717.6</v>
      </c>
    </row>
    <row r="152" spans="1:8" ht="12" customHeight="1" x14ac:dyDescent="0.2">
      <c r="A152" s="205"/>
      <c r="B152" s="211"/>
      <c r="C152" s="223"/>
      <c r="D152" s="207"/>
      <c r="E152" s="92">
        <v>1975.9</v>
      </c>
      <c r="F152" s="225">
        <v>717.6</v>
      </c>
      <c r="G152" s="60"/>
      <c r="H152" s="60"/>
    </row>
    <row r="153" spans="1:8" ht="12.6" customHeight="1" x14ac:dyDescent="0.2">
      <c r="A153" s="93">
        <v>54</v>
      </c>
      <c r="B153" s="94"/>
      <c r="C153" s="95" t="s">
        <v>112</v>
      </c>
      <c r="D153" s="94" t="s">
        <v>77</v>
      </c>
      <c r="E153" s="96">
        <v>1083.9000000000001</v>
      </c>
      <c r="F153" s="96">
        <v>642.1</v>
      </c>
    </row>
    <row r="154" spans="1:8" ht="12.6" customHeight="1" x14ac:dyDescent="0.2">
      <c r="A154" s="204">
        <v>55</v>
      </c>
      <c r="B154" s="206"/>
      <c r="C154" s="213" t="s">
        <v>167</v>
      </c>
      <c r="D154" s="206"/>
      <c r="E154" s="104">
        <v>782.9</v>
      </c>
      <c r="F154" s="215">
        <f>+F156+F157+F164+F167+F165+F166</f>
        <v>47.6</v>
      </c>
    </row>
    <row r="155" spans="1:8" ht="12.6" customHeight="1" x14ac:dyDescent="0.2">
      <c r="A155" s="205"/>
      <c r="B155" s="207"/>
      <c r="C155" s="214"/>
      <c r="D155" s="207"/>
      <c r="E155" s="105">
        <v>862.9</v>
      </c>
      <c r="F155" s="216"/>
      <c r="G155" s="60"/>
      <c r="H155" s="60"/>
    </row>
    <row r="156" spans="1:8" ht="12.6" customHeight="1" x14ac:dyDescent="0.2">
      <c r="A156" s="106" t="s">
        <v>628</v>
      </c>
      <c r="B156" s="94"/>
      <c r="C156" s="3" t="s">
        <v>3</v>
      </c>
      <c r="D156" s="94" t="s">
        <v>132</v>
      </c>
      <c r="E156" s="96">
        <f>108.6+12</f>
        <v>120.6</v>
      </c>
      <c r="F156" s="96">
        <v>47.6</v>
      </c>
    </row>
    <row r="157" spans="1:8" ht="12.6" customHeight="1" x14ac:dyDescent="0.2">
      <c r="A157" s="236" t="s">
        <v>629</v>
      </c>
      <c r="B157" s="206"/>
      <c r="C157" s="115" t="s">
        <v>646</v>
      </c>
      <c r="D157" s="206" t="s">
        <v>77</v>
      </c>
      <c r="E157" s="96">
        <f>+E158+E159+E160+E161+E162+E163</f>
        <v>515</v>
      </c>
      <c r="F157" s="96">
        <f>+F158+F159+F160+F161+F162</f>
        <v>0</v>
      </c>
    </row>
    <row r="158" spans="1:8" ht="25.5" x14ac:dyDescent="0.2">
      <c r="A158" s="237"/>
      <c r="B158" s="212"/>
      <c r="C158" s="128" t="s">
        <v>563</v>
      </c>
      <c r="D158" s="212"/>
      <c r="E158" s="96">
        <v>220</v>
      </c>
      <c r="F158" s="96"/>
    </row>
    <row r="159" spans="1:8" ht="12.6" customHeight="1" x14ac:dyDescent="0.2">
      <c r="A159" s="237"/>
      <c r="B159" s="212"/>
      <c r="C159" s="128" t="s">
        <v>558</v>
      </c>
      <c r="D159" s="212"/>
      <c r="E159" s="96">
        <f>100+20</f>
        <v>120</v>
      </c>
      <c r="F159" s="96"/>
    </row>
    <row r="160" spans="1:8" ht="12.6" customHeight="1" x14ac:dyDescent="0.2">
      <c r="A160" s="237"/>
      <c r="B160" s="212"/>
      <c r="C160" s="128" t="s">
        <v>557</v>
      </c>
      <c r="D160" s="212"/>
      <c r="E160" s="96">
        <v>15</v>
      </c>
      <c r="F160" s="96"/>
    </row>
    <row r="161" spans="1:7" ht="25.5" x14ac:dyDescent="0.2">
      <c r="A161" s="237"/>
      <c r="B161" s="212"/>
      <c r="C161" s="128" t="s">
        <v>556</v>
      </c>
      <c r="D161" s="212"/>
      <c r="E161" s="96">
        <v>120</v>
      </c>
      <c r="F161" s="96"/>
    </row>
    <row r="162" spans="1:7" x14ac:dyDescent="0.2">
      <c r="A162" s="237"/>
      <c r="B162" s="212"/>
      <c r="C162" s="128" t="s">
        <v>559</v>
      </c>
      <c r="D162" s="212"/>
      <c r="E162" s="96">
        <v>20</v>
      </c>
      <c r="F162" s="96"/>
    </row>
    <row r="163" spans="1:7" x14ac:dyDescent="0.2">
      <c r="A163" s="238"/>
      <c r="B163" s="207"/>
      <c r="C163" s="128" t="s">
        <v>560</v>
      </c>
      <c r="D163" s="207"/>
      <c r="E163" s="96">
        <f>10+10</f>
        <v>20</v>
      </c>
      <c r="F163" s="96"/>
    </row>
    <row r="164" spans="1:7" ht="12.6" customHeight="1" x14ac:dyDescent="0.2">
      <c r="A164" s="106" t="s">
        <v>630</v>
      </c>
      <c r="B164" s="94"/>
      <c r="C164" s="115" t="s">
        <v>561</v>
      </c>
      <c r="D164" s="94" t="s">
        <v>77</v>
      </c>
      <c r="E164" s="96">
        <v>55</v>
      </c>
      <c r="F164" s="96"/>
    </row>
    <row r="165" spans="1:7" ht="25.5" x14ac:dyDescent="0.2">
      <c r="A165" s="106" t="s">
        <v>631</v>
      </c>
      <c r="B165" s="94"/>
      <c r="C165" s="115" t="s">
        <v>760</v>
      </c>
      <c r="D165" s="94" t="s">
        <v>77</v>
      </c>
      <c r="E165" s="96">
        <v>10.3</v>
      </c>
      <c r="F165" s="96"/>
    </row>
    <row r="166" spans="1:7" ht="25.5" x14ac:dyDescent="0.2">
      <c r="A166" s="106" t="s">
        <v>632</v>
      </c>
      <c r="B166" s="94"/>
      <c r="C166" s="115" t="s">
        <v>398</v>
      </c>
      <c r="D166" s="94" t="s">
        <v>156</v>
      </c>
      <c r="E166" s="96">
        <v>10</v>
      </c>
      <c r="F166" s="96"/>
    </row>
    <row r="167" spans="1:7" ht="24" customHeight="1" x14ac:dyDescent="0.2">
      <c r="A167" s="204" t="s">
        <v>633</v>
      </c>
      <c r="B167" s="206"/>
      <c r="C167" s="217" t="s">
        <v>541</v>
      </c>
      <c r="D167" s="206"/>
      <c r="E167" s="104">
        <v>72</v>
      </c>
      <c r="F167" s="215">
        <f>+F169+F170+F171+F173</f>
        <v>0</v>
      </c>
    </row>
    <row r="168" spans="1:7" ht="17.25" customHeight="1" x14ac:dyDescent="0.2">
      <c r="A168" s="205"/>
      <c r="B168" s="207"/>
      <c r="C168" s="218"/>
      <c r="D168" s="207"/>
      <c r="E168" s="105">
        <v>152</v>
      </c>
      <c r="F168" s="216"/>
      <c r="G168" s="60"/>
    </row>
    <row r="169" spans="1:7" ht="25.5" x14ac:dyDescent="0.2">
      <c r="A169" s="106" t="s">
        <v>634</v>
      </c>
      <c r="B169" s="94"/>
      <c r="C169" s="97" t="s">
        <v>562</v>
      </c>
      <c r="D169" s="89" t="s">
        <v>77</v>
      </c>
      <c r="E169" s="96">
        <v>22</v>
      </c>
      <c r="F169" s="96"/>
    </row>
    <row r="170" spans="1:7" ht="38.25" x14ac:dyDescent="0.2">
      <c r="A170" s="106" t="s">
        <v>635</v>
      </c>
      <c r="B170" s="94"/>
      <c r="C170" s="97" t="s">
        <v>258</v>
      </c>
      <c r="D170" s="94" t="s">
        <v>77</v>
      </c>
      <c r="E170" s="96">
        <v>50</v>
      </c>
      <c r="F170" s="96"/>
    </row>
    <row r="171" spans="1:7" x14ac:dyDescent="0.2">
      <c r="A171" s="204" t="s">
        <v>925</v>
      </c>
      <c r="B171" s="206"/>
      <c r="C171" s="213" t="s">
        <v>328</v>
      </c>
      <c r="D171" s="206" t="s">
        <v>61</v>
      </c>
      <c r="E171" s="104">
        <v>0</v>
      </c>
      <c r="F171" s="215"/>
    </row>
    <row r="172" spans="1:7" x14ac:dyDescent="0.2">
      <c r="A172" s="205"/>
      <c r="B172" s="207"/>
      <c r="C172" s="214"/>
      <c r="D172" s="207"/>
      <c r="E172" s="105">
        <v>20</v>
      </c>
      <c r="F172" s="216"/>
      <c r="G172" s="60"/>
    </row>
    <row r="173" spans="1:7" x14ac:dyDescent="0.2">
      <c r="A173" s="204" t="s">
        <v>926</v>
      </c>
      <c r="B173" s="206"/>
      <c r="C173" s="213" t="s">
        <v>869</v>
      </c>
      <c r="D173" s="206" t="s">
        <v>61</v>
      </c>
      <c r="E173" s="104">
        <v>0</v>
      </c>
      <c r="F173" s="215"/>
      <c r="G173" s="60"/>
    </row>
    <row r="174" spans="1:7" x14ac:dyDescent="0.2">
      <c r="A174" s="205"/>
      <c r="B174" s="207"/>
      <c r="C174" s="214"/>
      <c r="D174" s="207"/>
      <c r="E174" s="105">
        <v>60</v>
      </c>
      <c r="F174" s="216"/>
      <c r="G174" s="60"/>
    </row>
    <row r="175" spans="1:7" ht="12.6" customHeight="1" x14ac:dyDescent="0.2">
      <c r="A175" s="93">
        <v>56</v>
      </c>
      <c r="B175" s="94"/>
      <c r="C175" s="97" t="s">
        <v>5</v>
      </c>
      <c r="D175" s="94" t="s">
        <v>77</v>
      </c>
      <c r="E175" s="96">
        <v>3.5</v>
      </c>
      <c r="F175" s="96">
        <v>3.1</v>
      </c>
    </row>
    <row r="176" spans="1:7" ht="12.6" customHeight="1" x14ac:dyDescent="0.2">
      <c r="A176" s="93">
        <v>57</v>
      </c>
      <c r="B176" s="94"/>
      <c r="C176" s="3" t="s">
        <v>7</v>
      </c>
      <c r="D176" s="94" t="s">
        <v>77</v>
      </c>
      <c r="E176" s="96">
        <v>3.4</v>
      </c>
      <c r="F176" s="96">
        <v>3.3</v>
      </c>
    </row>
    <row r="177" spans="1:7" ht="12.6" customHeight="1" x14ac:dyDescent="0.2">
      <c r="A177" s="93">
        <v>58</v>
      </c>
      <c r="B177" s="94"/>
      <c r="C177" s="97" t="s">
        <v>6</v>
      </c>
      <c r="D177" s="94" t="s">
        <v>77</v>
      </c>
      <c r="E177" s="96">
        <v>3.6</v>
      </c>
      <c r="F177" s="96">
        <v>3.5</v>
      </c>
    </row>
    <row r="178" spans="1:7" ht="12.6" customHeight="1" x14ac:dyDescent="0.2">
      <c r="A178" s="93">
        <v>59</v>
      </c>
      <c r="B178" s="94"/>
      <c r="C178" s="97" t="s">
        <v>9</v>
      </c>
      <c r="D178" s="94" t="s">
        <v>77</v>
      </c>
      <c r="E178" s="96">
        <v>3.3</v>
      </c>
      <c r="F178" s="96">
        <v>3.2</v>
      </c>
    </row>
    <row r="179" spans="1:7" ht="12.6" customHeight="1" x14ac:dyDescent="0.2">
      <c r="A179" s="93">
        <v>60</v>
      </c>
      <c r="B179" s="94"/>
      <c r="C179" s="3" t="s">
        <v>10</v>
      </c>
      <c r="D179" s="94" t="s">
        <v>77</v>
      </c>
      <c r="E179" s="96">
        <v>3.2</v>
      </c>
      <c r="F179" s="96">
        <v>3.1</v>
      </c>
    </row>
    <row r="180" spans="1:7" ht="12.6" customHeight="1" x14ac:dyDescent="0.2">
      <c r="A180" s="93">
        <v>61</v>
      </c>
      <c r="B180" s="94"/>
      <c r="C180" s="97" t="s">
        <v>12</v>
      </c>
      <c r="D180" s="94" t="s">
        <v>77</v>
      </c>
      <c r="E180" s="96">
        <v>3.2</v>
      </c>
      <c r="F180" s="96">
        <v>3.1</v>
      </c>
    </row>
    <row r="181" spans="1:7" ht="12.6" customHeight="1" x14ac:dyDescent="0.2">
      <c r="A181" s="93">
        <v>62</v>
      </c>
      <c r="B181" s="94"/>
      <c r="C181" s="97" t="s">
        <v>11</v>
      </c>
      <c r="D181" s="94" t="s">
        <v>77</v>
      </c>
      <c r="E181" s="96">
        <v>3</v>
      </c>
      <c r="F181" s="96">
        <v>2.9</v>
      </c>
    </row>
    <row r="182" spans="1:7" ht="12.6" customHeight="1" x14ac:dyDescent="0.2">
      <c r="A182" s="93">
        <v>63</v>
      </c>
      <c r="B182" s="94"/>
      <c r="C182" s="97" t="s">
        <v>13</v>
      </c>
      <c r="D182" s="94" t="s">
        <v>77</v>
      </c>
      <c r="E182" s="96">
        <v>2.9</v>
      </c>
      <c r="F182" s="96">
        <v>2.8</v>
      </c>
    </row>
    <row r="183" spans="1:7" ht="12.6" customHeight="1" x14ac:dyDescent="0.2">
      <c r="A183" s="93">
        <v>64</v>
      </c>
      <c r="B183" s="94"/>
      <c r="C183" s="97" t="s">
        <v>14</v>
      </c>
      <c r="D183" s="94" t="s">
        <v>77</v>
      </c>
      <c r="E183" s="96">
        <v>3</v>
      </c>
      <c r="F183" s="96">
        <v>2.9</v>
      </c>
    </row>
    <row r="184" spans="1:7" ht="13.5" customHeight="1" x14ac:dyDescent="0.2">
      <c r="A184" s="204">
        <v>65</v>
      </c>
      <c r="B184" s="209" t="s">
        <v>78</v>
      </c>
      <c r="C184" s="222" t="s">
        <v>79</v>
      </c>
      <c r="D184" s="206"/>
      <c r="E184" s="127">
        <v>4698.8</v>
      </c>
      <c r="F184" s="224">
        <f>+F186+F187+F188+F189+F190+F191+F192+F193+F195+F209</f>
        <v>2984.4</v>
      </c>
    </row>
    <row r="185" spans="1:7" ht="17.25" customHeight="1" x14ac:dyDescent="0.2">
      <c r="A185" s="205"/>
      <c r="B185" s="211"/>
      <c r="C185" s="223"/>
      <c r="D185" s="207"/>
      <c r="E185" s="92">
        <v>4713.3999999999996</v>
      </c>
      <c r="F185" s="225"/>
      <c r="G185" s="60"/>
    </row>
    <row r="186" spans="1:7" ht="12.6" customHeight="1" x14ac:dyDescent="0.2">
      <c r="A186" s="93">
        <v>66</v>
      </c>
      <c r="B186" s="94"/>
      <c r="C186" s="95" t="s">
        <v>44</v>
      </c>
      <c r="D186" s="94" t="s">
        <v>80</v>
      </c>
      <c r="E186" s="96">
        <v>951.3</v>
      </c>
      <c r="F186" s="96">
        <v>653.1</v>
      </c>
    </row>
    <row r="187" spans="1:7" ht="12.6" customHeight="1" x14ac:dyDescent="0.2">
      <c r="A187" s="93">
        <v>67</v>
      </c>
      <c r="B187" s="94"/>
      <c r="C187" s="129" t="s">
        <v>49</v>
      </c>
      <c r="D187" s="94" t="s">
        <v>80</v>
      </c>
      <c r="E187" s="96">
        <v>293.8</v>
      </c>
      <c r="F187" s="96">
        <v>218.5</v>
      </c>
    </row>
    <row r="188" spans="1:7" ht="12.6" customHeight="1" x14ac:dyDescent="0.2">
      <c r="A188" s="93">
        <v>68</v>
      </c>
      <c r="B188" s="94"/>
      <c r="C188" s="129" t="s">
        <v>50</v>
      </c>
      <c r="D188" s="94" t="s">
        <v>80</v>
      </c>
      <c r="E188" s="96">
        <v>227.3</v>
      </c>
      <c r="F188" s="96">
        <v>158</v>
      </c>
    </row>
    <row r="189" spans="1:7" ht="12.6" customHeight="1" x14ac:dyDescent="0.2">
      <c r="A189" s="93">
        <v>69</v>
      </c>
      <c r="B189" s="94"/>
      <c r="C189" s="129" t="s">
        <v>45</v>
      </c>
      <c r="D189" s="94" t="s">
        <v>80</v>
      </c>
      <c r="E189" s="96">
        <v>209.9</v>
      </c>
      <c r="F189" s="96">
        <v>148.80000000000001</v>
      </c>
    </row>
    <row r="190" spans="1:7" ht="12.6" customHeight="1" x14ac:dyDescent="0.2">
      <c r="A190" s="93">
        <v>70</v>
      </c>
      <c r="B190" s="94"/>
      <c r="C190" s="129" t="s">
        <v>51</v>
      </c>
      <c r="D190" s="94" t="s">
        <v>80</v>
      </c>
      <c r="E190" s="96">
        <v>141.19999999999999</v>
      </c>
      <c r="F190" s="96">
        <v>114.8</v>
      </c>
    </row>
    <row r="191" spans="1:7" ht="12.6" customHeight="1" x14ac:dyDescent="0.2">
      <c r="A191" s="93">
        <v>71</v>
      </c>
      <c r="B191" s="94"/>
      <c r="C191" s="129" t="s">
        <v>52</v>
      </c>
      <c r="D191" s="94" t="s">
        <v>80</v>
      </c>
      <c r="E191" s="96">
        <v>128.5</v>
      </c>
      <c r="F191" s="96">
        <v>93.1</v>
      </c>
    </row>
    <row r="192" spans="1:7" ht="12.6" customHeight="1" x14ac:dyDescent="0.2">
      <c r="A192" s="93">
        <v>72</v>
      </c>
      <c r="B192" s="94"/>
      <c r="C192" s="97" t="s">
        <v>53</v>
      </c>
      <c r="D192" s="94" t="s">
        <v>81</v>
      </c>
      <c r="E192" s="96">
        <v>1257.7</v>
      </c>
      <c r="F192" s="96">
        <v>1030.7</v>
      </c>
    </row>
    <row r="193" spans="1:7" ht="12.6" customHeight="1" x14ac:dyDescent="0.2">
      <c r="A193" s="204">
        <v>73</v>
      </c>
      <c r="B193" s="206"/>
      <c r="C193" s="129" t="s">
        <v>43</v>
      </c>
      <c r="D193" s="94" t="s">
        <v>82</v>
      </c>
      <c r="E193" s="96">
        <f>+E194+646.2</f>
        <v>651.40000000000009</v>
      </c>
      <c r="F193" s="96">
        <v>484.4</v>
      </c>
    </row>
    <row r="194" spans="1:7" ht="42.75" customHeight="1" x14ac:dyDescent="0.2">
      <c r="A194" s="205"/>
      <c r="B194" s="207"/>
      <c r="C194" s="103" t="s">
        <v>564</v>
      </c>
      <c r="D194" s="94" t="s">
        <v>126</v>
      </c>
      <c r="E194" s="96">
        <v>5.2</v>
      </c>
      <c r="F194" s="96"/>
    </row>
    <row r="195" spans="1:7" ht="12.6" customHeight="1" x14ac:dyDescent="0.2">
      <c r="A195" s="204">
        <v>74</v>
      </c>
      <c r="B195" s="206"/>
      <c r="C195" s="213" t="s">
        <v>167</v>
      </c>
      <c r="D195" s="206"/>
      <c r="E195" s="104">
        <v>829.2</v>
      </c>
      <c r="F195" s="215">
        <f>+F197+F198+F199+F200+F203+F201+F202</f>
        <v>74.7</v>
      </c>
    </row>
    <row r="196" spans="1:7" ht="12.6" customHeight="1" x14ac:dyDescent="0.2">
      <c r="A196" s="205"/>
      <c r="B196" s="207"/>
      <c r="C196" s="214"/>
      <c r="D196" s="207"/>
      <c r="E196" s="105">
        <v>843.8</v>
      </c>
      <c r="F196" s="216"/>
      <c r="G196" s="60"/>
    </row>
    <row r="197" spans="1:7" ht="25.5" x14ac:dyDescent="0.2">
      <c r="A197" s="106" t="s">
        <v>636</v>
      </c>
      <c r="B197" s="94"/>
      <c r="C197" s="3" t="s">
        <v>3</v>
      </c>
      <c r="D197" s="98" t="s">
        <v>141</v>
      </c>
      <c r="E197" s="96">
        <v>434.9</v>
      </c>
      <c r="F197" s="96">
        <v>74.7</v>
      </c>
    </row>
    <row r="198" spans="1:7" ht="51" x14ac:dyDescent="0.2">
      <c r="A198" s="106" t="s">
        <v>637</v>
      </c>
      <c r="B198" s="94"/>
      <c r="C198" s="108" t="s">
        <v>189</v>
      </c>
      <c r="D198" s="98" t="s">
        <v>83</v>
      </c>
      <c r="E198" s="96">
        <v>27</v>
      </c>
      <c r="F198" s="96"/>
    </row>
    <row r="199" spans="1:7" x14ac:dyDescent="0.2">
      <c r="A199" s="106" t="s">
        <v>638</v>
      </c>
      <c r="B199" s="94"/>
      <c r="C199" s="108" t="s">
        <v>339</v>
      </c>
      <c r="D199" s="98" t="s">
        <v>83</v>
      </c>
      <c r="E199" s="96">
        <v>25</v>
      </c>
      <c r="F199" s="96"/>
    </row>
    <row r="200" spans="1:7" ht="25.5" x14ac:dyDescent="0.2">
      <c r="A200" s="106" t="s">
        <v>639</v>
      </c>
      <c r="B200" s="94"/>
      <c r="C200" s="108" t="s">
        <v>340</v>
      </c>
      <c r="D200" s="98" t="s">
        <v>83</v>
      </c>
      <c r="E200" s="96">
        <v>10</v>
      </c>
      <c r="F200" s="96"/>
    </row>
    <row r="201" spans="1:7" ht="25.5" x14ac:dyDescent="0.2">
      <c r="A201" s="106" t="s">
        <v>640</v>
      </c>
      <c r="B201" s="94"/>
      <c r="C201" s="109" t="s">
        <v>259</v>
      </c>
      <c r="D201" s="98" t="s">
        <v>156</v>
      </c>
      <c r="E201" s="96">
        <v>36</v>
      </c>
      <c r="F201" s="96"/>
    </row>
    <row r="202" spans="1:7" ht="51" x14ac:dyDescent="0.2">
      <c r="A202" s="106" t="s">
        <v>641</v>
      </c>
      <c r="B202" s="94"/>
      <c r="C202" s="109" t="s">
        <v>761</v>
      </c>
      <c r="D202" s="98" t="s">
        <v>156</v>
      </c>
      <c r="E202" s="96">
        <v>19</v>
      </c>
      <c r="F202" s="96"/>
    </row>
    <row r="203" spans="1:7" ht="25.5" customHeight="1" x14ac:dyDescent="0.2">
      <c r="A203" s="204" t="s">
        <v>642</v>
      </c>
      <c r="B203" s="206"/>
      <c r="C203" s="217" t="s">
        <v>541</v>
      </c>
      <c r="D203" s="206"/>
      <c r="E203" s="104">
        <v>277.3</v>
      </c>
      <c r="F203" s="215">
        <f>SUM(F205:F207)</f>
        <v>0</v>
      </c>
    </row>
    <row r="204" spans="1:7" ht="16.5" customHeight="1" x14ac:dyDescent="0.2">
      <c r="A204" s="205"/>
      <c r="B204" s="207"/>
      <c r="C204" s="218"/>
      <c r="D204" s="207"/>
      <c r="E204" s="105">
        <v>291.89999999999998</v>
      </c>
      <c r="F204" s="216"/>
      <c r="G204" s="60"/>
    </row>
    <row r="205" spans="1:7" ht="38.25" x14ac:dyDescent="0.2">
      <c r="A205" s="106" t="s">
        <v>643</v>
      </c>
      <c r="B205" s="94"/>
      <c r="C205" s="109" t="s">
        <v>173</v>
      </c>
      <c r="D205" s="94" t="s">
        <v>82</v>
      </c>
      <c r="E205" s="96">
        <v>10</v>
      </c>
      <c r="F205" s="96"/>
    </row>
    <row r="206" spans="1:7" x14ac:dyDescent="0.2">
      <c r="A206" s="106" t="s">
        <v>644</v>
      </c>
      <c r="B206" s="94"/>
      <c r="C206" s="109" t="s">
        <v>565</v>
      </c>
      <c r="D206" s="94" t="s">
        <v>82</v>
      </c>
      <c r="E206" s="96">
        <v>267.3</v>
      </c>
      <c r="F206" s="96"/>
    </row>
    <row r="207" spans="1:7" ht="12.6" customHeight="1" x14ac:dyDescent="0.2">
      <c r="A207" s="204" t="s">
        <v>924</v>
      </c>
      <c r="B207" s="206"/>
      <c r="C207" s="213" t="s">
        <v>852</v>
      </c>
      <c r="D207" s="206" t="s">
        <v>80</v>
      </c>
      <c r="E207" s="104">
        <v>0</v>
      </c>
      <c r="F207" s="215"/>
    </row>
    <row r="208" spans="1:7" ht="12.6" customHeight="1" x14ac:dyDescent="0.2">
      <c r="A208" s="205"/>
      <c r="B208" s="207"/>
      <c r="C208" s="214"/>
      <c r="D208" s="207"/>
      <c r="E208" s="105">
        <v>14.6</v>
      </c>
      <c r="F208" s="216"/>
      <c r="G208" s="60"/>
    </row>
    <row r="209" spans="1:6" ht="12.6" customHeight="1" x14ac:dyDescent="0.2">
      <c r="A209" s="93">
        <v>75</v>
      </c>
      <c r="B209" s="94"/>
      <c r="C209" s="97" t="s">
        <v>6</v>
      </c>
      <c r="D209" s="94" t="s">
        <v>82</v>
      </c>
      <c r="E209" s="96">
        <v>8.5</v>
      </c>
      <c r="F209" s="96">
        <v>8.3000000000000007</v>
      </c>
    </row>
    <row r="210" spans="1:6" ht="30" customHeight="1" x14ac:dyDescent="0.2">
      <c r="A210" s="93">
        <v>76</v>
      </c>
      <c r="B210" s="86" t="s">
        <v>104</v>
      </c>
      <c r="C210" s="130" t="s">
        <v>105</v>
      </c>
      <c r="D210" s="94"/>
      <c r="E210" s="113">
        <f>+E214+E211</f>
        <v>389</v>
      </c>
      <c r="F210" s="113">
        <f>+F214</f>
        <v>0</v>
      </c>
    </row>
    <row r="211" spans="1:6" ht="12.6" customHeight="1" x14ac:dyDescent="0.2">
      <c r="A211" s="204">
        <v>77</v>
      </c>
      <c r="B211" s="209"/>
      <c r="C211" s="129" t="s">
        <v>264</v>
      </c>
      <c r="D211" s="206" t="s">
        <v>106</v>
      </c>
      <c r="E211" s="96">
        <f>+E212+E213</f>
        <v>41</v>
      </c>
      <c r="F211" s="113"/>
    </row>
    <row r="212" spans="1:6" ht="25.5" x14ac:dyDescent="0.2">
      <c r="A212" s="208"/>
      <c r="B212" s="210"/>
      <c r="C212" s="114" t="s">
        <v>270</v>
      </c>
      <c r="D212" s="212"/>
      <c r="E212" s="96">
        <v>30</v>
      </c>
      <c r="F212" s="96"/>
    </row>
    <row r="213" spans="1:6" ht="25.5" x14ac:dyDescent="0.2">
      <c r="A213" s="205"/>
      <c r="B213" s="211"/>
      <c r="C213" s="114" t="s">
        <v>677</v>
      </c>
      <c r="D213" s="207"/>
      <c r="E213" s="96">
        <v>11</v>
      </c>
      <c r="F213" s="96"/>
    </row>
    <row r="214" spans="1:6" ht="12.6" customHeight="1" x14ac:dyDescent="0.2">
      <c r="A214" s="93">
        <v>78</v>
      </c>
      <c r="B214" s="94"/>
      <c r="C214" s="3" t="s">
        <v>167</v>
      </c>
      <c r="D214" s="94"/>
      <c r="E214" s="96">
        <f>+E215+E216+E219+E217+E218</f>
        <v>348</v>
      </c>
      <c r="F214" s="96">
        <f>+F215+F216+F219</f>
        <v>0</v>
      </c>
    </row>
    <row r="215" spans="1:6" ht="27.6" customHeight="1" x14ac:dyDescent="0.2">
      <c r="A215" s="131" t="s">
        <v>645</v>
      </c>
      <c r="B215" s="94"/>
      <c r="C215" s="108" t="s">
        <v>183</v>
      </c>
      <c r="D215" s="94" t="s">
        <v>106</v>
      </c>
      <c r="E215" s="96">
        <v>85</v>
      </c>
      <c r="F215" s="96"/>
    </row>
    <row r="216" spans="1:6" ht="25.5" x14ac:dyDescent="0.2">
      <c r="A216" s="131" t="s">
        <v>647</v>
      </c>
      <c r="B216" s="94"/>
      <c r="C216" s="108" t="s">
        <v>140</v>
      </c>
      <c r="D216" s="94" t="s">
        <v>142</v>
      </c>
      <c r="E216" s="96">
        <v>50</v>
      </c>
      <c r="F216" s="96"/>
    </row>
    <row r="217" spans="1:6" ht="51" x14ac:dyDescent="0.2">
      <c r="A217" s="131" t="s">
        <v>648</v>
      </c>
      <c r="B217" s="94"/>
      <c r="C217" s="123" t="s">
        <v>396</v>
      </c>
      <c r="D217" s="89" t="s">
        <v>106</v>
      </c>
      <c r="E217" s="96">
        <v>20</v>
      </c>
      <c r="F217" s="96"/>
    </row>
    <row r="218" spans="1:6" ht="25.5" x14ac:dyDescent="0.2">
      <c r="A218" s="131" t="s">
        <v>649</v>
      </c>
      <c r="B218" s="94"/>
      <c r="C218" s="123" t="s">
        <v>251</v>
      </c>
      <c r="D218" s="89" t="s">
        <v>116</v>
      </c>
      <c r="E218" s="96">
        <v>23</v>
      </c>
      <c r="F218" s="96"/>
    </row>
    <row r="219" spans="1:6" ht="41.45" customHeight="1" x14ac:dyDescent="0.2">
      <c r="A219" s="131" t="s">
        <v>739</v>
      </c>
      <c r="B219" s="94"/>
      <c r="C219" s="119" t="s">
        <v>541</v>
      </c>
      <c r="D219" s="86"/>
      <c r="E219" s="120">
        <f>SUM(E220:E225)</f>
        <v>170</v>
      </c>
      <c r="F219" s="120">
        <f>SUM(F220:F225)</f>
        <v>0</v>
      </c>
    </row>
    <row r="220" spans="1:6" ht="25.5" x14ac:dyDescent="0.2">
      <c r="A220" s="106" t="s">
        <v>740</v>
      </c>
      <c r="B220" s="94"/>
      <c r="C220" s="123" t="s">
        <v>260</v>
      </c>
      <c r="D220" s="94" t="s">
        <v>116</v>
      </c>
      <c r="E220" s="96">
        <v>47</v>
      </c>
      <c r="F220" s="96"/>
    </row>
    <row r="221" spans="1:6" ht="25.5" x14ac:dyDescent="0.2">
      <c r="A221" s="106" t="s">
        <v>741</v>
      </c>
      <c r="B221" s="94"/>
      <c r="C221" s="123" t="s">
        <v>261</v>
      </c>
      <c r="D221" s="98" t="s">
        <v>126</v>
      </c>
      <c r="E221" s="96">
        <v>11</v>
      </c>
      <c r="F221" s="96"/>
    </row>
    <row r="222" spans="1:6" ht="38.25" x14ac:dyDescent="0.2">
      <c r="A222" s="106" t="s">
        <v>742</v>
      </c>
      <c r="B222" s="94"/>
      <c r="C222" s="123" t="s">
        <v>342</v>
      </c>
      <c r="D222" s="89" t="s">
        <v>116</v>
      </c>
      <c r="E222" s="96">
        <v>3</v>
      </c>
      <c r="F222" s="96"/>
    </row>
    <row r="223" spans="1:6" ht="51" x14ac:dyDescent="0.2">
      <c r="A223" s="106" t="s">
        <v>743</v>
      </c>
      <c r="B223" s="94"/>
      <c r="C223" s="123" t="s">
        <v>567</v>
      </c>
      <c r="D223" s="89" t="s">
        <v>116</v>
      </c>
      <c r="E223" s="96">
        <v>80</v>
      </c>
      <c r="F223" s="96"/>
    </row>
    <row r="224" spans="1:6" ht="38.25" x14ac:dyDescent="0.2">
      <c r="A224" s="106" t="s">
        <v>744</v>
      </c>
      <c r="B224" s="94"/>
      <c r="C224" s="123" t="s">
        <v>566</v>
      </c>
      <c r="D224" s="94" t="s">
        <v>116</v>
      </c>
      <c r="E224" s="96">
        <v>6</v>
      </c>
      <c r="F224" s="96"/>
    </row>
    <row r="225" spans="1:12" x14ac:dyDescent="0.2">
      <c r="A225" s="106" t="s">
        <v>745</v>
      </c>
      <c r="B225" s="94"/>
      <c r="C225" s="123" t="s">
        <v>738</v>
      </c>
      <c r="D225" s="89" t="s">
        <v>116</v>
      </c>
      <c r="E225" s="96">
        <v>23</v>
      </c>
      <c r="F225" s="96"/>
    </row>
    <row r="226" spans="1:12" ht="27" customHeight="1" x14ac:dyDescent="0.2">
      <c r="A226" s="93">
        <v>79</v>
      </c>
      <c r="B226" s="86" t="s">
        <v>84</v>
      </c>
      <c r="C226" s="132" t="s">
        <v>85</v>
      </c>
      <c r="D226" s="84"/>
      <c r="E226" s="133">
        <f>+E227+E228+E255+E256+E257+E258+E259+E260+E261+E262+E263+E264+E265</f>
        <v>2581.5</v>
      </c>
      <c r="F226" s="133">
        <f>+F227+F228+F255+F256+F257+F258+F259+F260+F261+F262+F263+F264+F265</f>
        <v>0</v>
      </c>
    </row>
    <row r="227" spans="1:12" ht="27" customHeight="1" x14ac:dyDescent="0.2">
      <c r="A227" s="93">
        <v>80</v>
      </c>
      <c r="B227" s="86"/>
      <c r="C227" s="134" t="s">
        <v>251</v>
      </c>
      <c r="D227" s="98" t="s">
        <v>131</v>
      </c>
      <c r="E227" s="135">
        <v>142</v>
      </c>
      <c r="F227" s="135"/>
    </row>
    <row r="228" spans="1:12" ht="12.6" customHeight="1" x14ac:dyDescent="0.2">
      <c r="A228" s="93">
        <v>81</v>
      </c>
      <c r="B228" s="94"/>
      <c r="C228" s="3" t="s">
        <v>174</v>
      </c>
      <c r="D228" s="98"/>
      <c r="E228" s="96">
        <f>E229</f>
        <v>1409.3</v>
      </c>
      <c r="F228" s="96">
        <f>F229</f>
        <v>0</v>
      </c>
    </row>
    <row r="229" spans="1:12" ht="39" customHeight="1" x14ac:dyDescent="0.2">
      <c r="A229" s="106" t="s">
        <v>783</v>
      </c>
      <c r="B229" s="94"/>
      <c r="C229" s="119" t="s">
        <v>541</v>
      </c>
      <c r="D229" s="98"/>
      <c r="E229" s="120">
        <f>SUM(E230:E254)</f>
        <v>1409.3</v>
      </c>
      <c r="F229" s="120">
        <f>SUM(F230:F252)</f>
        <v>0</v>
      </c>
    </row>
    <row r="230" spans="1:12" ht="27.6" customHeight="1" x14ac:dyDescent="0.2">
      <c r="A230" s="106" t="s">
        <v>784</v>
      </c>
      <c r="B230" s="94"/>
      <c r="C230" s="109" t="s">
        <v>346</v>
      </c>
      <c r="D230" s="98" t="s">
        <v>128</v>
      </c>
      <c r="E230" s="96">
        <v>75</v>
      </c>
      <c r="F230" s="96"/>
      <c r="J230" s="203"/>
      <c r="K230" s="203"/>
      <c r="L230" s="203"/>
    </row>
    <row r="231" spans="1:12" x14ac:dyDescent="0.2">
      <c r="A231" s="106" t="s">
        <v>785</v>
      </c>
      <c r="B231" s="94"/>
      <c r="C231" s="109" t="s">
        <v>399</v>
      </c>
      <c r="D231" s="98" t="s">
        <v>128</v>
      </c>
      <c r="E231" s="96">
        <v>50</v>
      </c>
      <c r="F231" s="96"/>
      <c r="J231" s="203"/>
      <c r="K231" s="203"/>
      <c r="L231" s="203"/>
    </row>
    <row r="232" spans="1:12" ht="27" customHeight="1" x14ac:dyDescent="0.2">
      <c r="A232" s="106" t="s">
        <v>786</v>
      </c>
      <c r="B232" s="94"/>
      <c r="C232" s="123" t="s">
        <v>347</v>
      </c>
      <c r="D232" s="98" t="s">
        <v>38</v>
      </c>
      <c r="E232" s="96">
        <v>25</v>
      </c>
      <c r="F232" s="96"/>
    </row>
    <row r="233" spans="1:12" ht="40.15" customHeight="1" x14ac:dyDescent="0.2">
      <c r="A233" s="106" t="s">
        <v>787</v>
      </c>
      <c r="B233" s="94"/>
      <c r="C233" s="3" t="s">
        <v>139</v>
      </c>
      <c r="D233" s="98" t="s">
        <v>128</v>
      </c>
      <c r="E233" s="96">
        <v>60</v>
      </c>
      <c r="F233" s="96"/>
    </row>
    <row r="234" spans="1:12" ht="25.5" x14ac:dyDescent="0.2">
      <c r="A234" s="106" t="s">
        <v>788</v>
      </c>
      <c r="B234" s="94"/>
      <c r="C234" s="3" t="s">
        <v>568</v>
      </c>
      <c r="D234" s="136" t="s">
        <v>198</v>
      </c>
      <c r="E234" s="96">
        <v>60</v>
      </c>
      <c r="F234" s="96"/>
    </row>
    <row r="235" spans="1:12" ht="38.25" x14ac:dyDescent="0.2">
      <c r="A235" s="106" t="s">
        <v>789</v>
      </c>
      <c r="B235" s="94"/>
      <c r="C235" s="97" t="s">
        <v>154</v>
      </c>
      <c r="D235" s="98" t="s">
        <v>153</v>
      </c>
      <c r="E235" s="96">
        <v>145.30000000000001</v>
      </c>
      <c r="F235" s="96"/>
    </row>
    <row r="236" spans="1:12" ht="12.6" customHeight="1" x14ac:dyDescent="0.2">
      <c r="A236" s="106" t="s">
        <v>790</v>
      </c>
      <c r="B236" s="94"/>
      <c r="C236" s="97" t="s">
        <v>202</v>
      </c>
      <c r="D236" s="137" t="s">
        <v>199</v>
      </c>
      <c r="E236" s="96">
        <v>39.5</v>
      </c>
      <c r="F236" s="96"/>
    </row>
    <row r="237" spans="1:12" ht="25.5" x14ac:dyDescent="0.2">
      <c r="A237" s="106" t="s">
        <v>791</v>
      </c>
      <c r="B237" s="94"/>
      <c r="C237" s="97" t="s">
        <v>348</v>
      </c>
      <c r="D237" s="136" t="s">
        <v>198</v>
      </c>
      <c r="E237" s="96">
        <v>13.5</v>
      </c>
      <c r="F237" s="96"/>
    </row>
    <row r="238" spans="1:12" ht="25.5" x14ac:dyDescent="0.2">
      <c r="A238" s="106" t="s">
        <v>792</v>
      </c>
      <c r="B238" s="94"/>
      <c r="C238" s="97" t="s">
        <v>570</v>
      </c>
      <c r="D238" s="98" t="s">
        <v>144</v>
      </c>
      <c r="E238" s="96">
        <v>10</v>
      </c>
      <c r="F238" s="96"/>
    </row>
    <row r="239" spans="1:12" ht="12.6" customHeight="1" x14ac:dyDescent="0.2">
      <c r="A239" s="106" t="s">
        <v>793</v>
      </c>
      <c r="B239" s="94"/>
      <c r="C239" s="123" t="s">
        <v>569</v>
      </c>
      <c r="D239" s="98" t="s">
        <v>144</v>
      </c>
      <c r="E239" s="96">
        <v>15</v>
      </c>
      <c r="F239" s="96"/>
    </row>
    <row r="240" spans="1:12" ht="25.5" x14ac:dyDescent="0.2">
      <c r="A240" s="106" t="s">
        <v>794</v>
      </c>
      <c r="B240" s="94"/>
      <c r="C240" s="123" t="s">
        <v>349</v>
      </c>
      <c r="D240" s="98" t="s">
        <v>144</v>
      </c>
      <c r="E240" s="96">
        <v>4</v>
      </c>
      <c r="F240" s="96"/>
    </row>
    <row r="241" spans="1:7" ht="25.5" x14ac:dyDescent="0.2">
      <c r="A241" s="106" t="s">
        <v>795</v>
      </c>
      <c r="B241" s="94"/>
      <c r="C241" s="123" t="s">
        <v>571</v>
      </c>
      <c r="D241" s="98" t="s">
        <v>144</v>
      </c>
      <c r="E241" s="96">
        <v>17</v>
      </c>
      <c r="F241" s="96"/>
    </row>
    <row r="242" spans="1:7" ht="25.5" x14ac:dyDescent="0.2">
      <c r="A242" s="106" t="s">
        <v>796</v>
      </c>
      <c r="B242" s="94"/>
      <c r="C242" s="123" t="s">
        <v>393</v>
      </c>
      <c r="D242" s="98" t="s">
        <v>144</v>
      </c>
      <c r="E242" s="96">
        <v>20</v>
      </c>
      <c r="F242" s="96"/>
    </row>
    <row r="243" spans="1:7" ht="12.75" customHeight="1" x14ac:dyDescent="0.2">
      <c r="A243" s="106" t="s">
        <v>797</v>
      </c>
      <c r="B243" s="94"/>
      <c r="C243" s="123" t="s">
        <v>122</v>
      </c>
      <c r="D243" s="98" t="s">
        <v>156</v>
      </c>
      <c r="E243" s="96">
        <v>40</v>
      </c>
      <c r="F243" s="96"/>
    </row>
    <row r="244" spans="1:7" ht="12.6" customHeight="1" x14ac:dyDescent="0.2">
      <c r="A244" s="106" t="s">
        <v>798</v>
      </c>
      <c r="B244" s="94"/>
      <c r="C244" s="123" t="s">
        <v>123</v>
      </c>
      <c r="D244" s="98" t="s">
        <v>156</v>
      </c>
      <c r="E244" s="96">
        <v>40</v>
      </c>
      <c r="F244" s="96"/>
    </row>
    <row r="245" spans="1:7" x14ac:dyDescent="0.2">
      <c r="A245" s="204" t="s">
        <v>799</v>
      </c>
      <c r="B245" s="206"/>
      <c r="C245" s="213" t="s">
        <v>262</v>
      </c>
      <c r="D245" s="206" t="s">
        <v>86</v>
      </c>
      <c r="E245" s="104">
        <v>75</v>
      </c>
      <c r="F245" s="215"/>
    </row>
    <row r="246" spans="1:7" x14ac:dyDescent="0.2">
      <c r="A246" s="205"/>
      <c r="B246" s="207"/>
      <c r="C246" s="214"/>
      <c r="D246" s="207"/>
      <c r="E246" s="105">
        <v>65</v>
      </c>
      <c r="F246" s="216"/>
      <c r="G246" s="60"/>
    </row>
    <row r="247" spans="1:7" x14ac:dyDescent="0.2">
      <c r="A247" s="204" t="s">
        <v>800</v>
      </c>
      <c r="B247" s="206"/>
      <c r="C247" s="213" t="s">
        <v>534</v>
      </c>
      <c r="D247" s="206" t="s">
        <v>86</v>
      </c>
      <c r="E247" s="104">
        <f>60</f>
        <v>60</v>
      </c>
      <c r="F247" s="215"/>
    </row>
    <row r="248" spans="1:7" x14ac:dyDescent="0.2">
      <c r="A248" s="205"/>
      <c r="B248" s="207"/>
      <c r="C248" s="214"/>
      <c r="D248" s="207"/>
      <c r="E248" s="105">
        <v>70</v>
      </c>
      <c r="F248" s="216"/>
      <c r="G248" s="60"/>
    </row>
    <row r="249" spans="1:7" ht="12.6" customHeight="1" x14ac:dyDescent="0.2">
      <c r="A249" s="106" t="s">
        <v>801</v>
      </c>
      <c r="B249" s="94"/>
      <c r="C249" s="123" t="s">
        <v>124</v>
      </c>
      <c r="D249" s="98" t="s">
        <v>156</v>
      </c>
      <c r="E249" s="96">
        <v>70</v>
      </c>
      <c r="F249" s="96"/>
    </row>
    <row r="250" spans="1:7" ht="12.6" customHeight="1" x14ac:dyDescent="0.2">
      <c r="A250" s="106" t="s">
        <v>802</v>
      </c>
      <c r="B250" s="94"/>
      <c r="C250" s="123" t="s">
        <v>350</v>
      </c>
      <c r="D250" s="98" t="s">
        <v>156</v>
      </c>
      <c r="E250" s="96">
        <v>100</v>
      </c>
      <c r="F250" s="96"/>
    </row>
    <row r="251" spans="1:7" ht="12.6" customHeight="1" x14ac:dyDescent="0.2">
      <c r="A251" s="106" t="s">
        <v>803</v>
      </c>
      <c r="B251" s="94"/>
      <c r="C251" s="123" t="s">
        <v>125</v>
      </c>
      <c r="D251" s="98" t="s">
        <v>156</v>
      </c>
      <c r="E251" s="96">
        <v>50</v>
      </c>
      <c r="F251" s="96"/>
    </row>
    <row r="252" spans="1:7" ht="25.5" x14ac:dyDescent="0.2">
      <c r="A252" s="106" t="s">
        <v>804</v>
      </c>
      <c r="B252" s="94"/>
      <c r="C252" s="97" t="s">
        <v>351</v>
      </c>
      <c r="D252" s="98" t="s">
        <v>156</v>
      </c>
      <c r="E252" s="96">
        <v>80</v>
      </c>
      <c r="F252" s="96"/>
    </row>
    <row r="253" spans="1:7" x14ac:dyDescent="0.2">
      <c r="A253" s="106" t="s">
        <v>805</v>
      </c>
      <c r="B253" s="94"/>
      <c r="C253" s="97" t="s">
        <v>717</v>
      </c>
      <c r="D253" s="98" t="s">
        <v>156</v>
      </c>
      <c r="E253" s="96">
        <v>50</v>
      </c>
      <c r="F253" s="96"/>
    </row>
    <row r="254" spans="1:7" ht="25.5" x14ac:dyDescent="0.2">
      <c r="A254" s="106" t="s">
        <v>806</v>
      </c>
      <c r="B254" s="94"/>
      <c r="C254" s="97" t="s">
        <v>718</v>
      </c>
      <c r="D254" s="98" t="s">
        <v>156</v>
      </c>
      <c r="E254" s="96">
        <v>175</v>
      </c>
      <c r="F254" s="96"/>
    </row>
    <row r="255" spans="1:7" ht="25.5" x14ac:dyDescent="0.2">
      <c r="A255" s="93">
        <v>82</v>
      </c>
      <c r="B255" s="86"/>
      <c r="C255" s="97" t="s">
        <v>8</v>
      </c>
      <c r="D255" s="98" t="s">
        <v>87</v>
      </c>
      <c r="E255" s="96">
        <v>788.8</v>
      </c>
      <c r="F255" s="96"/>
    </row>
    <row r="256" spans="1:7" ht="12.6" customHeight="1" x14ac:dyDescent="0.2">
      <c r="A256" s="93">
        <v>83</v>
      </c>
      <c r="B256" s="86"/>
      <c r="C256" s="97" t="s">
        <v>4</v>
      </c>
      <c r="D256" s="98" t="s">
        <v>86</v>
      </c>
      <c r="E256" s="96">
        <v>40</v>
      </c>
      <c r="F256" s="96"/>
    </row>
    <row r="257" spans="1:6" ht="12.6" customHeight="1" x14ac:dyDescent="0.2">
      <c r="A257" s="93">
        <v>84</v>
      </c>
      <c r="B257" s="86"/>
      <c r="C257" s="97" t="s">
        <v>5</v>
      </c>
      <c r="D257" s="98" t="s">
        <v>86</v>
      </c>
      <c r="E257" s="96">
        <v>12.9</v>
      </c>
      <c r="F257" s="96"/>
    </row>
    <row r="258" spans="1:6" ht="12.6" customHeight="1" x14ac:dyDescent="0.2">
      <c r="A258" s="93">
        <v>85</v>
      </c>
      <c r="B258" s="86"/>
      <c r="C258" s="3" t="s">
        <v>7</v>
      </c>
      <c r="D258" s="98" t="s">
        <v>86</v>
      </c>
      <c r="E258" s="96">
        <v>30</v>
      </c>
      <c r="F258" s="96"/>
    </row>
    <row r="259" spans="1:6" ht="12.6" customHeight="1" x14ac:dyDescent="0.2">
      <c r="A259" s="93">
        <v>86</v>
      </c>
      <c r="B259" s="86"/>
      <c r="C259" s="97" t="s">
        <v>6</v>
      </c>
      <c r="D259" s="98" t="s">
        <v>86</v>
      </c>
      <c r="E259" s="96">
        <v>21.4</v>
      </c>
      <c r="F259" s="96"/>
    </row>
    <row r="260" spans="1:6" ht="12.6" customHeight="1" x14ac:dyDescent="0.2">
      <c r="A260" s="93">
        <v>87</v>
      </c>
      <c r="B260" s="86"/>
      <c r="C260" s="97" t="s">
        <v>9</v>
      </c>
      <c r="D260" s="98" t="s">
        <v>86</v>
      </c>
      <c r="E260" s="96">
        <v>35</v>
      </c>
      <c r="F260" s="96"/>
    </row>
    <row r="261" spans="1:6" ht="12.6" customHeight="1" x14ac:dyDescent="0.2">
      <c r="A261" s="93">
        <v>88</v>
      </c>
      <c r="B261" s="86"/>
      <c r="C261" s="3" t="s">
        <v>10</v>
      </c>
      <c r="D261" s="98" t="s">
        <v>86</v>
      </c>
      <c r="E261" s="96">
        <v>20</v>
      </c>
      <c r="F261" s="96"/>
    </row>
    <row r="262" spans="1:6" ht="12.6" customHeight="1" x14ac:dyDescent="0.2">
      <c r="A262" s="93">
        <v>89</v>
      </c>
      <c r="B262" s="86"/>
      <c r="C262" s="97" t="s">
        <v>12</v>
      </c>
      <c r="D262" s="98" t="s">
        <v>86</v>
      </c>
      <c r="E262" s="96">
        <v>22</v>
      </c>
      <c r="F262" s="96"/>
    </row>
    <row r="263" spans="1:6" ht="12.6" customHeight="1" x14ac:dyDescent="0.2">
      <c r="A263" s="93">
        <v>90</v>
      </c>
      <c r="B263" s="86"/>
      <c r="C263" s="97" t="s">
        <v>11</v>
      </c>
      <c r="D263" s="98" t="s">
        <v>86</v>
      </c>
      <c r="E263" s="96">
        <v>15.7</v>
      </c>
      <c r="F263" s="96"/>
    </row>
    <row r="264" spans="1:6" ht="12.6" customHeight="1" x14ac:dyDescent="0.2">
      <c r="A264" s="93">
        <v>91</v>
      </c>
      <c r="B264" s="86"/>
      <c r="C264" s="97" t="s">
        <v>13</v>
      </c>
      <c r="D264" s="98" t="s">
        <v>86</v>
      </c>
      <c r="E264" s="96">
        <v>9.8000000000000007</v>
      </c>
      <c r="F264" s="96"/>
    </row>
    <row r="265" spans="1:6" ht="12.6" customHeight="1" x14ac:dyDescent="0.2">
      <c r="A265" s="93">
        <v>92</v>
      </c>
      <c r="B265" s="94"/>
      <c r="C265" s="97" t="s">
        <v>14</v>
      </c>
      <c r="D265" s="98" t="s">
        <v>86</v>
      </c>
      <c r="E265" s="96">
        <v>34.6</v>
      </c>
      <c r="F265" s="96"/>
    </row>
    <row r="266" spans="1:6" ht="27" customHeight="1" x14ac:dyDescent="0.2">
      <c r="A266" s="93">
        <v>93</v>
      </c>
      <c r="B266" s="86" t="s">
        <v>89</v>
      </c>
      <c r="C266" s="112" t="s">
        <v>90</v>
      </c>
      <c r="D266" s="84"/>
      <c r="E266" s="113">
        <f>+E280+E281+E283+E282+E279+E284+E285+E287+E286+E288+E289+E267</f>
        <v>5681.3</v>
      </c>
      <c r="F266" s="113">
        <f>+F280+F281+F283+F282+F279+F284+F285+F287+F286+F288+F289+F267</f>
        <v>935.69999999999993</v>
      </c>
    </row>
    <row r="267" spans="1:6" ht="12.6" customHeight="1" x14ac:dyDescent="0.2">
      <c r="A267" s="93">
        <v>94</v>
      </c>
      <c r="B267" s="94"/>
      <c r="C267" s="3" t="s">
        <v>167</v>
      </c>
      <c r="D267" s="98"/>
      <c r="E267" s="96">
        <f>+E268+E269+E270+E271+E272+E273+E274+E275</f>
        <v>2460.1999999999998</v>
      </c>
      <c r="F267" s="96">
        <f>+F268+F269+F270+F271+F272+F273+F274+F275</f>
        <v>0</v>
      </c>
    </row>
    <row r="268" spans="1:6" ht="12.6" customHeight="1" x14ac:dyDescent="0.2">
      <c r="A268" s="106" t="s">
        <v>807</v>
      </c>
      <c r="B268" s="94"/>
      <c r="C268" s="138" t="s">
        <v>3</v>
      </c>
      <c r="D268" s="94" t="s">
        <v>143</v>
      </c>
      <c r="E268" s="96">
        <v>25</v>
      </c>
      <c r="F268" s="96"/>
    </row>
    <row r="269" spans="1:6" ht="27" customHeight="1" x14ac:dyDescent="0.2">
      <c r="A269" s="106" t="s">
        <v>808</v>
      </c>
      <c r="B269" s="94"/>
      <c r="C269" s="115" t="s">
        <v>251</v>
      </c>
      <c r="D269" s="139" t="s">
        <v>131</v>
      </c>
      <c r="E269" s="96">
        <f>548.8-23-142</f>
        <v>383.79999999999995</v>
      </c>
      <c r="F269" s="96"/>
    </row>
    <row r="270" spans="1:6" ht="12.6" customHeight="1" x14ac:dyDescent="0.2">
      <c r="A270" s="106" t="s">
        <v>809</v>
      </c>
      <c r="B270" s="94"/>
      <c r="C270" s="115" t="s">
        <v>190</v>
      </c>
      <c r="D270" s="139" t="s">
        <v>92</v>
      </c>
      <c r="E270" s="96">
        <f>1600+13</f>
        <v>1613</v>
      </c>
      <c r="F270" s="96"/>
    </row>
    <row r="271" spans="1:6" ht="12.6" customHeight="1" x14ac:dyDescent="0.2">
      <c r="A271" s="106" t="s">
        <v>810</v>
      </c>
      <c r="B271" s="94"/>
      <c r="C271" s="115" t="s">
        <v>145</v>
      </c>
      <c r="D271" s="139" t="s">
        <v>92</v>
      </c>
      <c r="E271" s="96">
        <v>100</v>
      </c>
      <c r="F271" s="96"/>
    </row>
    <row r="272" spans="1:6" ht="25.5" x14ac:dyDescent="0.2">
      <c r="A272" s="106" t="s">
        <v>811</v>
      </c>
      <c r="B272" s="94"/>
      <c r="C272" s="123" t="s">
        <v>572</v>
      </c>
      <c r="D272" s="139" t="s">
        <v>92</v>
      </c>
      <c r="E272" s="96">
        <v>11.6</v>
      </c>
      <c r="F272" s="96"/>
    </row>
    <row r="273" spans="1:6" ht="12.6" customHeight="1" x14ac:dyDescent="0.2">
      <c r="A273" s="106" t="s">
        <v>812</v>
      </c>
      <c r="B273" s="94"/>
      <c r="C273" s="123" t="s">
        <v>400</v>
      </c>
      <c r="D273" s="139" t="s">
        <v>92</v>
      </c>
      <c r="E273" s="96">
        <v>9.1999999999999993</v>
      </c>
      <c r="F273" s="96"/>
    </row>
    <row r="274" spans="1:6" x14ac:dyDescent="0.2">
      <c r="A274" s="106" t="s">
        <v>813</v>
      </c>
      <c r="B274" s="94"/>
      <c r="C274" s="115" t="s">
        <v>763</v>
      </c>
      <c r="D274" s="139" t="s">
        <v>92</v>
      </c>
      <c r="E274" s="96">
        <v>7.6</v>
      </c>
      <c r="F274" s="96"/>
    </row>
    <row r="275" spans="1:6" ht="40.5" x14ac:dyDescent="0.2">
      <c r="A275" s="106" t="s">
        <v>814</v>
      </c>
      <c r="B275" s="94"/>
      <c r="C275" s="119" t="s">
        <v>541</v>
      </c>
      <c r="D275" s="86"/>
      <c r="E275" s="120">
        <f>+E276+E277+E278</f>
        <v>310</v>
      </c>
      <c r="F275" s="120">
        <f>+F276+F277+F278</f>
        <v>0</v>
      </c>
    </row>
    <row r="276" spans="1:6" ht="12.6" customHeight="1" x14ac:dyDescent="0.2">
      <c r="A276" s="106" t="s">
        <v>815</v>
      </c>
      <c r="B276" s="94"/>
      <c r="C276" s="109" t="s">
        <v>175</v>
      </c>
      <c r="D276" s="94" t="s">
        <v>156</v>
      </c>
      <c r="E276" s="96">
        <v>230</v>
      </c>
      <c r="F276" s="120"/>
    </row>
    <row r="277" spans="1:6" ht="25.5" x14ac:dyDescent="0.2">
      <c r="A277" s="106" t="s">
        <v>816</v>
      </c>
      <c r="B277" s="94"/>
      <c r="C277" s="123" t="s">
        <v>152</v>
      </c>
      <c r="D277" s="139" t="s">
        <v>92</v>
      </c>
      <c r="E277" s="4">
        <v>70</v>
      </c>
      <c r="F277" s="96"/>
    </row>
    <row r="278" spans="1:6" ht="38.25" x14ac:dyDescent="0.2">
      <c r="A278" s="106" t="s">
        <v>817</v>
      </c>
      <c r="B278" s="94"/>
      <c r="C278" s="123" t="s">
        <v>191</v>
      </c>
      <c r="D278" s="94" t="s">
        <v>143</v>
      </c>
      <c r="E278" s="4">
        <v>10</v>
      </c>
      <c r="F278" s="96"/>
    </row>
    <row r="279" spans="1:6" ht="38.25" x14ac:dyDescent="0.2">
      <c r="A279" s="93">
        <v>95</v>
      </c>
      <c r="B279" s="94"/>
      <c r="C279" s="108" t="s">
        <v>8</v>
      </c>
      <c r="D279" s="124" t="s">
        <v>93</v>
      </c>
      <c r="E279" s="96">
        <v>2104.5</v>
      </c>
      <c r="F279" s="96">
        <v>193.5</v>
      </c>
    </row>
    <row r="280" spans="1:6" ht="25.5" x14ac:dyDescent="0.2">
      <c r="A280" s="93">
        <v>96</v>
      </c>
      <c r="B280" s="94"/>
      <c r="C280" s="97" t="s">
        <v>4</v>
      </c>
      <c r="D280" s="124" t="s">
        <v>91</v>
      </c>
      <c r="E280" s="96">
        <v>140.4</v>
      </c>
      <c r="F280" s="96">
        <v>96.4</v>
      </c>
    </row>
    <row r="281" spans="1:6" ht="12.6" customHeight="1" x14ac:dyDescent="0.2">
      <c r="A281" s="93">
        <v>97</v>
      </c>
      <c r="B281" s="94"/>
      <c r="C281" s="97" t="s">
        <v>5</v>
      </c>
      <c r="D281" s="124" t="s">
        <v>92</v>
      </c>
      <c r="E281" s="96">
        <v>137.4</v>
      </c>
      <c r="F281" s="96">
        <v>89.7</v>
      </c>
    </row>
    <row r="282" spans="1:6" ht="24.95" customHeight="1" x14ac:dyDescent="0.2">
      <c r="A282" s="93">
        <v>98</v>
      </c>
      <c r="B282" s="94"/>
      <c r="C282" s="97" t="s">
        <v>7</v>
      </c>
      <c r="D282" s="124" t="s">
        <v>91</v>
      </c>
      <c r="E282" s="96">
        <v>103.7</v>
      </c>
      <c r="F282" s="96">
        <v>61.5</v>
      </c>
    </row>
    <row r="283" spans="1:6" ht="24.95" customHeight="1" x14ac:dyDescent="0.2">
      <c r="A283" s="93">
        <v>99</v>
      </c>
      <c r="B283" s="94"/>
      <c r="C283" s="108" t="s">
        <v>6</v>
      </c>
      <c r="D283" s="124" t="s">
        <v>91</v>
      </c>
      <c r="E283" s="96">
        <v>114.9</v>
      </c>
      <c r="F283" s="96">
        <v>71</v>
      </c>
    </row>
    <row r="284" spans="1:6" ht="12.6" customHeight="1" x14ac:dyDescent="0.2">
      <c r="A284" s="93">
        <v>100</v>
      </c>
      <c r="B284" s="94"/>
      <c r="C284" s="97" t="s">
        <v>9</v>
      </c>
      <c r="D284" s="124" t="s">
        <v>94</v>
      </c>
      <c r="E284" s="96">
        <v>97.6</v>
      </c>
      <c r="F284" s="96">
        <v>57.1</v>
      </c>
    </row>
    <row r="285" spans="1:6" ht="24.95" customHeight="1" x14ac:dyDescent="0.2">
      <c r="A285" s="93">
        <v>101</v>
      </c>
      <c r="B285" s="94"/>
      <c r="C285" s="3" t="s">
        <v>10</v>
      </c>
      <c r="D285" s="124" t="s">
        <v>91</v>
      </c>
      <c r="E285" s="96">
        <v>96.4</v>
      </c>
      <c r="F285" s="96">
        <v>73.099999999999994</v>
      </c>
    </row>
    <row r="286" spans="1:6" ht="24.95" customHeight="1" x14ac:dyDescent="0.2">
      <c r="A286" s="93">
        <v>102</v>
      </c>
      <c r="B286" s="94"/>
      <c r="C286" s="97" t="s">
        <v>12</v>
      </c>
      <c r="D286" s="124" t="s">
        <v>91</v>
      </c>
      <c r="E286" s="96">
        <v>68</v>
      </c>
      <c r="F286" s="96">
        <v>44.8</v>
      </c>
    </row>
    <row r="287" spans="1:6" ht="29.25" customHeight="1" x14ac:dyDescent="0.2">
      <c r="A287" s="93">
        <v>103</v>
      </c>
      <c r="B287" s="94"/>
      <c r="C287" s="108" t="s">
        <v>11</v>
      </c>
      <c r="D287" s="124" t="s">
        <v>91</v>
      </c>
      <c r="E287" s="96">
        <v>81.8</v>
      </c>
      <c r="F287" s="96">
        <v>62.8</v>
      </c>
    </row>
    <row r="288" spans="1:6" ht="27" customHeight="1" x14ac:dyDescent="0.2">
      <c r="A288" s="93">
        <v>104</v>
      </c>
      <c r="B288" s="94"/>
      <c r="C288" s="97" t="s">
        <v>13</v>
      </c>
      <c r="D288" s="124" t="s">
        <v>91</v>
      </c>
      <c r="E288" s="96">
        <v>89.1</v>
      </c>
      <c r="F288" s="96">
        <v>51.9</v>
      </c>
    </row>
    <row r="289" spans="1:6" ht="24.95" customHeight="1" x14ac:dyDescent="0.2">
      <c r="A289" s="93">
        <v>105</v>
      </c>
      <c r="B289" s="94"/>
      <c r="C289" s="97" t="s">
        <v>14</v>
      </c>
      <c r="D289" s="124" t="s">
        <v>91</v>
      </c>
      <c r="E289" s="96">
        <v>187.3</v>
      </c>
      <c r="F289" s="96">
        <v>133.9</v>
      </c>
    </row>
    <row r="290" spans="1:6" x14ac:dyDescent="0.2">
      <c r="A290" s="93">
        <v>106</v>
      </c>
      <c r="B290" s="86" t="s">
        <v>32</v>
      </c>
      <c r="C290" s="112" t="s">
        <v>33</v>
      </c>
      <c r="D290" s="124"/>
      <c r="E290" s="120">
        <f>+E291</f>
        <v>354.3</v>
      </c>
      <c r="F290" s="113">
        <f>+F291</f>
        <v>105.6</v>
      </c>
    </row>
    <row r="291" spans="1:6" ht="12.6" customHeight="1" x14ac:dyDescent="0.2">
      <c r="A291" s="93">
        <v>107</v>
      </c>
      <c r="B291" s="86"/>
      <c r="C291" s="3" t="s">
        <v>182</v>
      </c>
      <c r="D291" s="124"/>
      <c r="E291" s="96">
        <f>+E293+E292</f>
        <v>354.3</v>
      </c>
      <c r="F291" s="96">
        <f>+F293+F292</f>
        <v>105.6</v>
      </c>
    </row>
    <row r="292" spans="1:6" ht="12.6" customHeight="1" x14ac:dyDescent="0.2">
      <c r="A292" s="93" t="s">
        <v>818</v>
      </c>
      <c r="B292" s="86"/>
      <c r="C292" s="3" t="s">
        <v>99</v>
      </c>
      <c r="D292" s="94" t="s">
        <v>226</v>
      </c>
      <c r="E292" s="96">
        <v>119.5</v>
      </c>
      <c r="F292" s="96">
        <v>105.6</v>
      </c>
    </row>
    <row r="293" spans="1:6" ht="40.5" x14ac:dyDescent="0.2">
      <c r="A293" s="106" t="s">
        <v>819</v>
      </c>
      <c r="B293" s="94"/>
      <c r="C293" s="119" t="s">
        <v>541</v>
      </c>
      <c r="D293" s="140"/>
      <c r="E293" s="120">
        <f>SUM(E294:E298)</f>
        <v>234.8</v>
      </c>
      <c r="F293" s="120">
        <f>+F294+F295</f>
        <v>0</v>
      </c>
    </row>
    <row r="294" spans="1:6" ht="25.5" x14ac:dyDescent="0.2">
      <c r="A294" s="131" t="s">
        <v>820</v>
      </c>
      <c r="B294" s="94"/>
      <c r="C294" s="97" t="s">
        <v>192</v>
      </c>
      <c r="D294" s="124" t="s">
        <v>144</v>
      </c>
      <c r="E294" s="96">
        <v>40</v>
      </c>
      <c r="F294" s="96"/>
    </row>
    <row r="295" spans="1:6" x14ac:dyDescent="0.2">
      <c r="A295" s="131" t="s">
        <v>821</v>
      </c>
      <c r="B295" s="94"/>
      <c r="C295" s="97" t="s">
        <v>764</v>
      </c>
      <c r="D295" s="98" t="s">
        <v>229</v>
      </c>
      <c r="E295" s="96">
        <v>10</v>
      </c>
      <c r="F295" s="96"/>
    </row>
    <row r="296" spans="1:6" ht="38.25" x14ac:dyDescent="0.2">
      <c r="A296" s="131" t="s">
        <v>822</v>
      </c>
      <c r="B296" s="94"/>
      <c r="C296" s="97" t="s">
        <v>573</v>
      </c>
      <c r="D296" s="98" t="s">
        <v>144</v>
      </c>
      <c r="E296" s="96">
        <v>151</v>
      </c>
      <c r="F296" s="96"/>
    </row>
    <row r="297" spans="1:6" ht="38.25" x14ac:dyDescent="0.2">
      <c r="A297" s="131" t="s">
        <v>823</v>
      </c>
      <c r="B297" s="94"/>
      <c r="C297" s="97" t="s">
        <v>574</v>
      </c>
      <c r="D297" s="98" t="s">
        <v>144</v>
      </c>
      <c r="E297" s="96">
        <v>3.8</v>
      </c>
      <c r="F297" s="96"/>
    </row>
    <row r="298" spans="1:6" ht="25.5" x14ac:dyDescent="0.2">
      <c r="A298" s="131" t="s">
        <v>824</v>
      </c>
      <c r="B298" s="94"/>
      <c r="C298" s="97" t="s">
        <v>575</v>
      </c>
      <c r="D298" s="98" t="s">
        <v>144</v>
      </c>
      <c r="E298" s="96">
        <v>30</v>
      </c>
      <c r="F298" s="96"/>
    </row>
    <row r="299" spans="1:6" x14ac:dyDescent="0.2">
      <c r="A299" s="93">
        <v>108</v>
      </c>
      <c r="B299" s="86" t="s">
        <v>95</v>
      </c>
      <c r="C299" s="112" t="s">
        <v>96</v>
      </c>
      <c r="D299" s="84"/>
      <c r="E299" s="113">
        <f>+E300</f>
        <v>89</v>
      </c>
      <c r="F299" s="113">
        <f>+F300</f>
        <v>0</v>
      </c>
    </row>
    <row r="300" spans="1:6" ht="12.6" customHeight="1" x14ac:dyDescent="0.2">
      <c r="A300" s="93">
        <v>109</v>
      </c>
      <c r="B300" s="86"/>
      <c r="C300" s="3" t="s">
        <v>167</v>
      </c>
      <c r="D300" s="84"/>
      <c r="E300" s="96">
        <f>+E302+E303+E301</f>
        <v>89</v>
      </c>
      <c r="F300" s="96">
        <f>+F302+F303+F301</f>
        <v>0</v>
      </c>
    </row>
    <row r="301" spans="1:6" ht="12.6" customHeight="1" x14ac:dyDescent="0.2">
      <c r="A301" s="131" t="s">
        <v>825</v>
      </c>
      <c r="B301" s="86"/>
      <c r="C301" s="108" t="s">
        <v>99</v>
      </c>
      <c r="D301" s="98" t="s">
        <v>395</v>
      </c>
      <c r="E301" s="96">
        <v>3</v>
      </c>
      <c r="F301" s="96"/>
    </row>
    <row r="302" spans="1:6" ht="25.5" x14ac:dyDescent="0.2">
      <c r="A302" s="131" t="s">
        <v>826</v>
      </c>
      <c r="B302" s="94"/>
      <c r="C302" s="108" t="s">
        <v>193</v>
      </c>
      <c r="D302" s="98" t="s">
        <v>97</v>
      </c>
      <c r="E302" s="96">
        <v>36</v>
      </c>
      <c r="F302" s="96"/>
    </row>
    <row r="303" spans="1:6" ht="38.25" x14ac:dyDescent="0.2">
      <c r="A303" s="131" t="s">
        <v>827</v>
      </c>
      <c r="B303" s="94"/>
      <c r="C303" s="108" t="s">
        <v>343</v>
      </c>
      <c r="D303" s="98" t="s">
        <v>97</v>
      </c>
      <c r="E303" s="96">
        <v>50</v>
      </c>
      <c r="F303" s="96"/>
    </row>
    <row r="304" spans="1:6" x14ac:dyDescent="0.2">
      <c r="A304" s="93">
        <v>110</v>
      </c>
      <c r="B304" s="86" t="s">
        <v>25</v>
      </c>
      <c r="C304" s="112" t="s">
        <v>26</v>
      </c>
      <c r="D304" s="84"/>
      <c r="E304" s="113">
        <f>+E305+E306+E307+E317+E318+E319+E320+E321+E322+E323+E324+E325+E326+E327</f>
        <v>8142.6000000000013</v>
      </c>
      <c r="F304" s="113">
        <f>+F305+F306+F307+F317+F318+F319+F320+F321+F322+F323+F324+F325+F326+F327</f>
        <v>3808.5999999999995</v>
      </c>
    </row>
    <row r="305" spans="1:6" x14ac:dyDescent="0.2">
      <c r="A305" s="93">
        <v>111</v>
      </c>
      <c r="B305" s="86"/>
      <c r="C305" s="97" t="s">
        <v>27</v>
      </c>
      <c r="D305" s="98" t="s">
        <v>28</v>
      </c>
      <c r="E305" s="96">
        <v>92</v>
      </c>
      <c r="F305" s="96">
        <v>15.2</v>
      </c>
    </row>
    <row r="306" spans="1:6" x14ac:dyDescent="0.2">
      <c r="A306" s="93">
        <v>112</v>
      </c>
      <c r="B306" s="86"/>
      <c r="C306" s="3" t="s">
        <v>98</v>
      </c>
      <c r="D306" s="98" t="s">
        <v>110</v>
      </c>
      <c r="E306" s="96">
        <v>171.1</v>
      </c>
      <c r="F306" s="96">
        <v>156</v>
      </c>
    </row>
    <row r="307" spans="1:6" x14ac:dyDescent="0.2">
      <c r="A307" s="93">
        <v>113</v>
      </c>
      <c r="B307" s="86"/>
      <c r="C307" s="3" t="s">
        <v>167</v>
      </c>
      <c r="D307" s="98"/>
      <c r="E307" s="96">
        <f>+E308+E310+E311+E312+E313+E314+E315+E316+E309</f>
        <v>6468.5000000000009</v>
      </c>
      <c r="F307" s="96">
        <f>+F308+F310+F311+F312+F313+F314+F315+F316+F309</f>
        <v>2865.1</v>
      </c>
    </row>
    <row r="308" spans="1:6" ht="89.25" x14ac:dyDescent="0.2">
      <c r="A308" s="131" t="s">
        <v>828</v>
      </c>
      <c r="B308" s="86"/>
      <c r="C308" s="3" t="s">
        <v>99</v>
      </c>
      <c r="D308" s="98" t="s">
        <v>130</v>
      </c>
      <c r="E308" s="96">
        <v>5051.8</v>
      </c>
      <c r="F308" s="96">
        <v>2865.1</v>
      </c>
    </row>
    <row r="309" spans="1:6" ht="25.5" x14ac:dyDescent="0.2">
      <c r="A309" s="131" t="s">
        <v>829</v>
      </c>
      <c r="B309" s="86"/>
      <c r="C309" s="3" t="s">
        <v>576</v>
      </c>
      <c r="D309" s="98" t="s">
        <v>156</v>
      </c>
      <c r="E309" s="96">
        <v>40</v>
      </c>
      <c r="F309" s="96"/>
    </row>
    <row r="310" spans="1:6" ht="25.5" x14ac:dyDescent="0.2">
      <c r="A310" s="131" t="s">
        <v>830</v>
      </c>
      <c r="B310" s="94"/>
      <c r="C310" s="108" t="s">
        <v>146</v>
      </c>
      <c r="D310" s="98" t="s">
        <v>121</v>
      </c>
      <c r="E310" s="96">
        <v>120</v>
      </c>
      <c r="F310" s="96"/>
    </row>
    <row r="311" spans="1:6" ht="12.6" customHeight="1" x14ac:dyDescent="0.2">
      <c r="A311" s="131" t="s">
        <v>831</v>
      </c>
      <c r="B311" s="94"/>
      <c r="C311" s="108" t="s">
        <v>345</v>
      </c>
      <c r="D311" s="98" t="s">
        <v>38</v>
      </c>
      <c r="E311" s="96">
        <v>21.6</v>
      </c>
      <c r="F311" s="96"/>
    </row>
    <row r="312" spans="1:6" x14ac:dyDescent="0.2">
      <c r="A312" s="131" t="s">
        <v>832</v>
      </c>
      <c r="B312" s="94"/>
      <c r="C312" s="108" t="s">
        <v>344</v>
      </c>
      <c r="D312" s="98" t="s">
        <v>101</v>
      </c>
      <c r="E312" s="96">
        <f>1150-100</f>
        <v>1050</v>
      </c>
      <c r="F312" s="96"/>
    </row>
    <row r="313" spans="1:6" x14ac:dyDescent="0.2">
      <c r="A313" s="131" t="s">
        <v>833</v>
      </c>
      <c r="B313" s="94"/>
      <c r="C313" s="108" t="s">
        <v>200</v>
      </c>
      <c r="D313" s="98" t="s">
        <v>38</v>
      </c>
      <c r="E313" s="96">
        <v>15</v>
      </c>
      <c r="F313" s="96"/>
    </row>
    <row r="314" spans="1:6" ht="25.5" x14ac:dyDescent="0.2">
      <c r="A314" s="131" t="s">
        <v>834</v>
      </c>
      <c r="B314" s="94"/>
      <c r="C314" s="108" t="s">
        <v>176</v>
      </c>
      <c r="D314" s="98" t="s">
        <v>100</v>
      </c>
      <c r="E314" s="96">
        <v>12</v>
      </c>
      <c r="F314" s="96"/>
    </row>
    <row r="315" spans="1:6" ht="12.6" customHeight="1" x14ac:dyDescent="0.2">
      <c r="A315" s="131" t="s">
        <v>835</v>
      </c>
      <c r="B315" s="94"/>
      <c r="C315" s="108" t="s">
        <v>194</v>
      </c>
      <c r="D315" s="98" t="s">
        <v>102</v>
      </c>
      <c r="E315" s="96">
        <v>110</v>
      </c>
      <c r="F315" s="96"/>
    </row>
    <row r="316" spans="1:6" ht="12.6" customHeight="1" x14ac:dyDescent="0.2">
      <c r="A316" s="131" t="s">
        <v>836</v>
      </c>
      <c r="B316" s="94"/>
      <c r="C316" s="108" t="s">
        <v>266</v>
      </c>
      <c r="D316" s="98" t="s">
        <v>273</v>
      </c>
      <c r="E316" s="96">
        <v>48.1</v>
      </c>
      <c r="F316" s="96"/>
    </row>
    <row r="317" spans="1:6" ht="25.5" customHeight="1" x14ac:dyDescent="0.2">
      <c r="A317" s="87">
        <v>114</v>
      </c>
      <c r="B317" s="89"/>
      <c r="C317" s="97" t="s">
        <v>8</v>
      </c>
      <c r="D317" s="94" t="s">
        <v>661</v>
      </c>
      <c r="E317" s="96">
        <v>184.1</v>
      </c>
      <c r="F317" s="96">
        <v>111</v>
      </c>
    </row>
    <row r="318" spans="1:6" ht="25.5" x14ac:dyDescent="0.2">
      <c r="A318" s="87">
        <v>115</v>
      </c>
      <c r="B318" s="89"/>
      <c r="C318" s="97" t="s">
        <v>4</v>
      </c>
      <c r="D318" s="94" t="s">
        <v>661</v>
      </c>
      <c r="E318" s="96">
        <v>72</v>
      </c>
      <c r="F318" s="96">
        <v>50.3</v>
      </c>
    </row>
    <row r="319" spans="1:6" ht="15" customHeight="1" x14ac:dyDescent="0.2">
      <c r="A319" s="87">
        <v>116</v>
      </c>
      <c r="B319" s="89"/>
      <c r="C319" s="97" t="s">
        <v>5</v>
      </c>
      <c r="D319" s="94" t="s">
        <v>661</v>
      </c>
      <c r="E319" s="96">
        <v>125.4</v>
      </c>
      <c r="F319" s="96">
        <v>65</v>
      </c>
    </row>
    <row r="320" spans="1:6" ht="25.5" x14ac:dyDescent="0.2">
      <c r="A320" s="87">
        <v>117</v>
      </c>
      <c r="B320" s="89"/>
      <c r="C320" s="97" t="s">
        <v>7</v>
      </c>
      <c r="D320" s="94" t="s">
        <v>661</v>
      </c>
      <c r="E320" s="96">
        <v>97</v>
      </c>
      <c r="F320" s="96">
        <v>61</v>
      </c>
    </row>
    <row r="321" spans="1:8" x14ac:dyDescent="0.2">
      <c r="A321" s="87">
        <v>118</v>
      </c>
      <c r="B321" s="89"/>
      <c r="C321" s="97" t="s">
        <v>6</v>
      </c>
      <c r="D321" s="94" t="s">
        <v>661</v>
      </c>
      <c r="E321" s="96">
        <v>82.7</v>
      </c>
      <c r="F321" s="96">
        <v>54.6</v>
      </c>
    </row>
    <row r="322" spans="1:8" ht="25.5" x14ac:dyDescent="0.2">
      <c r="A322" s="87">
        <v>119</v>
      </c>
      <c r="B322" s="89"/>
      <c r="C322" s="97" t="s">
        <v>9</v>
      </c>
      <c r="D322" s="94" t="s">
        <v>661</v>
      </c>
      <c r="E322" s="96">
        <v>91</v>
      </c>
      <c r="F322" s="96">
        <v>61.7</v>
      </c>
    </row>
    <row r="323" spans="1:8" ht="25.5" x14ac:dyDescent="0.2">
      <c r="A323" s="87">
        <v>120</v>
      </c>
      <c r="B323" s="89"/>
      <c r="C323" s="3" t="s">
        <v>10</v>
      </c>
      <c r="D323" s="94" t="s">
        <v>661</v>
      </c>
      <c r="E323" s="96">
        <v>206.6</v>
      </c>
      <c r="F323" s="96">
        <v>92.9</v>
      </c>
    </row>
    <row r="324" spans="1:8" ht="25.5" x14ac:dyDescent="0.2">
      <c r="A324" s="87">
        <v>121</v>
      </c>
      <c r="B324" s="89"/>
      <c r="C324" s="97" t="s">
        <v>12</v>
      </c>
      <c r="D324" s="94" t="s">
        <v>661</v>
      </c>
      <c r="E324" s="96">
        <v>89.1</v>
      </c>
      <c r="F324" s="96">
        <v>61.2</v>
      </c>
    </row>
    <row r="325" spans="1:8" ht="15.75" customHeight="1" x14ac:dyDescent="0.2">
      <c r="A325" s="87">
        <v>122</v>
      </c>
      <c r="B325" s="89"/>
      <c r="C325" s="97" t="s">
        <v>11</v>
      </c>
      <c r="D325" s="94" t="s">
        <v>661</v>
      </c>
      <c r="E325" s="96">
        <v>143.5</v>
      </c>
      <c r="F325" s="96">
        <v>64</v>
      </c>
    </row>
    <row r="326" spans="1:8" ht="25.5" x14ac:dyDescent="0.2">
      <c r="A326" s="87">
        <v>123</v>
      </c>
      <c r="B326" s="89"/>
      <c r="C326" s="97" t="s">
        <v>13</v>
      </c>
      <c r="D326" s="94" t="s">
        <v>661</v>
      </c>
      <c r="E326" s="96">
        <v>96.2</v>
      </c>
      <c r="F326" s="96">
        <v>63.5</v>
      </c>
    </row>
    <row r="327" spans="1:8" x14ac:dyDescent="0.2">
      <c r="A327" s="87">
        <v>124</v>
      </c>
      <c r="B327" s="89"/>
      <c r="C327" s="97" t="s">
        <v>14</v>
      </c>
      <c r="D327" s="94" t="s">
        <v>661</v>
      </c>
      <c r="E327" s="96">
        <v>223.4</v>
      </c>
      <c r="F327" s="96">
        <v>87.1</v>
      </c>
    </row>
    <row r="328" spans="1:8" x14ac:dyDescent="0.2">
      <c r="A328" s="204">
        <v>125</v>
      </c>
      <c r="B328" s="206"/>
      <c r="C328" s="234" t="s">
        <v>20</v>
      </c>
      <c r="D328" s="206"/>
      <c r="E328" s="104">
        <v>51922.6</v>
      </c>
      <c r="F328" s="104">
        <v>22259.7</v>
      </c>
    </row>
    <row r="329" spans="1:8" x14ac:dyDescent="0.2">
      <c r="A329" s="205"/>
      <c r="B329" s="207"/>
      <c r="C329" s="235"/>
      <c r="D329" s="207"/>
      <c r="E329" s="105">
        <v>52052</v>
      </c>
      <c r="F329" s="105">
        <v>22114.6</v>
      </c>
      <c r="G329" s="60"/>
      <c r="H329" s="60"/>
    </row>
    <row r="330" spans="1:8" x14ac:dyDescent="0.2">
      <c r="C330" s="78"/>
      <c r="F330" s="141"/>
    </row>
    <row r="331" spans="1:8" x14ac:dyDescent="0.2">
      <c r="A331" s="1" t="s">
        <v>205</v>
      </c>
      <c r="B331" s="1"/>
      <c r="C331" s="1"/>
      <c r="D331" s="1"/>
      <c r="E331" s="1"/>
      <c r="F331" s="1"/>
    </row>
    <row r="332" spans="1:8" x14ac:dyDescent="0.2">
      <c r="C332" s="142"/>
      <c r="E332" s="141"/>
      <c r="F332" s="141"/>
    </row>
    <row r="333" spans="1:8" x14ac:dyDescent="0.2">
      <c r="C333" s="78"/>
      <c r="E333" s="141"/>
      <c r="F333" s="141"/>
    </row>
    <row r="334" spans="1:8" x14ac:dyDescent="0.2">
      <c r="C334" s="78"/>
      <c r="D334" s="78"/>
      <c r="E334" s="10"/>
      <c r="F334" s="10"/>
    </row>
    <row r="335" spans="1:8" x14ac:dyDescent="0.2">
      <c r="C335" s="78"/>
      <c r="D335" s="78"/>
      <c r="E335" s="141"/>
      <c r="F335" s="141"/>
    </row>
    <row r="336" spans="1:8" x14ac:dyDescent="0.2">
      <c r="C336" s="78"/>
      <c r="D336" s="143"/>
      <c r="E336" s="7"/>
    </row>
    <row r="337" spans="3:6" x14ac:dyDescent="0.2">
      <c r="C337" s="78"/>
      <c r="D337" s="143"/>
      <c r="E337" s="141"/>
    </row>
    <row r="338" spans="3:6" x14ac:dyDescent="0.2">
      <c r="C338" s="78"/>
      <c r="D338" s="143"/>
      <c r="E338" s="144"/>
      <c r="F338" s="143"/>
    </row>
    <row r="339" spans="3:6" x14ac:dyDescent="0.2">
      <c r="C339" s="78"/>
      <c r="D339" s="143"/>
      <c r="F339" s="141"/>
    </row>
    <row r="340" spans="3:6" x14ac:dyDescent="0.2">
      <c r="C340" s="78"/>
      <c r="D340" s="145"/>
      <c r="E340" s="7"/>
      <c r="F340" s="141"/>
    </row>
    <row r="341" spans="3:6" x14ac:dyDescent="0.2">
      <c r="C341" s="78"/>
      <c r="D341" s="145"/>
      <c r="E341" s="7"/>
      <c r="F341" s="141"/>
    </row>
    <row r="342" spans="3:6" x14ac:dyDescent="0.2">
      <c r="C342" s="78"/>
      <c r="D342" s="145"/>
      <c r="E342" s="144"/>
    </row>
    <row r="343" spans="3:6" x14ac:dyDescent="0.2">
      <c r="C343" s="142"/>
      <c r="E343" s="141"/>
    </row>
    <row r="344" spans="3:6" x14ac:dyDescent="0.2">
      <c r="C344" s="78"/>
      <c r="E344" s="146"/>
      <c r="F344" s="146"/>
    </row>
    <row r="345" spans="3:6" x14ac:dyDescent="0.2">
      <c r="E345" s="141"/>
    </row>
    <row r="346" spans="3:6" x14ac:dyDescent="0.2">
      <c r="E346" s="141"/>
    </row>
    <row r="347" spans="3:6" x14ac:dyDescent="0.2">
      <c r="E347" s="141"/>
    </row>
    <row r="349" spans="3:6" x14ac:dyDescent="0.2">
      <c r="E349" s="141"/>
      <c r="F349" s="141"/>
    </row>
    <row r="351" spans="3:6" x14ac:dyDescent="0.2">
      <c r="E351" s="141"/>
      <c r="F351" s="141"/>
    </row>
    <row r="360" spans="5:6" x14ac:dyDescent="0.2">
      <c r="E360" s="141"/>
      <c r="F360" s="141"/>
    </row>
  </sheetData>
  <mergeCells count="156">
    <mergeCell ref="A184:A185"/>
    <mergeCell ref="B184:B185"/>
    <mergeCell ref="C184:C185"/>
    <mergeCell ref="D184:D185"/>
    <mergeCell ref="F184:F185"/>
    <mergeCell ref="A247:A248"/>
    <mergeCell ref="B247:B248"/>
    <mergeCell ref="C247:C248"/>
    <mergeCell ref="D247:D248"/>
    <mergeCell ref="F247:F248"/>
    <mergeCell ref="A245:A246"/>
    <mergeCell ref="B245:B246"/>
    <mergeCell ref="C245:C246"/>
    <mergeCell ref="D245:D246"/>
    <mergeCell ref="F245:F246"/>
    <mergeCell ref="A173:A174"/>
    <mergeCell ref="B173:B174"/>
    <mergeCell ref="C173:C174"/>
    <mergeCell ref="D173:D174"/>
    <mergeCell ref="F173:F174"/>
    <mergeCell ref="A171:A172"/>
    <mergeCell ref="B171:B172"/>
    <mergeCell ref="C171:C172"/>
    <mergeCell ref="D171:D172"/>
    <mergeCell ref="F171:F172"/>
    <mergeCell ref="A167:A168"/>
    <mergeCell ref="B167:B168"/>
    <mergeCell ref="C167:C168"/>
    <mergeCell ref="D167:D168"/>
    <mergeCell ref="F167:F168"/>
    <mergeCell ref="F151:F152"/>
    <mergeCell ref="A154:A155"/>
    <mergeCell ref="B154:B155"/>
    <mergeCell ref="C154:C155"/>
    <mergeCell ref="D154:D155"/>
    <mergeCell ref="F154:F155"/>
    <mergeCell ref="A108:A109"/>
    <mergeCell ref="B108:B109"/>
    <mergeCell ref="C108:C109"/>
    <mergeCell ref="D108:D109"/>
    <mergeCell ref="A151:A152"/>
    <mergeCell ref="B151:B152"/>
    <mergeCell ref="C151:C152"/>
    <mergeCell ref="D151:D152"/>
    <mergeCell ref="A104:A105"/>
    <mergeCell ref="B104:B105"/>
    <mergeCell ref="C104:C105"/>
    <mergeCell ref="D104:D105"/>
    <mergeCell ref="A106:A107"/>
    <mergeCell ref="B106:B107"/>
    <mergeCell ref="C106:C107"/>
    <mergeCell ref="D106:D107"/>
    <mergeCell ref="C99:C100"/>
    <mergeCell ref="C102:C103"/>
    <mergeCell ref="D102:D103"/>
    <mergeCell ref="A102:A103"/>
    <mergeCell ref="B102:B103"/>
    <mergeCell ref="A95:A96"/>
    <mergeCell ref="B95:B96"/>
    <mergeCell ref="C95:C96"/>
    <mergeCell ref="D95:D96"/>
    <mergeCell ref="C97:C98"/>
    <mergeCell ref="A53:A54"/>
    <mergeCell ref="B53:B54"/>
    <mergeCell ref="C53:C54"/>
    <mergeCell ref="D53:D54"/>
    <mergeCell ref="F53:F54"/>
    <mergeCell ref="A67:A68"/>
    <mergeCell ref="B67:B68"/>
    <mergeCell ref="C67:C68"/>
    <mergeCell ref="D67:D68"/>
    <mergeCell ref="F67:F68"/>
    <mergeCell ref="A65:A66"/>
    <mergeCell ref="B65:B66"/>
    <mergeCell ref="C65:C66"/>
    <mergeCell ref="D65:D66"/>
    <mergeCell ref="F65:F66"/>
    <mergeCell ref="F43:F44"/>
    <mergeCell ref="A43:A44"/>
    <mergeCell ref="B43:B44"/>
    <mergeCell ref="C43:C44"/>
    <mergeCell ref="D43:D44"/>
    <mergeCell ref="A328:A329"/>
    <mergeCell ref="B328:B329"/>
    <mergeCell ref="C328:C329"/>
    <mergeCell ref="D328:D329"/>
    <mergeCell ref="A157:A163"/>
    <mergeCell ref="B157:B163"/>
    <mergeCell ref="D157:D163"/>
    <mergeCell ref="B133:B134"/>
    <mergeCell ref="A136:A137"/>
    <mergeCell ref="B136:B137"/>
    <mergeCell ref="A147:A148"/>
    <mergeCell ref="B147:B148"/>
    <mergeCell ref="A63:A64"/>
    <mergeCell ref="B63:B64"/>
    <mergeCell ref="C63:C64"/>
    <mergeCell ref="D63:D64"/>
    <mergeCell ref="F63:F64"/>
    <mergeCell ref="D49:D50"/>
    <mergeCell ref="F49:F50"/>
    <mergeCell ref="A39:A40"/>
    <mergeCell ref="B39:B40"/>
    <mergeCell ref="D39:D40"/>
    <mergeCell ref="A149:A150"/>
    <mergeCell ref="B149:B150"/>
    <mergeCell ref="A138:A139"/>
    <mergeCell ref="B138:B139"/>
    <mergeCell ref="A143:A144"/>
    <mergeCell ref="B143:B144"/>
    <mergeCell ref="A141:A142"/>
    <mergeCell ref="B141:B142"/>
    <mergeCell ref="A145:A146"/>
    <mergeCell ref="B145:B146"/>
    <mergeCell ref="A49:A50"/>
    <mergeCell ref="B49:B50"/>
    <mergeCell ref="C49:C50"/>
    <mergeCell ref="A70:A71"/>
    <mergeCell ref="D70:D71"/>
    <mergeCell ref="A97:A101"/>
    <mergeCell ref="B97:B101"/>
    <mergeCell ref="D97:D101"/>
    <mergeCell ref="A131:A132"/>
    <mergeCell ref="B131:B132"/>
    <mergeCell ref="A133:A134"/>
    <mergeCell ref="C2:F2"/>
    <mergeCell ref="E3:F3"/>
    <mergeCell ref="A5:F5"/>
    <mergeCell ref="A36:A37"/>
    <mergeCell ref="D36:D37"/>
    <mergeCell ref="A10:A11"/>
    <mergeCell ref="B10:B11"/>
    <mergeCell ref="C10:C11"/>
    <mergeCell ref="D10:D11"/>
    <mergeCell ref="F10:F11"/>
    <mergeCell ref="J230:L231"/>
    <mergeCell ref="A193:A194"/>
    <mergeCell ref="B193:B194"/>
    <mergeCell ref="A211:A213"/>
    <mergeCell ref="B211:B213"/>
    <mergeCell ref="D211:D213"/>
    <mergeCell ref="A195:A196"/>
    <mergeCell ref="B195:B196"/>
    <mergeCell ref="C195:C196"/>
    <mergeCell ref="D195:D196"/>
    <mergeCell ref="F195:F196"/>
    <mergeCell ref="A203:A204"/>
    <mergeCell ref="B203:B204"/>
    <mergeCell ref="C203:C204"/>
    <mergeCell ref="D203:D204"/>
    <mergeCell ref="F203:F204"/>
    <mergeCell ref="A207:A208"/>
    <mergeCell ref="B207:B208"/>
    <mergeCell ref="C207:C208"/>
    <mergeCell ref="D207:D208"/>
    <mergeCell ref="F207:F208"/>
  </mergeCells>
  <phoneticPr fontId="12" type="noConversion"/>
  <pageMargins left="0.70866141732283472" right="0" top="0.74803149606299213" bottom="0.59055118110236227" header="0.31496062992125984" footer="0.31496062992125984"/>
  <pageSetup paperSize="9" fitToHeight="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3"/>
  <sheetViews>
    <sheetView zoomScaleNormal="100" workbookViewId="0">
      <selection activeCell="L13" sqref="L13"/>
    </sheetView>
  </sheetViews>
  <sheetFormatPr defaultColWidth="9.140625" defaultRowHeight="12.75" x14ac:dyDescent="0.2"/>
  <cols>
    <col min="1" max="1" width="4.85546875" style="2" customWidth="1"/>
    <col min="2" max="2" width="7.140625" style="147" customWidth="1"/>
    <col min="3" max="3" width="50.28515625" style="2" customWidth="1"/>
    <col min="4" max="4" width="10.28515625" style="80" customWidth="1"/>
    <col min="5" max="5" width="8.140625" style="2" customWidth="1"/>
    <col min="6" max="6" width="11.28515625" style="2" customWidth="1"/>
    <col min="7" max="16384" width="9.140625" style="1"/>
  </cols>
  <sheetData>
    <row r="1" spans="1:12" ht="15.75" customHeight="1" x14ac:dyDescent="0.25">
      <c r="C1" s="9"/>
      <c r="D1" s="9"/>
      <c r="E1" s="9"/>
      <c r="F1" s="9"/>
    </row>
    <row r="2" spans="1:12" ht="15.75" customHeight="1" x14ac:dyDescent="0.25">
      <c r="C2" s="219" t="s">
        <v>936</v>
      </c>
      <c r="D2" s="219"/>
      <c r="E2" s="219"/>
      <c r="F2" s="219"/>
    </row>
    <row r="3" spans="1:12" ht="15.75" x14ac:dyDescent="0.2">
      <c r="B3" s="80"/>
      <c r="E3" s="220" t="s">
        <v>117</v>
      </c>
      <c r="F3" s="220"/>
    </row>
    <row r="4" spans="1:12" ht="11.25" customHeight="1" x14ac:dyDescent="0.2">
      <c r="B4" s="80"/>
      <c r="E4" s="5"/>
      <c r="F4" s="5"/>
    </row>
    <row r="5" spans="1:12" ht="30" customHeight="1" x14ac:dyDescent="0.2">
      <c r="A5" s="221" t="s">
        <v>538</v>
      </c>
      <c r="B5" s="221"/>
      <c r="C5" s="221"/>
      <c r="D5" s="221"/>
      <c r="E5" s="221"/>
      <c r="F5" s="221"/>
    </row>
    <row r="6" spans="1:12" ht="8.25" customHeight="1" x14ac:dyDescent="0.2">
      <c r="A6" s="81"/>
      <c r="B6" s="81"/>
      <c r="C6" s="81"/>
      <c r="D6" s="81"/>
      <c r="E6" s="81"/>
      <c r="F6" s="81"/>
    </row>
    <row r="7" spans="1:12" x14ac:dyDescent="0.2">
      <c r="B7" s="80"/>
      <c r="E7" s="78"/>
      <c r="F7" s="78" t="s">
        <v>129</v>
      </c>
    </row>
    <row r="8" spans="1:12" ht="46.5" customHeight="1" x14ac:dyDescent="0.2">
      <c r="A8" s="83" t="s">
        <v>118</v>
      </c>
      <c r="B8" s="84" t="s">
        <v>326</v>
      </c>
      <c r="C8" s="83" t="s">
        <v>16</v>
      </c>
      <c r="D8" s="84" t="s">
        <v>55</v>
      </c>
      <c r="E8" s="83" t="s">
        <v>17</v>
      </c>
      <c r="F8" s="83" t="s">
        <v>29</v>
      </c>
    </row>
    <row r="9" spans="1:12" x14ac:dyDescent="0.2">
      <c r="A9" s="85">
        <v>1</v>
      </c>
      <c r="B9" s="86" t="s">
        <v>18</v>
      </c>
      <c r="C9" s="83">
        <v>3</v>
      </c>
      <c r="D9" s="84">
        <v>4</v>
      </c>
      <c r="E9" s="83">
        <v>5</v>
      </c>
      <c r="F9" s="83">
        <v>6</v>
      </c>
    </row>
    <row r="10" spans="1:12" x14ac:dyDescent="0.2">
      <c r="A10" s="93">
        <v>1</v>
      </c>
      <c r="B10" s="86" t="s">
        <v>56</v>
      </c>
      <c r="C10" s="148" t="s">
        <v>57</v>
      </c>
      <c r="D10" s="84"/>
      <c r="E10" s="133">
        <f>+E11</f>
        <v>988.8</v>
      </c>
      <c r="F10" s="133">
        <f>+F11</f>
        <v>0</v>
      </c>
      <c r="G10" s="53"/>
      <c r="H10" s="53"/>
      <c r="I10" s="53"/>
      <c r="J10" s="53"/>
      <c r="K10" s="53"/>
      <c r="L10" s="53"/>
    </row>
    <row r="11" spans="1:12" x14ac:dyDescent="0.2">
      <c r="A11" s="93">
        <v>2</v>
      </c>
      <c r="B11" s="94"/>
      <c r="C11" s="149" t="s">
        <v>182</v>
      </c>
      <c r="D11" s="94"/>
      <c r="E11" s="107">
        <f>SUM(E12:E15)</f>
        <v>988.8</v>
      </c>
      <c r="F11" s="107">
        <f>SUM(F12:F15)</f>
        <v>0</v>
      </c>
      <c r="G11" s="53"/>
      <c r="H11" s="53"/>
      <c r="I11" s="53"/>
      <c r="J11" s="53"/>
      <c r="K11" s="53"/>
      <c r="L11" s="150"/>
    </row>
    <row r="12" spans="1:12" ht="25.5" x14ac:dyDescent="0.2">
      <c r="A12" s="151" t="s">
        <v>650</v>
      </c>
      <c r="B12" s="94"/>
      <c r="C12" s="109" t="s">
        <v>150</v>
      </c>
      <c r="D12" s="94" t="s">
        <v>61</v>
      </c>
      <c r="E12" s="107">
        <v>22.4</v>
      </c>
      <c r="F12" s="152"/>
      <c r="G12" s="53"/>
      <c r="H12" s="53"/>
      <c r="I12" s="53"/>
      <c r="J12" s="53"/>
      <c r="K12" s="53"/>
      <c r="L12" s="150"/>
    </row>
    <row r="13" spans="1:12" ht="38.25" x14ac:dyDescent="0.2">
      <c r="A13" s="151" t="s">
        <v>651</v>
      </c>
      <c r="B13" s="94"/>
      <c r="C13" s="109" t="s">
        <v>544</v>
      </c>
      <c r="D13" s="94" t="s">
        <v>58</v>
      </c>
      <c r="E13" s="107">
        <v>426</v>
      </c>
      <c r="F13" s="152"/>
      <c r="G13" s="53"/>
      <c r="H13" s="53"/>
      <c r="I13" s="53"/>
      <c r="J13" s="53"/>
      <c r="K13" s="53"/>
      <c r="L13" s="150"/>
    </row>
    <row r="14" spans="1:12" ht="38.25" x14ac:dyDescent="0.2">
      <c r="A14" s="151" t="s">
        <v>652</v>
      </c>
      <c r="B14" s="94"/>
      <c r="C14" s="109" t="s">
        <v>545</v>
      </c>
      <c r="D14" s="94" t="s">
        <v>58</v>
      </c>
      <c r="E14" s="107">
        <v>532</v>
      </c>
      <c r="F14" s="152"/>
      <c r="G14" s="53"/>
      <c r="H14" s="53"/>
      <c r="I14" s="53"/>
      <c r="J14" s="53"/>
      <c r="K14" s="53"/>
      <c r="L14" s="150"/>
    </row>
    <row r="15" spans="1:12" ht="25.5" x14ac:dyDescent="0.2">
      <c r="A15" s="151" t="s">
        <v>653</v>
      </c>
      <c r="B15" s="94"/>
      <c r="C15" s="101" t="s">
        <v>402</v>
      </c>
      <c r="D15" s="94" t="s">
        <v>58</v>
      </c>
      <c r="E15" s="107">
        <v>8.4</v>
      </c>
      <c r="F15" s="152"/>
      <c r="G15" s="53"/>
      <c r="H15" s="53"/>
      <c r="I15" s="53"/>
      <c r="J15" s="53"/>
      <c r="K15" s="53"/>
      <c r="L15" s="150"/>
    </row>
    <row r="16" spans="1:12" x14ac:dyDescent="0.2">
      <c r="A16" s="151" t="s">
        <v>654</v>
      </c>
      <c r="B16" s="86" t="s">
        <v>65</v>
      </c>
      <c r="C16" s="112" t="s">
        <v>66</v>
      </c>
      <c r="D16" s="94"/>
      <c r="E16" s="153">
        <f>+E17</f>
        <v>5.5</v>
      </c>
      <c r="F16" s="153">
        <f>+F17</f>
        <v>0</v>
      </c>
      <c r="G16" s="53"/>
      <c r="H16" s="53"/>
      <c r="I16" s="53"/>
      <c r="J16" s="53"/>
      <c r="K16" s="53"/>
      <c r="L16" s="150"/>
    </row>
    <row r="17" spans="1:12" x14ac:dyDescent="0.2">
      <c r="A17" s="151" t="s">
        <v>30</v>
      </c>
      <c r="B17" s="86"/>
      <c r="C17" s="149" t="s">
        <v>182</v>
      </c>
      <c r="D17" s="94"/>
      <c r="E17" s="107">
        <f>+E18</f>
        <v>5.5</v>
      </c>
      <c r="F17" s="152">
        <f>+F18</f>
        <v>0</v>
      </c>
      <c r="G17" s="53"/>
      <c r="H17" s="53"/>
      <c r="I17" s="53"/>
      <c r="J17" s="53"/>
      <c r="K17" s="53"/>
      <c r="L17" s="150"/>
    </row>
    <row r="18" spans="1:12" ht="25.5" x14ac:dyDescent="0.2">
      <c r="A18" s="151" t="s">
        <v>655</v>
      </c>
      <c r="B18" s="86"/>
      <c r="C18" s="154" t="s">
        <v>196</v>
      </c>
      <c r="D18" s="98" t="s">
        <v>197</v>
      </c>
      <c r="E18" s="107">
        <v>5.5</v>
      </c>
      <c r="F18" s="152"/>
      <c r="G18" s="53"/>
      <c r="H18" s="53"/>
      <c r="I18" s="53"/>
      <c r="J18" s="53"/>
      <c r="K18" s="53"/>
      <c r="L18" s="150"/>
    </row>
    <row r="19" spans="1:12" x14ac:dyDescent="0.2">
      <c r="A19" s="151" t="s">
        <v>658</v>
      </c>
      <c r="B19" s="86" t="s">
        <v>21</v>
      </c>
      <c r="C19" s="112" t="s">
        <v>22</v>
      </c>
      <c r="D19" s="98"/>
      <c r="E19" s="153">
        <f>+E20</f>
        <v>133.20000000000002</v>
      </c>
      <c r="F19" s="153">
        <f>+F20</f>
        <v>0</v>
      </c>
      <c r="G19" s="53"/>
      <c r="H19" s="53"/>
      <c r="I19" s="53"/>
      <c r="J19" s="53"/>
      <c r="K19" s="53"/>
      <c r="L19" s="150"/>
    </row>
    <row r="20" spans="1:12" x14ac:dyDescent="0.2">
      <c r="A20" s="151" t="s">
        <v>659</v>
      </c>
      <c r="B20" s="86"/>
      <c r="C20" s="149" t="s">
        <v>182</v>
      </c>
      <c r="D20" s="98"/>
      <c r="E20" s="107">
        <f>+E21+E22</f>
        <v>133.20000000000002</v>
      </c>
      <c r="F20" s="152">
        <f>+F21</f>
        <v>0</v>
      </c>
      <c r="G20" s="53"/>
      <c r="H20" s="53"/>
      <c r="I20" s="53"/>
      <c r="J20" s="53"/>
      <c r="K20" s="53"/>
      <c r="L20" s="150"/>
    </row>
    <row r="21" spans="1:12" x14ac:dyDescent="0.2">
      <c r="A21" s="151" t="s">
        <v>391</v>
      </c>
      <c r="B21" s="86"/>
      <c r="C21" s="108" t="s">
        <v>151</v>
      </c>
      <c r="D21" s="89" t="s">
        <v>88</v>
      </c>
      <c r="E21" s="107">
        <v>9.8000000000000007</v>
      </c>
      <c r="F21" s="152"/>
      <c r="G21" s="53"/>
      <c r="H21" s="53"/>
      <c r="I21" s="53"/>
      <c r="J21" s="53"/>
      <c r="K21" s="53"/>
      <c r="L21" s="150"/>
    </row>
    <row r="22" spans="1:12" x14ac:dyDescent="0.2">
      <c r="A22" s="151" t="s">
        <v>719</v>
      </c>
      <c r="B22" s="86"/>
      <c r="C22" s="109" t="s">
        <v>716</v>
      </c>
      <c r="D22" s="89"/>
      <c r="E22" s="107">
        <v>123.4</v>
      </c>
      <c r="F22" s="152"/>
      <c r="G22" s="53"/>
      <c r="H22" s="53"/>
      <c r="I22" s="53"/>
      <c r="J22" s="53"/>
      <c r="K22" s="53"/>
      <c r="L22" s="150"/>
    </row>
    <row r="23" spans="1:12" ht="25.5" x14ac:dyDescent="0.2">
      <c r="A23" s="93">
        <v>7</v>
      </c>
      <c r="B23" s="86" t="s">
        <v>104</v>
      </c>
      <c r="C23" s="130" t="s">
        <v>105</v>
      </c>
      <c r="D23" s="98"/>
      <c r="E23" s="153">
        <f>+E24</f>
        <v>250.8</v>
      </c>
      <c r="F23" s="153">
        <v>0</v>
      </c>
      <c r="G23" s="53"/>
      <c r="H23" s="53"/>
      <c r="I23" s="53"/>
      <c r="J23" s="53"/>
      <c r="K23" s="53"/>
      <c r="L23" s="150"/>
    </row>
    <row r="24" spans="1:12" x14ac:dyDescent="0.2">
      <c r="A24" s="93">
        <v>8</v>
      </c>
      <c r="B24" s="94"/>
      <c r="C24" s="149" t="s">
        <v>182</v>
      </c>
      <c r="D24" s="98"/>
      <c r="E24" s="107">
        <f>+E25</f>
        <v>250.8</v>
      </c>
      <c r="F24" s="152">
        <v>0</v>
      </c>
      <c r="G24" s="53"/>
      <c r="H24" s="53"/>
      <c r="I24" s="53"/>
      <c r="J24" s="53"/>
      <c r="K24" s="53"/>
      <c r="L24" s="150"/>
    </row>
    <row r="25" spans="1:12" ht="25.5" x14ac:dyDescent="0.2">
      <c r="A25" s="151" t="s">
        <v>656</v>
      </c>
      <c r="B25" s="94"/>
      <c r="C25" s="149" t="s">
        <v>690</v>
      </c>
      <c r="D25" s="94" t="s">
        <v>156</v>
      </c>
      <c r="E25" s="107">
        <v>250.8</v>
      </c>
      <c r="F25" s="152"/>
      <c r="G25" s="53"/>
      <c r="H25" s="53"/>
      <c r="I25" s="53"/>
      <c r="J25" s="53"/>
      <c r="K25" s="53"/>
      <c r="L25" s="150"/>
    </row>
    <row r="26" spans="1:12" ht="18" customHeight="1" x14ac:dyDescent="0.2">
      <c r="A26" s="204">
        <v>9</v>
      </c>
      <c r="B26" s="209" t="s">
        <v>84</v>
      </c>
      <c r="C26" s="222" t="s">
        <v>85</v>
      </c>
      <c r="D26" s="206"/>
      <c r="E26" s="90">
        <v>110.2</v>
      </c>
      <c r="F26" s="244">
        <f>+F28</f>
        <v>0</v>
      </c>
      <c r="G26" s="53"/>
      <c r="H26" s="53"/>
      <c r="I26" s="53"/>
      <c r="J26" s="53"/>
      <c r="K26" s="53"/>
      <c r="L26" s="150"/>
    </row>
    <row r="27" spans="1:12" ht="9.75" customHeight="1" x14ac:dyDescent="0.2">
      <c r="A27" s="205"/>
      <c r="B27" s="211"/>
      <c r="C27" s="223"/>
      <c r="D27" s="207"/>
      <c r="E27" s="92">
        <v>168.9</v>
      </c>
      <c r="F27" s="245"/>
      <c r="G27" s="53"/>
      <c r="H27" s="53"/>
      <c r="I27" s="53"/>
      <c r="J27" s="53"/>
      <c r="K27" s="53"/>
      <c r="L27" s="150"/>
    </row>
    <row r="28" spans="1:12" ht="12.6" customHeight="1" x14ac:dyDescent="0.2">
      <c r="A28" s="204">
        <v>10</v>
      </c>
      <c r="B28" s="206"/>
      <c r="C28" s="213" t="s">
        <v>182</v>
      </c>
      <c r="D28" s="206"/>
      <c r="E28" s="104">
        <v>110.2</v>
      </c>
      <c r="F28" s="215">
        <f>+F30</f>
        <v>0</v>
      </c>
      <c r="G28" s="53"/>
      <c r="H28" s="53"/>
      <c r="I28" s="53"/>
      <c r="J28" s="53"/>
      <c r="K28" s="53"/>
      <c r="L28" s="150"/>
    </row>
    <row r="29" spans="1:12" ht="12.6" customHeight="1" x14ac:dyDescent="0.2">
      <c r="A29" s="205"/>
      <c r="B29" s="207"/>
      <c r="C29" s="214"/>
      <c r="D29" s="207"/>
      <c r="E29" s="105">
        <v>168.9</v>
      </c>
      <c r="F29" s="216"/>
      <c r="G29" s="53"/>
      <c r="H29" s="53"/>
      <c r="I29" s="53"/>
      <c r="J29" s="53"/>
      <c r="K29" s="53"/>
      <c r="L29" s="150"/>
    </row>
    <row r="30" spans="1:12" ht="25.5" x14ac:dyDescent="0.2">
      <c r="A30" s="151" t="s">
        <v>657</v>
      </c>
      <c r="B30" s="94"/>
      <c r="C30" s="149" t="s">
        <v>262</v>
      </c>
      <c r="D30" s="98" t="s">
        <v>265</v>
      </c>
      <c r="E30" s="107">
        <v>75</v>
      </c>
      <c r="F30" s="152"/>
      <c r="G30" s="53"/>
      <c r="H30" s="53"/>
      <c r="I30" s="53"/>
      <c r="J30" s="53"/>
      <c r="K30" s="53"/>
      <c r="L30" s="150"/>
    </row>
    <row r="31" spans="1:12" x14ac:dyDescent="0.2">
      <c r="A31" s="151" t="s">
        <v>723</v>
      </c>
      <c r="B31" s="94"/>
      <c r="C31" s="155" t="s">
        <v>688</v>
      </c>
      <c r="D31" s="98" t="s">
        <v>689</v>
      </c>
      <c r="E31" s="107">
        <v>35.200000000000003</v>
      </c>
      <c r="F31" s="152"/>
      <c r="G31" s="53"/>
      <c r="H31" s="53"/>
      <c r="I31" s="53"/>
      <c r="J31" s="53"/>
      <c r="K31" s="53"/>
      <c r="L31" s="150"/>
    </row>
    <row r="32" spans="1:12" x14ac:dyDescent="0.2">
      <c r="A32" s="204" t="s">
        <v>927</v>
      </c>
      <c r="B32" s="206"/>
      <c r="C32" s="213" t="s">
        <v>904</v>
      </c>
      <c r="D32" s="206" t="s">
        <v>905</v>
      </c>
      <c r="E32" s="104">
        <v>0</v>
      </c>
      <c r="F32" s="215"/>
      <c r="G32" s="53"/>
      <c r="H32" s="53"/>
      <c r="I32" s="53"/>
      <c r="J32" s="53"/>
      <c r="K32" s="53"/>
      <c r="L32" s="150"/>
    </row>
    <row r="33" spans="1:13" x14ac:dyDescent="0.2">
      <c r="A33" s="205"/>
      <c r="B33" s="207"/>
      <c r="C33" s="214"/>
      <c r="D33" s="207"/>
      <c r="E33" s="105">
        <v>58.7</v>
      </c>
      <c r="F33" s="216"/>
      <c r="G33" s="53"/>
      <c r="H33" s="53"/>
      <c r="I33" s="53"/>
      <c r="J33" s="53"/>
      <c r="K33" s="53"/>
      <c r="L33" s="150"/>
    </row>
    <row r="34" spans="1:13" ht="18" customHeight="1" x14ac:dyDescent="0.2">
      <c r="A34" s="93">
        <v>11</v>
      </c>
      <c r="B34" s="86" t="s">
        <v>89</v>
      </c>
      <c r="C34" s="112" t="s">
        <v>90</v>
      </c>
      <c r="D34" s="94"/>
      <c r="E34" s="153">
        <f>+E35</f>
        <v>364.1</v>
      </c>
      <c r="F34" s="153">
        <f>+F35</f>
        <v>0</v>
      </c>
      <c r="G34" s="53"/>
      <c r="H34" s="53"/>
      <c r="I34" s="53"/>
      <c r="J34" s="53"/>
      <c r="K34" s="53"/>
      <c r="L34" s="150"/>
    </row>
    <row r="35" spans="1:13" x14ac:dyDescent="0.2">
      <c r="A35" s="93">
        <v>12</v>
      </c>
      <c r="B35" s="94"/>
      <c r="C35" s="149" t="s">
        <v>182</v>
      </c>
      <c r="D35" s="94"/>
      <c r="E35" s="107">
        <f>+E36+E37</f>
        <v>364.1</v>
      </c>
      <c r="F35" s="152">
        <f>+F36+F37</f>
        <v>0</v>
      </c>
      <c r="G35" s="53"/>
      <c r="H35" s="53"/>
      <c r="I35" s="53"/>
      <c r="J35" s="53"/>
      <c r="K35" s="53"/>
      <c r="L35" s="150"/>
    </row>
    <row r="36" spans="1:13" ht="29.25" customHeight="1" x14ac:dyDescent="0.2">
      <c r="A36" s="151" t="s">
        <v>720</v>
      </c>
      <c r="B36" s="94"/>
      <c r="C36" s="156" t="s">
        <v>152</v>
      </c>
      <c r="D36" s="94" t="s">
        <v>92</v>
      </c>
      <c r="E36" s="107">
        <f>367-12.9</f>
        <v>354.1</v>
      </c>
      <c r="F36" s="152"/>
      <c r="G36" s="53"/>
      <c r="H36" s="53"/>
      <c r="I36" s="53"/>
      <c r="J36" s="53"/>
      <c r="K36" s="53"/>
      <c r="L36" s="150"/>
      <c r="M36" s="1" t="s">
        <v>341</v>
      </c>
    </row>
    <row r="37" spans="1:13" ht="38.25" x14ac:dyDescent="0.2">
      <c r="A37" s="151" t="s">
        <v>721</v>
      </c>
      <c r="B37" s="94"/>
      <c r="C37" s="156" t="s">
        <v>191</v>
      </c>
      <c r="D37" s="94" t="s">
        <v>143</v>
      </c>
      <c r="E37" s="107">
        <v>10</v>
      </c>
      <c r="F37" s="152"/>
      <c r="G37" s="53"/>
      <c r="H37" s="53"/>
      <c r="I37" s="53"/>
      <c r="J37" s="53"/>
      <c r="K37" s="53"/>
      <c r="L37" s="150"/>
    </row>
    <row r="38" spans="1:13" x14ac:dyDescent="0.2">
      <c r="A38" s="151" t="s">
        <v>699</v>
      </c>
      <c r="B38" s="86" t="s">
        <v>32</v>
      </c>
      <c r="C38" s="112" t="s">
        <v>33</v>
      </c>
      <c r="D38" s="94"/>
      <c r="E38" s="153">
        <f>+E39</f>
        <v>76</v>
      </c>
      <c r="F38" s="153">
        <f>+F39</f>
        <v>0</v>
      </c>
      <c r="G38" s="53"/>
      <c r="H38" s="53"/>
      <c r="I38" s="53"/>
      <c r="J38" s="53"/>
      <c r="K38" s="53"/>
      <c r="L38" s="150"/>
    </row>
    <row r="39" spans="1:13" x14ac:dyDescent="0.2">
      <c r="A39" s="151" t="s">
        <v>724</v>
      </c>
      <c r="B39" s="94"/>
      <c r="C39" s="149" t="s">
        <v>182</v>
      </c>
      <c r="D39" s="94"/>
      <c r="E39" s="107">
        <f>+E40</f>
        <v>76</v>
      </c>
      <c r="F39" s="107">
        <f>+F40</f>
        <v>0</v>
      </c>
      <c r="G39" s="53"/>
      <c r="H39" s="53"/>
      <c r="I39" s="53"/>
      <c r="J39" s="53"/>
      <c r="K39" s="53"/>
      <c r="L39" s="150"/>
    </row>
    <row r="40" spans="1:13" ht="38.25" x14ac:dyDescent="0.2">
      <c r="A40" s="151" t="s">
        <v>722</v>
      </c>
      <c r="B40" s="94"/>
      <c r="C40" s="156" t="s">
        <v>573</v>
      </c>
      <c r="D40" s="98" t="s">
        <v>144</v>
      </c>
      <c r="E40" s="107">
        <v>76</v>
      </c>
      <c r="F40" s="152"/>
      <c r="G40" s="53"/>
      <c r="H40" s="53"/>
      <c r="I40" s="53"/>
      <c r="J40" s="53"/>
      <c r="K40" s="53"/>
      <c r="L40" s="150"/>
    </row>
    <row r="41" spans="1:13" ht="12.75" customHeight="1" x14ac:dyDescent="0.2">
      <c r="A41" s="204">
        <v>15</v>
      </c>
      <c r="B41" s="206"/>
      <c r="C41" s="234" t="s">
        <v>20</v>
      </c>
      <c r="D41" s="206"/>
      <c r="E41" s="104">
        <v>1928.6</v>
      </c>
      <c r="F41" s="243">
        <f>+F10+F16+F19+F23+F26+F34+F38</f>
        <v>0</v>
      </c>
      <c r="G41" s="53"/>
      <c r="H41" s="53"/>
      <c r="I41" s="53"/>
      <c r="J41" s="53"/>
      <c r="K41" s="53"/>
      <c r="L41" s="53"/>
    </row>
    <row r="42" spans="1:13" ht="12.75" customHeight="1" x14ac:dyDescent="0.2">
      <c r="A42" s="205"/>
      <c r="B42" s="207"/>
      <c r="C42" s="235"/>
      <c r="D42" s="207"/>
      <c r="E42" s="105">
        <v>1987.3</v>
      </c>
      <c r="F42" s="243"/>
      <c r="G42" s="53"/>
      <c r="H42" s="53"/>
      <c r="I42" s="53"/>
      <c r="J42" s="53"/>
      <c r="K42" s="53"/>
      <c r="L42" s="53"/>
    </row>
    <row r="43" spans="1:13" x14ac:dyDescent="0.2">
      <c r="C43" s="2" t="s">
        <v>108</v>
      </c>
      <c r="E43" s="7"/>
      <c r="F43" s="7"/>
    </row>
    <row r="44" spans="1:13" x14ac:dyDescent="0.2">
      <c r="D44" s="79"/>
      <c r="E44" s="7"/>
      <c r="F44" s="7"/>
    </row>
    <row r="45" spans="1:13" x14ac:dyDescent="0.2">
      <c r="C45" s="142"/>
      <c r="E45" s="157"/>
      <c r="F45" s="157"/>
    </row>
    <row r="46" spans="1:13" x14ac:dyDescent="0.2">
      <c r="C46" s="78"/>
      <c r="D46" s="79"/>
      <c r="E46" s="7"/>
      <c r="F46" s="7"/>
    </row>
    <row r="47" spans="1:13" x14ac:dyDescent="0.2">
      <c r="C47" s="75"/>
      <c r="E47" s="7"/>
      <c r="F47" s="7"/>
    </row>
    <row r="48" spans="1:13" x14ac:dyDescent="0.2">
      <c r="C48" s="75"/>
      <c r="E48" s="7"/>
      <c r="F48" s="7"/>
    </row>
    <row r="49" spans="3:6" x14ac:dyDescent="0.2">
      <c r="F49" s="7"/>
    </row>
    <row r="50" spans="3:6" x14ac:dyDescent="0.2">
      <c r="C50" s="78"/>
      <c r="E50" s="7"/>
      <c r="F50" s="7"/>
    </row>
    <row r="51" spans="3:6" x14ac:dyDescent="0.2">
      <c r="C51" s="78"/>
    </row>
    <row r="52" spans="3:6" x14ac:dyDescent="0.2">
      <c r="C52" s="78"/>
    </row>
    <row r="53" spans="3:6" x14ac:dyDescent="0.2">
      <c r="C53" s="78"/>
      <c r="E53" s="7"/>
      <c r="F53" s="7"/>
    </row>
    <row r="54" spans="3:6" x14ac:dyDescent="0.2">
      <c r="C54" s="78"/>
      <c r="E54" s="7"/>
      <c r="F54" s="7"/>
    </row>
    <row r="55" spans="3:6" x14ac:dyDescent="0.2">
      <c r="C55" s="158"/>
      <c r="D55" s="2"/>
      <c r="E55" s="7"/>
      <c r="F55" s="7"/>
    </row>
    <row r="56" spans="3:6" x14ac:dyDescent="0.2">
      <c r="C56" s="159"/>
      <c r="D56" s="7"/>
    </row>
    <row r="57" spans="3:6" x14ac:dyDescent="0.2">
      <c r="C57" s="78"/>
      <c r="D57" s="7"/>
    </row>
    <row r="58" spans="3:6" x14ac:dyDescent="0.2">
      <c r="C58" s="78"/>
      <c r="D58" s="160"/>
    </row>
    <row r="59" spans="3:6" x14ac:dyDescent="0.2">
      <c r="C59" s="78"/>
    </row>
    <row r="60" spans="3:6" x14ac:dyDescent="0.2">
      <c r="C60" s="78"/>
    </row>
    <row r="61" spans="3:6" x14ac:dyDescent="0.2">
      <c r="D61" s="2"/>
    </row>
    <row r="63" spans="3:6" x14ac:dyDescent="0.2">
      <c r="C63" s="78"/>
    </row>
  </sheetData>
  <mergeCells count="23">
    <mergeCell ref="B32:B33"/>
    <mergeCell ref="C32:C33"/>
    <mergeCell ref="D32:D33"/>
    <mergeCell ref="A28:A29"/>
    <mergeCell ref="B28:B29"/>
    <mergeCell ref="C28:C29"/>
    <mergeCell ref="D28:D29"/>
    <mergeCell ref="E3:F3"/>
    <mergeCell ref="A5:F5"/>
    <mergeCell ref="C2:F2"/>
    <mergeCell ref="A41:A42"/>
    <mergeCell ref="B41:B42"/>
    <mergeCell ref="C41:C42"/>
    <mergeCell ref="D41:D42"/>
    <mergeCell ref="F41:F42"/>
    <mergeCell ref="F26:F27"/>
    <mergeCell ref="A26:A27"/>
    <mergeCell ref="B26:B27"/>
    <mergeCell ref="C26:C27"/>
    <mergeCell ref="D26:D27"/>
    <mergeCell ref="F28:F29"/>
    <mergeCell ref="A32:A33"/>
    <mergeCell ref="F32:F33"/>
  </mergeCells>
  <phoneticPr fontId="5" type="noConversion"/>
  <pageMargins left="0.70866141732283472" right="0" top="0.59055118110236227" bottom="0.19685039370078741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5"/>
  <sheetViews>
    <sheetView zoomScaleNormal="100" workbookViewId="0">
      <selection activeCell="L15" sqref="L15"/>
    </sheetView>
  </sheetViews>
  <sheetFormatPr defaultColWidth="9.140625" defaultRowHeight="12.75" x14ac:dyDescent="0.2"/>
  <cols>
    <col min="1" max="1" width="3.85546875" style="2" customWidth="1"/>
    <col min="2" max="2" width="7.28515625" style="80" customWidth="1"/>
    <col min="3" max="3" width="55.140625" style="142" customWidth="1"/>
    <col min="4" max="4" width="10.28515625" style="161" customWidth="1"/>
    <col min="5" max="5" width="7.7109375" style="78" customWidth="1"/>
    <col min="6" max="6" width="11.140625" style="78" customWidth="1"/>
    <col min="7" max="16384" width="9.140625" style="1"/>
  </cols>
  <sheetData>
    <row r="1" spans="1:8" ht="15.75" x14ac:dyDescent="0.25">
      <c r="C1" s="9"/>
      <c r="D1" s="9"/>
      <c r="E1" s="9"/>
      <c r="F1" s="9"/>
    </row>
    <row r="2" spans="1:8" ht="15.75" x14ac:dyDescent="0.25">
      <c r="C2" s="219" t="s">
        <v>936</v>
      </c>
      <c r="D2" s="219"/>
      <c r="E2" s="219"/>
      <c r="F2" s="219"/>
    </row>
    <row r="3" spans="1:8" ht="15.75" x14ac:dyDescent="0.25">
      <c r="C3" s="41"/>
      <c r="D3" s="41"/>
      <c r="E3" s="220" t="s">
        <v>208</v>
      </c>
      <c r="F3" s="220"/>
    </row>
    <row r="4" spans="1:8" ht="12" customHeight="1" x14ac:dyDescent="0.2">
      <c r="C4" s="79"/>
      <c r="D4" s="79"/>
      <c r="E4" s="79"/>
      <c r="F4" s="79"/>
    </row>
    <row r="5" spans="1:8" ht="25.5" customHeight="1" x14ac:dyDescent="0.2">
      <c r="A5" s="221" t="s">
        <v>537</v>
      </c>
      <c r="B5" s="221"/>
      <c r="C5" s="221"/>
      <c r="D5" s="221"/>
      <c r="E5" s="221"/>
      <c r="F5" s="221"/>
    </row>
    <row r="6" spans="1:8" x14ac:dyDescent="0.2">
      <c r="A6" s="81"/>
      <c r="B6" s="81"/>
      <c r="C6" s="81"/>
      <c r="D6" s="81"/>
      <c r="E6" s="81"/>
      <c r="F6" s="81"/>
    </row>
    <row r="7" spans="1:8" x14ac:dyDescent="0.2">
      <c r="F7" s="82" t="s">
        <v>129</v>
      </c>
    </row>
    <row r="8" spans="1:8" ht="51.75" customHeight="1" x14ac:dyDescent="0.2">
      <c r="A8" s="83" t="s">
        <v>118</v>
      </c>
      <c r="B8" s="84" t="s">
        <v>326</v>
      </c>
      <c r="C8" s="83" t="s">
        <v>16</v>
      </c>
      <c r="D8" s="84" t="s">
        <v>55</v>
      </c>
      <c r="E8" s="83" t="s">
        <v>17</v>
      </c>
      <c r="F8" s="83" t="s">
        <v>29</v>
      </c>
    </row>
    <row r="9" spans="1:8" s="147" customFormat="1" ht="12" customHeight="1" x14ac:dyDescent="0.2">
      <c r="A9" s="85">
        <v>1</v>
      </c>
      <c r="B9" s="86" t="s">
        <v>18</v>
      </c>
      <c r="C9" s="83">
        <v>3</v>
      </c>
      <c r="D9" s="84">
        <v>4</v>
      </c>
      <c r="E9" s="83">
        <v>5</v>
      </c>
      <c r="F9" s="83">
        <v>6</v>
      </c>
    </row>
    <row r="10" spans="1:8" s="147" customFormat="1" ht="20.100000000000001" customHeight="1" x14ac:dyDescent="0.2">
      <c r="A10" s="93">
        <v>1</v>
      </c>
      <c r="B10" s="84" t="s">
        <v>65</v>
      </c>
      <c r="C10" s="148" t="s">
        <v>66</v>
      </c>
      <c r="D10" s="84"/>
      <c r="E10" s="113">
        <f>SUM(+E11+E13+E15)</f>
        <v>506.59999999999997</v>
      </c>
      <c r="F10" s="113">
        <f>SUM(+F11+F13+F15)</f>
        <v>375.1</v>
      </c>
      <c r="G10" s="162"/>
      <c r="H10" s="163"/>
    </row>
    <row r="11" spans="1:8" s="147" customFormat="1" ht="24.75" customHeight="1" x14ac:dyDescent="0.25">
      <c r="A11" s="93">
        <v>2</v>
      </c>
      <c r="B11" s="98" t="s">
        <v>209</v>
      </c>
      <c r="C11" s="164" t="s">
        <v>394</v>
      </c>
      <c r="D11" s="98" t="s">
        <v>207</v>
      </c>
      <c r="E11" s="165">
        <f>+E12</f>
        <v>416.4</v>
      </c>
      <c r="F11" s="165">
        <f>+F12</f>
        <v>348.3</v>
      </c>
      <c r="G11" s="162"/>
      <c r="H11" s="166"/>
    </row>
    <row r="12" spans="1:8" s="147" customFormat="1" ht="12.6" customHeight="1" x14ac:dyDescent="0.2">
      <c r="A12" s="93">
        <v>3</v>
      </c>
      <c r="B12" s="98"/>
      <c r="C12" s="123" t="s">
        <v>204</v>
      </c>
      <c r="D12" s="84"/>
      <c r="E12" s="6">
        <v>416.4</v>
      </c>
      <c r="F12" s="6">
        <v>348.3</v>
      </c>
      <c r="G12" s="162"/>
      <c r="H12" s="162"/>
    </row>
    <row r="13" spans="1:8" s="147" customFormat="1" ht="25.5" x14ac:dyDescent="0.2">
      <c r="A13" s="93">
        <v>4</v>
      </c>
      <c r="B13" s="98" t="s">
        <v>210</v>
      </c>
      <c r="C13" s="164" t="s">
        <v>671</v>
      </c>
      <c r="D13" s="98" t="s">
        <v>207</v>
      </c>
      <c r="E13" s="165">
        <f>+E14</f>
        <v>88.4</v>
      </c>
      <c r="F13" s="165">
        <f>+F14</f>
        <v>25</v>
      </c>
      <c r="G13" s="162"/>
      <c r="H13" s="162"/>
    </row>
    <row r="14" spans="1:8" s="147" customFormat="1" ht="12.6" customHeight="1" x14ac:dyDescent="0.2">
      <c r="A14" s="93">
        <v>5</v>
      </c>
      <c r="B14" s="98"/>
      <c r="C14" s="123" t="s">
        <v>204</v>
      </c>
      <c r="D14" s="84"/>
      <c r="E14" s="6">
        <v>88.4</v>
      </c>
      <c r="F14" s="6">
        <v>25</v>
      </c>
      <c r="G14" s="162"/>
      <c r="H14" s="162"/>
    </row>
    <row r="15" spans="1:8" s="147" customFormat="1" ht="12.6" customHeight="1" x14ac:dyDescent="0.2">
      <c r="A15" s="93">
        <v>6</v>
      </c>
      <c r="B15" s="98" t="s">
        <v>211</v>
      </c>
      <c r="C15" s="164" t="s">
        <v>212</v>
      </c>
      <c r="D15" s="98" t="s">
        <v>69</v>
      </c>
      <c r="E15" s="165">
        <f>+E16</f>
        <v>1.8</v>
      </c>
      <c r="F15" s="165">
        <f>+F16</f>
        <v>1.8</v>
      </c>
      <c r="G15" s="162"/>
      <c r="H15" s="162"/>
    </row>
    <row r="16" spans="1:8" s="147" customFormat="1" ht="12.6" customHeight="1" x14ac:dyDescent="0.2">
      <c r="A16" s="93">
        <v>7</v>
      </c>
      <c r="B16" s="84"/>
      <c r="C16" s="167" t="s">
        <v>3</v>
      </c>
      <c r="D16" s="84"/>
      <c r="E16" s="6">
        <v>1.8</v>
      </c>
      <c r="F16" s="6">
        <v>1.8</v>
      </c>
      <c r="G16" s="162"/>
      <c r="H16" s="162"/>
    </row>
    <row r="17" spans="1:11" ht="18" customHeight="1" x14ac:dyDescent="0.2">
      <c r="A17" s="204">
        <v>8</v>
      </c>
      <c r="B17" s="209" t="s">
        <v>21</v>
      </c>
      <c r="C17" s="222" t="s">
        <v>22</v>
      </c>
      <c r="D17" s="206"/>
      <c r="E17" s="90">
        <v>3205.4</v>
      </c>
      <c r="F17" s="90">
        <v>1524.9</v>
      </c>
      <c r="G17" s="53"/>
      <c r="H17" s="53"/>
    </row>
    <row r="18" spans="1:11" ht="18" customHeight="1" x14ac:dyDescent="0.2">
      <c r="A18" s="205"/>
      <c r="B18" s="211"/>
      <c r="C18" s="223"/>
      <c r="D18" s="207"/>
      <c r="E18" s="92">
        <v>3207.4</v>
      </c>
      <c r="F18" s="92">
        <v>1521.7</v>
      </c>
      <c r="G18" s="53"/>
      <c r="H18" s="53"/>
    </row>
    <row r="19" spans="1:11" ht="24.95" customHeight="1" x14ac:dyDescent="0.2">
      <c r="A19" s="93">
        <v>9</v>
      </c>
      <c r="B19" s="94" t="s">
        <v>213</v>
      </c>
      <c r="C19" s="164" t="s">
        <v>214</v>
      </c>
      <c r="D19" s="111" t="s">
        <v>24</v>
      </c>
      <c r="E19" s="168">
        <f>SUM(E20:E24)</f>
        <v>650</v>
      </c>
      <c r="F19" s="168">
        <f>SUM(F20:F24)</f>
        <v>375.9</v>
      </c>
      <c r="G19" s="53"/>
      <c r="H19" s="53"/>
      <c r="K19" s="10"/>
    </row>
    <row r="20" spans="1:11" ht="12.6" customHeight="1" x14ac:dyDescent="0.2">
      <c r="A20" s="93">
        <v>10</v>
      </c>
      <c r="B20" s="94"/>
      <c r="C20" s="3" t="s">
        <v>1</v>
      </c>
      <c r="D20" s="111"/>
      <c r="E20" s="96">
        <v>212</v>
      </c>
      <c r="F20" s="96">
        <v>208.7</v>
      </c>
      <c r="G20" s="53"/>
      <c r="H20" s="53"/>
    </row>
    <row r="21" spans="1:11" ht="12.6" customHeight="1" x14ac:dyDescent="0.2">
      <c r="A21" s="93">
        <v>11</v>
      </c>
      <c r="B21" s="94"/>
      <c r="C21" s="108" t="s">
        <v>2</v>
      </c>
      <c r="D21" s="111"/>
      <c r="E21" s="96">
        <v>80</v>
      </c>
      <c r="F21" s="96">
        <v>78.8</v>
      </c>
      <c r="G21" s="53"/>
      <c r="H21" s="53"/>
    </row>
    <row r="22" spans="1:11" ht="12.6" customHeight="1" x14ac:dyDescent="0.2">
      <c r="A22" s="93">
        <v>12</v>
      </c>
      <c r="B22" s="94"/>
      <c r="C22" s="108" t="s">
        <v>15</v>
      </c>
      <c r="D22" s="111"/>
      <c r="E22" s="96">
        <v>51</v>
      </c>
      <c r="F22" s="96">
        <v>31</v>
      </c>
      <c r="G22" s="53"/>
      <c r="H22" s="53"/>
    </row>
    <row r="23" spans="1:11" ht="12.6" customHeight="1" x14ac:dyDescent="0.2">
      <c r="A23" s="93">
        <v>13</v>
      </c>
      <c r="B23" s="94"/>
      <c r="C23" s="108" t="s">
        <v>19</v>
      </c>
      <c r="D23" s="111"/>
      <c r="E23" s="96">
        <v>60</v>
      </c>
      <c r="F23" s="96">
        <f>59.1-1.7</f>
        <v>57.4</v>
      </c>
      <c r="G23" s="53"/>
      <c r="H23" s="53"/>
    </row>
    <row r="24" spans="1:11" ht="12.6" customHeight="1" x14ac:dyDescent="0.2">
      <c r="A24" s="87">
        <v>14</v>
      </c>
      <c r="B24" s="89"/>
      <c r="C24" s="167" t="s">
        <v>3</v>
      </c>
      <c r="D24" s="111"/>
      <c r="E24" s="96">
        <v>247</v>
      </c>
      <c r="F24" s="96"/>
      <c r="G24" s="53"/>
      <c r="H24" s="53"/>
    </row>
    <row r="25" spans="1:11" ht="24.95" customHeight="1" x14ac:dyDescent="0.2">
      <c r="A25" s="93">
        <v>15</v>
      </c>
      <c r="B25" s="94" t="s">
        <v>215</v>
      </c>
      <c r="C25" s="164" t="s">
        <v>216</v>
      </c>
      <c r="D25" s="94" t="s">
        <v>23</v>
      </c>
      <c r="E25" s="168">
        <f>SUM(E26:E26)</f>
        <v>872.1</v>
      </c>
      <c r="F25" s="168">
        <f>SUM(F26:F26)</f>
        <v>839</v>
      </c>
      <c r="G25" s="53"/>
      <c r="H25" s="53"/>
    </row>
    <row r="26" spans="1:11" ht="12.6" customHeight="1" x14ac:dyDescent="0.2">
      <c r="A26" s="93">
        <v>16</v>
      </c>
      <c r="B26" s="94"/>
      <c r="C26" s="3" t="s">
        <v>148</v>
      </c>
      <c r="D26" s="94"/>
      <c r="E26" s="96">
        <v>872.1</v>
      </c>
      <c r="F26" s="96">
        <v>839</v>
      </c>
      <c r="G26" s="53"/>
      <c r="H26" s="53"/>
    </row>
    <row r="27" spans="1:11" x14ac:dyDescent="0.2">
      <c r="A27" s="204">
        <v>17</v>
      </c>
      <c r="B27" s="206" t="s">
        <v>217</v>
      </c>
      <c r="C27" s="246" t="s">
        <v>401</v>
      </c>
      <c r="D27" s="206" t="s">
        <v>23</v>
      </c>
      <c r="E27" s="248">
        <f>SUM(E29:E29)</f>
        <v>136</v>
      </c>
      <c r="F27" s="104">
        <f>SUM(F29:F29)</f>
        <v>134.1</v>
      </c>
      <c r="G27" s="53"/>
      <c r="H27" s="53"/>
    </row>
    <row r="28" spans="1:11" x14ac:dyDescent="0.2">
      <c r="A28" s="205"/>
      <c r="B28" s="207"/>
      <c r="C28" s="247"/>
      <c r="D28" s="207"/>
      <c r="E28" s="249"/>
      <c r="F28" s="105">
        <v>130.9</v>
      </c>
      <c r="G28" s="53"/>
      <c r="H28" s="53"/>
    </row>
    <row r="29" spans="1:11" x14ac:dyDescent="0.2">
      <c r="A29" s="204">
        <v>18</v>
      </c>
      <c r="B29" s="206"/>
      <c r="C29" s="213" t="s">
        <v>148</v>
      </c>
      <c r="D29" s="206"/>
      <c r="E29" s="248">
        <v>136</v>
      </c>
      <c r="F29" s="104">
        <v>134.1</v>
      </c>
      <c r="G29" s="53"/>
      <c r="H29" s="53"/>
    </row>
    <row r="30" spans="1:11" x14ac:dyDescent="0.2">
      <c r="A30" s="205"/>
      <c r="B30" s="207"/>
      <c r="C30" s="214"/>
      <c r="D30" s="207"/>
      <c r="E30" s="249"/>
      <c r="F30" s="105">
        <v>130.9</v>
      </c>
      <c r="G30" s="53"/>
      <c r="H30" s="53"/>
    </row>
    <row r="31" spans="1:11" ht="49.5" customHeight="1" x14ac:dyDescent="0.2">
      <c r="A31" s="93">
        <v>19</v>
      </c>
      <c r="B31" s="94" t="s">
        <v>220</v>
      </c>
      <c r="C31" s="164" t="s">
        <v>218</v>
      </c>
      <c r="D31" s="98" t="s">
        <v>219</v>
      </c>
      <c r="E31" s="168">
        <f>SUM(E32:E43)</f>
        <v>398.5</v>
      </c>
      <c r="F31" s="168">
        <f>SUM(F32:F43)</f>
        <v>11.3</v>
      </c>
      <c r="G31" s="53"/>
      <c r="H31" s="53"/>
    </row>
    <row r="32" spans="1:11" ht="12.6" customHeight="1" x14ac:dyDescent="0.2">
      <c r="A32" s="93">
        <v>20</v>
      </c>
      <c r="B32" s="94"/>
      <c r="C32" s="167" t="s">
        <v>3</v>
      </c>
      <c r="D32" s="98"/>
      <c r="E32" s="96">
        <v>5</v>
      </c>
      <c r="F32" s="96"/>
      <c r="G32" s="53"/>
      <c r="H32" s="53"/>
    </row>
    <row r="33" spans="1:8" ht="12.6" customHeight="1" x14ac:dyDescent="0.2">
      <c r="A33" s="93">
        <v>21</v>
      </c>
      <c r="B33" s="94"/>
      <c r="C33" s="97" t="s">
        <v>8</v>
      </c>
      <c r="D33" s="94"/>
      <c r="E33" s="96">
        <v>202.7</v>
      </c>
      <c r="F33" s="96">
        <v>5.8</v>
      </c>
      <c r="G33" s="53"/>
      <c r="H33" s="53"/>
    </row>
    <row r="34" spans="1:8" ht="12.6" customHeight="1" x14ac:dyDescent="0.2">
      <c r="A34" s="93">
        <v>22</v>
      </c>
      <c r="B34" s="94"/>
      <c r="C34" s="97" t="s">
        <v>4</v>
      </c>
      <c r="D34" s="94"/>
      <c r="E34" s="96">
        <v>40.799999999999997</v>
      </c>
      <c r="F34" s="96">
        <v>1.2</v>
      </c>
      <c r="G34" s="53"/>
      <c r="H34" s="53"/>
    </row>
    <row r="35" spans="1:8" ht="12.6" customHeight="1" x14ac:dyDescent="0.2">
      <c r="A35" s="93">
        <v>23</v>
      </c>
      <c r="B35" s="94"/>
      <c r="C35" s="97" t="s">
        <v>5</v>
      </c>
      <c r="D35" s="94"/>
      <c r="E35" s="96">
        <v>13.7</v>
      </c>
      <c r="F35" s="96">
        <v>0.4</v>
      </c>
      <c r="G35" s="53"/>
      <c r="H35" s="53"/>
    </row>
    <row r="36" spans="1:8" ht="12.6" customHeight="1" x14ac:dyDescent="0.2">
      <c r="A36" s="93">
        <v>24</v>
      </c>
      <c r="B36" s="94"/>
      <c r="C36" s="97" t="s">
        <v>7</v>
      </c>
      <c r="D36" s="94"/>
      <c r="E36" s="96">
        <v>21.4</v>
      </c>
      <c r="F36" s="96">
        <v>0.6</v>
      </c>
      <c r="G36" s="53"/>
      <c r="H36" s="53"/>
    </row>
    <row r="37" spans="1:8" ht="12.6" customHeight="1" x14ac:dyDescent="0.2">
      <c r="A37" s="93">
        <v>25</v>
      </c>
      <c r="B37" s="94"/>
      <c r="C37" s="97" t="s">
        <v>6</v>
      </c>
      <c r="D37" s="94"/>
      <c r="E37" s="96">
        <v>18.100000000000001</v>
      </c>
      <c r="F37" s="96">
        <v>0.5</v>
      </c>
      <c r="G37" s="53"/>
      <c r="H37" s="53"/>
    </row>
    <row r="38" spans="1:8" ht="12.6" customHeight="1" x14ac:dyDescent="0.2">
      <c r="A38" s="93">
        <v>26</v>
      </c>
      <c r="B38" s="94"/>
      <c r="C38" s="97" t="s">
        <v>9</v>
      </c>
      <c r="D38" s="94"/>
      <c r="E38" s="96">
        <v>27.8</v>
      </c>
      <c r="F38" s="96">
        <v>0.8</v>
      </c>
      <c r="G38" s="53"/>
      <c r="H38" s="53"/>
    </row>
    <row r="39" spans="1:8" ht="12.6" customHeight="1" x14ac:dyDescent="0.2">
      <c r="A39" s="93">
        <v>27</v>
      </c>
      <c r="B39" s="94"/>
      <c r="C39" s="3" t="s">
        <v>10</v>
      </c>
      <c r="D39" s="94"/>
      <c r="E39" s="96">
        <v>13.3</v>
      </c>
      <c r="F39" s="96">
        <v>0.4</v>
      </c>
      <c r="G39" s="53"/>
      <c r="H39" s="53"/>
    </row>
    <row r="40" spans="1:8" ht="12.6" customHeight="1" x14ac:dyDescent="0.2">
      <c r="A40" s="93">
        <v>28</v>
      </c>
      <c r="B40" s="94"/>
      <c r="C40" s="97" t="s">
        <v>12</v>
      </c>
      <c r="D40" s="94"/>
      <c r="E40" s="96">
        <v>8.4</v>
      </c>
      <c r="F40" s="96">
        <v>0.2</v>
      </c>
      <c r="G40" s="53"/>
      <c r="H40" s="53"/>
    </row>
    <row r="41" spans="1:8" ht="12.6" customHeight="1" x14ac:dyDescent="0.2">
      <c r="A41" s="93">
        <v>29</v>
      </c>
      <c r="B41" s="94"/>
      <c r="C41" s="97" t="s">
        <v>11</v>
      </c>
      <c r="D41" s="94"/>
      <c r="E41" s="96">
        <v>17.399999999999999</v>
      </c>
      <c r="F41" s="96">
        <v>0.5</v>
      </c>
      <c r="G41" s="53"/>
      <c r="H41" s="53"/>
    </row>
    <row r="42" spans="1:8" ht="12.6" customHeight="1" x14ac:dyDescent="0.2">
      <c r="A42" s="93">
        <v>30</v>
      </c>
      <c r="B42" s="94"/>
      <c r="C42" s="97" t="s">
        <v>13</v>
      </c>
      <c r="D42" s="94"/>
      <c r="E42" s="96">
        <v>10.1</v>
      </c>
      <c r="F42" s="96">
        <v>0.3</v>
      </c>
      <c r="G42" s="53"/>
      <c r="H42" s="53"/>
    </row>
    <row r="43" spans="1:8" ht="12.6" customHeight="1" x14ac:dyDescent="0.2">
      <c r="A43" s="93">
        <v>31</v>
      </c>
      <c r="B43" s="94"/>
      <c r="C43" s="97" t="s">
        <v>14</v>
      </c>
      <c r="D43" s="94"/>
      <c r="E43" s="96">
        <v>19.8</v>
      </c>
      <c r="F43" s="96">
        <v>0.6</v>
      </c>
      <c r="G43" s="53"/>
      <c r="H43" s="53"/>
    </row>
    <row r="44" spans="1:8" ht="33.75" customHeight="1" x14ac:dyDescent="0.2">
      <c r="A44" s="93">
        <v>32</v>
      </c>
      <c r="B44" s="94" t="s">
        <v>222</v>
      </c>
      <c r="C44" s="169" t="s">
        <v>221</v>
      </c>
      <c r="D44" s="94" t="s">
        <v>31</v>
      </c>
      <c r="E44" s="168">
        <f>+E45</f>
        <v>947.6</v>
      </c>
      <c r="F44" s="168">
        <f>+F45</f>
        <v>16.8</v>
      </c>
      <c r="G44" s="53"/>
      <c r="H44" s="53"/>
    </row>
    <row r="45" spans="1:8" ht="12.6" customHeight="1" x14ac:dyDescent="0.2">
      <c r="A45" s="93">
        <v>33</v>
      </c>
      <c r="B45" s="94"/>
      <c r="C45" s="167" t="s">
        <v>3</v>
      </c>
      <c r="D45" s="94"/>
      <c r="E45" s="96">
        <v>947.6</v>
      </c>
      <c r="F45" s="96">
        <v>16.8</v>
      </c>
      <c r="G45" s="53"/>
      <c r="H45" s="53"/>
    </row>
    <row r="46" spans="1:8" ht="24.95" customHeight="1" x14ac:dyDescent="0.2">
      <c r="A46" s="204">
        <v>34</v>
      </c>
      <c r="B46" s="206" t="s">
        <v>397</v>
      </c>
      <c r="C46" s="246" t="s">
        <v>223</v>
      </c>
      <c r="D46" s="206" t="s">
        <v>72</v>
      </c>
      <c r="E46" s="104">
        <v>11.1</v>
      </c>
      <c r="F46" s="250">
        <f>+F48</f>
        <v>0.4</v>
      </c>
      <c r="G46" s="53"/>
      <c r="H46" s="53"/>
    </row>
    <row r="47" spans="1:8" ht="15" customHeight="1" x14ac:dyDescent="0.2">
      <c r="A47" s="205"/>
      <c r="B47" s="207"/>
      <c r="C47" s="247"/>
      <c r="D47" s="207"/>
      <c r="E47" s="105">
        <v>13.1</v>
      </c>
      <c r="F47" s="251"/>
      <c r="G47" s="53"/>
      <c r="H47" s="53"/>
    </row>
    <row r="48" spans="1:8" ht="12.6" customHeight="1" x14ac:dyDescent="0.2">
      <c r="A48" s="204">
        <v>35</v>
      </c>
      <c r="B48" s="206"/>
      <c r="C48" s="213" t="s">
        <v>3</v>
      </c>
      <c r="D48" s="206"/>
      <c r="E48" s="104">
        <v>11.1</v>
      </c>
      <c r="F48" s="215">
        <v>0.4</v>
      </c>
      <c r="G48" s="53"/>
      <c r="H48" s="53"/>
    </row>
    <row r="49" spans="1:8" ht="12.6" customHeight="1" x14ac:dyDescent="0.2">
      <c r="A49" s="205"/>
      <c r="B49" s="207"/>
      <c r="C49" s="214"/>
      <c r="D49" s="207"/>
      <c r="E49" s="105">
        <v>13.1</v>
      </c>
      <c r="F49" s="216"/>
      <c r="G49" s="53"/>
      <c r="H49" s="53"/>
    </row>
    <row r="50" spans="1:8" ht="12.6" customHeight="1" x14ac:dyDescent="0.2">
      <c r="A50" s="93">
        <v>36</v>
      </c>
      <c r="B50" s="94" t="s">
        <v>674</v>
      </c>
      <c r="C50" s="169" t="s">
        <v>664</v>
      </c>
      <c r="D50" s="94" t="s">
        <v>39</v>
      </c>
      <c r="E50" s="168">
        <f>SUM(E51:E62)</f>
        <v>190.09999999999997</v>
      </c>
      <c r="F50" s="168">
        <f>SUM(F51:F62)</f>
        <v>147.4</v>
      </c>
      <c r="G50" s="53"/>
      <c r="H50" s="53"/>
    </row>
    <row r="51" spans="1:8" ht="12.6" customHeight="1" x14ac:dyDescent="0.2">
      <c r="A51" s="93">
        <v>37</v>
      </c>
      <c r="B51" s="94"/>
      <c r="C51" s="167" t="s">
        <v>3</v>
      </c>
      <c r="D51" s="94"/>
      <c r="E51" s="168">
        <v>60</v>
      </c>
      <c r="F51" s="168">
        <v>21.6</v>
      </c>
      <c r="G51" s="53"/>
      <c r="H51" s="53"/>
    </row>
    <row r="52" spans="1:8" ht="12.6" customHeight="1" x14ac:dyDescent="0.2">
      <c r="A52" s="93">
        <v>38</v>
      </c>
      <c r="B52" s="94"/>
      <c r="C52" s="97" t="s">
        <v>8</v>
      </c>
      <c r="D52" s="94"/>
      <c r="E52" s="96">
        <v>34.6</v>
      </c>
      <c r="F52" s="96">
        <v>33.299999999999997</v>
      </c>
      <c r="G52" s="53"/>
      <c r="H52" s="53"/>
    </row>
    <row r="53" spans="1:8" ht="12.6" customHeight="1" x14ac:dyDescent="0.2">
      <c r="A53" s="93">
        <v>39</v>
      </c>
      <c r="B53" s="94"/>
      <c r="C53" s="97" t="s">
        <v>4</v>
      </c>
      <c r="D53" s="94"/>
      <c r="E53" s="96">
        <v>11.5</v>
      </c>
      <c r="F53" s="96">
        <v>11.1</v>
      </c>
      <c r="G53" s="53"/>
      <c r="H53" s="53"/>
    </row>
    <row r="54" spans="1:8" ht="12.6" customHeight="1" x14ac:dyDescent="0.2">
      <c r="A54" s="93">
        <v>40</v>
      </c>
      <c r="B54" s="94"/>
      <c r="C54" s="97" t="s">
        <v>5</v>
      </c>
      <c r="D54" s="94"/>
      <c r="E54" s="96">
        <v>11.5</v>
      </c>
      <c r="F54" s="96">
        <v>11.1</v>
      </c>
      <c r="G54" s="53"/>
      <c r="H54" s="53"/>
    </row>
    <row r="55" spans="1:8" ht="12.6" customHeight="1" x14ac:dyDescent="0.2">
      <c r="A55" s="93">
        <v>41</v>
      </c>
      <c r="B55" s="94"/>
      <c r="C55" s="97" t="s">
        <v>7</v>
      </c>
      <c r="D55" s="94"/>
      <c r="E55" s="96">
        <v>11.5</v>
      </c>
      <c r="F55" s="96">
        <v>11.1</v>
      </c>
      <c r="G55" s="53"/>
      <c r="H55" s="53"/>
    </row>
    <row r="56" spans="1:8" ht="12.6" customHeight="1" x14ac:dyDescent="0.2">
      <c r="A56" s="93">
        <v>42</v>
      </c>
      <c r="B56" s="94"/>
      <c r="C56" s="97" t="s">
        <v>6</v>
      </c>
      <c r="D56" s="94"/>
      <c r="E56" s="96">
        <v>7.6</v>
      </c>
      <c r="F56" s="96">
        <v>7.4</v>
      </c>
      <c r="G56" s="53"/>
      <c r="H56" s="53"/>
    </row>
    <row r="57" spans="1:8" ht="12.6" customHeight="1" x14ac:dyDescent="0.2">
      <c r="A57" s="93">
        <v>43</v>
      </c>
      <c r="B57" s="94"/>
      <c r="C57" s="97" t="s">
        <v>9</v>
      </c>
      <c r="D57" s="94"/>
      <c r="E57" s="96">
        <v>11.5</v>
      </c>
      <c r="F57" s="96">
        <v>11.1</v>
      </c>
      <c r="G57" s="53"/>
      <c r="H57" s="53"/>
    </row>
    <row r="58" spans="1:8" ht="12.6" customHeight="1" x14ac:dyDescent="0.2">
      <c r="A58" s="93">
        <v>44</v>
      </c>
      <c r="B58" s="94"/>
      <c r="C58" s="3" t="s">
        <v>10</v>
      </c>
      <c r="D58" s="94"/>
      <c r="E58" s="96">
        <v>7.6</v>
      </c>
      <c r="F58" s="96">
        <v>7.4</v>
      </c>
      <c r="G58" s="53"/>
      <c r="H58" s="53"/>
    </row>
    <row r="59" spans="1:8" ht="12.6" customHeight="1" x14ac:dyDescent="0.2">
      <c r="A59" s="93">
        <v>45</v>
      </c>
      <c r="B59" s="94"/>
      <c r="C59" s="97" t="s">
        <v>12</v>
      </c>
      <c r="D59" s="94"/>
      <c r="E59" s="96">
        <v>7.6</v>
      </c>
      <c r="F59" s="96">
        <v>7.4</v>
      </c>
      <c r="G59" s="53"/>
      <c r="H59" s="53"/>
    </row>
    <row r="60" spans="1:8" ht="12.6" customHeight="1" x14ac:dyDescent="0.2">
      <c r="A60" s="93">
        <v>46</v>
      </c>
      <c r="B60" s="94"/>
      <c r="C60" s="97" t="s">
        <v>11</v>
      </c>
      <c r="D60" s="94"/>
      <c r="E60" s="96">
        <v>7.6</v>
      </c>
      <c r="F60" s="96">
        <v>7.4</v>
      </c>
      <c r="G60" s="53"/>
      <c r="H60" s="53"/>
    </row>
    <row r="61" spans="1:8" ht="12.6" customHeight="1" x14ac:dyDescent="0.2">
      <c r="A61" s="93">
        <v>47</v>
      </c>
      <c r="B61" s="94"/>
      <c r="C61" s="97" t="s">
        <v>13</v>
      </c>
      <c r="D61" s="94"/>
      <c r="E61" s="96">
        <v>7.6</v>
      </c>
      <c r="F61" s="96">
        <v>7.4</v>
      </c>
      <c r="G61" s="53"/>
      <c r="H61" s="53"/>
    </row>
    <row r="62" spans="1:8" ht="12.6" customHeight="1" x14ac:dyDescent="0.2">
      <c r="A62" s="93">
        <v>48</v>
      </c>
      <c r="B62" s="94"/>
      <c r="C62" s="97" t="s">
        <v>14</v>
      </c>
      <c r="D62" s="94"/>
      <c r="E62" s="96">
        <v>11.5</v>
      </c>
      <c r="F62" s="96">
        <v>11.1</v>
      </c>
      <c r="G62" s="53"/>
      <c r="H62" s="53"/>
    </row>
    <row r="63" spans="1:8" ht="18" customHeight="1" x14ac:dyDescent="0.2">
      <c r="A63" s="93">
        <v>49</v>
      </c>
      <c r="B63" s="86" t="s">
        <v>32</v>
      </c>
      <c r="C63" s="112" t="s">
        <v>33</v>
      </c>
      <c r="D63" s="94"/>
      <c r="E63" s="113">
        <f>+E64+E76</f>
        <v>614.80000000000007</v>
      </c>
      <c r="F63" s="113">
        <f>+F64+F76</f>
        <v>236.89999999999995</v>
      </c>
      <c r="G63" s="53"/>
      <c r="H63" s="53"/>
    </row>
    <row r="64" spans="1:8" ht="12.6" customHeight="1" x14ac:dyDescent="0.2">
      <c r="A64" s="93">
        <v>50</v>
      </c>
      <c r="B64" s="94" t="s">
        <v>224</v>
      </c>
      <c r="C64" s="169" t="s">
        <v>225</v>
      </c>
      <c r="D64" s="94" t="s">
        <v>226</v>
      </c>
      <c r="E64" s="168">
        <f>SUM(E65:E75)</f>
        <v>254.80000000000007</v>
      </c>
      <c r="F64" s="168">
        <f>SUM(F65:F75)</f>
        <v>236.89999999999995</v>
      </c>
      <c r="G64" s="53"/>
      <c r="H64" s="53"/>
    </row>
    <row r="65" spans="1:8" ht="12.6" customHeight="1" x14ac:dyDescent="0.2">
      <c r="A65" s="93">
        <v>51</v>
      </c>
      <c r="B65" s="94"/>
      <c r="C65" s="167" t="s">
        <v>3</v>
      </c>
      <c r="D65" s="94"/>
      <c r="E65" s="96">
        <v>136.5</v>
      </c>
      <c r="F65" s="96">
        <v>120.3</v>
      </c>
      <c r="G65" s="53"/>
      <c r="H65" s="53"/>
    </row>
    <row r="66" spans="1:8" ht="12.6" customHeight="1" x14ac:dyDescent="0.2">
      <c r="A66" s="93">
        <v>52</v>
      </c>
      <c r="B66" s="94"/>
      <c r="C66" s="97" t="s">
        <v>4</v>
      </c>
      <c r="D66" s="94"/>
      <c r="E66" s="96">
        <v>13.4</v>
      </c>
      <c r="F66" s="96">
        <v>13.2</v>
      </c>
      <c r="G66" s="53"/>
      <c r="H66" s="53"/>
    </row>
    <row r="67" spans="1:8" ht="12.6" customHeight="1" x14ac:dyDescent="0.2">
      <c r="A67" s="93">
        <v>53</v>
      </c>
      <c r="B67" s="94"/>
      <c r="C67" s="97" t="s">
        <v>5</v>
      </c>
      <c r="D67" s="94"/>
      <c r="E67" s="96">
        <v>10</v>
      </c>
      <c r="F67" s="96">
        <v>9.9</v>
      </c>
      <c r="G67" s="53"/>
      <c r="H67" s="53"/>
    </row>
    <row r="68" spans="1:8" ht="12.6" customHeight="1" x14ac:dyDescent="0.2">
      <c r="A68" s="93">
        <v>54</v>
      </c>
      <c r="B68" s="94"/>
      <c r="C68" s="97" t="s">
        <v>7</v>
      </c>
      <c r="D68" s="94"/>
      <c r="E68" s="96">
        <v>5.5</v>
      </c>
      <c r="F68" s="96">
        <v>5.4</v>
      </c>
      <c r="G68" s="53"/>
      <c r="H68" s="53"/>
    </row>
    <row r="69" spans="1:8" ht="12.6" customHeight="1" x14ac:dyDescent="0.2">
      <c r="A69" s="93">
        <v>55</v>
      </c>
      <c r="B69" s="94"/>
      <c r="C69" s="97" t="s">
        <v>6</v>
      </c>
      <c r="D69" s="94"/>
      <c r="E69" s="96">
        <v>17.899999999999999</v>
      </c>
      <c r="F69" s="96">
        <v>17.600000000000001</v>
      </c>
      <c r="G69" s="53"/>
      <c r="H69" s="53"/>
    </row>
    <row r="70" spans="1:8" ht="12.6" customHeight="1" x14ac:dyDescent="0.2">
      <c r="A70" s="93">
        <v>56</v>
      </c>
      <c r="B70" s="94"/>
      <c r="C70" s="97" t="s">
        <v>9</v>
      </c>
      <c r="D70" s="94"/>
      <c r="E70" s="96">
        <v>14.3</v>
      </c>
      <c r="F70" s="96">
        <v>14.1</v>
      </c>
      <c r="G70" s="53"/>
      <c r="H70" s="53"/>
    </row>
    <row r="71" spans="1:8" ht="12.6" customHeight="1" x14ac:dyDescent="0.2">
      <c r="A71" s="93">
        <v>57</v>
      </c>
      <c r="B71" s="94"/>
      <c r="C71" s="3" t="s">
        <v>10</v>
      </c>
      <c r="D71" s="94"/>
      <c r="E71" s="96">
        <v>10.3</v>
      </c>
      <c r="F71" s="96">
        <v>10.199999999999999</v>
      </c>
      <c r="G71" s="53"/>
      <c r="H71" s="53"/>
    </row>
    <row r="72" spans="1:8" ht="12.6" customHeight="1" x14ac:dyDescent="0.2">
      <c r="A72" s="93">
        <v>58</v>
      </c>
      <c r="B72" s="94"/>
      <c r="C72" s="97" t="s">
        <v>12</v>
      </c>
      <c r="D72" s="94"/>
      <c r="E72" s="96">
        <v>9.3000000000000007</v>
      </c>
      <c r="F72" s="96">
        <v>9.1999999999999993</v>
      </c>
      <c r="G72" s="53"/>
      <c r="H72" s="53"/>
    </row>
    <row r="73" spans="1:8" ht="12.6" customHeight="1" x14ac:dyDescent="0.2">
      <c r="A73" s="93">
        <v>59</v>
      </c>
      <c r="B73" s="94"/>
      <c r="C73" s="97" t="s">
        <v>11</v>
      </c>
      <c r="D73" s="94"/>
      <c r="E73" s="96">
        <v>13.4</v>
      </c>
      <c r="F73" s="96">
        <v>13.2</v>
      </c>
      <c r="G73" s="53"/>
      <c r="H73" s="53"/>
    </row>
    <row r="74" spans="1:8" ht="12.6" customHeight="1" x14ac:dyDescent="0.2">
      <c r="A74" s="93">
        <v>60</v>
      </c>
      <c r="B74" s="94"/>
      <c r="C74" s="97" t="s">
        <v>13</v>
      </c>
      <c r="D74" s="94"/>
      <c r="E74" s="96">
        <v>10.8</v>
      </c>
      <c r="F74" s="96">
        <v>10.6</v>
      </c>
      <c r="G74" s="53"/>
      <c r="H74" s="53"/>
    </row>
    <row r="75" spans="1:8" ht="12.6" customHeight="1" x14ac:dyDescent="0.2">
      <c r="A75" s="93">
        <v>61</v>
      </c>
      <c r="B75" s="94"/>
      <c r="C75" s="97" t="s">
        <v>14</v>
      </c>
      <c r="D75" s="94"/>
      <c r="E75" s="96">
        <v>13.4</v>
      </c>
      <c r="F75" s="96">
        <v>13.2</v>
      </c>
      <c r="G75" s="53"/>
      <c r="H75" s="53"/>
    </row>
    <row r="76" spans="1:8" ht="67.5" customHeight="1" x14ac:dyDescent="0.2">
      <c r="A76" s="204">
        <v>62</v>
      </c>
      <c r="B76" s="206" t="s">
        <v>227</v>
      </c>
      <c r="C76" s="164" t="s">
        <v>583</v>
      </c>
      <c r="D76" s="206"/>
      <c r="E76" s="168">
        <f>+E78</f>
        <v>360</v>
      </c>
      <c r="F76" s="168">
        <f>+F78</f>
        <v>0</v>
      </c>
      <c r="G76" s="53"/>
      <c r="H76" s="53"/>
    </row>
    <row r="77" spans="1:8" ht="12.6" customHeight="1" x14ac:dyDescent="0.2">
      <c r="A77" s="205"/>
      <c r="B77" s="207"/>
      <c r="C77" s="164" t="s">
        <v>228</v>
      </c>
      <c r="D77" s="207"/>
      <c r="E77" s="168">
        <v>9</v>
      </c>
      <c r="F77" s="168"/>
      <c r="G77" s="53"/>
      <c r="H77" s="53"/>
    </row>
    <row r="78" spans="1:8" ht="12.6" customHeight="1" x14ac:dyDescent="0.2">
      <c r="A78" s="93">
        <v>63</v>
      </c>
      <c r="B78" s="94"/>
      <c r="C78" s="167" t="s">
        <v>3</v>
      </c>
      <c r="D78" s="94" t="s">
        <v>229</v>
      </c>
      <c r="E78" s="96">
        <v>360</v>
      </c>
      <c r="F78" s="96"/>
      <c r="G78" s="53"/>
      <c r="H78" s="53"/>
    </row>
    <row r="79" spans="1:8" ht="18" customHeight="1" x14ac:dyDescent="0.2">
      <c r="A79" s="93">
        <v>64</v>
      </c>
      <c r="B79" s="86" t="s">
        <v>25</v>
      </c>
      <c r="C79" s="112" t="s">
        <v>26</v>
      </c>
      <c r="D79" s="94"/>
      <c r="E79" s="113">
        <f>SUM(E80+E82+E84+E86+E88+E90+E92+E94+E96+E98+E100+E102+E104)</f>
        <v>1496.2</v>
      </c>
      <c r="F79" s="113">
        <f>SUM(F80+F82+F84+F86+F88+F90+F92+F94+F96+F98+F100+F102+F104)</f>
        <v>1349.6000000000004</v>
      </c>
      <c r="G79" s="53"/>
      <c r="H79" s="53"/>
    </row>
    <row r="80" spans="1:8" ht="12.6" customHeight="1" x14ac:dyDescent="0.2">
      <c r="A80" s="93">
        <v>65</v>
      </c>
      <c r="B80" s="94" t="s">
        <v>34</v>
      </c>
      <c r="C80" s="169" t="s">
        <v>231</v>
      </c>
      <c r="D80" s="94" t="s">
        <v>28</v>
      </c>
      <c r="E80" s="168">
        <f>+E81</f>
        <v>1234.5999999999999</v>
      </c>
      <c r="F80" s="168">
        <f>+F81</f>
        <v>1145.7</v>
      </c>
      <c r="G80" s="53"/>
      <c r="H80" s="53"/>
    </row>
    <row r="81" spans="1:8" ht="12.6" customHeight="1" x14ac:dyDescent="0.2">
      <c r="A81" s="93">
        <v>66</v>
      </c>
      <c r="B81" s="88"/>
      <c r="C81" s="97" t="s">
        <v>27</v>
      </c>
      <c r="D81" s="111"/>
      <c r="E81" s="96">
        <v>1234.5999999999999</v>
      </c>
      <c r="F81" s="96">
        <v>1145.7</v>
      </c>
      <c r="G81" s="53"/>
      <c r="H81" s="53"/>
    </row>
    <row r="82" spans="1:8" ht="12.6" customHeight="1" x14ac:dyDescent="0.2">
      <c r="A82" s="93">
        <v>67</v>
      </c>
      <c r="B82" s="94" t="s">
        <v>35</v>
      </c>
      <c r="C82" s="164" t="s">
        <v>232</v>
      </c>
      <c r="D82" s="94" t="s">
        <v>233</v>
      </c>
      <c r="E82" s="168">
        <f>SUM(E83:E83)</f>
        <v>0.8</v>
      </c>
      <c r="F82" s="168">
        <f>SUM(F83:F83)</f>
        <v>0.8</v>
      </c>
      <c r="G82" s="53"/>
      <c r="H82" s="53"/>
    </row>
    <row r="83" spans="1:8" ht="12.6" customHeight="1" x14ac:dyDescent="0.2">
      <c r="A83" s="93">
        <v>68</v>
      </c>
      <c r="B83" s="94"/>
      <c r="C83" s="167" t="s">
        <v>3</v>
      </c>
      <c r="D83" s="94"/>
      <c r="E83" s="96">
        <v>0.8</v>
      </c>
      <c r="F83" s="96">
        <v>0.8</v>
      </c>
      <c r="G83" s="53"/>
      <c r="H83" s="53"/>
    </row>
    <row r="84" spans="1:8" ht="12.6" customHeight="1" x14ac:dyDescent="0.2">
      <c r="A84" s="93">
        <v>69</v>
      </c>
      <c r="B84" s="98" t="s">
        <v>36</v>
      </c>
      <c r="C84" s="164" t="s">
        <v>234</v>
      </c>
      <c r="D84" s="94" t="s">
        <v>233</v>
      </c>
      <c r="E84" s="165">
        <f>+E85</f>
        <v>47.9</v>
      </c>
      <c r="F84" s="165">
        <f>+F85</f>
        <v>42</v>
      </c>
      <c r="G84" s="53"/>
      <c r="H84" s="53"/>
    </row>
    <row r="85" spans="1:8" ht="12.6" customHeight="1" x14ac:dyDescent="0.2">
      <c r="A85" s="93">
        <v>70</v>
      </c>
      <c r="B85" s="94"/>
      <c r="C85" s="167" t="s">
        <v>3</v>
      </c>
      <c r="D85" s="94"/>
      <c r="E85" s="96">
        <v>47.9</v>
      </c>
      <c r="F85" s="96">
        <v>42</v>
      </c>
      <c r="G85" s="53"/>
      <c r="H85" s="53"/>
    </row>
    <row r="86" spans="1:8" ht="12.6" customHeight="1" x14ac:dyDescent="0.2">
      <c r="A86" s="93">
        <v>71</v>
      </c>
      <c r="B86" s="94" t="s">
        <v>37</v>
      </c>
      <c r="C86" s="164" t="s">
        <v>235</v>
      </c>
      <c r="D86" s="94" t="s">
        <v>38</v>
      </c>
      <c r="E86" s="165">
        <f>+E87</f>
        <v>35.5</v>
      </c>
      <c r="F86" s="165">
        <f>+F87</f>
        <v>34.1</v>
      </c>
      <c r="G86" s="53"/>
      <c r="H86" s="53"/>
    </row>
    <row r="87" spans="1:8" ht="12.6" customHeight="1" x14ac:dyDescent="0.2">
      <c r="A87" s="93">
        <v>72</v>
      </c>
      <c r="B87" s="94"/>
      <c r="C87" s="167" t="s">
        <v>3</v>
      </c>
      <c r="D87" s="94"/>
      <c r="E87" s="96">
        <v>35.5</v>
      </c>
      <c r="F87" s="96">
        <v>34.1</v>
      </c>
      <c r="G87" s="53"/>
      <c r="H87" s="53"/>
    </row>
    <row r="88" spans="1:8" ht="12.6" customHeight="1" x14ac:dyDescent="0.2">
      <c r="A88" s="93">
        <v>73</v>
      </c>
      <c r="B88" s="94" t="s">
        <v>184</v>
      </c>
      <c r="C88" s="164" t="s">
        <v>236</v>
      </c>
      <c r="D88" s="98" t="s">
        <v>237</v>
      </c>
      <c r="E88" s="165">
        <f>+E89</f>
        <v>57.8</v>
      </c>
      <c r="F88" s="165">
        <f>+F89</f>
        <v>21.7</v>
      </c>
      <c r="G88" s="53"/>
      <c r="H88" s="53"/>
    </row>
    <row r="89" spans="1:8" ht="12.6" customHeight="1" x14ac:dyDescent="0.2">
      <c r="A89" s="93">
        <v>74</v>
      </c>
      <c r="B89" s="94"/>
      <c r="C89" s="167" t="s">
        <v>3</v>
      </c>
      <c r="D89" s="94"/>
      <c r="E89" s="6">
        <v>57.8</v>
      </c>
      <c r="F89" s="6">
        <v>21.7</v>
      </c>
      <c r="G89" s="53"/>
      <c r="H89" s="53"/>
    </row>
    <row r="90" spans="1:8" ht="12.6" customHeight="1" x14ac:dyDescent="0.2">
      <c r="A90" s="93">
        <v>75</v>
      </c>
      <c r="B90" s="94" t="s">
        <v>238</v>
      </c>
      <c r="C90" s="169" t="s">
        <v>239</v>
      </c>
      <c r="D90" s="94" t="s">
        <v>38</v>
      </c>
      <c r="E90" s="165">
        <f>+E91</f>
        <v>9</v>
      </c>
      <c r="F90" s="165">
        <f>+F91</f>
        <v>8.9</v>
      </c>
      <c r="G90" s="53"/>
      <c r="H90" s="53"/>
    </row>
    <row r="91" spans="1:8" ht="12.6" customHeight="1" x14ac:dyDescent="0.2">
      <c r="A91" s="93">
        <v>76</v>
      </c>
      <c r="B91" s="94"/>
      <c r="C91" s="167" t="s">
        <v>3</v>
      </c>
      <c r="D91" s="94"/>
      <c r="E91" s="96">
        <v>9</v>
      </c>
      <c r="F91" s="96">
        <v>8.9</v>
      </c>
      <c r="G91" s="53"/>
      <c r="H91" s="53"/>
    </row>
    <row r="92" spans="1:8" ht="12.6" customHeight="1" x14ac:dyDescent="0.2">
      <c r="A92" s="93">
        <v>77</v>
      </c>
      <c r="B92" s="94" t="s">
        <v>240</v>
      </c>
      <c r="C92" s="164" t="s">
        <v>241</v>
      </c>
      <c r="D92" s="98" t="s">
        <v>242</v>
      </c>
      <c r="E92" s="168">
        <f>+E93</f>
        <v>32.6</v>
      </c>
      <c r="F92" s="168">
        <f>+F93</f>
        <v>28.7</v>
      </c>
      <c r="G92" s="53"/>
      <c r="H92" s="53"/>
    </row>
    <row r="93" spans="1:8" ht="12.6" customHeight="1" x14ac:dyDescent="0.2">
      <c r="A93" s="93">
        <v>78</v>
      </c>
      <c r="B93" s="94"/>
      <c r="C93" s="167" t="s">
        <v>3</v>
      </c>
      <c r="D93" s="94"/>
      <c r="E93" s="96">
        <v>32.6</v>
      </c>
      <c r="F93" s="96">
        <v>28.7</v>
      </c>
      <c r="G93" s="53"/>
      <c r="H93" s="53"/>
    </row>
    <row r="94" spans="1:8" ht="12.6" customHeight="1" x14ac:dyDescent="0.2">
      <c r="A94" s="93">
        <v>79</v>
      </c>
      <c r="B94" s="94" t="s">
        <v>392</v>
      </c>
      <c r="C94" s="169" t="s">
        <v>244</v>
      </c>
      <c r="D94" s="94" t="s">
        <v>38</v>
      </c>
      <c r="E94" s="168">
        <f>+E95</f>
        <v>19.5</v>
      </c>
      <c r="F94" s="168">
        <f>+F95</f>
        <v>19.2</v>
      </c>
      <c r="G94" s="53"/>
      <c r="H94" s="53"/>
    </row>
    <row r="95" spans="1:8" ht="12.6" customHeight="1" x14ac:dyDescent="0.2">
      <c r="A95" s="93">
        <v>80</v>
      </c>
      <c r="B95" s="94"/>
      <c r="C95" s="167" t="s">
        <v>3</v>
      </c>
      <c r="D95" s="94"/>
      <c r="E95" s="96">
        <v>19.5</v>
      </c>
      <c r="F95" s="96">
        <v>19.2</v>
      </c>
      <c r="G95" s="53"/>
      <c r="H95" s="53"/>
    </row>
    <row r="96" spans="1:8" ht="12.6" customHeight="1" x14ac:dyDescent="0.2">
      <c r="A96" s="93">
        <v>81</v>
      </c>
      <c r="B96" s="94" t="s">
        <v>243</v>
      </c>
      <c r="C96" s="164" t="s">
        <v>246</v>
      </c>
      <c r="D96" s="94" t="s">
        <v>38</v>
      </c>
      <c r="E96" s="168">
        <f>+E97</f>
        <v>12.2</v>
      </c>
      <c r="F96" s="168">
        <f>+F97</f>
        <v>11.5</v>
      </c>
      <c r="G96" s="53"/>
      <c r="H96" s="53"/>
    </row>
    <row r="97" spans="1:8" ht="12.6" customHeight="1" x14ac:dyDescent="0.2">
      <c r="A97" s="93">
        <v>82</v>
      </c>
      <c r="B97" s="94"/>
      <c r="C97" s="167" t="s">
        <v>3</v>
      </c>
      <c r="D97" s="94"/>
      <c r="E97" s="96">
        <v>12.2</v>
      </c>
      <c r="F97" s="96">
        <v>11.5</v>
      </c>
      <c r="G97" s="53"/>
      <c r="H97" s="53"/>
    </row>
    <row r="98" spans="1:8" ht="12.6" customHeight="1" x14ac:dyDescent="0.2">
      <c r="A98" s="93">
        <v>83</v>
      </c>
      <c r="B98" s="94" t="s">
        <v>245</v>
      </c>
      <c r="C98" s="169" t="s">
        <v>669</v>
      </c>
      <c r="D98" s="94" t="s">
        <v>233</v>
      </c>
      <c r="E98" s="168">
        <f>+E99</f>
        <v>1.2</v>
      </c>
      <c r="F98" s="168">
        <f>+F99</f>
        <v>1.2</v>
      </c>
      <c r="G98" s="53"/>
      <c r="H98" s="53"/>
    </row>
    <row r="99" spans="1:8" ht="12.6" customHeight="1" x14ac:dyDescent="0.2">
      <c r="A99" s="93">
        <v>84</v>
      </c>
      <c r="B99" s="94"/>
      <c r="C99" s="167" t="s">
        <v>3</v>
      </c>
      <c r="D99" s="94"/>
      <c r="E99" s="96">
        <v>1.2</v>
      </c>
      <c r="F99" s="96">
        <v>1.2</v>
      </c>
      <c r="G99" s="53"/>
      <c r="H99" s="53"/>
    </row>
    <row r="100" spans="1:8" ht="12.6" customHeight="1" x14ac:dyDescent="0.2">
      <c r="A100" s="93">
        <v>85</v>
      </c>
      <c r="B100" s="94" t="s">
        <v>247</v>
      </c>
      <c r="C100" s="169" t="s">
        <v>249</v>
      </c>
      <c r="D100" s="94" t="s">
        <v>38</v>
      </c>
      <c r="E100" s="168">
        <f>SUM(E101:E101)</f>
        <v>5</v>
      </c>
      <c r="F100" s="168">
        <f>SUM(F101:F101)</f>
        <v>4.9000000000000004</v>
      </c>
      <c r="G100" s="53"/>
      <c r="H100" s="53"/>
    </row>
    <row r="101" spans="1:8" ht="12.6" customHeight="1" x14ac:dyDescent="0.2">
      <c r="A101" s="93">
        <v>86</v>
      </c>
      <c r="B101" s="89"/>
      <c r="C101" s="97" t="s">
        <v>8</v>
      </c>
      <c r="D101" s="89"/>
      <c r="E101" s="96">
        <v>5</v>
      </c>
      <c r="F101" s="96">
        <v>4.9000000000000004</v>
      </c>
      <c r="G101" s="53"/>
      <c r="H101" s="53"/>
    </row>
    <row r="102" spans="1:8" ht="38.25" x14ac:dyDescent="0.2">
      <c r="A102" s="93">
        <v>87</v>
      </c>
      <c r="B102" s="94" t="s">
        <v>248</v>
      </c>
      <c r="C102" s="114" t="s">
        <v>272</v>
      </c>
      <c r="D102" s="170" t="s">
        <v>271</v>
      </c>
      <c r="E102" s="96">
        <f>+E103</f>
        <v>20.2</v>
      </c>
      <c r="F102" s="96">
        <f>+F103</f>
        <v>19.899999999999999</v>
      </c>
      <c r="G102" s="53"/>
      <c r="H102" s="53"/>
    </row>
    <row r="103" spans="1:8" ht="12.6" customHeight="1" x14ac:dyDescent="0.2">
      <c r="A103" s="93">
        <v>88</v>
      </c>
      <c r="B103" s="94"/>
      <c r="C103" s="154" t="s">
        <v>3</v>
      </c>
      <c r="D103" s="170"/>
      <c r="E103" s="96">
        <v>20.2</v>
      </c>
      <c r="F103" s="96">
        <v>19.899999999999999</v>
      </c>
      <c r="G103" s="53"/>
      <c r="H103" s="53"/>
    </row>
    <row r="104" spans="1:8" ht="12.6" customHeight="1" x14ac:dyDescent="0.2">
      <c r="A104" s="93">
        <v>89</v>
      </c>
      <c r="B104" s="94" t="s">
        <v>758</v>
      </c>
      <c r="C104" s="114" t="s">
        <v>230</v>
      </c>
      <c r="D104" s="94" t="s">
        <v>38</v>
      </c>
      <c r="E104" s="96">
        <f>+E105</f>
        <v>19.899999999999999</v>
      </c>
      <c r="F104" s="96">
        <f>+F105</f>
        <v>11</v>
      </c>
      <c r="G104" s="53"/>
      <c r="H104" s="53"/>
    </row>
    <row r="105" spans="1:8" ht="12.6" customHeight="1" x14ac:dyDescent="0.2">
      <c r="A105" s="93">
        <v>90</v>
      </c>
      <c r="B105" s="94"/>
      <c r="C105" s="97" t="s">
        <v>3</v>
      </c>
      <c r="D105" s="94"/>
      <c r="E105" s="96">
        <v>19.899999999999999</v>
      </c>
      <c r="F105" s="96">
        <v>11</v>
      </c>
      <c r="G105" s="53"/>
      <c r="H105" s="53"/>
    </row>
    <row r="106" spans="1:8" ht="12.6" customHeight="1" x14ac:dyDescent="0.2">
      <c r="A106" s="204">
        <v>91</v>
      </c>
      <c r="B106" s="206"/>
      <c r="C106" s="234" t="s">
        <v>20</v>
      </c>
      <c r="D106" s="206"/>
      <c r="E106" s="104">
        <v>5823</v>
      </c>
      <c r="F106" s="104">
        <v>3486.5</v>
      </c>
      <c r="G106" s="53"/>
      <c r="H106" s="53"/>
    </row>
    <row r="107" spans="1:8" ht="10.5" customHeight="1" x14ac:dyDescent="0.2">
      <c r="A107" s="205"/>
      <c r="B107" s="207"/>
      <c r="C107" s="235"/>
      <c r="D107" s="207"/>
      <c r="E107" s="105">
        <v>5825</v>
      </c>
      <c r="F107" s="105">
        <v>3483.3</v>
      </c>
    </row>
    <row r="108" spans="1:8" x14ac:dyDescent="0.2">
      <c r="C108" s="2" t="s">
        <v>250</v>
      </c>
      <c r="D108" s="142"/>
      <c r="E108" s="171"/>
      <c r="F108" s="171"/>
    </row>
    <row r="109" spans="1:8" x14ac:dyDescent="0.2">
      <c r="E109" s="7"/>
      <c r="F109" s="7"/>
    </row>
    <row r="110" spans="1:8" x14ac:dyDescent="0.2">
      <c r="E110" s="171"/>
      <c r="F110" s="171"/>
    </row>
    <row r="111" spans="1:8" x14ac:dyDescent="0.2">
      <c r="E111" s="171"/>
      <c r="F111" s="171"/>
    </row>
    <row r="113" spans="3:3" x14ac:dyDescent="0.2">
      <c r="C113" s="172"/>
    </row>
    <row r="114" spans="3:3" x14ac:dyDescent="0.2">
      <c r="C114" s="172"/>
    </row>
    <row r="115" spans="3:3" x14ac:dyDescent="0.2">
      <c r="C115" s="78"/>
    </row>
  </sheetData>
  <mergeCells count="34">
    <mergeCell ref="A46:A47"/>
    <mergeCell ref="F48:F49"/>
    <mergeCell ref="A106:A107"/>
    <mergeCell ref="B106:B107"/>
    <mergeCell ref="C106:C107"/>
    <mergeCell ref="D106:D107"/>
    <mergeCell ref="A76:A77"/>
    <mergeCell ref="B76:B77"/>
    <mergeCell ref="D76:D77"/>
    <mergeCell ref="A48:A49"/>
    <mergeCell ref="B48:B49"/>
    <mergeCell ref="C48:C49"/>
    <mergeCell ref="D48:D49"/>
    <mergeCell ref="C2:F2"/>
    <mergeCell ref="A17:A18"/>
    <mergeCell ref="B17:B18"/>
    <mergeCell ref="C17:C18"/>
    <mergeCell ref="D17:D18"/>
    <mergeCell ref="B46:B47"/>
    <mergeCell ref="C46:C47"/>
    <mergeCell ref="D46:D47"/>
    <mergeCell ref="E3:F3"/>
    <mergeCell ref="A5:F5"/>
    <mergeCell ref="E27:E28"/>
    <mergeCell ref="A29:A30"/>
    <mergeCell ref="B29:B30"/>
    <mergeCell ref="C29:C30"/>
    <mergeCell ref="D29:D30"/>
    <mergeCell ref="A27:A28"/>
    <mergeCell ref="B27:B28"/>
    <mergeCell ref="C27:C28"/>
    <mergeCell ref="D27:D28"/>
    <mergeCell ref="F46:F47"/>
    <mergeCell ref="E29:E30"/>
  </mergeCells>
  <pageMargins left="0.70866141732283472" right="0" top="0.74803149606299213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64"/>
  <sheetViews>
    <sheetView zoomScaleNormal="100" workbookViewId="0">
      <selection activeCell="C2" sqref="C2:F2"/>
    </sheetView>
  </sheetViews>
  <sheetFormatPr defaultColWidth="9.140625" defaultRowHeight="12.75" x14ac:dyDescent="0.2"/>
  <cols>
    <col min="1" max="1" width="4.7109375" style="2" customWidth="1"/>
    <col min="2" max="2" width="7" style="80" customWidth="1"/>
    <col min="3" max="3" width="48.140625" style="173" customWidth="1"/>
    <col min="4" max="4" width="10.5703125" style="79" customWidth="1"/>
    <col min="5" max="5" width="10.42578125" style="78" customWidth="1"/>
    <col min="6" max="6" width="11.28515625" style="78" customWidth="1"/>
    <col min="7" max="8" width="9.140625" style="53"/>
    <col min="9" max="16384" width="9.140625" style="1"/>
  </cols>
  <sheetData>
    <row r="1" spans="1:8" ht="15.75" x14ac:dyDescent="0.25">
      <c r="C1" s="9"/>
      <c r="D1" s="9"/>
      <c r="E1" s="9"/>
      <c r="F1" s="9"/>
    </row>
    <row r="2" spans="1:8" ht="15" customHeight="1" x14ac:dyDescent="0.25">
      <c r="C2" s="219" t="s">
        <v>936</v>
      </c>
      <c r="D2" s="219"/>
      <c r="E2" s="219"/>
      <c r="F2" s="219"/>
    </row>
    <row r="3" spans="1:8" ht="15.75" x14ac:dyDescent="0.25">
      <c r="C3" s="41"/>
      <c r="D3" s="41"/>
      <c r="E3" s="220" t="s">
        <v>327</v>
      </c>
      <c r="F3" s="220"/>
    </row>
    <row r="4" spans="1:8" ht="15.75" x14ac:dyDescent="0.2">
      <c r="E4" s="5"/>
      <c r="F4" s="5"/>
    </row>
    <row r="5" spans="1:8" ht="35.25" customHeight="1" x14ac:dyDescent="0.2">
      <c r="A5" s="254" t="s">
        <v>536</v>
      </c>
      <c r="B5" s="254"/>
      <c r="C5" s="254"/>
      <c r="D5" s="254"/>
      <c r="E5" s="254"/>
      <c r="F5" s="254"/>
    </row>
    <row r="6" spans="1:8" x14ac:dyDescent="0.2">
      <c r="A6" s="174"/>
      <c r="B6" s="174"/>
      <c r="C6" s="174"/>
      <c r="D6" s="174"/>
      <c r="E6" s="174"/>
      <c r="F6" s="174"/>
    </row>
    <row r="7" spans="1:8" x14ac:dyDescent="0.2">
      <c r="A7" s="175"/>
      <c r="B7" s="176"/>
      <c r="C7" s="177"/>
      <c r="D7" s="178"/>
      <c r="E7" s="179"/>
      <c r="F7" s="82" t="s">
        <v>129</v>
      </c>
    </row>
    <row r="8" spans="1:8" ht="38.25" x14ac:dyDescent="0.2">
      <c r="A8" s="83" t="s">
        <v>118</v>
      </c>
      <c r="B8" s="84" t="s">
        <v>326</v>
      </c>
      <c r="C8" s="83" t="s">
        <v>16</v>
      </c>
      <c r="D8" s="84" t="s">
        <v>55</v>
      </c>
      <c r="E8" s="83" t="s">
        <v>17</v>
      </c>
      <c r="F8" s="83" t="s">
        <v>29</v>
      </c>
    </row>
    <row r="9" spans="1:8" s="147" customFormat="1" ht="12.75" customHeight="1" x14ac:dyDescent="0.2">
      <c r="A9" s="85">
        <v>1</v>
      </c>
      <c r="B9" s="86" t="s">
        <v>18</v>
      </c>
      <c r="C9" s="83">
        <v>3</v>
      </c>
      <c r="D9" s="84">
        <v>4</v>
      </c>
      <c r="E9" s="83">
        <v>5</v>
      </c>
      <c r="F9" s="83">
        <v>6</v>
      </c>
      <c r="G9" s="162"/>
      <c r="H9" s="162"/>
    </row>
    <row r="10" spans="1:8" s="147" customFormat="1" ht="12.75" customHeight="1" x14ac:dyDescent="0.2">
      <c r="A10" s="204">
        <v>1</v>
      </c>
      <c r="B10" s="209" t="s">
        <v>56</v>
      </c>
      <c r="C10" s="222" t="s">
        <v>57</v>
      </c>
      <c r="D10" s="206"/>
      <c r="E10" s="255">
        <f>+E12+E15+E18+E21+E39</f>
        <v>1028.4000000000001</v>
      </c>
      <c r="F10" s="90">
        <v>35.200000000000003</v>
      </c>
      <c r="G10" s="162"/>
      <c r="H10" s="162"/>
    </row>
    <row r="11" spans="1:8" s="147" customFormat="1" ht="12.75" customHeight="1" x14ac:dyDescent="0.2">
      <c r="A11" s="205"/>
      <c r="B11" s="211"/>
      <c r="C11" s="223"/>
      <c r="D11" s="207"/>
      <c r="E11" s="256"/>
      <c r="F11" s="92">
        <v>21.9</v>
      </c>
      <c r="G11" s="162"/>
      <c r="H11" s="162"/>
    </row>
    <row r="12" spans="1:8" s="147" customFormat="1" ht="12.75" customHeight="1" x14ac:dyDescent="0.2">
      <c r="A12" s="93">
        <v>2</v>
      </c>
      <c r="B12" s="98" t="s">
        <v>268</v>
      </c>
      <c r="C12" s="180" t="s">
        <v>753</v>
      </c>
      <c r="D12" s="111"/>
      <c r="E12" s="168">
        <f>+E13+E14</f>
        <v>261.60000000000002</v>
      </c>
      <c r="F12" s="168">
        <f>+F13+F14</f>
        <v>0</v>
      </c>
      <c r="G12" s="162"/>
      <c r="H12" s="53"/>
    </row>
    <row r="13" spans="1:8" s="147" customFormat="1" ht="12.75" customHeight="1" x14ac:dyDescent="0.2">
      <c r="A13" s="93">
        <v>3</v>
      </c>
      <c r="B13" s="94"/>
      <c r="C13" s="154" t="s">
        <v>203</v>
      </c>
      <c r="D13" s="98" t="s">
        <v>754</v>
      </c>
      <c r="E13" s="96">
        <f>253.8+7.8</f>
        <v>261.60000000000002</v>
      </c>
      <c r="F13" s="96"/>
      <c r="G13" s="162"/>
      <c r="H13" s="162"/>
    </row>
    <row r="14" spans="1:8" s="147" customFormat="1" ht="12.75" customHeight="1" x14ac:dyDescent="0.2">
      <c r="A14" s="93">
        <v>4</v>
      </c>
      <c r="B14" s="94"/>
      <c r="C14" s="3" t="s">
        <v>755</v>
      </c>
      <c r="D14" s="98" t="s">
        <v>756</v>
      </c>
      <c r="E14" s="96">
        <f>7.8-7.8</f>
        <v>0</v>
      </c>
      <c r="F14" s="96">
        <f>7.7-7.7</f>
        <v>0</v>
      </c>
      <c r="G14" s="162"/>
      <c r="H14" s="162"/>
    </row>
    <row r="15" spans="1:8" s="147" customFormat="1" ht="12.75" customHeight="1" x14ac:dyDescent="0.2">
      <c r="A15" s="93">
        <v>5</v>
      </c>
      <c r="B15" s="94" t="s">
        <v>269</v>
      </c>
      <c r="C15" s="180" t="s">
        <v>850</v>
      </c>
      <c r="D15" s="111"/>
      <c r="E15" s="168">
        <f>+E16</f>
        <v>484</v>
      </c>
      <c r="F15" s="168">
        <f>+F16</f>
        <v>0</v>
      </c>
      <c r="G15" s="162"/>
      <c r="H15" s="162"/>
    </row>
    <row r="16" spans="1:8" s="147" customFormat="1" ht="12.75" customHeight="1" x14ac:dyDescent="0.2">
      <c r="A16" s="93">
        <v>6</v>
      </c>
      <c r="B16" s="94"/>
      <c r="C16" s="97" t="s">
        <v>755</v>
      </c>
      <c r="D16" s="94"/>
      <c r="E16" s="96">
        <f>+E17</f>
        <v>484</v>
      </c>
      <c r="F16" s="96">
        <f>+F17</f>
        <v>0</v>
      </c>
      <c r="G16" s="162"/>
      <c r="H16" s="162"/>
    </row>
    <row r="17" spans="1:8" s="147" customFormat="1" ht="27" customHeight="1" x14ac:dyDescent="0.2">
      <c r="A17" s="93">
        <v>7</v>
      </c>
      <c r="B17" s="94"/>
      <c r="C17" s="154" t="s">
        <v>848</v>
      </c>
      <c r="D17" s="94" t="s">
        <v>60</v>
      </c>
      <c r="E17" s="96">
        <v>484</v>
      </c>
      <c r="F17" s="96"/>
      <c r="G17" s="162"/>
      <c r="H17" s="162"/>
    </row>
    <row r="18" spans="1:8" s="147" customFormat="1" ht="27" customHeight="1" x14ac:dyDescent="0.2">
      <c r="A18" s="93">
        <v>8</v>
      </c>
      <c r="B18" s="94" t="s">
        <v>867</v>
      </c>
      <c r="C18" s="180" t="s">
        <v>870</v>
      </c>
      <c r="D18" s="94"/>
      <c r="E18" s="168">
        <f>+E19</f>
        <v>232</v>
      </c>
      <c r="F18" s="168">
        <f>+F19</f>
        <v>0</v>
      </c>
      <c r="G18" s="162"/>
      <c r="H18" s="162"/>
    </row>
    <row r="19" spans="1:8" s="147" customFormat="1" ht="14.25" customHeight="1" x14ac:dyDescent="0.2">
      <c r="A19" s="93">
        <v>9</v>
      </c>
      <c r="B19" s="94"/>
      <c r="C19" s="97" t="s">
        <v>755</v>
      </c>
      <c r="D19" s="94"/>
      <c r="E19" s="96">
        <f>+E20</f>
        <v>232</v>
      </c>
      <c r="F19" s="96">
        <f>+F20</f>
        <v>0</v>
      </c>
      <c r="G19" s="162"/>
      <c r="H19" s="162"/>
    </row>
    <row r="20" spans="1:8" s="147" customFormat="1" ht="27" customHeight="1" x14ac:dyDescent="0.2">
      <c r="A20" s="93">
        <v>10</v>
      </c>
      <c r="B20" s="94"/>
      <c r="C20" s="154" t="s">
        <v>869</v>
      </c>
      <c r="D20" s="94" t="s">
        <v>206</v>
      </c>
      <c r="E20" s="96">
        <v>232</v>
      </c>
      <c r="F20" s="96"/>
      <c r="G20" s="162"/>
      <c r="H20" s="162"/>
    </row>
    <row r="21" spans="1:8" s="147" customFormat="1" ht="38.25" x14ac:dyDescent="0.2">
      <c r="A21" s="93">
        <v>11</v>
      </c>
      <c r="B21" s="94" t="s">
        <v>872</v>
      </c>
      <c r="C21" s="114" t="s">
        <v>866</v>
      </c>
      <c r="D21" s="94"/>
      <c r="E21" s="168">
        <f>SUM(E22:E38)</f>
        <v>37.200000000000003</v>
      </c>
      <c r="F21" s="168">
        <f>SUM(F22:F38)</f>
        <v>21.900000000000002</v>
      </c>
      <c r="G21" s="162"/>
      <c r="H21" s="162"/>
    </row>
    <row r="22" spans="1:8" s="147" customFormat="1" ht="12.75" customHeight="1" x14ac:dyDescent="0.2">
      <c r="A22" s="93">
        <v>12</v>
      </c>
      <c r="B22" s="94"/>
      <c r="C22" s="99" t="s">
        <v>166</v>
      </c>
      <c r="D22" s="94" t="s">
        <v>58</v>
      </c>
      <c r="E22" s="96">
        <f>1.9+1.8</f>
        <v>3.7</v>
      </c>
      <c r="F22" s="96">
        <f>0.3+0.2</f>
        <v>0.5</v>
      </c>
      <c r="G22" s="162"/>
      <c r="H22" s="162"/>
    </row>
    <row r="23" spans="1:8" s="147" customFormat="1" ht="12.75" customHeight="1" x14ac:dyDescent="0.2">
      <c r="A23" s="93">
        <v>13</v>
      </c>
      <c r="B23" s="94"/>
      <c r="C23" s="99" t="s">
        <v>157</v>
      </c>
      <c r="D23" s="94" t="s">
        <v>58</v>
      </c>
      <c r="E23" s="96">
        <f>0.7+0.7</f>
        <v>1.4</v>
      </c>
      <c r="F23" s="96">
        <f>0.1+0.1</f>
        <v>0.2</v>
      </c>
      <c r="G23" s="162"/>
      <c r="H23" s="162"/>
    </row>
    <row r="24" spans="1:8" s="147" customFormat="1" ht="12.75" customHeight="1" x14ac:dyDescent="0.2">
      <c r="A24" s="93">
        <v>14</v>
      </c>
      <c r="B24" s="94"/>
      <c r="C24" s="99" t="s">
        <v>158</v>
      </c>
      <c r="D24" s="94" t="s">
        <v>58</v>
      </c>
      <c r="E24" s="96">
        <f>0.7+0.5</f>
        <v>1.2</v>
      </c>
      <c r="F24" s="96">
        <f>0.1+0.1</f>
        <v>0.2</v>
      </c>
      <c r="G24" s="162"/>
      <c r="H24" s="162"/>
    </row>
    <row r="25" spans="1:8" s="147" customFormat="1" ht="12.75" customHeight="1" x14ac:dyDescent="0.2">
      <c r="A25" s="93">
        <v>15</v>
      </c>
      <c r="B25" s="94"/>
      <c r="C25" s="99" t="s">
        <v>159</v>
      </c>
      <c r="D25" s="94" t="s">
        <v>58</v>
      </c>
      <c r="E25" s="96">
        <f>1+1</f>
        <v>2</v>
      </c>
      <c r="F25" s="96">
        <f>0.4+0.4</f>
        <v>0.8</v>
      </c>
      <c r="G25" s="162"/>
      <c r="H25" s="162"/>
    </row>
    <row r="26" spans="1:8" s="147" customFormat="1" ht="12.75" customHeight="1" x14ac:dyDescent="0.2">
      <c r="A26" s="93">
        <v>16</v>
      </c>
      <c r="B26" s="94"/>
      <c r="C26" s="99" t="s">
        <v>160</v>
      </c>
      <c r="D26" s="94" t="s">
        <v>58</v>
      </c>
      <c r="E26" s="96">
        <f>2.6+2.6</f>
        <v>5.2</v>
      </c>
      <c r="F26" s="96">
        <f>1.4+1.3</f>
        <v>2.7</v>
      </c>
      <c r="G26" s="162"/>
      <c r="H26" s="162"/>
    </row>
    <row r="27" spans="1:8" s="147" customFormat="1" ht="12.75" customHeight="1" x14ac:dyDescent="0.2">
      <c r="A27" s="93">
        <v>17</v>
      </c>
      <c r="B27" s="94"/>
      <c r="C27" s="99" t="s">
        <v>161</v>
      </c>
      <c r="D27" s="94" t="s">
        <v>58</v>
      </c>
      <c r="E27" s="96">
        <f>0.7+1.2</f>
        <v>1.9</v>
      </c>
      <c r="F27" s="96">
        <f>0.1+0.4</f>
        <v>0.5</v>
      </c>
      <c r="G27" s="162"/>
      <c r="H27" s="162"/>
    </row>
    <row r="28" spans="1:8" s="147" customFormat="1" ht="12.75" customHeight="1" x14ac:dyDescent="0.2">
      <c r="A28" s="93">
        <v>18</v>
      </c>
      <c r="B28" s="94"/>
      <c r="C28" s="99" t="s">
        <v>165</v>
      </c>
      <c r="D28" s="89" t="s">
        <v>60</v>
      </c>
      <c r="E28" s="96">
        <f>0.6+1.3</f>
        <v>1.9</v>
      </c>
      <c r="F28" s="96">
        <f>0.6+1.2</f>
        <v>1.7999999999999998</v>
      </c>
      <c r="G28" s="162"/>
      <c r="H28" s="162"/>
    </row>
    <row r="29" spans="1:8" s="147" customFormat="1" ht="12.75" customHeight="1" x14ac:dyDescent="0.2">
      <c r="A29" s="93">
        <v>19</v>
      </c>
      <c r="B29" s="94"/>
      <c r="C29" s="155" t="s">
        <v>134</v>
      </c>
      <c r="D29" s="89" t="s">
        <v>60</v>
      </c>
      <c r="E29" s="96">
        <f>0.6+0.2</f>
        <v>0.8</v>
      </c>
      <c r="F29" s="96">
        <f>0.3+0.1</f>
        <v>0.4</v>
      </c>
      <c r="G29" s="162"/>
      <c r="H29" s="162"/>
    </row>
    <row r="30" spans="1:8" s="147" customFormat="1" ht="12.75" customHeight="1" x14ac:dyDescent="0.2">
      <c r="A30" s="93">
        <v>20</v>
      </c>
      <c r="B30" s="94"/>
      <c r="C30" s="155" t="s">
        <v>135</v>
      </c>
      <c r="D30" s="89" t="s">
        <v>60</v>
      </c>
      <c r="E30" s="96">
        <f>0.2+0.1</f>
        <v>0.30000000000000004</v>
      </c>
      <c r="F30" s="96">
        <v>0.1</v>
      </c>
      <c r="G30" s="162"/>
      <c r="H30" s="162"/>
    </row>
    <row r="31" spans="1:8" s="147" customFormat="1" ht="12.75" customHeight="1" x14ac:dyDescent="0.2">
      <c r="A31" s="93">
        <v>21</v>
      </c>
      <c r="B31" s="94"/>
      <c r="C31" s="155" t="s">
        <v>40</v>
      </c>
      <c r="D31" s="89" t="s">
        <v>60</v>
      </c>
      <c r="E31" s="181">
        <f>0.4+0.3</f>
        <v>0.7</v>
      </c>
      <c r="F31" s="181">
        <v>0.1</v>
      </c>
      <c r="G31" s="162"/>
      <c r="H31" s="162"/>
    </row>
    <row r="32" spans="1:8" s="147" customFormat="1" ht="12.75" customHeight="1" x14ac:dyDescent="0.2">
      <c r="A32" s="93">
        <v>22</v>
      </c>
      <c r="B32" s="94"/>
      <c r="C32" s="99" t="s">
        <v>137</v>
      </c>
      <c r="D32" s="89" t="s">
        <v>60</v>
      </c>
      <c r="E32" s="181">
        <f>2.2+2.2</f>
        <v>4.4000000000000004</v>
      </c>
      <c r="F32" s="181">
        <f>1.9+1.8</f>
        <v>3.7</v>
      </c>
      <c r="G32" s="162"/>
      <c r="H32" s="162"/>
    </row>
    <row r="33" spans="1:8" s="147" customFormat="1" ht="12.75" customHeight="1" x14ac:dyDescent="0.2">
      <c r="A33" s="93">
        <v>23</v>
      </c>
      <c r="B33" s="94"/>
      <c r="C33" s="155" t="s">
        <v>163</v>
      </c>
      <c r="D33" s="89" t="s">
        <v>61</v>
      </c>
      <c r="E33" s="181">
        <f>1.9+3.1</f>
        <v>5</v>
      </c>
      <c r="F33" s="181">
        <f>1.8+3.1</f>
        <v>4.9000000000000004</v>
      </c>
      <c r="G33" s="162"/>
      <c r="H33" s="162"/>
    </row>
    <row r="34" spans="1:8" s="147" customFormat="1" ht="12.75" customHeight="1" x14ac:dyDescent="0.2">
      <c r="A34" s="93">
        <v>24</v>
      </c>
      <c r="B34" s="94"/>
      <c r="C34" s="99" t="s">
        <v>164</v>
      </c>
      <c r="D34" s="100" t="s">
        <v>206</v>
      </c>
      <c r="E34" s="181">
        <f>3.1+1.9</f>
        <v>5</v>
      </c>
      <c r="F34" s="181">
        <f>3+1.9</f>
        <v>4.9000000000000004</v>
      </c>
      <c r="G34" s="162"/>
      <c r="H34" s="162"/>
    </row>
    <row r="35" spans="1:8" s="147" customFormat="1" ht="12.75" customHeight="1" x14ac:dyDescent="0.2">
      <c r="A35" s="93">
        <v>25</v>
      </c>
      <c r="B35" s="94"/>
      <c r="C35" s="155" t="s">
        <v>120</v>
      </c>
      <c r="D35" s="100" t="s">
        <v>206</v>
      </c>
      <c r="E35" s="181">
        <f>0.5+0.5</f>
        <v>1</v>
      </c>
      <c r="F35" s="181">
        <f>0.1+0.1</f>
        <v>0.2</v>
      </c>
      <c r="G35" s="162"/>
      <c r="H35" s="162"/>
    </row>
    <row r="36" spans="1:8" s="147" customFormat="1" ht="12.75" customHeight="1" x14ac:dyDescent="0.2">
      <c r="A36" s="93">
        <v>26</v>
      </c>
      <c r="B36" s="94"/>
      <c r="C36" s="155" t="s">
        <v>136</v>
      </c>
      <c r="D36" s="89" t="s">
        <v>61</v>
      </c>
      <c r="E36" s="181">
        <f>0.7+0.7</f>
        <v>1.4</v>
      </c>
      <c r="F36" s="181">
        <f>0.1+0.1</f>
        <v>0.2</v>
      </c>
      <c r="G36" s="162"/>
      <c r="H36" s="162"/>
    </row>
    <row r="37" spans="1:8" s="147" customFormat="1" ht="12" customHeight="1" x14ac:dyDescent="0.2">
      <c r="A37" s="93">
        <v>27</v>
      </c>
      <c r="B37" s="94"/>
      <c r="C37" s="182" t="s">
        <v>15</v>
      </c>
      <c r="D37" s="94" t="s">
        <v>58</v>
      </c>
      <c r="E37" s="181">
        <f>0.4+0.3</f>
        <v>0.7</v>
      </c>
      <c r="F37" s="181">
        <v>0.1</v>
      </c>
      <c r="G37" s="162"/>
      <c r="H37" s="162"/>
    </row>
    <row r="38" spans="1:8" s="147" customFormat="1" ht="12" customHeight="1" x14ac:dyDescent="0.2">
      <c r="A38" s="93">
        <v>28</v>
      </c>
      <c r="B38" s="94"/>
      <c r="C38" s="182" t="s">
        <v>253</v>
      </c>
      <c r="D38" s="94" t="s">
        <v>58</v>
      </c>
      <c r="E38" s="181">
        <f>0.3+0.3</f>
        <v>0.6</v>
      </c>
      <c r="F38" s="181">
        <f>0.3+0.3</f>
        <v>0.6</v>
      </c>
      <c r="G38" s="162"/>
      <c r="H38" s="162"/>
    </row>
    <row r="39" spans="1:8" s="147" customFormat="1" x14ac:dyDescent="0.2">
      <c r="A39" s="204">
        <v>29</v>
      </c>
      <c r="B39" s="206" t="s">
        <v>880</v>
      </c>
      <c r="C39" s="246" t="s">
        <v>879</v>
      </c>
      <c r="D39" s="206"/>
      <c r="E39" s="257">
        <f>SUM(E41:E51)</f>
        <v>13.600000000000001</v>
      </c>
      <c r="F39" s="183">
        <v>13.3</v>
      </c>
      <c r="G39" s="162"/>
      <c r="H39" s="162"/>
    </row>
    <row r="40" spans="1:8" s="147" customFormat="1" ht="13.5" x14ac:dyDescent="0.2">
      <c r="A40" s="205"/>
      <c r="B40" s="207"/>
      <c r="C40" s="247"/>
      <c r="D40" s="207"/>
      <c r="E40" s="258"/>
      <c r="F40" s="184">
        <v>0</v>
      </c>
      <c r="G40" s="162"/>
      <c r="H40" s="162"/>
    </row>
    <row r="41" spans="1:8" s="147" customFormat="1" ht="12" customHeight="1" x14ac:dyDescent="0.2">
      <c r="A41" s="204">
        <v>30</v>
      </c>
      <c r="B41" s="206"/>
      <c r="C41" s="213" t="s">
        <v>134</v>
      </c>
      <c r="D41" s="206" t="s">
        <v>60</v>
      </c>
      <c r="E41" s="252">
        <v>0.9</v>
      </c>
      <c r="F41" s="104">
        <v>0.9</v>
      </c>
      <c r="G41" s="162"/>
      <c r="H41" s="162"/>
    </row>
    <row r="42" spans="1:8" s="147" customFormat="1" ht="12" customHeight="1" x14ac:dyDescent="0.2">
      <c r="A42" s="205"/>
      <c r="B42" s="207"/>
      <c r="C42" s="214"/>
      <c r="D42" s="207"/>
      <c r="E42" s="253"/>
      <c r="F42" s="105">
        <v>0</v>
      </c>
      <c r="G42" s="162"/>
      <c r="H42" s="162"/>
    </row>
    <row r="43" spans="1:8" s="147" customFormat="1" ht="12" customHeight="1" x14ac:dyDescent="0.2">
      <c r="A43" s="204">
        <v>31</v>
      </c>
      <c r="B43" s="206"/>
      <c r="C43" s="213" t="s">
        <v>40</v>
      </c>
      <c r="D43" s="206" t="s">
        <v>60</v>
      </c>
      <c r="E43" s="252">
        <v>1.8</v>
      </c>
      <c r="F43" s="104">
        <v>1.8</v>
      </c>
      <c r="G43" s="162"/>
      <c r="H43" s="162"/>
    </row>
    <row r="44" spans="1:8" s="147" customFormat="1" ht="12" customHeight="1" x14ac:dyDescent="0.2">
      <c r="A44" s="205"/>
      <c r="B44" s="207"/>
      <c r="C44" s="214"/>
      <c r="D44" s="207"/>
      <c r="E44" s="253"/>
      <c r="F44" s="105">
        <v>0</v>
      </c>
      <c r="G44" s="162"/>
      <c r="H44" s="162"/>
    </row>
    <row r="45" spans="1:8" s="147" customFormat="1" ht="12" customHeight="1" x14ac:dyDescent="0.2">
      <c r="A45" s="204">
        <v>32</v>
      </c>
      <c r="B45" s="206"/>
      <c r="C45" s="213" t="s">
        <v>164</v>
      </c>
      <c r="D45" s="206" t="s">
        <v>61</v>
      </c>
      <c r="E45" s="252">
        <v>3.2</v>
      </c>
      <c r="F45" s="104">
        <v>3.1</v>
      </c>
      <c r="G45" s="162"/>
      <c r="H45" s="162"/>
    </row>
    <row r="46" spans="1:8" s="147" customFormat="1" ht="12" customHeight="1" x14ac:dyDescent="0.2">
      <c r="A46" s="205"/>
      <c r="B46" s="207"/>
      <c r="C46" s="214"/>
      <c r="D46" s="207"/>
      <c r="E46" s="253"/>
      <c r="F46" s="105">
        <v>0</v>
      </c>
      <c r="G46" s="162"/>
      <c r="H46" s="162"/>
    </row>
    <row r="47" spans="1:8" x14ac:dyDescent="0.2">
      <c r="A47" s="204">
        <v>33</v>
      </c>
      <c r="B47" s="206"/>
      <c r="C47" s="213" t="s">
        <v>41</v>
      </c>
      <c r="D47" s="206" t="s">
        <v>61</v>
      </c>
      <c r="E47" s="252">
        <v>2.1</v>
      </c>
      <c r="F47" s="104">
        <v>2.1</v>
      </c>
      <c r="G47" s="162"/>
      <c r="H47" s="162"/>
    </row>
    <row r="48" spans="1:8" x14ac:dyDescent="0.2">
      <c r="A48" s="205"/>
      <c r="B48" s="207"/>
      <c r="C48" s="214"/>
      <c r="D48" s="207"/>
      <c r="E48" s="253"/>
      <c r="F48" s="105">
        <v>0</v>
      </c>
      <c r="G48" s="162"/>
      <c r="H48" s="162"/>
    </row>
    <row r="49" spans="1:8" s="147" customFormat="1" ht="12" customHeight="1" x14ac:dyDescent="0.2">
      <c r="A49" s="204">
        <v>34</v>
      </c>
      <c r="B49" s="206"/>
      <c r="C49" s="213" t="s">
        <v>42</v>
      </c>
      <c r="D49" s="206" t="s">
        <v>61</v>
      </c>
      <c r="E49" s="252">
        <v>1.8</v>
      </c>
      <c r="F49" s="104">
        <v>1.7</v>
      </c>
      <c r="G49" s="162"/>
      <c r="H49" s="162"/>
    </row>
    <row r="50" spans="1:8" s="147" customFormat="1" ht="12" customHeight="1" x14ac:dyDescent="0.2">
      <c r="A50" s="205"/>
      <c r="B50" s="207"/>
      <c r="C50" s="214"/>
      <c r="D50" s="207"/>
      <c r="E50" s="253"/>
      <c r="F50" s="105">
        <v>0</v>
      </c>
      <c r="G50" s="162"/>
      <c r="H50" s="162"/>
    </row>
    <row r="51" spans="1:8" s="147" customFormat="1" ht="29.25" customHeight="1" x14ac:dyDescent="0.2">
      <c r="A51" s="204">
        <v>35</v>
      </c>
      <c r="B51" s="206"/>
      <c r="C51" s="213" t="s">
        <v>111</v>
      </c>
      <c r="D51" s="228" t="s">
        <v>323</v>
      </c>
      <c r="E51" s="252">
        <v>3.8</v>
      </c>
      <c r="F51" s="104">
        <v>3.7</v>
      </c>
      <c r="G51" s="162"/>
      <c r="H51" s="162"/>
    </row>
    <row r="52" spans="1:8" s="147" customFormat="1" ht="20.25" customHeight="1" x14ac:dyDescent="0.2">
      <c r="A52" s="205"/>
      <c r="B52" s="207"/>
      <c r="C52" s="214"/>
      <c r="D52" s="229"/>
      <c r="E52" s="253"/>
      <c r="F52" s="105">
        <v>0</v>
      </c>
      <c r="G52" s="162"/>
      <c r="H52" s="162"/>
    </row>
    <row r="53" spans="1:8" ht="18" customHeight="1" x14ac:dyDescent="0.2">
      <c r="A53" s="204">
        <v>36</v>
      </c>
      <c r="B53" s="209" t="s">
        <v>21</v>
      </c>
      <c r="C53" s="222" t="s">
        <v>22</v>
      </c>
      <c r="D53" s="206"/>
      <c r="E53" s="90">
        <v>2215.5</v>
      </c>
      <c r="F53" s="90">
        <v>53.6</v>
      </c>
    </row>
    <row r="54" spans="1:8" ht="18" customHeight="1" x14ac:dyDescent="0.2">
      <c r="A54" s="205"/>
      <c r="B54" s="211"/>
      <c r="C54" s="223"/>
      <c r="D54" s="207"/>
      <c r="E54" s="92">
        <v>2355.5</v>
      </c>
      <c r="F54" s="92">
        <v>197.4</v>
      </c>
    </row>
    <row r="55" spans="1:8" ht="12.75" customHeight="1" x14ac:dyDescent="0.2">
      <c r="A55" s="93">
        <v>37</v>
      </c>
      <c r="B55" s="94" t="s">
        <v>213</v>
      </c>
      <c r="C55" s="180" t="s">
        <v>581</v>
      </c>
      <c r="D55" s="98"/>
      <c r="E55" s="168">
        <f>+E56</f>
        <v>24.7</v>
      </c>
      <c r="F55" s="168">
        <f>+F56</f>
        <v>24.3</v>
      </c>
    </row>
    <row r="56" spans="1:8" x14ac:dyDescent="0.2">
      <c r="A56" s="93">
        <v>38</v>
      </c>
      <c r="B56" s="94"/>
      <c r="C56" s="167" t="s">
        <v>148</v>
      </c>
      <c r="D56" s="98" t="s">
        <v>23</v>
      </c>
      <c r="E56" s="96">
        <v>24.7</v>
      </c>
      <c r="F56" s="96">
        <v>24.3</v>
      </c>
    </row>
    <row r="57" spans="1:8" ht="25.5" x14ac:dyDescent="0.2">
      <c r="A57" s="93">
        <v>39</v>
      </c>
      <c r="B57" s="94" t="s">
        <v>215</v>
      </c>
      <c r="C57" s="180" t="s">
        <v>683</v>
      </c>
      <c r="D57" s="98"/>
      <c r="E57" s="168">
        <f>+E58</f>
        <v>160.69999999999999</v>
      </c>
      <c r="F57" s="168">
        <f>+F58</f>
        <v>3.1</v>
      </c>
    </row>
    <row r="58" spans="1:8" x14ac:dyDescent="0.2">
      <c r="A58" s="93">
        <v>40</v>
      </c>
      <c r="B58" s="94"/>
      <c r="C58" s="167" t="s">
        <v>3</v>
      </c>
      <c r="D58" s="98" t="s">
        <v>23</v>
      </c>
      <c r="E58" s="96">
        <v>160.69999999999999</v>
      </c>
      <c r="F58" s="96">
        <v>3.1</v>
      </c>
    </row>
    <row r="59" spans="1:8" ht="38.25" x14ac:dyDescent="0.2">
      <c r="A59" s="93">
        <v>41</v>
      </c>
      <c r="B59" s="94" t="s">
        <v>217</v>
      </c>
      <c r="C59" s="114" t="s">
        <v>682</v>
      </c>
      <c r="D59" s="185"/>
      <c r="E59" s="168">
        <f>+E60</f>
        <v>102.6</v>
      </c>
      <c r="F59" s="168">
        <f>+F60</f>
        <v>3</v>
      </c>
    </row>
    <row r="60" spans="1:8" x14ac:dyDescent="0.2">
      <c r="A60" s="93">
        <v>42</v>
      </c>
      <c r="B60" s="94"/>
      <c r="C60" s="167" t="s">
        <v>3</v>
      </c>
      <c r="D60" s="98" t="s">
        <v>660</v>
      </c>
      <c r="E60" s="96">
        <v>102.6</v>
      </c>
      <c r="F60" s="96">
        <v>3</v>
      </c>
    </row>
    <row r="61" spans="1:8" x14ac:dyDescent="0.2">
      <c r="A61" s="204">
        <v>43</v>
      </c>
      <c r="B61" s="206" t="s">
        <v>220</v>
      </c>
      <c r="C61" s="246" t="s">
        <v>712</v>
      </c>
      <c r="D61" s="206"/>
      <c r="E61" s="104">
        <f>+E63</f>
        <v>132.80000000000001</v>
      </c>
      <c r="F61" s="104">
        <f>+F63</f>
        <v>2.6</v>
      </c>
    </row>
    <row r="62" spans="1:8" x14ac:dyDescent="0.2">
      <c r="A62" s="205"/>
      <c r="B62" s="207"/>
      <c r="C62" s="247"/>
      <c r="D62" s="207"/>
      <c r="E62" s="105">
        <v>67.7</v>
      </c>
      <c r="F62" s="105">
        <v>1.3</v>
      </c>
    </row>
    <row r="63" spans="1:8" x14ac:dyDescent="0.2">
      <c r="A63" s="204">
        <v>44</v>
      </c>
      <c r="B63" s="206"/>
      <c r="C63" s="213" t="s">
        <v>3</v>
      </c>
      <c r="D63" s="206" t="s">
        <v>660</v>
      </c>
      <c r="E63" s="104">
        <v>132.80000000000001</v>
      </c>
      <c r="F63" s="104">
        <v>2.6</v>
      </c>
    </row>
    <row r="64" spans="1:8" x14ac:dyDescent="0.2">
      <c r="A64" s="205"/>
      <c r="B64" s="207"/>
      <c r="C64" s="214"/>
      <c r="D64" s="207"/>
      <c r="E64" s="105">
        <v>67.7</v>
      </c>
      <c r="F64" s="105">
        <v>1.3</v>
      </c>
    </row>
    <row r="65" spans="1:10" ht="25.5" x14ac:dyDescent="0.2">
      <c r="A65" s="93">
        <v>45</v>
      </c>
      <c r="B65" s="94" t="s">
        <v>222</v>
      </c>
      <c r="C65" s="114" t="s">
        <v>713</v>
      </c>
      <c r="D65" s="185"/>
      <c r="E65" s="168">
        <f>+E66</f>
        <v>0.7</v>
      </c>
      <c r="F65" s="168">
        <f>+F66</f>
        <v>0</v>
      </c>
    </row>
    <row r="66" spans="1:10" x14ac:dyDescent="0.2">
      <c r="A66" s="93">
        <v>46</v>
      </c>
      <c r="B66" s="94"/>
      <c r="C66" s="97" t="s">
        <v>3</v>
      </c>
      <c r="D66" s="98" t="s">
        <v>660</v>
      </c>
      <c r="E66" s="96">
        <v>0.7</v>
      </c>
      <c r="F66" s="96"/>
    </row>
    <row r="67" spans="1:10" ht="63.75" x14ac:dyDescent="0.2">
      <c r="A67" s="93">
        <v>47</v>
      </c>
      <c r="B67" s="94" t="s">
        <v>397</v>
      </c>
      <c r="C67" s="114" t="s">
        <v>729</v>
      </c>
      <c r="D67" s="185"/>
      <c r="E67" s="168">
        <f>+E68</f>
        <v>1.6</v>
      </c>
      <c r="F67" s="168">
        <f>+F68</f>
        <v>0</v>
      </c>
    </row>
    <row r="68" spans="1:10" x14ac:dyDescent="0.2">
      <c r="A68" s="93">
        <v>48</v>
      </c>
      <c r="B68" s="94"/>
      <c r="C68" s="97" t="s">
        <v>3</v>
      </c>
      <c r="D68" s="98" t="s">
        <v>660</v>
      </c>
      <c r="E68" s="96">
        <f>0.6+1</f>
        <v>1.6</v>
      </c>
      <c r="F68" s="96"/>
    </row>
    <row r="69" spans="1:10" ht="38.25" x14ac:dyDescent="0.2">
      <c r="A69" s="93">
        <v>49</v>
      </c>
      <c r="B69" s="94" t="s">
        <v>674</v>
      </c>
      <c r="C69" s="114" t="s">
        <v>748</v>
      </c>
      <c r="D69" s="98"/>
      <c r="E69" s="168">
        <f>+E70</f>
        <v>106.3</v>
      </c>
      <c r="F69" s="168">
        <f>+F70</f>
        <v>1.9000000000000001</v>
      </c>
      <c r="G69" s="1"/>
      <c r="H69" s="1"/>
    </row>
    <row r="70" spans="1:10" x14ac:dyDescent="0.2">
      <c r="A70" s="93">
        <v>50</v>
      </c>
      <c r="B70" s="94"/>
      <c r="C70" s="97" t="s">
        <v>3</v>
      </c>
      <c r="D70" s="98" t="s">
        <v>660</v>
      </c>
      <c r="E70" s="96">
        <f>24.9+22.6+16.5+19+23.3</f>
        <v>106.3</v>
      </c>
      <c r="F70" s="96">
        <f>0.5+0.3+0.3+0.3+0.5</f>
        <v>1.9000000000000001</v>
      </c>
    </row>
    <row r="71" spans="1:10" ht="25.5" x14ac:dyDescent="0.2">
      <c r="A71" s="93">
        <v>51</v>
      </c>
      <c r="B71" s="94" t="s">
        <v>842</v>
      </c>
      <c r="C71" s="114" t="s">
        <v>839</v>
      </c>
      <c r="D71" s="98"/>
      <c r="E71" s="96">
        <f>+E72</f>
        <v>0.1</v>
      </c>
      <c r="F71" s="96">
        <f>+F72</f>
        <v>0</v>
      </c>
    </row>
    <row r="72" spans="1:10" x14ac:dyDescent="0.2">
      <c r="A72" s="93">
        <v>52</v>
      </c>
      <c r="B72" s="94"/>
      <c r="C72" s="97" t="s">
        <v>3</v>
      </c>
      <c r="D72" s="98" t="s">
        <v>660</v>
      </c>
      <c r="E72" s="96">
        <v>0.1</v>
      </c>
      <c r="F72" s="96"/>
    </row>
    <row r="73" spans="1:10" ht="25.5" x14ac:dyDescent="0.2">
      <c r="A73" s="93">
        <v>53</v>
      </c>
      <c r="B73" s="94" t="s">
        <v>843</v>
      </c>
      <c r="C73" s="114" t="s">
        <v>841</v>
      </c>
      <c r="D73" s="98"/>
      <c r="E73" s="96">
        <f>+E74</f>
        <v>28.7</v>
      </c>
      <c r="F73" s="96">
        <f>+F74</f>
        <v>1.1000000000000001</v>
      </c>
    </row>
    <row r="74" spans="1:10" x14ac:dyDescent="0.2">
      <c r="A74" s="93">
        <v>54</v>
      </c>
      <c r="B74" s="94"/>
      <c r="C74" s="97" t="s">
        <v>755</v>
      </c>
      <c r="D74" s="98" t="s">
        <v>660</v>
      </c>
      <c r="E74" s="96">
        <v>28.7</v>
      </c>
      <c r="F74" s="96">
        <v>1.1000000000000001</v>
      </c>
    </row>
    <row r="75" spans="1:10" ht="25.5" x14ac:dyDescent="0.2">
      <c r="A75" s="93">
        <v>55</v>
      </c>
      <c r="B75" s="94" t="s">
        <v>846</v>
      </c>
      <c r="C75" s="180" t="s">
        <v>847</v>
      </c>
      <c r="D75" s="185"/>
      <c r="E75" s="168">
        <f>SUM(E76:E79)</f>
        <v>18</v>
      </c>
      <c r="F75" s="168">
        <f>SUM(F76:F79)</f>
        <v>17.600000000000001</v>
      </c>
    </row>
    <row r="76" spans="1:10" ht="38.25" x14ac:dyDescent="0.2">
      <c r="A76" s="93">
        <v>56</v>
      </c>
      <c r="B76" s="94"/>
      <c r="C76" s="3" t="s">
        <v>1</v>
      </c>
      <c r="D76" s="98" t="s">
        <v>70</v>
      </c>
      <c r="E76" s="96">
        <v>5.2</v>
      </c>
      <c r="F76" s="96">
        <v>5</v>
      </c>
    </row>
    <row r="77" spans="1:10" x14ac:dyDescent="0.2">
      <c r="A77" s="93">
        <v>57</v>
      </c>
      <c r="B77" s="94"/>
      <c r="C77" s="108" t="s">
        <v>2</v>
      </c>
      <c r="D77" s="125" t="s">
        <v>71</v>
      </c>
      <c r="E77" s="96">
        <v>4.5</v>
      </c>
      <c r="F77" s="96">
        <v>4.4000000000000004</v>
      </c>
    </row>
    <row r="78" spans="1:10" x14ac:dyDescent="0.2">
      <c r="A78" s="93">
        <v>58</v>
      </c>
      <c r="B78" s="94"/>
      <c r="C78" s="103" t="s">
        <v>15</v>
      </c>
      <c r="D78" s="98" t="s">
        <v>103</v>
      </c>
      <c r="E78" s="96">
        <v>2.1</v>
      </c>
      <c r="F78" s="96">
        <v>2.1</v>
      </c>
    </row>
    <row r="79" spans="1:10" x14ac:dyDescent="0.2">
      <c r="A79" s="93">
        <v>59</v>
      </c>
      <c r="B79" s="94"/>
      <c r="C79" s="108" t="s">
        <v>148</v>
      </c>
      <c r="D79" s="98" t="s">
        <v>23</v>
      </c>
      <c r="E79" s="96">
        <v>6.2</v>
      </c>
      <c r="F79" s="96">
        <v>6.1</v>
      </c>
    </row>
    <row r="80" spans="1:10" ht="38.25" x14ac:dyDescent="0.2">
      <c r="A80" s="93">
        <v>60</v>
      </c>
      <c r="B80" s="94" t="s">
        <v>889</v>
      </c>
      <c r="C80" s="169" t="s">
        <v>874</v>
      </c>
      <c r="D80" s="98"/>
      <c r="E80" s="168">
        <f>+E81</f>
        <v>1639.3</v>
      </c>
      <c r="F80" s="168">
        <f>+F81</f>
        <v>0</v>
      </c>
      <c r="G80" s="1"/>
      <c r="J80" s="61"/>
    </row>
    <row r="81" spans="1:11" x14ac:dyDescent="0.2">
      <c r="A81" s="93">
        <v>61</v>
      </c>
      <c r="B81" s="94"/>
      <c r="C81" s="97" t="s">
        <v>3</v>
      </c>
      <c r="D81" s="98" t="s">
        <v>660</v>
      </c>
      <c r="E81" s="96">
        <v>1639.3</v>
      </c>
      <c r="F81" s="96"/>
      <c r="G81" s="1"/>
      <c r="J81" s="61"/>
    </row>
    <row r="82" spans="1:11" ht="27.75" customHeight="1" x14ac:dyDescent="0.2">
      <c r="A82" s="204">
        <v>62</v>
      </c>
      <c r="B82" s="206" t="s">
        <v>909</v>
      </c>
      <c r="C82" s="213" t="s">
        <v>912</v>
      </c>
      <c r="D82" s="206"/>
      <c r="E82" s="104">
        <v>0</v>
      </c>
      <c r="F82" s="104">
        <v>0</v>
      </c>
      <c r="G82" s="1"/>
      <c r="J82" s="61"/>
      <c r="K82" s="34"/>
    </row>
    <row r="83" spans="1:11" x14ac:dyDescent="0.2">
      <c r="A83" s="205"/>
      <c r="B83" s="207"/>
      <c r="C83" s="214"/>
      <c r="D83" s="207"/>
      <c r="E83" s="105">
        <v>147.19999999999999</v>
      </c>
      <c r="F83" s="105">
        <v>145.1</v>
      </c>
      <c r="G83" s="1"/>
      <c r="J83" s="61"/>
      <c r="K83" s="34"/>
    </row>
    <row r="84" spans="1:11" ht="24.75" customHeight="1" x14ac:dyDescent="0.2">
      <c r="A84" s="204">
        <v>63</v>
      </c>
      <c r="B84" s="206"/>
      <c r="C84" s="213" t="s">
        <v>1</v>
      </c>
      <c r="D84" s="228" t="s">
        <v>70</v>
      </c>
      <c r="E84" s="104">
        <v>0</v>
      </c>
      <c r="F84" s="104">
        <v>0</v>
      </c>
      <c r="G84" s="1"/>
      <c r="J84" s="61"/>
    </row>
    <row r="85" spans="1:11" ht="13.5" customHeight="1" x14ac:dyDescent="0.2">
      <c r="A85" s="205"/>
      <c r="B85" s="207"/>
      <c r="C85" s="214"/>
      <c r="D85" s="229"/>
      <c r="E85" s="105">
        <v>60.9</v>
      </c>
      <c r="F85" s="105">
        <v>60</v>
      </c>
      <c r="G85" s="1"/>
      <c r="J85" s="61"/>
    </row>
    <row r="86" spans="1:11" ht="12" customHeight="1" x14ac:dyDescent="0.2">
      <c r="A86" s="204">
        <v>64</v>
      </c>
      <c r="B86" s="206"/>
      <c r="C86" s="213" t="s">
        <v>2</v>
      </c>
      <c r="D86" s="206" t="s">
        <v>71</v>
      </c>
      <c r="E86" s="104">
        <v>0</v>
      </c>
      <c r="F86" s="104">
        <v>0</v>
      </c>
      <c r="J86" s="61"/>
    </row>
    <row r="87" spans="1:11" ht="12" customHeight="1" x14ac:dyDescent="0.2">
      <c r="A87" s="205"/>
      <c r="B87" s="207"/>
      <c r="C87" s="214"/>
      <c r="D87" s="207"/>
      <c r="E87" s="105">
        <v>7</v>
      </c>
      <c r="F87" s="105">
        <v>6.9</v>
      </c>
      <c r="J87" s="61"/>
    </row>
    <row r="88" spans="1:11" x14ac:dyDescent="0.2">
      <c r="A88" s="204">
        <v>65</v>
      </c>
      <c r="B88" s="206"/>
      <c r="C88" s="213" t="s">
        <v>15</v>
      </c>
      <c r="D88" s="206" t="s">
        <v>103</v>
      </c>
      <c r="E88" s="104">
        <v>0</v>
      </c>
      <c r="F88" s="104">
        <v>0</v>
      </c>
      <c r="G88" s="1"/>
      <c r="J88" s="61"/>
    </row>
    <row r="89" spans="1:11" x14ac:dyDescent="0.2">
      <c r="A89" s="205"/>
      <c r="B89" s="207"/>
      <c r="C89" s="214"/>
      <c r="D89" s="207"/>
      <c r="E89" s="105">
        <v>12.7</v>
      </c>
      <c r="F89" s="105">
        <v>12.5</v>
      </c>
      <c r="G89" s="1"/>
      <c r="J89" s="61"/>
    </row>
    <row r="90" spans="1:11" x14ac:dyDescent="0.2">
      <c r="A90" s="204">
        <v>66</v>
      </c>
      <c r="B90" s="206"/>
      <c r="C90" s="213" t="s">
        <v>19</v>
      </c>
      <c r="D90" s="206" t="s">
        <v>71</v>
      </c>
      <c r="E90" s="104">
        <v>0</v>
      </c>
      <c r="F90" s="104">
        <v>0</v>
      </c>
      <c r="G90" s="1"/>
      <c r="J90" s="61"/>
    </row>
    <row r="91" spans="1:11" x14ac:dyDescent="0.2">
      <c r="A91" s="205"/>
      <c r="B91" s="207"/>
      <c r="C91" s="214"/>
      <c r="D91" s="207"/>
      <c r="E91" s="105">
        <v>9.5</v>
      </c>
      <c r="F91" s="105">
        <v>9.4</v>
      </c>
      <c r="G91" s="1"/>
      <c r="J91" s="61"/>
    </row>
    <row r="92" spans="1:11" x14ac:dyDescent="0.2">
      <c r="A92" s="204">
        <v>67</v>
      </c>
      <c r="B92" s="206"/>
      <c r="C92" s="213" t="s">
        <v>148</v>
      </c>
      <c r="D92" s="206" t="s">
        <v>23</v>
      </c>
      <c r="E92" s="104">
        <v>0</v>
      </c>
      <c r="F92" s="104">
        <v>0</v>
      </c>
      <c r="G92" s="1"/>
      <c r="J92" s="61"/>
    </row>
    <row r="93" spans="1:11" x14ac:dyDescent="0.2">
      <c r="A93" s="205"/>
      <c r="B93" s="207"/>
      <c r="C93" s="214"/>
      <c r="D93" s="207"/>
      <c r="E93" s="105">
        <v>57.1</v>
      </c>
      <c r="F93" s="105">
        <v>56.3</v>
      </c>
      <c r="G93" s="1"/>
      <c r="J93" s="61"/>
    </row>
    <row r="94" spans="1:11" ht="39" customHeight="1" x14ac:dyDescent="0.2">
      <c r="A94" s="204">
        <v>68</v>
      </c>
      <c r="B94" s="206" t="s">
        <v>919</v>
      </c>
      <c r="C94" s="246" t="s">
        <v>931</v>
      </c>
      <c r="D94" s="206"/>
      <c r="E94" s="104">
        <f>+E96</f>
        <v>0</v>
      </c>
      <c r="F94" s="104"/>
      <c r="G94" s="1"/>
      <c r="J94" s="61"/>
    </row>
    <row r="95" spans="1:11" ht="18" customHeight="1" x14ac:dyDescent="0.2">
      <c r="A95" s="205"/>
      <c r="B95" s="207"/>
      <c r="C95" s="247"/>
      <c r="D95" s="207"/>
      <c r="E95" s="105">
        <v>5.8</v>
      </c>
      <c r="F95" s="105"/>
      <c r="G95" s="1"/>
      <c r="J95" s="61"/>
    </row>
    <row r="96" spans="1:11" x14ac:dyDescent="0.2">
      <c r="A96" s="204">
        <v>69</v>
      </c>
      <c r="B96" s="206"/>
      <c r="C96" s="213" t="s">
        <v>3</v>
      </c>
      <c r="D96" s="206" t="s">
        <v>31</v>
      </c>
      <c r="E96" s="104">
        <v>0</v>
      </c>
      <c r="F96" s="104"/>
      <c r="G96" s="1"/>
      <c r="J96" s="61"/>
    </row>
    <row r="97" spans="1:10" x14ac:dyDescent="0.2">
      <c r="A97" s="205"/>
      <c r="B97" s="207"/>
      <c r="C97" s="214"/>
      <c r="D97" s="207"/>
      <c r="E97" s="105">
        <v>5.8</v>
      </c>
      <c r="F97" s="105"/>
      <c r="G97" s="1"/>
      <c r="J97" s="61"/>
    </row>
    <row r="98" spans="1:10" ht="45.75" customHeight="1" x14ac:dyDescent="0.2">
      <c r="A98" s="204">
        <v>70</v>
      </c>
      <c r="B98" s="206" t="s">
        <v>920</v>
      </c>
      <c r="C98" s="246" t="s">
        <v>932</v>
      </c>
      <c r="D98" s="206"/>
      <c r="E98" s="104">
        <f>+E100</f>
        <v>0</v>
      </c>
      <c r="F98" s="104"/>
      <c r="G98" s="1"/>
      <c r="J98" s="61"/>
    </row>
    <row r="99" spans="1:10" ht="24" customHeight="1" x14ac:dyDescent="0.2">
      <c r="A99" s="205"/>
      <c r="B99" s="207"/>
      <c r="C99" s="247"/>
      <c r="D99" s="207"/>
      <c r="E99" s="105">
        <v>51.7</v>
      </c>
      <c r="F99" s="105"/>
      <c r="G99" s="1"/>
      <c r="J99" s="61"/>
    </row>
    <row r="100" spans="1:10" x14ac:dyDescent="0.2">
      <c r="A100" s="204">
        <v>71</v>
      </c>
      <c r="B100" s="206"/>
      <c r="C100" s="213" t="s">
        <v>3</v>
      </c>
      <c r="D100" s="206" t="s">
        <v>660</v>
      </c>
      <c r="E100" s="104">
        <v>0</v>
      </c>
      <c r="F100" s="104"/>
      <c r="G100" s="1"/>
      <c r="J100" s="61"/>
    </row>
    <row r="101" spans="1:10" x14ac:dyDescent="0.2">
      <c r="A101" s="205"/>
      <c r="B101" s="207"/>
      <c r="C101" s="214"/>
      <c r="D101" s="207"/>
      <c r="E101" s="105">
        <v>51.7</v>
      </c>
      <c r="F101" s="105"/>
      <c r="G101" s="1"/>
      <c r="J101" s="61"/>
    </row>
    <row r="102" spans="1:10" ht="50.25" customHeight="1" x14ac:dyDescent="0.2">
      <c r="A102" s="204">
        <v>72</v>
      </c>
      <c r="B102" s="206" t="s">
        <v>921</v>
      </c>
      <c r="C102" s="246" t="s">
        <v>933</v>
      </c>
      <c r="D102" s="206"/>
      <c r="E102" s="104">
        <f>+E104</f>
        <v>0</v>
      </c>
      <c r="F102" s="104"/>
      <c r="G102" s="1"/>
      <c r="J102" s="61"/>
    </row>
    <row r="103" spans="1:10" ht="18" customHeight="1" x14ac:dyDescent="0.2">
      <c r="A103" s="205"/>
      <c r="B103" s="207"/>
      <c r="C103" s="247"/>
      <c r="D103" s="207"/>
      <c r="E103" s="105">
        <v>0.4</v>
      </c>
      <c r="F103" s="105"/>
      <c r="G103" s="1"/>
      <c r="J103" s="61"/>
    </row>
    <row r="104" spans="1:10" x14ac:dyDescent="0.2">
      <c r="A104" s="204">
        <v>73</v>
      </c>
      <c r="B104" s="206"/>
      <c r="C104" s="213" t="s">
        <v>3</v>
      </c>
      <c r="D104" s="206" t="s">
        <v>660</v>
      </c>
      <c r="E104" s="104">
        <v>0</v>
      </c>
      <c r="F104" s="104"/>
      <c r="G104" s="1"/>
      <c r="J104" s="61"/>
    </row>
    <row r="105" spans="1:10" x14ac:dyDescent="0.2">
      <c r="A105" s="205"/>
      <c r="B105" s="207"/>
      <c r="C105" s="214"/>
      <c r="D105" s="207"/>
      <c r="E105" s="105">
        <v>0.4</v>
      </c>
      <c r="F105" s="105"/>
      <c r="G105" s="1"/>
      <c r="J105" s="61"/>
    </row>
    <row r="106" spans="1:10" x14ac:dyDescent="0.2">
      <c r="A106" s="204">
        <v>74</v>
      </c>
      <c r="B106" s="209" t="s">
        <v>78</v>
      </c>
      <c r="C106" s="222" t="s">
        <v>79</v>
      </c>
      <c r="D106" s="206"/>
      <c r="E106" s="90">
        <v>354.6</v>
      </c>
      <c r="F106" s="90">
        <v>0</v>
      </c>
    </row>
    <row r="107" spans="1:10" x14ac:dyDescent="0.2">
      <c r="A107" s="205"/>
      <c r="B107" s="211"/>
      <c r="C107" s="223"/>
      <c r="D107" s="207"/>
      <c r="E107" s="92">
        <v>386.6</v>
      </c>
      <c r="F107" s="92">
        <v>0.6</v>
      </c>
    </row>
    <row r="108" spans="1:10" ht="25.5" x14ac:dyDescent="0.2">
      <c r="A108" s="93">
        <v>75</v>
      </c>
      <c r="B108" s="94" t="s">
        <v>700</v>
      </c>
      <c r="C108" s="180" t="s">
        <v>701</v>
      </c>
      <c r="D108" s="111"/>
      <c r="E108" s="96">
        <f>+E109</f>
        <v>54.6</v>
      </c>
      <c r="F108" s="96">
        <f>+F109</f>
        <v>0</v>
      </c>
    </row>
    <row r="109" spans="1:10" ht="25.5" x14ac:dyDescent="0.2">
      <c r="A109" s="93">
        <v>76</v>
      </c>
      <c r="B109" s="94"/>
      <c r="C109" s="97" t="s">
        <v>53</v>
      </c>
      <c r="D109" s="94" t="s">
        <v>81</v>
      </c>
      <c r="E109" s="96">
        <v>54.6</v>
      </c>
      <c r="F109" s="96"/>
    </row>
    <row r="110" spans="1:10" ht="25.5" x14ac:dyDescent="0.2">
      <c r="A110" s="93">
        <v>77</v>
      </c>
      <c r="B110" s="94" t="s">
        <v>851</v>
      </c>
      <c r="C110" s="180" t="s">
        <v>850</v>
      </c>
      <c r="D110" s="111"/>
      <c r="E110" s="168">
        <f>+E111</f>
        <v>300</v>
      </c>
      <c r="F110" s="168">
        <f>+F111</f>
        <v>0</v>
      </c>
    </row>
    <row r="111" spans="1:10" x14ac:dyDescent="0.2">
      <c r="A111" s="93">
        <v>78</v>
      </c>
      <c r="B111" s="94"/>
      <c r="C111" s="97" t="s">
        <v>3</v>
      </c>
      <c r="D111" s="111"/>
      <c r="E111" s="96">
        <f>+E112</f>
        <v>300</v>
      </c>
      <c r="F111" s="96">
        <f>+F112</f>
        <v>0</v>
      </c>
    </row>
    <row r="112" spans="1:10" ht="25.5" x14ac:dyDescent="0.2">
      <c r="A112" s="93">
        <v>79</v>
      </c>
      <c r="B112" s="94"/>
      <c r="C112" s="154" t="s">
        <v>849</v>
      </c>
      <c r="D112" s="111" t="s">
        <v>80</v>
      </c>
      <c r="E112" s="96">
        <v>300</v>
      </c>
      <c r="F112" s="96"/>
    </row>
    <row r="113" spans="1:10" x14ac:dyDescent="0.2">
      <c r="A113" s="204">
        <v>80</v>
      </c>
      <c r="B113" s="206" t="s">
        <v>900</v>
      </c>
      <c r="C113" s="246" t="s">
        <v>901</v>
      </c>
      <c r="D113" s="206"/>
      <c r="E113" s="104">
        <f>+E115</f>
        <v>0</v>
      </c>
      <c r="F113" s="104">
        <f>+F115</f>
        <v>0</v>
      </c>
    </row>
    <row r="114" spans="1:10" x14ac:dyDescent="0.2">
      <c r="A114" s="205"/>
      <c r="B114" s="207"/>
      <c r="C114" s="247"/>
      <c r="D114" s="207"/>
      <c r="E114" s="105">
        <v>32</v>
      </c>
      <c r="F114" s="105">
        <v>0.6</v>
      </c>
    </row>
    <row r="115" spans="1:10" x14ac:dyDescent="0.2">
      <c r="A115" s="204">
        <v>81</v>
      </c>
      <c r="B115" s="206"/>
      <c r="C115" s="213" t="s">
        <v>3</v>
      </c>
      <c r="D115" s="206" t="s">
        <v>902</v>
      </c>
      <c r="E115" s="104">
        <v>0</v>
      </c>
      <c r="F115" s="104">
        <v>0</v>
      </c>
    </row>
    <row r="116" spans="1:10" x14ac:dyDescent="0.2">
      <c r="A116" s="205"/>
      <c r="B116" s="207"/>
      <c r="C116" s="214"/>
      <c r="D116" s="207"/>
      <c r="E116" s="105">
        <v>32</v>
      </c>
      <c r="F116" s="105">
        <v>0.6</v>
      </c>
    </row>
    <row r="117" spans="1:10" ht="21.75" customHeight="1" x14ac:dyDescent="0.2">
      <c r="A117" s="93">
        <v>82</v>
      </c>
      <c r="B117" s="86" t="s">
        <v>84</v>
      </c>
      <c r="C117" s="130" t="s">
        <v>85</v>
      </c>
      <c r="D117" s="94"/>
      <c r="E117" s="113">
        <f>+E118</f>
        <v>2995.6</v>
      </c>
      <c r="F117" s="113">
        <f>+F118</f>
        <v>0</v>
      </c>
    </row>
    <row r="118" spans="1:10" ht="25.5" x14ac:dyDescent="0.2">
      <c r="A118" s="93">
        <v>83</v>
      </c>
      <c r="B118" s="94" t="s">
        <v>864</v>
      </c>
      <c r="C118" s="114" t="s">
        <v>865</v>
      </c>
      <c r="D118" s="94"/>
      <c r="E118" s="96">
        <f>+E119</f>
        <v>2995.6</v>
      </c>
      <c r="F118" s="96">
        <f>+F119</f>
        <v>0</v>
      </c>
    </row>
    <row r="119" spans="1:10" x14ac:dyDescent="0.2">
      <c r="A119" s="93">
        <v>84</v>
      </c>
      <c r="B119" s="86"/>
      <c r="C119" s="97" t="s">
        <v>3</v>
      </c>
      <c r="D119" s="94" t="s">
        <v>689</v>
      </c>
      <c r="E119" s="96">
        <f>2878.6+117</f>
        <v>2995.6</v>
      </c>
      <c r="F119" s="96"/>
    </row>
    <row r="120" spans="1:10" ht="21" customHeight="1" x14ac:dyDescent="0.2">
      <c r="A120" s="93">
        <v>85</v>
      </c>
      <c r="B120" s="86" t="s">
        <v>89</v>
      </c>
      <c r="C120" s="112" t="s">
        <v>90</v>
      </c>
      <c r="D120" s="94"/>
      <c r="E120" s="113">
        <f>+E121+E123+E125+E127</f>
        <v>100.19999999999999</v>
      </c>
      <c r="F120" s="113">
        <f>+F121+F123+F125+F127</f>
        <v>0</v>
      </c>
    </row>
    <row r="121" spans="1:10" ht="38.25" x14ac:dyDescent="0.2">
      <c r="A121" s="93">
        <v>86</v>
      </c>
      <c r="B121" s="94" t="s">
        <v>710</v>
      </c>
      <c r="C121" s="186" t="s">
        <v>868</v>
      </c>
      <c r="D121" s="94"/>
      <c r="E121" s="168">
        <f>+E122</f>
        <v>14.1</v>
      </c>
      <c r="F121" s="168">
        <f>+F122</f>
        <v>0</v>
      </c>
      <c r="J121" s="10"/>
    </row>
    <row r="122" spans="1:10" x14ac:dyDescent="0.2">
      <c r="A122" s="93">
        <v>87</v>
      </c>
      <c r="B122" s="86"/>
      <c r="C122" s="167" t="s">
        <v>3</v>
      </c>
      <c r="D122" s="94" t="s">
        <v>143</v>
      </c>
      <c r="E122" s="96">
        <v>14.1</v>
      </c>
      <c r="F122" s="96"/>
    </row>
    <row r="123" spans="1:10" ht="25.5" x14ac:dyDescent="0.2">
      <c r="A123" s="93">
        <v>88</v>
      </c>
      <c r="B123" s="94" t="s">
        <v>885</v>
      </c>
      <c r="C123" s="186" t="s">
        <v>882</v>
      </c>
      <c r="D123" s="94"/>
      <c r="E123" s="96">
        <f>+E124</f>
        <v>15.4</v>
      </c>
      <c r="F123" s="96"/>
    </row>
    <row r="124" spans="1:10" x14ac:dyDescent="0.2">
      <c r="A124" s="93">
        <v>89</v>
      </c>
      <c r="B124" s="94"/>
      <c r="C124" s="167" t="s">
        <v>3</v>
      </c>
      <c r="D124" s="139" t="s">
        <v>92</v>
      </c>
      <c r="E124" s="96">
        <v>15.4</v>
      </c>
      <c r="F124" s="96"/>
    </row>
    <row r="125" spans="1:10" ht="25.5" x14ac:dyDescent="0.2">
      <c r="A125" s="93">
        <v>90</v>
      </c>
      <c r="B125" s="94" t="s">
        <v>886</v>
      </c>
      <c r="C125" s="186" t="s">
        <v>884</v>
      </c>
      <c r="D125" s="94"/>
      <c r="E125" s="96">
        <f>+E126</f>
        <v>27.8</v>
      </c>
      <c r="F125" s="96"/>
    </row>
    <row r="126" spans="1:10" x14ac:dyDescent="0.2">
      <c r="A126" s="93">
        <v>91</v>
      </c>
      <c r="B126" s="86"/>
      <c r="C126" s="167" t="s">
        <v>3</v>
      </c>
      <c r="D126" s="139" t="s">
        <v>92</v>
      </c>
      <c r="E126" s="96">
        <v>27.8</v>
      </c>
      <c r="F126" s="96"/>
    </row>
    <row r="127" spans="1:10" x14ac:dyDescent="0.2">
      <c r="A127" s="93">
        <v>92</v>
      </c>
      <c r="B127" s="94" t="s">
        <v>888</v>
      </c>
      <c r="C127" s="187" t="s">
        <v>887</v>
      </c>
      <c r="D127" s="139"/>
      <c r="E127" s="96">
        <f>+E128</f>
        <v>42.9</v>
      </c>
      <c r="F127" s="96"/>
    </row>
    <row r="128" spans="1:10" x14ac:dyDescent="0.2">
      <c r="A128" s="93">
        <v>93</v>
      </c>
      <c r="B128" s="86"/>
      <c r="C128" s="167" t="s">
        <v>3</v>
      </c>
      <c r="D128" s="139" t="s">
        <v>92</v>
      </c>
      <c r="E128" s="96">
        <f>12.9+30</f>
        <v>42.9</v>
      </c>
      <c r="F128" s="96"/>
    </row>
    <row r="129" spans="1:6" x14ac:dyDescent="0.2">
      <c r="A129" s="93">
        <v>94</v>
      </c>
      <c r="B129" s="86" t="s">
        <v>32</v>
      </c>
      <c r="C129" s="112" t="s">
        <v>33</v>
      </c>
      <c r="D129" s="94"/>
      <c r="E129" s="113">
        <f>+E130+E132</f>
        <v>582</v>
      </c>
      <c r="F129" s="113">
        <f>+F130+F132</f>
        <v>0</v>
      </c>
    </row>
    <row r="130" spans="1:6" ht="38.25" x14ac:dyDescent="0.2">
      <c r="A130" s="93">
        <v>95</v>
      </c>
      <c r="B130" s="94" t="s">
        <v>224</v>
      </c>
      <c r="C130" s="186" t="s">
        <v>711</v>
      </c>
      <c r="D130" s="98"/>
      <c r="E130" s="96">
        <f>+E131</f>
        <v>282</v>
      </c>
      <c r="F130" s="96">
        <f>+F131</f>
        <v>0</v>
      </c>
    </row>
    <row r="131" spans="1:6" x14ac:dyDescent="0.2">
      <c r="A131" s="93">
        <v>96</v>
      </c>
      <c r="B131" s="94"/>
      <c r="C131" s="167" t="s">
        <v>3</v>
      </c>
      <c r="D131" s="98" t="s">
        <v>143</v>
      </c>
      <c r="E131" s="96">
        <v>282</v>
      </c>
      <c r="F131" s="96"/>
    </row>
    <row r="132" spans="1:6" ht="51" x14ac:dyDescent="0.2">
      <c r="A132" s="93">
        <v>97</v>
      </c>
      <c r="B132" s="94" t="s">
        <v>227</v>
      </c>
      <c r="C132" s="186" t="s">
        <v>875</v>
      </c>
      <c r="D132" s="98"/>
      <c r="E132" s="96">
        <f>+E133</f>
        <v>300</v>
      </c>
      <c r="F132" s="96">
        <f>+F133</f>
        <v>0</v>
      </c>
    </row>
    <row r="133" spans="1:6" x14ac:dyDescent="0.2">
      <c r="A133" s="93">
        <v>98</v>
      </c>
      <c r="B133" s="94"/>
      <c r="C133" s="167" t="s">
        <v>3</v>
      </c>
      <c r="D133" s="94" t="s">
        <v>229</v>
      </c>
      <c r="E133" s="96">
        <v>300</v>
      </c>
      <c r="F133" s="96"/>
    </row>
    <row r="134" spans="1:6" x14ac:dyDescent="0.2">
      <c r="A134" s="204">
        <v>99</v>
      </c>
      <c r="B134" s="209" t="s">
        <v>95</v>
      </c>
      <c r="C134" s="222" t="s">
        <v>96</v>
      </c>
      <c r="D134" s="206"/>
      <c r="E134" s="104">
        <v>0</v>
      </c>
      <c r="F134" s="104"/>
    </row>
    <row r="135" spans="1:6" x14ac:dyDescent="0.2">
      <c r="A135" s="205"/>
      <c r="B135" s="211"/>
      <c r="C135" s="223"/>
      <c r="D135" s="207"/>
      <c r="E135" s="105">
        <v>3978.9</v>
      </c>
      <c r="F135" s="105"/>
    </row>
    <row r="136" spans="1:6" ht="45.75" customHeight="1" x14ac:dyDescent="0.2">
      <c r="A136" s="204">
        <v>100</v>
      </c>
      <c r="B136" s="206" t="s">
        <v>657</v>
      </c>
      <c r="C136" s="246" t="s">
        <v>917</v>
      </c>
      <c r="D136" s="206"/>
      <c r="E136" s="104">
        <f>+E138</f>
        <v>0</v>
      </c>
      <c r="F136" s="104"/>
    </row>
    <row r="137" spans="1:6" ht="20.25" customHeight="1" x14ac:dyDescent="0.2">
      <c r="A137" s="205"/>
      <c r="B137" s="207"/>
      <c r="C137" s="247"/>
      <c r="D137" s="207"/>
      <c r="E137" s="105">
        <v>1482.4</v>
      </c>
      <c r="F137" s="105"/>
    </row>
    <row r="138" spans="1:6" x14ac:dyDescent="0.2">
      <c r="A138" s="204">
        <v>101</v>
      </c>
      <c r="B138" s="206"/>
      <c r="C138" s="213" t="s">
        <v>3</v>
      </c>
      <c r="D138" s="206" t="s">
        <v>229</v>
      </c>
      <c r="E138" s="104">
        <v>0</v>
      </c>
      <c r="F138" s="104"/>
    </row>
    <row r="139" spans="1:6" x14ac:dyDescent="0.2">
      <c r="A139" s="205"/>
      <c r="B139" s="207"/>
      <c r="C139" s="214"/>
      <c r="D139" s="207"/>
      <c r="E139" s="105">
        <v>1482.4</v>
      </c>
      <c r="F139" s="105"/>
    </row>
    <row r="140" spans="1:6" ht="23.25" customHeight="1" x14ac:dyDescent="0.2">
      <c r="A140" s="204">
        <v>102</v>
      </c>
      <c r="B140" s="206" t="s">
        <v>723</v>
      </c>
      <c r="C140" s="246" t="s">
        <v>916</v>
      </c>
      <c r="D140" s="206"/>
      <c r="E140" s="104">
        <f>+E142</f>
        <v>0</v>
      </c>
      <c r="F140" s="104"/>
    </row>
    <row r="141" spans="1:6" ht="16.5" customHeight="1" x14ac:dyDescent="0.2">
      <c r="A141" s="205"/>
      <c r="B141" s="207"/>
      <c r="C141" s="247"/>
      <c r="D141" s="207"/>
      <c r="E141" s="105">
        <v>2496.5</v>
      </c>
      <c r="F141" s="105"/>
    </row>
    <row r="142" spans="1:6" x14ac:dyDescent="0.2">
      <c r="A142" s="204">
        <v>103</v>
      </c>
      <c r="B142" s="206"/>
      <c r="C142" s="213" t="s">
        <v>3</v>
      </c>
      <c r="D142" s="206" t="s">
        <v>689</v>
      </c>
      <c r="E142" s="104">
        <v>0</v>
      </c>
      <c r="F142" s="104"/>
    </row>
    <row r="143" spans="1:6" x14ac:dyDescent="0.2">
      <c r="A143" s="205"/>
      <c r="B143" s="207"/>
      <c r="C143" s="214"/>
      <c r="D143" s="207"/>
      <c r="E143" s="105">
        <v>2496.5</v>
      </c>
      <c r="F143" s="105"/>
    </row>
    <row r="144" spans="1:6" x14ac:dyDescent="0.2">
      <c r="A144" s="93">
        <v>104</v>
      </c>
      <c r="B144" s="86" t="s">
        <v>25</v>
      </c>
      <c r="C144" s="112" t="s">
        <v>26</v>
      </c>
      <c r="D144" s="98"/>
      <c r="E144" s="113">
        <f>+E145</f>
        <v>8.6</v>
      </c>
      <c r="F144" s="113">
        <f>+F145</f>
        <v>0</v>
      </c>
    </row>
    <row r="145" spans="1:6" ht="51" x14ac:dyDescent="0.2">
      <c r="A145" s="93">
        <v>105</v>
      </c>
      <c r="B145" s="94"/>
      <c r="C145" s="180" t="s">
        <v>877</v>
      </c>
      <c r="D145" s="111"/>
      <c r="E145" s="96">
        <f>+E146</f>
        <v>8.6</v>
      </c>
      <c r="F145" s="96">
        <f>+F146</f>
        <v>0</v>
      </c>
    </row>
    <row r="146" spans="1:6" x14ac:dyDescent="0.2">
      <c r="A146" s="93">
        <v>106</v>
      </c>
      <c r="B146" s="94"/>
      <c r="C146" s="154" t="s">
        <v>3</v>
      </c>
      <c r="D146" s="111">
        <v>10</v>
      </c>
      <c r="E146" s="39">
        <v>8.6</v>
      </c>
      <c r="F146" s="96"/>
    </row>
    <row r="147" spans="1:6" x14ac:dyDescent="0.2">
      <c r="A147" s="204">
        <v>107</v>
      </c>
      <c r="B147" s="206"/>
      <c r="C147" s="234" t="s">
        <v>20</v>
      </c>
      <c r="D147" s="259"/>
      <c r="E147" s="104">
        <v>7284.9</v>
      </c>
      <c r="F147" s="104">
        <v>88.8</v>
      </c>
    </row>
    <row r="148" spans="1:6" x14ac:dyDescent="0.2">
      <c r="A148" s="205"/>
      <c r="B148" s="207"/>
      <c r="C148" s="235"/>
      <c r="D148" s="260"/>
      <c r="E148" s="105">
        <v>11435.8</v>
      </c>
      <c r="F148" s="105">
        <v>219.9</v>
      </c>
    </row>
    <row r="149" spans="1:6" x14ac:dyDescent="0.2">
      <c r="C149" s="173" t="s">
        <v>113</v>
      </c>
      <c r="D149" s="80"/>
      <c r="E149" s="171"/>
      <c r="F149" s="171"/>
    </row>
    <row r="150" spans="1:6" ht="13.5" customHeight="1" x14ac:dyDescent="0.2">
      <c r="C150" s="188"/>
      <c r="E150" s="171"/>
      <c r="F150" s="171"/>
    </row>
    <row r="151" spans="1:6" x14ac:dyDescent="0.2">
      <c r="C151" s="188"/>
      <c r="D151" s="1"/>
      <c r="E151" s="143"/>
      <c r="F151" s="143"/>
    </row>
    <row r="152" spans="1:6" x14ac:dyDescent="0.2">
      <c r="D152" s="78"/>
      <c r="E152" s="143"/>
      <c r="F152" s="143"/>
    </row>
    <row r="153" spans="1:6" x14ac:dyDescent="0.2">
      <c r="C153" s="189"/>
      <c r="E153" s="143"/>
      <c r="F153" s="143"/>
    </row>
    <row r="154" spans="1:6" x14ac:dyDescent="0.2">
      <c r="C154" s="190"/>
      <c r="E154" s="143"/>
      <c r="F154" s="143"/>
    </row>
    <row r="155" spans="1:6" x14ac:dyDescent="0.2">
      <c r="C155" s="191"/>
      <c r="E155" s="171"/>
    </row>
    <row r="156" spans="1:6" x14ac:dyDescent="0.2">
      <c r="C156" s="189"/>
    </row>
    <row r="157" spans="1:6" x14ac:dyDescent="0.2">
      <c r="C157" s="192"/>
      <c r="E157" s="143"/>
    </row>
    <row r="161" spans="5:5" x14ac:dyDescent="0.2">
      <c r="E161" s="143"/>
    </row>
    <row r="162" spans="5:5" x14ac:dyDescent="0.2">
      <c r="E162" s="143"/>
    </row>
    <row r="164" spans="5:5" x14ac:dyDescent="0.2">
      <c r="E164" s="143"/>
    </row>
  </sheetData>
  <mergeCells count="139">
    <mergeCell ref="A142:A143"/>
    <mergeCell ref="B142:B143"/>
    <mergeCell ref="C142:C143"/>
    <mergeCell ref="D142:D143"/>
    <mergeCell ref="A147:A148"/>
    <mergeCell ref="B147:B148"/>
    <mergeCell ref="C147:C148"/>
    <mergeCell ref="D147:D148"/>
    <mergeCell ref="A134:A135"/>
    <mergeCell ref="B134:B135"/>
    <mergeCell ref="C134:C135"/>
    <mergeCell ref="D134:D135"/>
    <mergeCell ref="A136:A137"/>
    <mergeCell ref="B136:B137"/>
    <mergeCell ref="C136:C137"/>
    <mergeCell ref="D136:D137"/>
    <mergeCell ref="A140:A141"/>
    <mergeCell ref="B140:B141"/>
    <mergeCell ref="C140:C141"/>
    <mergeCell ref="D140:D141"/>
    <mergeCell ref="A138:A139"/>
    <mergeCell ref="B138:B139"/>
    <mergeCell ref="C138:C139"/>
    <mergeCell ref="D138:D139"/>
    <mergeCell ref="A113:A114"/>
    <mergeCell ref="B113:B114"/>
    <mergeCell ref="C113:C114"/>
    <mergeCell ref="D113:D114"/>
    <mergeCell ref="A115:A116"/>
    <mergeCell ref="B115:B116"/>
    <mergeCell ref="C115:C116"/>
    <mergeCell ref="D115:D116"/>
    <mergeCell ref="A106:A107"/>
    <mergeCell ref="B106:B107"/>
    <mergeCell ref="C106:C107"/>
    <mergeCell ref="D106:D107"/>
    <mergeCell ref="E41:E42"/>
    <mergeCell ref="A5:F5"/>
    <mergeCell ref="E3:F3"/>
    <mergeCell ref="C2:F2"/>
    <mergeCell ref="E10:E11"/>
    <mergeCell ref="E39:E40"/>
    <mergeCell ref="A10:A11"/>
    <mergeCell ref="B10:B11"/>
    <mergeCell ref="C10:C11"/>
    <mergeCell ref="D10:D11"/>
    <mergeCell ref="A39:A40"/>
    <mergeCell ref="B39:B40"/>
    <mergeCell ref="C39:C40"/>
    <mergeCell ref="D39:D40"/>
    <mergeCell ref="E47:E48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C51:C52"/>
    <mergeCell ref="D51:D52"/>
    <mergeCell ref="A47:A48"/>
    <mergeCell ref="B47:B48"/>
    <mergeCell ref="C47:C48"/>
    <mergeCell ref="D47:D48"/>
    <mergeCell ref="A41:A42"/>
    <mergeCell ref="B41:B42"/>
    <mergeCell ref="C41:C42"/>
    <mergeCell ref="D41:D42"/>
    <mergeCell ref="E51:E52"/>
    <mergeCell ref="A49:A50"/>
    <mergeCell ref="B49:B50"/>
    <mergeCell ref="C49:C50"/>
    <mergeCell ref="D49:D50"/>
    <mergeCell ref="E49:E50"/>
    <mergeCell ref="D53:D54"/>
    <mergeCell ref="D82:D83"/>
    <mergeCell ref="C82:C83"/>
    <mergeCell ref="B82:B83"/>
    <mergeCell ref="A82:A83"/>
    <mergeCell ref="A53:A54"/>
    <mergeCell ref="B53:B54"/>
    <mergeCell ref="C53:C54"/>
    <mergeCell ref="A61:A62"/>
    <mergeCell ref="B61:B62"/>
    <mergeCell ref="C61:C62"/>
    <mergeCell ref="D61:D62"/>
    <mergeCell ref="A63:A64"/>
    <mergeCell ref="B63:B64"/>
    <mergeCell ref="C63:C64"/>
    <mergeCell ref="D63:D64"/>
    <mergeCell ref="A51:A52"/>
    <mergeCell ref="B51:B52"/>
    <mergeCell ref="A88:A89"/>
    <mergeCell ref="B88:B89"/>
    <mergeCell ref="C88:C89"/>
    <mergeCell ref="D88:D89"/>
    <mergeCell ref="A90:A91"/>
    <mergeCell ref="B90:B91"/>
    <mergeCell ref="C90:C91"/>
    <mergeCell ref="D90:D91"/>
    <mergeCell ref="A84:A85"/>
    <mergeCell ref="B84:B85"/>
    <mergeCell ref="C84:C85"/>
    <mergeCell ref="D84:D85"/>
    <mergeCell ref="A86:A87"/>
    <mergeCell ref="B86:B87"/>
    <mergeCell ref="C86:C87"/>
    <mergeCell ref="D86:D87"/>
    <mergeCell ref="A96:A97"/>
    <mergeCell ref="B96:B97"/>
    <mergeCell ref="C96:C97"/>
    <mergeCell ref="D96:D97"/>
    <mergeCell ref="A98:A99"/>
    <mergeCell ref="B98:B99"/>
    <mergeCell ref="C98:C99"/>
    <mergeCell ref="D98:D99"/>
    <mergeCell ref="A92:A93"/>
    <mergeCell ref="B92:B93"/>
    <mergeCell ref="C92:C93"/>
    <mergeCell ref="D92:D93"/>
    <mergeCell ref="A94:A95"/>
    <mergeCell ref="B94:B95"/>
    <mergeCell ref="C94:C95"/>
    <mergeCell ref="D94:D95"/>
    <mergeCell ref="A104:A105"/>
    <mergeCell ref="B104:B105"/>
    <mergeCell ref="C104:C105"/>
    <mergeCell ref="D104:D105"/>
    <mergeCell ref="A100:A101"/>
    <mergeCell ref="B100:B101"/>
    <mergeCell ref="C100:C101"/>
    <mergeCell ref="D100:D101"/>
    <mergeCell ref="A102:A103"/>
    <mergeCell ref="B102:B103"/>
    <mergeCell ref="C102:C103"/>
    <mergeCell ref="D102:D103"/>
  </mergeCells>
  <pageMargins left="0.70866141732283472" right="0" top="0.74803149606299213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04"/>
  <sheetViews>
    <sheetView zoomScale="90" zoomScaleNormal="90" workbookViewId="0">
      <selection activeCell="Q8" sqref="Q8"/>
    </sheetView>
  </sheetViews>
  <sheetFormatPr defaultColWidth="9.140625" defaultRowHeight="15.75" x14ac:dyDescent="0.25"/>
  <cols>
    <col min="1" max="1" width="5.85546875" style="9" customWidth="1"/>
    <col min="2" max="2" width="10.140625" style="8" customWidth="1"/>
    <col min="3" max="3" width="65.140625" style="8" customWidth="1"/>
    <col min="4" max="4" width="13.5703125" style="18" customWidth="1"/>
    <col min="5" max="5" width="9.140625" style="9"/>
    <col min="6" max="6" width="11.85546875" style="9" bestFit="1" customWidth="1"/>
    <col min="7" max="16384" width="9.140625" style="9"/>
  </cols>
  <sheetData>
    <row r="1" spans="1:5" x14ac:dyDescent="0.25">
      <c r="A1" s="13"/>
      <c r="B1" s="13"/>
      <c r="C1" s="44"/>
      <c r="D1" s="44"/>
      <c r="E1" s="13"/>
    </row>
    <row r="2" spans="1:5" x14ac:dyDescent="0.25">
      <c r="A2" s="13"/>
      <c r="B2" s="13"/>
      <c r="C2" s="264" t="s">
        <v>936</v>
      </c>
      <c r="D2" s="264"/>
      <c r="E2" s="13"/>
    </row>
    <row r="3" spans="1:5" x14ac:dyDescent="0.25">
      <c r="A3" s="13"/>
      <c r="B3" s="13"/>
      <c r="C3" s="265" t="s">
        <v>404</v>
      </c>
      <c r="D3" s="265"/>
      <c r="E3" s="13"/>
    </row>
    <row r="4" spans="1:5" x14ac:dyDescent="0.25">
      <c r="A4" s="13"/>
      <c r="B4" s="13"/>
      <c r="C4" s="5"/>
      <c r="D4" s="5"/>
      <c r="E4" s="13"/>
    </row>
    <row r="5" spans="1:5" s="1" customFormat="1" ht="12" customHeight="1" x14ac:dyDescent="0.2">
      <c r="A5" s="266" t="s">
        <v>405</v>
      </c>
      <c r="B5" s="266"/>
      <c r="C5" s="266"/>
      <c r="D5" s="266"/>
    </row>
    <row r="6" spans="1:5" s="1" customFormat="1" ht="12.75" customHeight="1" x14ac:dyDescent="0.2">
      <c r="A6" s="267" t="s">
        <v>535</v>
      </c>
      <c r="B6" s="267"/>
      <c r="C6" s="267"/>
      <c r="D6" s="267"/>
    </row>
    <row r="7" spans="1:5" ht="11.25" customHeight="1" x14ac:dyDescent="0.25">
      <c r="A7" s="14"/>
      <c r="B7" s="13"/>
      <c r="C7" s="13"/>
      <c r="D7" s="13"/>
      <c r="E7" s="14"/>
    </row>
    <row r="8" spans="1:5" s="16" customFormat="1" ht="12.75" x14ac:dyDescent="0.2">
      <c r="A8" s="1"/>
      <c r="B8" s="15" t="s">
        <v>406</v>
      </c>
      <c r="C8" s="2"/>
      <c r="D8" s="7"/>
    </row>
    <row r="9" spans="1:5" s="1" customFormat="1" ht="12.6" customHeight="1" x14ac:dyDescent="0.2">
      <c r="B9" s="15" t="s">
        <v>407</v>
      </c>
      <c r="C9" s="2"/>
      <c r="D9" s="7"/>
    </row>
    <row r="10" spans="1:5" s="1" customFormat="1" ht="16.5" customHeight="1" x14ac:dyDescent="0.25">
      <c r="A10" s="9"/>
      <c r="B10" s="17"/>
      <c r="C10" s="8"/>
      <c r="D10" s="18"/>
    </row>
    <row r="11" spans="1:5" s="1" customFormat="1" ht="25.5" x14ac:dyDescent="0.2">
      <c r="A11" s="16"/>
      <c r="B11" s="19" t="s">
        <v>0</v>
      </c>
      <c r="C11" s="19" t="s">
        <v>408</v>
      </c>
      <c r="D11" s="20" t="s">
        <v>409</v>
      </c>
    </row>
    <row r="12" spans="1:5" s="1" customFormat="1" ht="12.6" customHeight="1" x14ac:dyDescent="0.2">
      <c r="B12" s="3" t="s">
        <v>410</v>
      </c>
      <c r="C12" s="3" t="s">
        <v>411</v>
      </c>
      <c r="D12" s="6">
        <v>250</v>
      </c>
    </row>
    <row r="13" spans="1:5" s="16" customFormat="1" ht="12.6" customHeight="1" x14ac:dyDescent="0.2">
      <c r="A13" s="1"/>
      <c r="B13" s="3" t="s">
        <v>412</v>
      </c>
      <c r="C13" s="3" t="s">
        <v>185</v>
      </c>
      <c r="D13" s="6">
        <v>50</v>
      </c>
    </row>
    <row r="14" spans="1:5" s="1" customFormat="1" ht="12.6" hidden="1" customHeight="1" x14ac:dyDescent="0.2">
      <c r="B14" s="3" t="s">
        <v>413</v>
      </c>
      <c r="C14" s="3" t="s">
        <v>414</v>
      </c>
      <c r="D14" s="6">
        <v>0</v>
      </c>
    </row>
    <row r="15" spans="1:5" s="1" customFormat="1" ht="12.6" hidden="1" customHeight="1" x14ac:dyDescent="0.2">
      <c r="B15" s="3" t="s">
        <v>415</v>
      </c>
      <c r="C15" s="3" t="s">
        <v>416</v>
      </c>
      <c r="D15" s="6">
        <v>0</v>
      </c>
    </row>
    <row r="16" spans="1:5" s="16" customFormat="1" ht="12.6" customHeight="1" x14ac:dyDescent="0.2">
      <c r="B16" s="19" t="s">
        <v>413</v>
      </c>
      <c r="C16" s="19" t="s">
        <v>695</v>
      </c>
      <c r="D16" s="21">
        <f>+D12+D13</f>
        <v>300</v>
      </c>
    </row>
    <row r="17" spans="1:6" s="16" customFormat="1" ht="12.6" customHeight="1" x14ac:dyDescent="0.2">
      <c r="A17" s="1"/>
      <c r="B17" s="3" t="s">
        <v>415</v>
      </c>
      <c r="C17" s="3" t="s">
        <v>419</v>
      </c>
      <c r="D17" s="6">
        <v>50</v>
      </c>
      <c r="F17" s="12"/>
    </row>
    <row r="18" spans="1:6" s="1" customFormat="1" ht="12.75" x14ac:dyDescent="0.2">
      <c r="B18" s="3" t="s">
        <v>417</v>
      </c>
      <c r="C18" s="3" t="s">
        <v>421</v>
      </c>
      <c r="D18" s="6">
        <v>32.700000000000003</v>
      </c>
      <c r="F18" s="10"/>
    </row>
    <row r="19" spans="1:6" s="16" customFormat="1" ht="12.75" x14ac:dyDescent="0.2">
      <c r="B19" s="19" t="s">
        <v>418</v>
      </c>
      <c r="C19" s="19" t="s">
        <v>696</v>
      </c>
      <c r="D19" s="21">
        <f>+D17+D18</f>
        <v>82.7</v>
      </c>
      <c r="E19" s="11"/>
      <c r="F19" s="12"/>
    </row>
    <row r="20" spans="1:6" s="1" customFormat="1" ht="12.75" x14ac:dyDescent="0.2">
      <c r="A20" s="16"/>
      <c r="B20" s="19" t="s">
        <v>420</v>
      </c>
      <c r="C20" s="19" t="s">
        <v>697</v>
      </c>
      <c r="D20" s="21">
        <f>+D16+D19</f>
        <v>382.7</v>
      </c>
      <c r="E20" s="10"/>
      <c r="F20" s="10"/>
    </row>
    <row r="21" spans="1:6" s="1" customFormat="1" ht="16.899999999999999" customHeight="1" x14ac:dyDescent="0.2">
      <c r="B21" s="22"/>
      <c r="C21" s="23"/>
      <c r="D21" s="24"/>
      <c r="E21" s="10"/>
      <c r="F21" s="10"/>
    </row>
    <row r="22" spans="1:6" s="16" customFormat="1" ht="25.5" x14ac:dyDescent="0.2">
      <c r="B22" s="19" t="s">
        <v>0</v>
      </c>
      <c r="C22" s="19" t="s">
        <v>423</v>
      </c>
      <c r="D22" s="20" t="s">
        <v>424</v>
      </c>
    </row>
    <row r="23" spans="1:6" s="1" customFormat="1" ht="44.25" customHeight="1" x14ac:dyDescent="0.2">
      <c r="B23" s="3" t="s">
        <v>422</v>
      </c>
      <c r="C23" s="3" t="s">
        <v>426</v>
      </c>
      <c r="D23" s="6">
        <v>60</v>
      </c>
    </row>
    <row r="24" spans="1:6" s="16" customFormat="1" ht="12.75" x14ac:dyDescent="0.2">
      <c r="A24" s="1"/>
      <c r="B24" s="3" t="s">
        <v>765</v>
      </c>
      <c r="C24" s="3" t="s">
        <v>421</v>
      </c>
      <c r="D24" s="6">
        <v>72.400000000000006</v>
      </c>
    </row>
    <row r="25" spans="1:6" s="1" customFormat="1" ht="12.75" x14ac:dyDescent="0.2">
      <c r="A25" s="16"/>
      <c r="B25" s="19" t="s">
        <v>425</v>
      </c>
      <c r="C25" s="19" t="s">
        <v>766</v>
      </c>
      <c r="D25" s="21">
        <f>+D23+D24</f>
        <v>132.4</v>
      </c>
    </row>
    <row r="26" spans="1:6" s="1" customFormat="1" ht="16.149999999999999" customHeight="1" x14ac:dyDescent="0.2">
      <c r="B26" s="22"/>
      <c r="C26" s="23"/>
      <c r="D26" s="24"/>
    </row>
    <row r="27" spans="1:6" s="16" customFormat="1" ht="25.5" x14ac:dyDescent="0.2">
      <c r="B27" s="19" t="s">
        <v>0</v>
      </c>
      <c r="C27" s="19" t="s">
        <v>428</v>
      </c>
      <c r="D27" s="20" t="s">
        <v>424</v>
      </c>
    </row>
    <row r="28" spans="1:6" s="1" customFormat="1" ht="45" customHeight="1" x14ac:dyDescent="0.2">
      <c r="B28" s="3" t="s">
        <v>427</v>
      </c>
      <c r="C28" s="3" t="s">
        <v>429</v>
      </c>
      <c r="D28" s="6">
        <v>240</v>
      </c>
    </row>
    <row r="29" spans="1:6" s="16" customFormat="1" ht="12.75" x14ac:dyDescent="0.2">
      <c r="A29" s="1"/>
      <c r="B29" s="3" t="s">
        <v>673</v>
      </c>
      <c r="C29" s="3" t="s">
        <v>421</v>
      </c>
      <c r="D29" s="6">
        <v>226.1</v>
      </c>
    </row>
    <row r="30" spans="1:6" s="1" customFormat="1" ht="12.75" x14ac:dyDescent="0.2">
      <c r="A30" s="16"/>
      <c r="B30" s="19" t="s">
        <v>767</v>
      </c>
      <c r="C30" s="19" t="s">
        <v>768</v>
      </c>
      <c r="D30" s="21">
        <f>+D28+D29</f>
        <v>466.1</v>
      </c>
    </row>
    <row r="31" spans="1:6" s="1" customFormat="1" ht="16.149999999999999" customHeight="1" x14ac:dyDescent="0.2">
      <c r="B31" s="25"/>
      <c r="C31" s="26"/>
      <c r="D31" s="27"/>
    </row>
    <row r="32" spans="1:6" s="1" customFormat="1" ht="26.1" customHeight="1" x14ac:dyDescent="0.2">
      <c r="A32" s="16"/>
      <c r="B32" s="19" t="s">
        <v>0</v>
      </c>
      <c r="C32" s="19" t="s">
        <v>430</v>
      </c>
      <c r="D32" s="20" t="s">
        <v>424</v>
      </c>
    </row>
    <row r="33" spans="1:4" s="1" customFormat="1" ht="38.25" x14ac:dyDescent="0.2">
      <c r="B33" s="3" t="s">
        <v>431</v>
      </c>
      <c r="C33" s="3" t="s">
        <v>432</v>
      </c>
      <c r="D33" s="6">
        <f>+D34+D35</f>
        <v>82.2</v>
      </c>
    </row>
    <row r="34" spans="1:4" s="1" customFormat="1" ht="38.25" x14ac:dyDescent="0.2">
      <c r="B34" s="3" t="s">
        <v>433</v>
      </c>
      <c r="C34" s="3" t="s">
        <v>434</v>
      </c>
      <c r="D34" s="6">
        <v>81.7</v>
      </c>
    </row>
    <row r="35" spans="1:4" s="1" customFormat="1" ht="25.5" x14ac:dyDescent="0.2">
      <c r="B35" s="3" t="s">
        <v>435</v>
      </c>
      <c r="C35" s="3" t="s">
        <v>436</v>
      </c>
      <c r="D35" s="6">
        <v>0.5</v>
      </c>
    </row>
    <row r="36" spans="1:4" s="1" customFormat="1" ht="38.25" x14ac:dyDescent="0.2">
      <c r="B36" s="3" t="s">
        <v>437</v>
      </c>
      <c r="C36" s="3" t="s">
        <v>438</v>
      </c>
      <c r="D36" s="6">
        <v>0.5</v>
      </c>
    </row>
    <row r="37" spans="1:4" s="1" customFormat="1" ht="12.75" x14ac:dyDescent="0.2">
      <c r="A37" s="16"/>
      <c r="B37" s="19"/>
      <c r="C37" s="19" t="s">
        <v>698</v>
      </c>
      <c r="D37" s="28">
        <f>+D33+D36</f>
        <v>82.7</v>
      </c>
    </row>
    <row r="38" spans="1:4" s="1" customFormat="1" ht="16.5" customHeight="1" x14ac:dyDescent="0.2">
      <c r="A38" s="16"/>
      <c r="B38" s="29"/>
      <c r="C38" s="29"/>
      <c r="D38" s="30"/>
    </row>
    <row r="39" spans="1:4" s="1" customFormat="1" ht="16.149999999999999" customHeight="1" x14ac:dyDescent="0.2">
      <c r="B39" s="263" t="s">
        <v>439</v>
      </c>
      <c r="C39" s="263"/>
      <c r="D39" s="263"/>
    </row>
    <row r="40" spans="1:4" s="1" customFormat="1" ht="25.5" customHeight="1" x14ac:dyDescent="0.2">
      <c r="B40" s="261" t="s">
        <v>440</v>
      </c>
      <c r="C40" s="261"/>
      <c r="D40" s="20" t="s">
        <v>441</v>
      </c>
    </row>
    <row r="41" spans="1:4" s="1" customFormat="1" ht="12.6" customHeight="1" x14ac:dyDescent="0.2">
      <c r="B41" s="262" t="s">
        <v>442</v>
      </c>
      <c r="C41" s="262"/>
      <c r="D41" s="6">
        <v>132.4</v>
      </c>
    </row>
    <row r="42" spans="1:4" s="1" customFormat="1" ht="12.6" customHeight="1" x14ac:dyDescent="0.2">
      <c r="B42" s="23"/>
      <c r="C42" s="23"/>
      <c r="D42" s="31"/>
    </row>
    <row r="43" spans="1:4" s="1" customFormat="1" ht="12.6" customHeight="1" x14ac:dyDescent="0.2">
      <c r="B43" s="23"/>
      <c r="C43" s="23"/>
      <c r="D43" s="31"/>
    </row>
    <row r="44" spans="1:4" s="1" customFormat="1" ht="12.6" customHeight="1" x14ac:dyDescent="0.2">
      <c r="B44" s="23"/>
      <c r="C44" s="23"/>
      <c r="D44" s="31"/>
    </row>
    <row r="45" spans="1:4" s="1" customFormat="1" ht="12.6" customHeight="1" x14ac:dyDescent="0.2">
      <c r="B45" s="23"/>
      <c r="C45" s="23"/>
      <c r="D45" s="32"/>
    </row>
    <row r="46" spans="1:4" s="1" customFormat="1" ht="12.6" customHeight="1" x14ac:dyDescent="0.2">
      <c r="B46" s="263" t="s">
        <v>443</v>
      </c>
      <c r="C46" s="263"/>
      <c r="D46" s="263"/>
    </row>
    <row r="47" spans="1:4" s="1" customFormat="1" ht="12.6" customHeight="1" x14ac:dyDescent="0.2">
      <c r="B47" s="23"/>
      <c r="C47" s="23"/>
      <c r="D47" s="33"/>
    </row>
    <row r="48" spans="1:4" s="1" customFormat="1" ht="24" customHeight="1" x14ac:dyDescent="0.2">
      <c r="B48" s="19" t="s">
        <v>0</v>
      </c>
      <c r="C48" s="19" t="s">
        <v>430</v>
      </c>
      <c r="D48" s="20" t="s">
        <v>444</v>
      </c>
    </row>
    <row r="49" spans="1:6" s="1" customFormat="1" ht="12.6" customHeight="1" x14ac:dyDescent="0.2">
      <c r="B49" s="3" t="s">
        <v>445</v>
      </c>
      <c r="C49" s="3" t="s">
        <v>446</v>
      </c>
      <c r="D49" s="6">
        <f>+D59+D60+D61+D62+D63+D50</f>
        <v>78.599999999999994</v>
      </c>
    </row>
    <row r="50" spans="1:6" s="1" customFormat="1" ht="12.6" customHeight="1" x14ac:dyDescent="0.2">
      <c r="B50" s="3" t="s">
        <v>447</v>
      </c>
      <c r="C50" s="3" t="s">
        <v>448</v>
      </c>
      <c r="D50" s="6">
        <f>+D58+D57+D56+D55+D54+D53+D52+D51</f>
        <v>22</v>
      </c>
    </row>
    <row r="51" spans="1:6" s="1" customFormat="1" ht="12.6" customHeight="1" x14ac:dyDescent="0.2">
      <c r="B51" s="3" t="s">
        <v>449</v>
      </c>
      <c r="C51" s="3" t="s">
        <v>450</v>
      </c>
      <c r="D51" s="6">
        <v>6</v>
      </c>
    </row>
    <row r="52" spans="1:6" s="1" customFormat="1" ht="12.6" customHeight="1" x14ac:dyDescent="0.2">
      <c r="B52" s="3" t="s">
        <v>451</v>
      </c>
      <c r="C52" s="3" t="s">
        <v>452</v>
      </c>
      <c r="D52" s="6">
        <v>0.6</v>
      </c>
    </row>
    <row r="53" spans="1:6" s="1" customFormat="1" ht="12.6" customHeight="1" x14ac:dyDescent="0.2">
      <c r="B53" s="3" t="s">
        <v>453</v>
      </c>
      <c r="C53" s="3" t="s">
        <v>454</v>
      </c>
      <c r="D53" s="6">
        <v>0.9</v>
      </c>
    </row>
    <row r="54" spans="1:6" s="1" customFormat="1" ht="12.6" customHeight="1" x14ac:dyDescent="0.2">
      <c r="B54" s="3" t="s">
        <v>455</v>
      </c>
      <c r="C54" s="3" t="s">
        <v>456</v>
      </c>
      <c r="D54" s="6">
        <v>3</v>
      </c>
    </row>
    <row r="55" spans="1:6" s="1" customFormat="1" ht="12.6" customHeight="1" x14ac:dyDescent="0.2">
      <c r="B55" s="3" t="s">
        <v>457</v>
      </c>
      <c r="C55" s="3" t="s">
        <v>458</v>
      </c>
      <c r="D55" s="6">
        <v>9</v>
      </c>
    </row>
    <row r="56" spans="1:6" s="1" customFormat="1" ht="12.6" customHeight="1" x14ac:dyDescent="0.2">
      <c r="B56" s="3" t="s">
        <v>459</v>
      </c>
      <c r="C56" s="3" t="s">
        <v>460</v>
      </c>
      <c r="D56" s="6">
        <v>1</v>
      </c>
    </row>
    <row r="57" spans="1:6" s="1" customFormat="1" ht="12.6" customHeight="1" x14ac:dyDescent="0.2">
      <c r="B57" s="3" t="s">
        <v>461</v>
      </c>
      <c r="C57" s="3" t="s">
        <v>462</v>
      </c>
      <c r="D57" s="6">
        <v>1</v>
      </c>
    </row>
    <row r="58" spans="1:6" s="1" customFormat="1" ht="12.6" customHeight="1" x14ac:dyDescent="0.2">
      <c r="B58" s="3" t="s">
        <v>463</v>
      </c>
      <c r="C58" s="3" t="s">
        <v>464</v>
      </c>
      <c r="D58" s="6">
        <v>0.5</v>
      </c>
    </row>
    <row r="59" spans="1:6" s="1" customFormat="1" ht="12.6" customHeight="1" x14ac:dyDescent="0.2">
      <c r="B59" s="3" t="s">
        <v>465</v>
      </c>
      <c r="C59" s="3" t="s">
        <v>466</v>
      </c>
      <c r="D59" s="6">
        <v>3.1</v>
      </c>
    </row>
    <row r="60" spans="1:6" s="1" customFormat="1" ht="12.6" customHeight="1" x14ac:dyDescent="0.2">
      <c r="A60" s="34"/>
      <c r="B60" s="3" t="s">
        <v>467</v>
      </c>
      <c r="C60" s="3" t="s">
        <v>468</v>
      </c>
      <c r="D60" s="6">
        <v>3.5</v>
      </c>
    </row>
    <row r="61" spans="1:6" s="1" customFormat="1" ht="12.6" customHeight="1" x14ac:dyDescent="0.2">
      <c r="B61" s="3" t="s">
        <v>469</v>
      </c>
      <c r="C61" s="3" t="s">
        <v>470</v>
      </c>
      <c r="D61" s="6">
        <v>17</v>
      </c>
    </row>
    <row r="62" spans="1:6" s="1" customFormat="1" ht="12.6" customHeight="1" x14ac:dyDescent="0.2">
      <c r="A62" s="34"/>
      <c r="B62" s="3" t="s">
        <v>471</v>
      </c>
      <c r="C62" s="35" t="s">
        <v>473</v>
      </c>
      <c r="D62" s="6">
        <v>5</v>
      </c>
    </row>
    <row r="63" spans="1:6" s="1" customFormat="1" ht="12.6" customHeight="1" x14ac:dyDescent="0.2">
      <c r="A63" s="34"/>
      <c r="B63" s="3" t="s">
        <v>472</v>
      </c>
      <c r="C63" s="36" t="s">
        <v>577</v>
      </c>
      <c r="D63" s="6">
        <v>28</v>
      </c>
      <c r="E63" s="2"/>
      <c r="F63" s="2"/>
    </row>
    <row r="64" spans="1:6" s="1" customFormat="1" ht="25.5" x14ac:dyDescent="0.2">
      <c r="B64" s="3" t="s">
        <v>474</v>
      </c>
      <c r="C64" s="3" t="s">
        <v>475</v>
      </c>
      <c r="D64" s="6">
        <f>+D65+D66</f>
        <v>28</v>
      </c>
    </row>
    <row r="65" spans="1:6" s="1" customFormat="1" ht="25.5" x14ac:dyDescent="0.2">
      <c r="B65" s="3" t="s">
        <v>476</v>
      </c>
      <c r="C65" s="3" t="s">
        <v>477</v>
      </c>
      <c r="D65" s="6">
        <v>3</v>
      </c>
    </row>
    <row r="66" spans="1:6" s="1" customFormat="1" ht="25.5" x14ac:dyDescent="0.2">
      <c r="B66" s="3" t="s">
        <v>691</v>
      </c>
      <c r="C66" s="3" t="s">
        <v>692</v>
      </c>
      <c r="D66" s="6">
        <v>25</v>
      </c>
    </row>
    <row r="67" spans="1:6" s="1" customFormat="1" ht="12.6" customHeight="1" x14ac:dyDescent="0.2">
      <c r="B67" s="3" t="s">
        <v>478</v>
      </c>
      <c r="C67" s="3" t="s">
        <v>479</v>
      </c>
      <c r="D67" s="6">
        <f>+D68+D69+D70+D71+D72+D73+D74+D75+D76+D77</f>
        <v>232.7</v>
      </c>
    </row>
    <row r="68" spans="1:6" s="1" customFormat="1" ht="12.75" x14ac:dyDescent="0.2">
      <c r="B68" s="3" t="s">
        <v>480</v>
      </c>
      <c r="C68" s="3" t="s">
        <v>481</v>
      </c>
      <c r="D68" s="6">
        <v>3</v>
      </c>
    </row>
    <row r="69" spans="1:6" s="1" customFormat="1" ht="25.5" x14ac:dyDescent="0.2">
      <c r="B69" s="3" t="s">
        <v>482</v>
      </c>
      <c r="C69" s="3" t="s">
        <v>578</v>
      </c>
      <c r="D69" s="6">
        <v>14.5</v>
      </c>
    </row>
    <row r="70" spans="1:6" s="1" customFormat="1" ht="12.6" customHeight="1" x14ac:dyDescent="0.2">
      <c r="B70" s="3" t="s">
        <v>483</v>
      </c>
      <c r="C70" s="3" t="s">
        <v>484</v>
      </c>
      <c r="D70" s="6">
        <v>1</v>
      </c>
    </row>
    <row r="71" spans="1:6" s="1" customFormat="1" ht="12.6" customHeight="1" x14ac:dyDescent="0.2">
      <c r="B71" s="3" t="s">
        <v>485</v>
      </c>
      <c r="C71" s="3" t="s">
        <v>486</v>
      </c>
      <c r="D71" s="6">
        <v>12</v>
      </c>
    </row>
    <row r="72" spans="1:6" s="1" customFormat="1" ht="12.6" customHeight="1" x14ac:dyDescent="0.2">
      <c r="B72" s="3" t="s">
        <v>487</v>
      </c>
      <c r="C72" s="3" t="s">
        <v>488</v>
      </c>
      <c r="D72" s="6">
        <v>12</v>
      </c>
    </row>
    <row r="73" spans="1:6" s="1" customFormat="1" ht="12.6" customHeight="1" x14ac:dyDescent="0.2">
      <c r="B73" s="3" t="s">
        <v>489</v>
      </c>
      <c r="C73" s="3" t="s">
        <v>490</v>
      </c>
      <c r="D73" s="6">
        <v>1.2</v>
      </c>
    </row>
    <row r="74" spans="1:6" x14ac:dyDescent="0.25">
      <c r="A74" s="1" t="s">
        <v>341</v>
      </c>
      <c r="B74" s="3" t="s">
        <v>491</v>
      </c>
      <c r="C74" s="3" t="s">
        <v>492</v>
      </c>
      <c r="D74" s="6">
        <v>10</v>
      </c>
      <c r="E74" s="1"/>
      <c r="F74" s="1"/>
    </row>
    <row r="75" spans="1:6" ht="12.6" customHeight="1" x14ac:dyDescent="0.25">
      <c r="A75" s="1"/>
      <c r="B75" s="3" t="s">
        <v>493</v>
      </c>
      <c r="C75" s="3" t="s">
        <v>496</v>
      </c>
      <c r="D75" s="6">
        <v>33</v>
      </c>
      <c r="E75" s="13"/>
      <c r="F75" s="13"/>
    </row>
    <row r="76" spans="1:6" ht="12.6" customHeight="1" x14ac:dyDescent="0.25">
      <c r="A76" s="1"/>
      <c r="B76" s="3" t="s">
        <v>494</v>
      </c>
      <c r="C76" s="3" t="s">
        <v>579</v>
      </c>
      <c r="D76" s="6">
        <v>4</v>
      </c>
      <c r="E76" s="13"/>
      <c r="F76" s="13"/>
    </row>
    <row r="77" spans="1:6" x14ac:dyDescent="0.25">
      <c r="A77" s="1"/>
      <c r="B77" s="3" t="s">
        <v>495</v>
      </c>
      <c r="C77" s="3" t="s">
        <v>769</v>
      </c>
      <c r="D77" s="6">
        <v>142</v>
      </c>
      <c r="E77" s="13"/>
      <c r="F77" s="13"/>
    </row>
    <row r="78" spans="1:6" ht="12.6" customHeight="1" x14ac:dyDescent="0.25">
      <c r="A78" s="1"/>
      <c r="B78" s="3" t="s">
        <v>497</v>
      </c>
      <c r="C78" s="3" t="s">
        <v>498</v>
      </c>
      <c r="D78" s="37">
        <f>+D79+D80+D81</f>
        <v>15</v>
      </c>
      <c r="E78" s="13"/>
      <c r="F78" s="13"/>
    </row>
    <row r="79" spans="1:6" ht="12.6" customHeight="1" x14ac:dyDescent="0.25">
      <c r="A79" s="1"/>
      <c r="B79" s="3" t="s">
        <v>499</v>
      </c>
      <c r="C79" s="3" t="s">
        <v>500</v>
      </c>
      <c r="D79" s="6">
        <v>6</v>
      </c>
      <c r="E79" s="13"/>
      <c r="F79" s="13"/>
    </row>
    <row r="80" spans="1:6" s="14" customFormat="1" ht="12.6" customHeight="1" x14ac:dyDescent="0.25">
      <c r="A80" s="1"/>
      <c r="B80" s="3" t="s">
        <v>501</v>
      </c>
      <c r="C80" s="3" t="s">
        <v>502</v>
      </c>
      <c r="D80" s="6">
        <v>2</v>
      </c>
    </row>
    <row r="81" spans="1:5" x14ac:dyDescent="0.25">
      <c r="A81" s="1"/>
      <c r="B81" s="3" t="s">
        <v>503</v>
      </c>
      <c r="C81" s="3" t="s">
        <v>504</v>
      </c>
      <c r="D81" s="6">
        <v>7</v>
      </c>
    </row>
    <row r="82" spans="1:5" ht="12.6" customHeight="1" x14ac:dyDescent="0.25">
      <c r="A82" s="13"/>
      <c r="B82" s="3" t="s">
        <v>505</v>
      </c>
      <c r="C82" s="3" t="s">
        <v>506</v>
      </c>
      <c r="D82" s="6">
        <f>+D83+D95+D96+D98+D99+D100</f>
        <v>105.3</v>
      </c>
    </row>
    <row r="83" spans="1:5" ht="12.6" customHeight="1" x14ac:dyDescent="0.25">
      <c r="A83" s="13"/>
      <c r="B83" s="3" t="s">
        <v>507</v>
      </c>
      <c r="C83" s="3" t="s">
        <v>508</v>
      </c>
      <c r="D83" s="6">
        <f>D94+D93+D92+D91+D90+D89+D88+D87+D86+D85+D84</f>
        <v>64</v>
      </c>
    </row>
    <row r="84" spans="1:5" ht="12.6" customHeight="1" x14ac:dyDescent="0.25">
      <c r="A84" s="13"/>
      <c r="B84" s="3" t="s">
        <v>509</v>
      </c>
      <c r="C84" s="3" t="s">
        <v>450</v>
      </c>
      <c r="D84" s="6">
        <v>2</v>
      </c>
    </row>
    <row r="85" spans="1:5" ht="12.6" customHeight="1" x14ac:dyDescent="0.25">
      <c r="A85" s="13"/>
      <c r="B85" s="3" t="s">
        <v>510</v>
      </c>
      <c r="C85" s="3" t="s">
        <v>511</v>
      </c>
      <c r="D85" s="6">
        <v>2</v>
      </c>
    </row>
    <row r="86" spans="1:5" ht="12.6" customHeight="1" x14ac:dyDescent="0.25">
      <c r="A86" s="13"/>
      <c r="B86" s="3" t="s">
        <v>512</v>
      </c>
      <c r="C86" s="3" t="s">
        <v>513</v>
      </c>
      <c r="D86" s="6">
        <v>2</v>
      </c>
    </row>
    <row r="87" spans="1:5" ht="12.6" customHeight="1" x14ac:dyDescent="0.25">
      <c r="A87" s="13"/>
      <c r="B87" s="3" t="s">
        <v>514</v>
      </c>
      <c r="C87" s="3" t="s">
        <v>460</v>
      </c>
      <c r="D87" s="6">
        <v>44</v>
      </c>
    </row>
    <row r="88" spans="1:5" ht="12.6" customHeight="1" x14ac:dyDescent="0.25">
      <c r="A88" s="13"/>
      <c r="B88" s="3" t="s">
        <v>515</v>
      </c>
      <c r="C88" s="3" t="s">
        <v>452</v>
      </c>
      <c r="D88" s="6">
        <v>2</v>
      </c>
      <c r="E88" s="1"/>
    </row>
    <row r="89" spans="1:5" ht="12.6" customHeight="1" x14ac:dyDescent="0.25">
      <c r="A89" s="13"/>
      <c r="B89" s="3" t="s">
        <v>516</v>
      </c>
      <c r="C89" s="3" t="s">
        <v>454</v>
      </c>
      <c r="D89" s="6">
        <v>2</v>
      </c>
      <c r="E89" s="1"/>
    </row>
    <row r="90" spans="1:5" ht="12.6" customHeight="1" x14ac:dyDescent="0.25">
      <c r="A90" s="13"/>
      <c r="B90" s="3" t="s">
        <v>517</v>
      </c>
      <c r="C90" s="3" t="s">
        <v>518</v>
      </c>
      <c r="D90" s="6">
        <v>2</v>
      </c>
      <c r="E90" s="38"/>
    </row>
    <row r="91" spans="1:5" ht="12.6" customHeight="1" x14ac:dyDescent="0.25">
      <c r="A91" s="14"/>
      <c r="B91" s="3" t="s">
        <v>519</v>
      </c>
      <c r="C91" s="3" t="s">
        <v>462</v>
      </c>
      <c r="D91" s="6">
        <v>2</v>
      </c>
    </row>
    <row r="92" spans="1:5" ht="12.6" customHeight="1" x14ac:dyDescent="0.25">
      <c r="A92" s="13"/>
      <c r="B92" s="3" t="s">
        <v>520</v>
      </c>
      <c r="C92" s="3" t="s">
        <v>456</v>
      </c>
      <c r="D92" s="6">
        <v>2</v>
      </c>
    </row>
    <row r="93" spans="1:5" ht="12.6" customHeight="1" x14ac:dyDescent="0.25">
      <c r="A93"/>
      <c r="B93" s="3" t="s">
        <v>521</v>
      </c>
      <c r="C93" s="3" t="s">
        <v>522</v>
      </c>
      <c r="D93" s="6">
        <v>2</v>
      </c>
    </row>
    <row r="94" spans="1:5" ht="12.6" customHeight="1" x14ac:dyDescent="0.25">
      <c r="A94"/>
      <c r="B94" s="3" t="s">
        <v>523</v>
      </c>
      <c r="C94" s="3" t="s">
        <v>458</v>
      </c>
      <c r="D94" s="6">
        <v>2</v>
      </c>
    </row>
    <row r="95" spans="1:5" ht="12.6" customHeight="1" x14ac:dyDescent="0.25">
      <c r="A95"/>
      <c r="B95" s="3" t="s">
        <v>524</v>
      </c>
      <c r="C95" s="3" t="s">
        <v>525</v>
      </c>
      <c r="D95" s="6">
        <v>9</v>
      </c>
    </row>
    <row r="96" spans="1:5" ht="12.6" customHeight="1" x14ac:dyDescent="0.25">
      <c r="A96"/>
      <c r="B96" s="241" t="s">
        <v>526</v>
      </c>
      <c r="C96" s="42" t="s">
        <v>934</v>
      </c>
      <c r="D96" s="215">
        <v>10</v>
      </c>
    </row>
    <row r="97" spans="1:4" ht="12.6" customHeight="1" x14ac:dyDescent="0.25">
      <c r="A97"/>
      <c r="B97" s="242"/>
      <c r="C97" s="19" t="s">
        <v>935</v>
      </c>
      <c r="D97" s="216"/>
    </row>
    <row r="98" spans="1:4" ht="12.6" customHeight="1" x14ac:dyDescent="0.25">
      <c r="A98"/>
      <c r="B98" s="3" t="s">
        <v>527</v>
      </c>
      <c r="C98" s="3" t="s">
        <v>528</v>
      </c>
      <c r="D98" s="4">
        <v>10</v>
      </c>
    </row>
    <row r="99" spans="1:4" ht="12.6" customHeight="1" x14ac:dyDescent="0.25">
      <c r="A99"/>
      <c r="B99" s="3" t="s">
        <v>529</v>
      </c>
      <c r="C99" s="3" t="s">
        <v>580</v>
      </c>
      <c r="D99" s="4">
        <v>2.2999999999999998</v>
      </c>
    </row>
    <row r="100" spans="1:4" ht="12.6" customHeight="1" x14ac:dyDescent="0.25">
      <c r="B100" s="3" t="s">
        <v>693</v>
      </c>
      <c r="C100" s="3" t="s">
        <v>694</v>
      </c>
      <c r="D100" s="4">
        <v>10</v>
      </c>
    </row>
    <row r="101" spans="1:4" ht="12.6" customHeight="1" x14ac:dyDescent="0.25">
      <c r="B101" s="3" t="s">
        <v>530</v>
      </c>
      <c r="C101" s="3" t="s">
        <v>531</v>
      </c>
      <c r="D101" s="6">
        <v>6.5</v>
      </c>
    </row>
    <row r="102" spans="1:4" ht="12.6" customHeight="1" x14ac:dyDescent="0.25">
      <c r="B102" s="3"/>
      <c r="C102" s="19" t="s">
        <v>532</v>
      </c>
      <c r="D102" s="21">
        <f>+D49+D64+D67+D78+D82+D101</f>
        <v>466.09999999999997</v>
      </c>
    </row>
    <row r="103" spans="1:4" x14ac:dyDescent="0.25">
      <c r="B103"/>
      <c r="C103" s="8" t="s">
        <v>533</v>
      </c>
      <c r="D103"/>
    </row>
    <row r="104" spans="1:4" x14ac:dyDescent="0.25">
      <c r="B104"/>
      <c r="C104"/>
      <c r="D104"/>
    </row>
  </sheetData>
  <mergeCells count="10">
    <mergeCell ref="C2:D2"/>
    <mergeCell ref="C3:D3"/>
    <mergeCell ref="A5:D5"/>
    <mergeCell ref="A6:D6"/>
    <mergeCell ref="B39:D39"/>
    <mergeCell ref="B96:B97"/>
    <mergeCell ref="D96:D97"/>
    <mergeCell ref="B40:C40"/>
    <mergeCell ref="B41:C41"/>
    <mergeCell ref="B46:D46"/>
  </mergeCells>
  <pageMargins left="0.70866141732283472" right="0" top="0.74803149606299213" bottom="0.47244094488188981" header="0.31496062992125984" footer="0.31496062992125984"/>
  <pageSetup paperSize="9" scale="9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10</vt:i4>
      </vt:variant>
    </vt:vector>
  </HeadingPairs>
  <TitlesOfParts>
    <vt:vector size="16" baseType="lpstr">
      <vt:lpstr>1 pr</vt:lpstr>
      <vt:lpstr>3 pr</vt:lpstr>
      <vt:lpstr>7 pr</vt:lpstr>
      <vt:lpstr>8 pr</vt:lpstr>
      <vt:lpstr>10 pr</vt:lpstr>
      <vt:lpstr>13 pr</vt:lpstr>
      <vt:lpstr>'1 pr'!Print_Area</vt:lpstr>
      <vt:lpstr>'10 pr'!Print_Area</vt:lpstr>
      <vt:lpstr>'3 pr'!Print_Area</vt:lpstr>
      <vt:lpstr>'7 pr'!Print_Area</vt:lpstr>
      <vt:lpstr>'8 pr'!Print_Area</vt:lpstr>
      <vt:lpstr>'1 pr'!Print_Titles</vt:lpstr>
      <vt:lpstr>'10 pr'!Print_Titles</vt:lpstr>
      <vt:lpstr>'3 pr'!Print_Titles</vt:lpstr>
      <vt:lpstr>'7 pr'!Print_Titles</vt:lpstr>
      <vt:lpstr>'8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Vartotoja</cp:lastModifiedBy>
  <cp:lastPrinted>2023-06-12T06:24:06Z</cp:lastPrinted>
  <dcterms:created xsi:type="dcterms:W3CDTF">1996-10-14T23:33:28Z</dcterms:created>
  <dcterms:modified xsi:type="dcterms:W3CDTF">2023-06-12T06:24:17Z</dcterms:modified>
</cp:coreProperties>
</file>