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edainiusav-my.sharepoint.com/personal/jolanta_sakaviciene_kedainiai_lt/Documents/Dokumentai/seni dokumentai/2023 m sprendimai/2023-09- Tarybos posėdiis/Biudžetas/Projekto lyginamasis variantas/"/>
    </mc:Choice>
  </mc:AlternateContent>
  <xr:revisionPtr revIDLastSave="52" documentId="13_ncr:1_{FFE29024-2FF5-437B-9215-68F866A90DE3}" xr6:coauthVersionLast="47" xr6:coauthVersionMax="47" xr10:uidLastSave="{BAFE2E5D-9008-4188-A0C4-C7EC27584185}"/>
  <bookViews>
    <workbookView xWindow="-120" yWindow="-120" windowWidth="29040" windowHeight="15840" tabRatio="897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7 pr" sheetId="77" r:id="rId6"/>
    <sheet name="8 pr" sheetId="78" r:id="rId7"/>
    <sheet name="9 pr" sheetId="68" r:id="rId8"/>
    <sheet name="10 pr" sheetId="79" r:id="rId9"/>
    <sheet name="12 pr" sheetId="82" r:id="rId10"/>
    <sheet name="13 pr" sheetId="81" r:id="rId11"/>
  </sheets>
  <definedNames>
    <definedName name="_xlnm.Print_Area" localSheetId="0">'1 pr'!$A$1:$D$144</definedName>
    <definedName name="_xlnm.Print_Area" localSheetId="8">'10 pr'!$A$1:$H$136</definedName>
    <definedName name="_xlnm.Print_Area" localSheetId="9">'12 pr'!$A$1:$G$31</definedName>
    <definedName name="_xlnm.Print_Area" localSheetId="10">'13 pr'!$A$1:$E$124</definedName>
    <definedName name="_xlnm.Print_Area" localSheetId="1">'2 pr'!$A$1:$H$69</definedName>
    <definedName name="_xlnm.Print_Area" localSheetId="2">'3 pr'!$A$1:$H$442</definedName>
    <definedName name="_xlnm.Print_Area" localSheetId="3">'4 pr'!$A$1:$G$55</definedName>
    <definedName name="_xlnm.Print_Area" localSheetId="4">'5 pr'!$A$1:$G$60</definedName>
    <definedName name="_xlnm.Print_Area" localSheetId="5">'7 pr'!$A$1:$G$42</definedName>
    <definedName name="_xlnm.Print_Area" localSheetId="6">'8 pr'!$A$1:$G$106</definedName>
    <definedName name="_xlnm.Print_Area" localSheetId="7">'9 pr'!$A$1:$H$54</definedName>
    <definedName name="_xlnm.Print_Titles" localSheetId="0">'1 pr'!$6:$6</definedName>
    <definedName name="_xlnm.Print_Titles" localSheetId="8">'10 pr'!$8:$8</definedName>
    <definedName name="_xlnm.Print_Titles" localSheetId="1">'2 pr'!$8:$8</definedName>
    <definedName name="_xlnm.Print_Titles" localSheetId="2">'3 pr'!$8:$8</definedName>
    <definedName name="_xlnm.Print_Titles" localSheetId="3">'4 pr'!$7:$7</definedName>
    <definedName name="_xlnm.Print_Titles" localSheetId="4">'5 pr'!$7:$7</definedName>
    <definedName name="_xlnm.Print_Titles" localSheetId="5">'7 pr'!$7:$7</definedName>
    <definedName name="_xlnm.Print_Titles" localSheetId="6">'8 pr'!$8:$8</definedName>
    <definedName name="_xlnm.Print_Titles" localSheetId="7">'9 pr'!$8:$8</definedName>
  </definedNames>
  <calcPr calcId="181029"/>
  <fileRecoveryPr autoRecover="0"/>
</workbook>
</file>

<file path=xl/calcChain.xml><?xml version="1.0" encoding="utf-8"?>
<calcChain xmlns="http://schemas.openxmlformats.org/spreadsheetml/2006/main">
  <c r="F66" i="57" l="1"/>
  <c r="E59" i="79"/>
  <c r="C97" i="75" l="1"/>
  <c r="C92" i="75"/>
  <c r="C90" i="75"/>
  <c r="C88" i="75"/>
  <c r="C68" i="75"/>
  <c r="C63" i="75"/>
  <c r="C35" i="75" l="1"/>
  <c r="C24" i="75"/>
  <c r="C18" i="75"/>
  <c r="C9" i="75"/>
  <c r="C10" i="75"/>
  <c r="E29" i="62"/>
  <c r="E19" i="62"/>
  <c r="E21" i="58"/>
  <c r="E13" i="58"/>
  <c r="D20" i="57"/>
  <c r="D30" i="57"/>
  <c r="E30" i="57"/>
  <c r="E20" i="57"/>
  <c r="F32" i="68"/>
  <c r="E32" i="68"/>
  <c r="F22" i="68"/>
  <c r="E22" i="68"/>
  <c r="F403" i="76"/>
  <c r="E403" i="76"/>
  <c r="H403" i="76"/>
  <c r="G403" i="76"/>
  <c r="F371" i="76"/>
  <c r="F375" i="76"/>
  <c r="F428" i="76"/>
  <c r="E428" i="76"/>
  <c r="F198" i="76"/>
  <c r="E198" i="76"/>
  <c r="F379" i="76"/>
  <c r="E379" i="76"/>
  <c r="F434" i="76"/>
  <c r="E434" i="76"/>
  <c r="F373" i="76"/>
  <c r="E373" i="76"/>
  <c r="F234" i="76"/>
  <c r="E234" i="76"/>
  <c r="F190" i="76"/>
  <c r="E190" i="76"/>
  <c r="F432" i="76"/>
  <c r="E432" i="76"/>
  <c r="G432" i="76"/>
  <c r="F377" i="76"/>
  <c r="E377" i="76"/>
  <c r="F237" i="76"/>
  <c r="E237" i="76"/>
  <c r="F193" i="76"/>
  <c r="E193" i="76"/>
  <c r="E375" i="76"/>
  <c r="F430" i="76"/>
  <c r="E430" i="76"/>
  <c r="F426" i="76"/>
  <c r="E426" i="76"/>
  <c r="E371" i="76"/>
  <c r="F424" i="76"/>
  <c r="E424" i="76"/>
  <c r="F369" i="76"/>
  <c r="E369" i="76"/>
  <c r="F231" i="76"/>
  <c r="E231" i="76"/>
  <c r="F186" i="76"/>
  <c r="E186" i="76"/>
  <c r="F422" i="76"/>
  <c r="E422" i="76"/>
  <c r="F367" i="76"/>
  <c r="E367" i="76"/>
  <c r="F272" i="76"/>
  <c r="E272" i="76"/>
  <c r="F229" i="76"/>
  <c r="E229" i="76"/>
  <c r="F365" i="76"/>
  <c r="E365" i="76"/>
  <c r="F181" i="76"/>
  <c r="E181" i="76"/>
  <c r="F227" i="76"/>
  <c r="E227" i="76"/>
  <c r="F420" i="76"/>
  <c r="E420" i="76"/>
  <c r="F418" i="76"/>
  <c r="E418" i="76"/>
  <c r="F363" i="76"/>
  <c r="E363" i="76"/>
  <c r="F225" i="76"/>
  <c r="E225" i="76"/>
  <c r="F179" i="76"/>
  <c r="E179" i="76"/>
  <c r="F416" i="76"/>
  <c r="E416" i="76"/>
  <c r="F361" i="76"/>
  <c r="E361" i="76"/>
  <c r="F176" i="76"/>
  <c r="E176" i="76"/>
  <c r="F414" i="76"/>
  <c r="F359" i="76"/>
  <c r="E359" i="76"/>
  <c r="E414" i="76"/>
  <c r="F261" i="76"/>
  <c r="E261" i="76"/>
  <c r="F151" i="76"/>
  <c r="E151" i="76"/>
  <c r="G151" i="76"/>
  <c r="F399" i="76"/>
  <c r="E399" i="76"/>
  <c r="F104" i="76"/>
  <c r="E104" i="76"/>
  <c r="H104" i="76"/>
  <c r="G104" i="76"/>
  <c r="F147" i="76"/>
  <c r="E147" i="76"/>
  <c r="F69" i="76"/>
  <c r="E69" i="76"/>
  <c r="F145" i="76"/>
  <c r="E145" i="76"/>
  <c r="F67" i="76"/>
  <c r="E67" i="76"/>
  <c r="F143" i="76"/>
  <c r="E143" i="76"/>
  <c r="F141" i="76"/>
  <c r="E141" i="76"/>
  <c r="F138" i="76"/>
  <c r="E138" i="76"/>
  <c r="F397" i="76"/>
  <c r="E397" i="76"/>
  <c r="F256" i="76"/>
  <c r="E256" i="76"/>
  <c r="F254" i="76"/>
  <c r="E254" i="76"/>
  <c r="F252" i="76"/>
  <c r="E252" i="76"/>
  <c r="F250" i="76"/>
  <c r="E250" i="76"/>
  <c r="F248" i="76"/>
  <c r="E248" i="76"/>
  <c r="F246" i="76"/>
  <c r="E246" i="76"/>
  <c r="F244" i="76"/>
  <c r="E244" i="76"/>
  <c r="F242" i="76"/>
  <c r="E242" i="76"/>
  <c r="F203" i="76"/>
  <c r="E203" i="76"/>
  <c r="G203" i="76"/>
  <c r="F64" i="76"/>
  <c r="E64" i="76"/>
  <c r="F62" i="76"/>
  <c r="E62" i="76"/>
  <c r="F59" i="76"/>
  <c r="E59" i="76"/>
  <c r="F57" i="76"/>
  <c r="E57" i="76"/>
  <c r="F54" i="76"/>
  <c r="E54" i="76"/>
  <c r="F52" i="76"/>
  <c r="E52" i="76"/>
  <c r="F50" i="76"/>
  <c r="E50" i="76"/>
  <c r="F32" i="76"/>
  <c r="E32" i="76"/>
  <c r="E30" i="76"/>
  <c r="H32" i="76"/>
  <c r="G32" i="76"/>
  <c r="F48" i="76"/>
  <c r="E48" i="76"/>
  <c r="F46" i="76"/>
  <c r="E46" i="76"/>
  <c r="F44" i="76"/>
  <c r="E44" i="76"/>
  <c r="F42" i="76"/>
  <c r="E42" i="76"/>
  <c r="F40" i="76"/>
  <c r="E40" i="76"/>
  <c r="F38" i="76"/>
  <c r="E38" i="76"/>
  <c r="F36" i="76"/>
  <c r="E36" i="76"/>
  <c r="F34" i="76"/>
  <c r="E34" i="76"/>
  <c r="F30" i="76"/>
  <c r="F28" i="76"/>
  <c r="E28" i="76"/>
  <c r="F26" i="76"/>
  <c r="E26" i="76"/>
  <c r="F24" i="76"/>
  <c r="E24" i="76"/>
  <c r="F22" i="76"/>
  <c r="E22" i="76"/>
  <c r="F20" i="76"/>
  <c r="E20" i="76"/>
  <c r="F18" i="76"/>
  <c r="E18" i="76"/>
  <c r="F16" i="76"/>
  <c r="E16" i="76"/>
  <c r="F14" i="76"/>
  <c r="E14" i="76"/>
  <c r="F12" i="76"/>
  <c r="E12" i="76"/>
  <c r="C30" i="57" l="1"/>
  <c r="E346" i="76"/>
  <c r="E295" i="76"/>
  <c r="G346" i="76"/>
  <c r="G295" i="76"/>
  <c r="E131" i="76"/>
  <c r="C19" i="75"/>
  <c r="D33" i="81"/>
  <c r="D48" i="81"/>
  <c r="D26" i="81"/>
  <c r="D12" i="81"/>
  <c r="E288" i="76"/>
  <c r="E286" i="76"/>
  <c r="C25" i="75"/>
  <c r="E338" i="76" l="1"/>
  <c r="E172" i="76"/>
  <c r="D121" i="81"/>
  <c r="D115" i="81"/>
  <c r="E106" i="81"/>
  <c r="D106" i="81"/>
  <c r="D94" i="81"/>
  <c r="D88" i="81"/>
  <c r="D86" i="81"/>
  <c r="D74" i="81"/>
  <c r="D68" i="81"/>
  <c r="D66" i="81"/>
  <c r="D81" i="81" l="1"/>
  <c r="E34" i="77"/>
  <c r="E309" i="76"/>
  <c r="E411" i="76"/>
  <c r="E356" i="76" l="1"/>
  <c r="E325" i="76"/>
  <c r="E322" i="76"/>
  <c r="E313" i="76"/>
  <c r="E315" i="76"/>
  <c r="E305" i="76"/>
  <c r="E281" i="76"/>
  <c r="E84" i="76"/>
  <c r="E222" i="76" l="1"/>
  <c r="E22" i="82"/>
  <c r="E16" i="82"/>
  <c r="E124" i="76"/>
  <c r="E126" i="76"/>
  <c r="E117" i="76"/>
  <c r="E112" i="76"/>
  <c r="E14" i="82"/>
  <c r="E92" i="76"/>
  <c r="E82" i="76"/>
  <c r="E100" i="76"/>
  <c r="E98" i="76"/>
  <c r="E87" i="76"/>
  <c r="E80" i="76"/>
  <c r="E90" i="76"/>
  <c r="E76" i="76"/>
  <c r="G59" i="79"/>
  <c r="G134" i="79" s="1"/>
  <c r="C69" i="75"/>
  <c r="D69" i="75"/>
  <c r="D133" i="75" s="1"/>
  <c r="F59" i="79"/>
  <c r="H59" i="79"/>
  <c r="H134" i="79" s="1"/>
  <c r="F49" i="79"/>
  <c r="E49" i="79"/>
  <c r="C64" i="75"/>
  <c r="E92" i="79"/>
  <c r="C98" i="75"/>
  <c r="E88" i="79"/>
  <c r="C93" i="75"/>
  <c r="E80" i="79"/>
  <c r="C89" i="75"/>
  <c r="E84" i="79"/>
  <c r="C91" i="75"/>
  <c r="F131" i="79"/>
  <c r="E131" i="79"/>
  <c r="G103" i="78"/>
  <c r="C36" i="75"/>
  <c r="E24" i="78"/>
  <c r="F10" i="79"/>
  <c r="F90" i="79" l="1"/>
  <c r="E90" i="79"/>
  <c r="E130" i="79"/>
  <c r="E55" i="79"/>
  <c r="F43" i="79"/>
  <c r="F25" i="79"/>
  <c r="F28" i="79"/>
  <c r="F31" i="79"/>
  <c r="E31" i="79"/>
  <c r="F30" i="79"/>
  <c r="E30" i="79"/>
  <c r="F29" i="79"/>
  <c r="E29" i="79"/>
  <c r="E28" i="79"/>
  <c r="F27" i="79"/>
  <c r="E27" i="79"/>
  <c r="F26" i="79"/>
  <c r="E26" i="79"/>
  <c r="E25" i="79"/>
  <c r="E23" i="79"/>
  <c r="F22" i="79"/>
  <c r="E22" i="79"/>
  <c r="F21" i="79"/>
  <c r="E21" i="79"/>
  <c r="F20" i="79"/>
  <c r="E20" i="79"/>
  <c r="F19" i="79"/>
  <c r="E19" i="79"/>
  <c r="F18" i="79"/>
  <c r="E18" i="79"/>
  <c r="F17" i="79"/>
  <c r="E17" i="79"/>
  <c r="F16" i="79"/>
  <c r="E16" i="79"/>
  <c r="C82" i="75"/>
  <c r="C78" i="75"/>
  <c r="C67" i="75"/>
  <c r="C26" i="75" l="1"/>
  <c r="C114" i="75"/>
  <c r="C129" i="75"/>
  <c r="E96" i="76"/>
  <c r="E267" i="76" l="1"/>
  <c r="E218" i="76"/>
  <c r="F267" i="76"/>
  <c r="F218" i="76"/>
  <c r="F78" i="76"/>
  <c r="G40" i="77"/>
  <c r="E25" i="77"/>
  <c r="E319" i="76" l="1"/>
  <c r="E318" i="76"/>
  <c r="H436" i="76"/>
  <c r="G436" i="76"/>
  <c r="F86" i="79"/>
  <c r="E86" i="79"/>
  <c r="F82" i="79"/>
  <c r="E82" i="79"/>
  <c r="F78" i="79"/>
  <c r="E78" i="79"/>
  <c r="F123" i="79"/>
  <c r="E123" i="79"/>
  <c r="F125" i="79"/>
  <c r="E125" i="79"/>
  <c r="E139" i="76"/>
  <c r="F71" i="79"/>
  <c r="E71" i="79"/>
  <c r="F28" i="78"/>
  <c r="E122" i="79" l="1"/>
  <c r="F122" i="79"/>
  <c r="F39" i="79"/>
  <c r="F38" i="79"/>
  <c r="F37" i="79"/>
  <c r="F36" i="79"/>
  <c r="F35" i="79"/>
  <c r="F34" i="79"/>
  <c r="C38" i="75"/>
  <c r="E45" i="78"/>
  <c r="F103" i="79"/>
  <c r="E103" i="79"/>
  <c r="C65" i="75"/>
  <c r="F51" i="79"/>
  <c r="E51" i="79"/>
  <c r="F69" i="79"/>
  <c r="E69" i="79"/>
  <c r="E116" i="79"/>
  <c r="E115" i="79" s="1"/>
  <c r="E113" i="79"/>
  <c r="E107" i="79"/>
  <c r="E111" i="79"/>
  <c r="E33" i="79"/>
  <c r="E11" i="79"/>
  <c r="E10" i="79" s="1"/>
  <c r="F33" i="79" l="1"/>
  <c r="F129" i="79"/>
  <c r="F128" i="79" s="1"/>
  <c r="E129" i="79"/>
  <c r="E128" i="79" s="1"/>
  <c r="F120" i="79"/>
  <c r="E120" i="79"/>
  <c r="C76" i="75"/>
  <c r="F32" i="79"/>
  <c r="E32" i="79"/>
  <c r="F23" i="79"/>
  <c r="E24" i="79"/>
  <c r="F118" i="79" l="1"/>
  <c r="F117" i="79" s="1"/>
  <c r="E118" i="79"/>
  <c r="E117" i="79" s="1"/>
  <c r="F109" i="79"/>
  <c r="F108" i="79" s="1"/>
  <c r="E109" i="79"/>
  <c r="E108" i="79" s="1"/>
  <c r="F106" i="79"/>
  <c r="F105" i="79" s="1"/>
  <c r="E106" i="79"/>
  <c r="E105" i="79" s="1"/>
  <c r="F101" i="79"/>
  <c r="F100" i="79" s="1"/>
  <c r="E101" i="79"/>
  <c r="E100" i="79" s="1"/>
  <c r="F98" i="79"/>
  <c r="E98" i="79"/>
  <c r="F64" i="79"/>
  <c r="E64" i="79"/>
  <c r="F62" i="79"/>
  <c r="E62" i="79"/>
  <c r="F60" i="79"/>
  <c r="E60" i="79"/>
  <c r="F57" i="79"/>
  <c r="E57" i="79"/>
  <c r="F54" i="79"/>
  <c r="E54" i="79"/>
  <c r="F52" i="79"/>
  <c r="E52" i="79"/>
  <c r="F50" i="79"/>
  <c r="E50" i="79"/>
  <c r="F47" i="79"/>
  <c r="E47" i="79"/>
  <c r="F44" i="79"/>
  <c r="E44" i="79"/>
  <c r="F42" i="79"/>
  <c r="E42" i="79"/>
  <c r="F15" i="79"/>
  <c r="E15" i="79"/>
  <c r="F95" i="79"/>
  <c r="F94" i="79" s="1"/>
  <c r="F93" i="79" s="1"/>
  <c r="E95" i="79"/>
  <c r="E94" i="79" s="1"/>
  <c r="E93" i="79" s="1"/>
  <c r="F13" i="79"/>
  <c r="F12" i="79" s="1"/>
  <c r="E13" i="79"/>
  <c r="E12" i="79" s="1"/>
  <c r="C122" i="75"/>
  <c r="C119" i="75"/>
  <c r="C110" i="75"/>
  <c r="C106" i="75"/>
  <c r="C101" i="75"/>
  <c r="C75" i="75"/>
  <c r="C56" i="75"/>
  <c r="C55" i="75"/>
  <c r="C17" i="75"/>
  <c r="C12" i="75"/>
  <c r="C8" i="75" l="1"/>
  <c r="E41" i="79"/>
  <c r="E97" i="79"/>
  <c r="F41" i="79"/>
  <c r="E9" i="79"/>
  <c r="F97" i="79"/>
  <c r="F9" i="79"/>
  <c r="C100" i="75"/>
  <c r="C23" i="75"/>
  <c r="C118" i="75" l="1"/>
  <c r="E134" i="79"/>
  <c r="F134" i="79"/>
  <c r="F49" i="68" l="1"/>
  <c r="F48" i="68" s="1"/>
  <c r="E49" i="68"/>
  <c r="E48" i="68" s="1"/>
  <c r="F46" i="68"/>
  <c r="E46" i="68"/>
  <c r="F44" i="68"/>
  <c r="E44" i="68"/>
  <c r="F38" i="68"/>
  <c r="E38" i="68"/>
  <c r="F35" i="68"/>
  <c r="E35" i="68"/>
  <c r="F30" i="68"/>
  <c r="E30" i="68"/>
  <c r="F28" i="68"/>
  <c r="E28" i="68"/>
  <c r="F27" i="68"/>
  <c r="E27" i="68"/>
  <c r="F26" i="68"/>
  <c r="E26" i="68"/>
  <c r="F25" i="68"/>
  <c r="E25" i="68"/>
  <c r="F24" i="68"/>
  <c r="E24" i="68"/>
  <c r="F23" i="68"/>
  <c r="E23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3" i="68"/>
  <c r="E13" i="68"/>
  <c r="F12" i="68"/>
  <c r="E12" i="68"/>
  <c r="F11" i="68"/>
  <c r="E11" i="68"/>
  <c r="E10" i="68" l="1"/>
  <c r="E9" i="68" s="1"/>
  <c r="E51" i="68" s="1"/>
  <c r="F10" i="68"/>
  <c r="F9" i="68" s="1"/>
  <c r="F51" i="68" s="1"/>
  <c r="E407" i="76" l="1"/>
  <c r="E157" i="76"/>
  <c r="E213" i="76"/>
  <c r="E209" i="76"/>
  <c r="E25" i="82"/>
  <c r="E71" i="76" l="1"/>
  <c r="E72" i="78" l="1"/>
  <c r="E18" i="77" l="1"/>
  <c r="D36" i="81" l="1"/>
  <c r="D29" i="81"/>
  <c r="D101" i="81"/>
  <c r="D100" i="81" s="1"/>
  <c r="D96" i="81"/>
  <c r="D77" i="81"/>
  <c r="D59" i="81"/>
  <c r="D39" i="81"/>
  <c r="D43" i="81" s="1"/>
  <c r="D20" i="81"/>
  <c r="D17" i="81"/>
  <c r="E22" i="77"/>
  <c r="E21" i="77" s="1"/>
  <c r="F18" i="77"/>
  <c r="F17" i="77" s="1"/>
  <c r="E17" i="77"/>
  <c r="D22" i="81" l="1"/>
  <c r="D123" i="81"/>
  <c r="E149" i="76" l="1"/>
  <c r="F22" i="78" l="1"/>
  <c r="E347" i="76"/>
  <c r="F187" i="76" l="1"/>
  <c r="E187" i="76"/>
  <c r="E57" i="62" l="1"/>
  <c r="E56" i="62"/>
  <c r="E55" i="62"/>
  <c r="E54" i="62"/>
  <c r="E53" i="62"/>
  <c r="E52" i="62"/>
  <c r="E50" i="62"/>
  <c r="E49" i="62"/>
  <c r="E48" i="62"/>
  <c r="E47" i="62"/>
  <c r="E46" i="62"/>
  <c r="E44" i="62"/>
  <c r="E43" i="62"/>
  <c r="E42" i="62"/>
  <c r="E40" i="62"/>
  <c r="E37" i="62"/>
  <c r="E35" i="62"/>
  <c r="E32" i="62"/>
  <c r="E25" i="62"/>
  <c r="E23" i="62"/>
  <c r="E22" i="62"/>
  <c r="E21" i="62"/>
  <c r="E20" i="62"/>
  <c r="E16" i="62"/>
  <c r="E15" i="62"/>
  <c r="E14" i="62"/>
  <c r="E13" i="62"/>
  <c r="E12" i="62"/>
  <c r="E9" i="62"/>
  <c r="E52" i="58"/>
  <c r="E48" i="58"/>
  <c r="E45" i="58"/>
  <c r="E29" i="58"/>
  <c r="E31" i="58"/>
  <c r="E50" i="58"/>
  <c r="E42" i="58"/>
  <c r="E41" i="58"/>
  <c r="E40" i="58"/>
  <c r="E39" i="58"/>
  <c r="E37" i="58"/>
  <c r="E36" i="58"/>
  <c r="E35" i="58"/>
  <c r="E27" i="58"/>
  <c r="E33" i="58"/>
  <c r="E25" i="58"/>
  <c r="E24" i="58"/>
  <c r="E23" i="58"/>
  <c r="E18" i="58"/>
  <c r="E17" i="58"/>
  <c r="E16" i="58"/>
  <c r="E15" i="58"/>
  <c r="E14" i="58"/>
  <c r="E11" i="58"/>
  <c r="E275" i="76" l="1"/>
  <c r="F195" i="76" l="1"/>
  <c r="E195" i="76"/>
  <c r="F183" i="76"/>
  <c r="E183" i="76"/>
  <c r="F173" i="76"/>
  <c r="E173" i="76"/>
  <c r="F46" i="78"/>
  <c r="E46" i="78"/>
  <c r="E27" i="82"/>
  <c r="F12" i="82"/>
  <c r="E12" i="82"/>
  <c r="E206" i="76" l="1"/>
  <c r="F401" i="76"/>
  <c r="E401" i="76"/>
  <c r="F132" i="76"/>
  <c r="E132" i="76"/>
  <c r="F9" i="77"/>
  <c r="F25" i="77"/>
  <c r="F24" i="77" s="1"/>
  <c r="F10" i="82"/>
  <c r="F20" i="82"/>
  <c r="F18" i="82" s="1"/>
  <c r="E20" i="82"/>
  <c r="E18" i="82" s="1"/>
  <c r="F24" i="82"/>
  <c r="F23" i="82" s="1"/>
  <c r="E24" i="82"/>
  <c r="E23" i="82" s="1"/>
  <c r="F27" i="82"/>
  <c r="F26" i="82" s="1"/>
  <c r="E26" i="82"/>
  <c r="F29" i="82" l="1"/>
  <c r="E136" i="76"/>
  <c r="F107" i="76"/>
  <c r="E10" i="76" l="1"/>
  <c r="F37" i="77" l="1"/>
  <c r="F36" i="77" s="1"/>
  <c r="E37" i="77"/>
  <c r="E36" i="77" s="1"/>
  <c r="E383" i="76" l="1"/>
  <c r="E207" i="76"/>
  <c r="E205" i="76" s="1"/>
  <c r="E201" i="76" s="1"/>
  <c r="E9" i="77" l="1"/>
  <c r="E10" i="82" l="1"/>
  <c r="E29" i="82" s="1"/>
  <c r="E18" i="78"/>
  <c r="E29" i="78"/>
  <c r="E42" i="78"/>
  <c r="F42" i="78"/>
  <c r="F10" i="78"/>
  <c r="C33" i="57"/>
  <c r="F8" i="77"/>
  <c r="E297" i="76"/>
  <c r="E293" i="76" s="1"/>
  <c r="C31" i="57"/>
  <c r="E30" i="58"/>
  <c r="E34" i="58"/>
  <c r="C39" i="57"/>
  <c r="C40" i="57"/>
  <c r="C22" i="57"/>
  <c r="E36" i="62"/>
  <c r="C41" i="57"/>
  <c r="C24" i="57"/>
  <c r="F98" i="78"/>
  <c r="E98" i="78"/>
  <c r="F96" i="78"/>
  <c r="E96" i="78"/>
  <c r="F94" i="78"/>
  <c r="E94" i="78"/>
  <c r="F92" i="78"/>
  <c r="E92" i="78"/>
  <c r="E90" i="78"/>
  <c r="F90" i="78"/>
  <c r="F88" i="78"/>
  <c r="E88" i="78"/>
  <c r="F86" i="78"/>
  <c r="E86" i="78"/>
  <c r="F84" i="78"/>
  <c r="E84" i="78"/>
  <c r="F82" i="78"/>
  <c r="E82" i="78"/>
  <c r="F80" i="78"/>
  <c r="E80" i="78"/>
  <c r="F78" i="78"/>
  <c r="E78" i="78"/>
  <c r="F76" i="78"/>
  <c r="E76" i="78"/>
  <c r="F100" i="78"/>
  <c r="E100" i="78"/>
  <c r="F72" i="78"/>
  <c r="F60" i="78"/>
  <c r="E60" i="78"/>
  <c r="E59" i="78" s="1"/>
  <c r="F44" i="78"/>
  <c r="E44" i="78"/>
  <c r="F29" i="78"/>
  <c r="F27" i="78"/>
  <c r="E27" i="78"/>
  <c r="F25" i="78"/>
  <c r="E25" i="78"/>
  <c r="F18" i="78"/>
  <c r="F14" i="78"/>
  <c r="E14" i="78"/>
  <c r="F12" i="78"/>
  <c r="E12" i="78"/>
  <c r="E10" i="78"/>
  <c r="C23" i="57"/>
  <c r="E285" i="76"/>
  <c r="E279" i="76" s="1"/>
  <c r="E274" i="76" s="1"/>
  <c r="F71" i="76"/>
  <c r="F32" i="77"/>
  <c r="F30" i="77" s="1"/>
  <c r="E32" i="77"/>
  <c r="E30" i="77" s="1"/>
  <c r="F15" i="77"/>
  <c r="F14" i="77" s="1"/>
  <c r="E15" i="77"/>
  <c r="E14" i="77" s="1"/>
  <c r="E8" i="77"/>
  <c r="F390" i="76"/>
  <c r="F389" i="76" s="1"/>
  <c r="E390" i="76"/>
  <c r="E389" i="76" s="1"/>
  <c r="F383" i="76"/>
  <c r="F381" i="76" s="1"/>
  <c r="F380" i="76" s="1"/>
  <c r="F353" i="76"/>
  <c r="F343" i="76" s="1"/>
  <c r="F341" i="76" s="1"/>
  <c r="F299" i="76"/>
  <c r="F297" i="76" s="1"/>
  <c r="F293" i="76" s="1"/>
  <c r="F285" i="76"/>
  <c r="F279" i="76" s="1"/>
  <c r="F274" i="76" s="1"/>
  <c r="F259" i="76"/>
  <c r="F240" i="76" s="1"/>
  <c r="F207" i="76"/>
  <c r="F167" i="76"/>
  <c r="F149" i="76" s="1"/>
  <c r="F102" i="76"/>
  <c r="F49" i="58"/>
  <c r="E43" i="58"/>
  <c r="C59" i="57"/>
  <c r="E45" i="62"/>
  <c r="C60" i="57"/>
  <c r="E49" i="58"/>
  <c r="C47" i="57"/>
  <c r="C49" i="57"/>
  <c r="C51" i="57"/>
  <c r="C50" i="57"/>
  <c r="C21" i="57"/>
  <c r="C18" i="57"/>
  <c r="F8" i="58"/>
  <c r="C25" i="57"/>
  <c r="C28" i="57"/>
  <c r="C27" i="57"/>
  <c r="C13" i="57"/>
  <c r="C12" i="57"/>
  <c r="C16" i="57"/>
  <c r="C9" i="57"/>
  <c r="C14" i="57"/>
  <c r="F45" i="62"/>
  <c r="F36" i="62"/>
  <c r="E34" i="62"/>
  <c r="F34" i="62"/>
  <c r="F8" i="62"/>
  <c r="C65" i="57"/>
  <c r="C64" i="57"/>
  <c r="C63" i="57"/>
  <c r="C62" i="57"/>
  <c r="C61" i="57"/>
  <c r="C58" i="57"/>
  <c r="C57" i="57"/>
  <c r="C56" i="57"/>
  <c r="C55" i="57"/>
  <c r="C54" i="57"/>
  <c r="C53" i="57"/>
  <c r="C52" i="57"/>
  <c r="C48" i="57"/>
  <c r="C46" i="57"/>
  <c r="C45" i="57"/>
  <c r="C44" i="57"/>
  <c r="C43" i="57"/>
  <c r="C42" i="57"/>
  <c r="C38" i="57"/>
  <c r="C37" i="57"/>
  <c r="C36" i="57"/>
  <c r="C35" i="57"/>
  <c r="C34" i="57"/>
  <c r="C32" i="57"/>
  <c r="C26" i="57"/>
  <c r="C17" i="57"/>
  <c r="C15" i="57"/>
  <c r="C11" i="57"/>
  <c r="C10" i="57"/>
  <c r="F32" i="58"/>
  <c r="E32" i="58"/>
  <c r="F43" i="58"/>
  <c r="F34" i="58"/>
  <c r="F30" i="58"/>
  <c r="F28" i="58"/>
  <c r="E28" i="58"/>
  <c r="E259" i="76"/>
  <c r="E240" i="76" s="1"/>
  <c r="E353" i="76"/>
  <c r="E343" i="76" s="1"/>
  <c r="E381" i="76"/>
  <c r="E380" i="76" s="1"/>
  <c r="C20" i="57"/>
  <c r="F75" i="78" l="1"/>
  <c r="F59" i="78"/>
  <c r="E75" i="78"/>
  <c r="F40" i="77"/>
  <c r="F10" i="76"/>
  <c r="F17" i="78"/>
  <c r="E341" i="76"/>
  <c r="F136" i="76"/>
  <c r="F205" i="76"/>
  <c r="F201" i="76" s="1"/>
  <c r="F9" i="78"/>
  <c r="F58" i="62"/>
  <c r="E9" i="78"/>
  <c r="E24" i="77"/>
  <c r="E40" i="77" s="1"/>
  <c r="E58" i="62"/>
  <c r="E53" i="58"/>
  <c r="F53" i="58"/>
  <c r="E395" i="76"/>
  <c r="F395" i="76"/>
  <c r="E102" i="76"/>
  <c r="E436" i="76" l="1"/>
  <c r="F436" i="76"/>
  <c r="E103" i="78"/>
  <c r="F103" i="78"/>
  <c r="C121" i="75"/>
  <c r="C133" i="75" l="1"/>
</calcChain>
</file>

<file path=xl/sharedStrings.xml><?xml version="1.0" encoding="utf-8"?>
<sst xmlns="http://schemas.openxmlformats.org/spreadsheetml/2006/main" count="1946" uniqueCount="999">
  <si>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</si>
  <si>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</si>
  <si>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</si>
  <si>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</si>
  <si>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</si>
  <si>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</si>
  <si>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</si>
  <si>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</si>
  <si>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</si>
  <si>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</si>
  <si>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</si>
  <si>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</si>
  <si>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</si>
  <si>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</si>
  <si>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</si>
  <si>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</si>
  <si>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</si>
  <si>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</si>
  <si>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</si>
  <si>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</si>
  <si>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</si>
  <si>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</si>
  <si>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</si>
  <si>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</si>
  <si>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</si>
  <si>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</si>
  <si>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</si>
  <si>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</si>
  <si>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</si>
  <si>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</si>
  <si>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</si>
  <si>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</si>
  <si>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</si>
  <si>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</si>
  <si>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</si>
  <si>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</si>
  <si>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</si>
  <si>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11.4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</si>
  <si>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</si>
  <si>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</si>
  <si>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</si>
  <si>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</si>
  <si>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</si>
  <si>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</si>
  <si>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</si>
  <si>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</si>
  <si>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</si>
  <si>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</si>
  <si>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</si>
  <si>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</si>
  <si>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</si>
  <si>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</si>
  <si>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</si>
  <si>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</si>
  <si>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</si>
  <si>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</si>
  <si>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</si>
  <si>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</si>
  <si>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</si>
  <si>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</si>
  <si>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</si>
  <si>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</si>
  <si>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</si>
  <si>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</si>
  <si>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</si>
  <si>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</si>
  <si>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</si>
  <si>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</si>
  <si>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</si>
  <si>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</si>
  <si>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</si>
  <si>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</si>
  <si>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</si>
  <si>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</si>
  <si>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</si>
  <si>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</si>
  <si>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</si>
  <si>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</si>
  <si>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</si>
  <si>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</si>
  <si>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</si>
  <si>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</si>
  <si>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</si>
  <si>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</si>
  <si>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</si>
  <si>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</si>
  <si>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</si>
  <si>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</si>
  <si>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</si>
  <si>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</si>
  <si>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</si>
  <si>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</si>
  <si>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</si>
  <si>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</si>
  <si>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</si>
  <si>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</si>
  <si>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</si>
  <si>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</si>
  <si>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</si>
  <si>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</si>
  <si>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</si>
  <si>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</si>
  <si>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</si>
  <si>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</si>
  <si>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</si>
  <si>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</si>
  <si>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</si>
  <si>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</si>
  <si>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</si>
  <si>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</si>
  <si>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</si>
  <si>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</si>
  <si>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</si>
  <si>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</si>
  <si>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</si>
  <si>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</si>
  <si>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</si>
  <si>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7 priedas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</si>
  <si>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</si>
  <si>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</si>
  <si>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</si>
  <si>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</si>
  <si>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</si>
  <si>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</si>
  <si>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</si>
  <si>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</si>
  <si>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</si>
  <si>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</si>
  <si>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</si>
  <si>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</si>
  <si>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</si>
  <si>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</si>
  <si>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</si>
  <si>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</si>
  <si>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</si>
  <si>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</si>
  <si>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</si>
  <si>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</si>
  <si>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</si>
  <si>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</si>
  <si>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</si>
  <si>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</si>
  <si>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</si>
  <si>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</si>
  <si>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</si>
  <si>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</si>
  <si>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</si>
  <si>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</si>
  <si>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</si>
  <si>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</si>
  <si>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</si>
  <si>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</si>
  <si>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</si>
  <si>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</si>
  <si>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</si>
  <si>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</si>
  <si>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</si>
  <si>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</si>
  <si>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</si>
  <si>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</si>
  <si>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</si>
  <si>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</si>
  <si>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</si>
  <si>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</si>
  <si>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</si>
  <si>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</si>
  <si>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</si>
  <si>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</si>
  <si>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</si>
  <si>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</si>
  <si>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</si>
  <si>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</si>
  <si>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</si>
  <si>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</si>
  <si>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</si>
  <si>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</si>
  <si>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</si>
  <si>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</si>
  <si>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</si>
  <si>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</si>
  <si>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>Kėdainių rajono savivaldybės administracija iš viso:</t>
  </si>
  <si>
    <t>Finansuoti VšĮ Kėdainių turizmo ir verslo informacijos centro turizmo veiklos programą</t>
  </si>
  <si>
    <t>11.5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</si>
  <si>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</si>
  <si>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</si>
  <si>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</si>
  <si>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</si>
  <si>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</si>
  <si>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</si>
  <si>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</si>
  <si>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</si>
  <si>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</si>
  <si>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</si>
  <si>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</si>
  <si>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</si>
  <si>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</si>
  <si>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</si>
  <si>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</si>
  <si>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</si>
  <si>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</si>
  <si>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</si>
  <si>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Kita tikslinė dotacija mokyklos specialiųjų ugdymosi poreikių turintiems mokiniams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</si>
  <si>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</si>
  <si>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</si>
  <si>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</si>
  <si>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</si>
  <si>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</si>
  <si>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</si>
  <si>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</si>
  <si>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</si>
  <si>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r. Miegenų pagrindinė mokykla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</si>
  <si>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</si>
  <si>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</si>
  <si>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</si>
  <si>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</si>
  <si>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</si>
  <si>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>4 priedas</t>
  </si>
  <si>
    <t xml:space="preserve">09.02.01.01   </t>
  </si>
  <si>
    <t>09.05.01.03</t>
  </si>
  <si>
    <t>07.04.01.02</t>
  </si>
  <si>
    <t>10.01.02.02 10.07.01.01</t>
  </si>
  <si>
    <t xml:space="preserve">05.01.01.01 </t>
  </si>
  <si>
    <t>06.02.01.01</t>
  </si>
  <si>
    <t>01.03.02.09</t>
  </si>
  <si>
    <t xml:space="preserve">01.03.02.09  </t>
  </si>
  <si>
    <t xml:space="preserve">                                                             ____________________________________</t>
  </si>
  <si>
    <t>8 priedas</t>
  </si>
  <si>
    <t>02.1</t>
  </si>
  <si>
    <t>02.2</t>
  </si>
  <si>
    <t>02.3</t>
  </si>
  <si>
    <t>Neveiksnių asmenų būklės peržiūrėjimui</t>
  </si>
  <si>
    <t>03.1</t>
  </si>
  <si>
    <t>Socialinėms paslaugoms:
Socialinei globai asmenims su sunkia negalia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</si>
  <si>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</si>
  <si>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</si>
  <si>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</si>
  <si>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</si>
  <si>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</si>
  <si>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</si>
  <si>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</si>
  <si>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</si>
  <si>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</si>
  <si>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</si>
  <si>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</si>
  <si>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</si>
  <si>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</si>
  <si>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iš jų: polderiams eksploatuoti</t>
  </si>
  <si>
    <t>04.02.01.01</t>
  </si>
  <si>
    <t>Tvarkyti erdvinių duomenų rinkinį</t>
  </si>
  <si>
    <t>Priešgaisrinių tarnybų organizavimas</t>
  </si>
  <si>
    <t>Gyventojų registro tvarkymas ir duomenų valstybės registrui teikimas</t>
  </si>
  <si>
    <t>01.03.03.02</t>
  </si>
  <si>
    <t>Archyvinių dokumentų tvarkymas</t>
  </si>
  <si>
    <t>Civilinės būklės aktų registravimas</t>
  </si>
  <si>
    <t>Civilinės saugos organizavimas</t>
  </si>
  <si>
    <t>02.02.01.01</t>
  </si>
  <si>
    <t>11.6</t>
  </si>
  <si>
    <t>Valstybinės kalbos vartojimo ir taisyklingumo kontrolė</t>
  </si>
  <si>
    <t>11.7</t>
  </si>
  <si>
    <t>Mobilizacijos administravimas</t>
  </si>
  <si>
    <t>02.01.01.04</t>
  </si>
  <si>
    <t>11.9</t>
  </si>
  <si>
    <t>Jaunimo teisių apsauga</t>
  </si>
  <si>
    <t>11.10</t>
  </si>
  <si>
    <t>Pirminė teisinė pagalba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</si>
  <si>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</si>
  <si>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</si>
  <si>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</si>
  <si>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</si>
  <si>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</si>
  <si>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Vykdyti mamografijos paslaugų tęstinumo, kokybės gerinimo Kėdainių rajono savivaldybėje 2020-2025 m. programą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</si>
  <si>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</si>
  <si>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</si>
  <si>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</si>
  <si>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</si>
  <si>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</si>
  <si>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</si>
  <si>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</si>
  <si>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06.02.01.01                       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</si>
  <si>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</si>
  <si>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</si>
  <si>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</si>
  <si>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</si>
  <si>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</si>
  <si>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</si>
  <si>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</si>
  <si>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</si>
  <si>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</si>
  <si>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</si>
  <si>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</si>
  <si>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06.04.01.01.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</si>
  <si>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</si>
  <si>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</si>
  <si>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</si>
  <si>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</si>
  <si>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</si>
  <si>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09.08.01.09</t>
  </si>
  <si>
    <t>Koordinuotai teikiamų paslaugų vaikams nuo gimimo iki 18 metų (turintiems didelių ir labai didelių specialiųjų ugdymosi poreikių − iki 21 metų) ir vaiko atstovams koordinavimas</t>
  </si>
  <si>
    <t>01.08.01.02</t>
  </si>
  <si>
    <t>04.1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</si>
  <si>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</si>
  <si>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</si>
  <si>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</si>
  <si>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</si>
  <si>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</si>
  <si>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</si>
  <si>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</si>
  <si>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</si>
  <si>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</si>
  <si>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</si>
  <si>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</si>
  <si>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</si>
  <si>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</si>
  <si>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</si>
  <si>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</si>
  <si>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</si>
  <si>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</si>
  <si>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</si>
  <si>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</si>
  <si>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</si>
  <si>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</si>
  <si>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</si>
  <si>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</si>
  <si>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</si>
  <si>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</si>
  <si>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</si>
  <si>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</si>
  <si>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</si>
  <si>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</si>
  <si>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</si>
  <si>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</si>
  <si>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</si>
  <si>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</si>
  <si>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</si>
  <si>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</si>
  <si>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</si>
  <si>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</si>
  <si>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</si>
  <si>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</si>
  <si>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</si>
  <si>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</si>
  <si>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</si>
  <si>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</si>
  <si>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</si>
  <si>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</si>
  <si>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</si>
  <si>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</si>
  <si>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</si>
  <si>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</si>
  <si>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>09.02.01.01
09.02.02.01 
09.05.01.01
09.05.01.02</t>
  </si>
  <si>
    <t>16.1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</si>
  <si>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</si>
  <si>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</si>
  <si>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</si>
  <si>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</si>
  <si>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</si>
  <si>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</si>
  <si>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>9 priedas</t>
  </si>
  <si>
    <t>10 priedas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</si>
  <si>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</si>
  <si>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</si>
  <si>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</si>
  <si>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</si>
  <si>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</si>
  <si>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</si>
  <si>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</si>
  <si>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</si>
  <si>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</si>
  <si>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</si>
  <si>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</si>
  <si>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</si>
  <si>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</si>
  <si>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</si>
  <si>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</si>
  <si>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</si>
  <si>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</si>
  <si>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</si>
  <si>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</si>
  <si>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</si>
  <si>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</si>
  <si>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</si>
  <si>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</si>
  <si>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</si>
  <si>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</si>
  <si>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</si>
  <si>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</si>
  <si>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</si>
  <si>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</si>
  <si>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</si>
  <si>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</si>
  <si>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</si>
  <si>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</si>
  <si>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</si>
  <si>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</si>
  <si>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</si>
  <si>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</si>
  <si>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</si>
  <si>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</si>
  <si>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</si>
  <si>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</si>
  <si>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</si>
  <si>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</si>
  <si>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</si>
  <si>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</si>
  <si>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</si>
  <si>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</si>
  <si>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</si>
  <si>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</si>
  <si>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</si>
  <si>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</si>
  <si>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</si>
  <si>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</si>
  <si>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</si>
  <si>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</si>
  <si>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</si>
  <si>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</si>
  <si>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</si>
  <si>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</si>
  <si>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</si>
  <si>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</si>
  <si>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</si>
  <si>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</si>
  <si>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>6.1</t>
  </si>
  <si>
    <t>11.8</t>
  </si>
  <si>
    <t xml:space="preserve">Parengti vandentiekio ir nuotekų tinklų išplėtimo Mantviliškio  kaime techninį projektą </t>
  </si>
  <si>
    <t xml:space="preserve"> Sveikos gyvensenos plėtojimui ir stiprinimui, visuomenės sveikatos stebėsenai</t>
  </si>
  <si>
    <t xml:space="preserve">                                                        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</si>
  <si>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</si>
  <si>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</si>
  <si>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</si>
  <si>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</si>
  <si>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</si>
  <si>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</si>
  <si>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 xml:space="preserve">Socialinėms paslaugoms:
Teikti šeimoms individualios priežiūros darbuotojų paslaugas </t>
  </si>
  <si>
    <t>Vykdyti Kėdainių lopšelio-darželio „Žilvitis“ infrastruktūros modernizavimo projektą</t>
  </si>
  <si>
    <t>10.01.02.01
10.01.02.02
10.06.01.01
10.09.01.01 
10.09.01.09</t>
  </si>
  <si>
    <t>12 priedas</t>
  </si>
  <si>
    <t>13 priedas</t>
  </si>
  <si>
    <t xml:space="preserve">                 KĖDAINIŲ RAJONO SAVIVALDYBĖS APLINKOS APSAUGOS RĖMIMO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</si>
  <si>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</si>
  <si>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</si>
  <si>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</si>
  <si>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</si>
  <si>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</si>
  <si>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</si>
  <si>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</si>
  <si>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</si>
  <si>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</si>
  <si>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</si>
  <si>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</si>
  <si>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1.5.</t>
  </si>
  <si>
    <t>1.6.</t>
  </si>
  <si>
    <t>Mokesčiai, sumokėti už medžiojamųjų gyvūnų išteklių naudojimą</t>
  </si>
  <si>
    <t>1.7.</t>
  </si>
  <si>
    <t xml:space="preserve">Ankstesnio ataskaitinio laikotarpio ataskaitos atitinkamų lėšų likutis </t>
  </si>
  <si>
    <t>1.8.</t>
  </si>
  <si>
    <t>(2) Savivaldybės visuomenės sveikatos rėmimo specialiajai programai skirtinos lėšos</t>
  </si>
  <si>
    <t>Lėšos,                 tūkst. Eur</t>
  </si>
  <si>
    <t>1.10.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</si>
  <si>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</si>
  <si>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1.11.</t>
  </si>
  <si>
    <t>(3) Kitoms Programos priemonėms skirtinos lėšos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</si>
  <si>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</si>
  <si>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</si>
  <si>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</si>
  <si>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</si>
  <si>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</si>
  <si>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</si>
  <si>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2.1.2.</t>
  </si>
  <si>
    <t>Informacijai apie parengtą preliminarų medžioklės plotų vieneto sudarymo ar jo ribų keitimo projektą paskelbti šalies ir vietinėje spaudoje</t>
  </si>
  <si>
    <t>2.2.</t>
  </si>
  <si>
    <t>Kartografinės ir kitos medžiagos, reikalingos pagal Medžioklės įstatymo reikalavimus rengiamiems medžioklės plotų vienetų sudarymo ar jų ribų pakeitimo projektų parengimo priemonės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</si>
  <si>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</si>
  <si>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</si>
  <si>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</si>
  <si>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</si>
  <si>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</si>
  <si>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</si>
  <si>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</si>
  <si>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</si>
  <si>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</si>
  <si>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</si>
  <si>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</si>
  <si>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</si>
  <si>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</si>
  <si>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</si>
  <si>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</si>
  <si>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</si>
  <si>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</si>
  <si>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</si>
  <si>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</si>
  <si>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</si>
  <si>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</si>
  <si>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</si>
  <si>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</si>
  <si>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</si>
  <si>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</si>
  <si>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>Gudžiūnų seniūnijai</t>
  </si>
  <si>
    <t>4.1.2</t>
  </si>
  <si>
    <t>Sosnovskio barsčio naikinimui Kėdainių r. pagal gausos reguliavimo veiksmų planą</t>
  </si>
  <si>
    <t>4.1.3</t>
  </si>
  <si>
    <t>Kraujupio upelio minimaliam debitui papildyti Nevėžio upės vandeniu</t>
  </si>
  <si>
    <t>4.1.4.</t>
  </si>
  <si>
    <t>Individualių nuotekų valymo įrenginių kompensavimui Kėdainių r. sav.</t>
  </si>
  <si>
    <t>4.1.5.</t>
  </si>
  <si>
    <t>4.1.6.</t>
  </si>
  <si>
    <t>Kėdainių miesto gatvių plovimo, laistymo darbams</t>
  </si>
  <si>
    <t>4.2.</t>
  </si>
  <si>
    <t>Atliekų, kurių turėtojo nustatyti neįmanoma arba kuris nebeegzistuoja, tvarkymo priemonės</t>
  </si>
  <si>
    <t>4.2.1.</t>
  </si>
  <si>
    <t>Atliekų, kuriomis užteršta teritorija, nustatymo ir atliekomis užterštos teritorijos išvalymo ir sutvarkymo darbai</t>
  </si>
  <si>
    <t>4.3.</t>
  </si>
  <si>
    <t>Aplinkos monitoringo, prevencinės, aplinkos atkūrimo priemonės</t>
  </si>
  <si>
    <t>4.3.1.</t>
  </si>
  <si>
    <t>Gelbėjimo ir cheminių avarijų padariniams likviduoti ir priemonėms finansuoti</t>
  </si>
  <si>
    <t>4.3.2.</t>
  </si>
  <si>
    <t>4.3.3.</t>
  </si>
  <si>
    <t>Aplinkos oro, dirvožemio, požeminio ir paviršinio vandens nuotekų tyrimų atlikimui Kėdainių r.</t>
  </si>
  <si>
    <t>4.3.4.</t>
  </si>
  <si>
    <t>Nevėžio upės pakrančių valymui, tvarkymui Kėdainių m.</t>
  </si>
  <si>
    <t>4.3.5.</t>
  </si>
  <si>
    <t>Dotnuvėlės upelio pakrančių valymui, tvarkymui Kėdainių m.</t>
  </si>
  <si>
    <t>4.3.6.</t>
  </si>
  <si>
    <t>Jūrinių erelių perimviečių stebėjimui Kėdainių rajone</t>
  </si>
  <si>
    <t>4.3.7.</t>
  </si>
  <si>
    <t>Upių vandens tyrimams atlikti Kėdainių r. sav.</t>
  </si>
  <si>
    <t>4.3.8.</t>
  </si>
  <si>
    <t>4.3.9.</t>
  </si>
  <si>
    <t>4.3.10.</t>
  </si>
  <si>
    <t>Pažeistų Dotnuvėlės upės krantų tvirtinimui</t>
  </si>
  <si>
    <t>4.4.</t>
  </si>
  <si>
    <t>Visuomenės švietimo ir mokymo aplinkosaugos klausimais priemonės</t>
  </si>
  <si>
    <t>4.4.1.</t>
  </si>
  <si>
    <t>Kėdainių r. sav. aplinkosauginio švietimo  įgyvendinimui</t>
  </si>
  <si>
    <t>4.4.2.</t>
  </si>
  <si>
    <t>Prenumeruoti spaudos leidinius aplinkosaugine tema ugdymo įstaigoms</t>
  </si>
  <si>
    <t>4.4.3.</t>
  </si>
  <si>
    <t>Konkursui „Gražiausiai tvarkoma aplinka“ rengti</t>
  </si>
  <si>
    <t>4.5.</t>
  </si>
  <si>
    <t>Želdynų ir želdinių apsaugos, tvarkymo, būklės stebėsenos, želdynų kūrimo, želdinių veisimo ir inventorizavimo priemonės</t>
  </si>
  <si>
    <t>4.5.1.</t>
  </si>
  <si>
    <t>Medeliams ir želdiniams sodinti ir prižiūrėti:</t>
  </si>
  <si>
    <t>4.5.1.1.</t>
  </si>
  <si>
    <t>4.5.1.2.</t>
  </si>
  <si>
    <t xml:space="preserve">Gudžiūnų seniūnijai </t>
  </si>
  <si>
    <t>4.5.1.3.</t>
  </si>
  <si>
    <t xml:space="preserve">Josvainių seniūnijai </t>
  </si>
  <si>
    <t>4.5.1.4.</t>
  </si>
  <si>
    <t>4.5.1.5.</t>
  </si>
  <si>
    <t>4.5.1.6.</t>
  </si>
  <si>
    <t>4.5.1.7.</t>
  </si>
  <si>
    <t xml:space="preserve">Pernaravos seniūnijai </t>
  </si>
  <si>
    <t>4.5.1.8.</t>
  </si>
  <si>
    <t>4.5.1.9.</t>
  </si>
  <si>
    <t>4.5.1.10.</t>
  </si>
  <si>
    <t>Truskavos seniūnijai</t>
  </si>
  <si>
    <t>4.5.1.11.</t>
  </si>
  <si>
    <t>4.5.2.</t>
  </si>
  <si>
    <t>Kaštoninio karšelio gaudyklėms įsigyti</t>
  </si>
  <si>
    <t>4.5.3.</t>
  </si>
  <si>
    <t>4.5.4.</t>
  </si>
  <si>
    <t>Viešųjų erdvių apželdinimas Kėdainių m.</t>
  </si>
  <si>
    <t>4.5.5.</t>
  </si>
  <si>
    <t>4.6.</t>
  </si>
  <si>
    <t>Kitos išlaidos</t>
  </si>
  <si>
    <t>Iš viso:</t>
  </si>
  <si>
    <t xml:space="preserve">                                                __________________________</t>
  </si>
  <si>
    <t>Rekonstruoti/įrengti/modernizuoti Kėdainių miesto ir rajono  gatvių apšvietimą</t>
  </si>
  <si>
    <t xml:space="preserve">                 SPECIALIOSIOS PROGRAMOS 2023 METŲ PRIEMONIŲ SĄMATA                                                                                                                 </t>
  </si>
  <si>
    <t xml:space="preserve">2023 METŲ VALSTYBĖS BIUDŽETO SPECIALIOS TIKSLINĖS DOTACIJOS SAVIVALDYBĖS BIUDŽETUI KITI ASIGNAVIMAI </t>
  </si>
  <si>
    <t>2023 METŲ VALSTYBĖS BIUDŽETO SPECIALIOS TIKSLINĖS DOTACIJOS SAVIVALDYBĖS BIUDŽETUI UGDYMO REIKMĖMS FINANSUOTI ASIGNAVIMAI</t>
  </si>
  <si>
    <t>2023 METŲ VALSTYBĖS BIUDŽETO SPECIALIOS TIKSLINĖS DOTACIJOS SAVIVALDYBĖS BIUDŽETUI VALSTYBINĖMS (VALSTYBĖS PERDUOTOMS SAVIVALDYBEI) FUNKCIJOMS ATLIKTI ASIGNAVIMAI</t>
  </si>
  <si>
    <t xml:space="preserve">KĖDAINIŲ RAJONO SAVIVALDYBĖS 2023 METŲ BIUDŽETO ASIGNAVIMAI PROJEKTAMS FINANSUOTI EUROPOS SĄJUNGOS LĖŠOMIS </t>
  </si>
  <si>
    <t xml:space="preserve"> 2023 METŲ ASIGNAVIMAI ĮSTAIGOMS IŠ PAJAMŲ, GAUTŲ UŽ ILGALAIKIO IR TRUMPALAIKIO MATERIALIOJO TURTO NUOMĄ</t>
  </si>
  <si>
    <t xml:space="preserve"> 2023 METŲ ASIGNAVIMAI ĮSTAIGOMS IŠ PAJAMŲ, GAUTŲ UŽ PREKES IR PASLAUGAS </t>
  </si>
  <si>
    <t>KĖDAINIŲ RAJONO SAVIVALDYBĖS 2023 METŲ BIUDŽETO ASIGNAVIMAI  SAVARANKIŠKOMS FUNKCIJOMS ATLIKTI</t>
  </si>
  <si>
    <t xml:space="preserve">IŠ BIUDŽETO IŠLAIKOMŲ ĮSTAIGŲ 2023 METŲ PAJAMOS UŽ PREKES IR  PASLAUGAS, UŽ ILGALAIKIO IR TRUMPALAIKIO MATERIALIOJO TURTO NUOMĄ IR UŽ IŠLAIKYMĄ ŠVIETIMO, SOCIALINĖS APSAUGOS IR KITOSE ĮSTAIGOSE 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</si>
  <si>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</si>
  <si>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</si>
  <si>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</si>
  <si>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>28.1</t>
  </si>
  <si>
    <t>28.2</t>
  </si>
  <si>
    <t>28.3</t>
  </si>
  <si>
    <t>28.4</t>
  </si>
  <si>
    <t>28.5</t>
  </si>
  <si>
    <t>Ugdymo finansavimo poreikių skirtumams sumažinti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</si>
  <si>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</si>
  <si>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</si>
  <si>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</si>
  <si>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</si>
  <si>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</si>
  <si>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</si>
  <si>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</si>
  <si>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</si>
  <si>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</si>
  <si>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</si>
  <si>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</si>
  <si>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</si>
  <si>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</si>
  <si>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</si>
  <si>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</si>
  <si>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</si>
  <si>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</si>
  <si>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</si>
  <si>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</si>
  <si>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</si>
  <si>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</si>
  <si>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</si>
  <si>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</si>
  <si>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</si>
  <si>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</si>
  <si>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</si>
  <si>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</si>
  <si>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</si>
  <si>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</si>
  <si>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</si>
  <si>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</si>
  <si>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</si>
  <si>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</si>
  <si>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</si>
  <si>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>Kėdainių r. sav. teritorijoje esančių saugomų teritorijų apsaugos ir tvarkymo darbai (šienavimas, menkaverčių krūmų iškirtimas)</t>
  </si>
  <si>
    <t>Kėdainių r. sav. 2019–2024 m. aplinkos monitoringo programos 2023 m. paslaugų įgyvendinimui</t>
  </si>
  <si>
    <t>Vandens telkinių tvarkymo darbų projektų parengimas</t>
  </si>
  <si>
    <t>Želdinių būklės ekspertizės paslaugos</t>
  </si>
  <si>
    <t xml:space="preserve">Kita dotacija kompleksinėms paslaugoms šeimai organizuoti 2023 metais </t>
  </si>
  <si>
    <t>2022 METŲ NEPANAUDOTOS BIUDŽETO PAJAMOS, IŠ JŲ: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</si>
  <si>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</si>
  <si>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</si>
  <si>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</si>
  <si>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</si>
  <si>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</si>
  <si>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</si>
  <si>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</si>
  <si>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</si>
  <si>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</si>
  <si>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</si>
  <si>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</si>
  <si>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</si>
  <si>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</si>
  <si>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</si>
  <si>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</si>
  <si>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</si>
  <si>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</si>
  <si>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</si>
  <si>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</si>
  <si>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</si>
  <si>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</si>
  <si>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</si>
  <si>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</si>
  <si>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</si>
  <si>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</si>
  <si>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</si>
  <si>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</si>
  <si>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</si>
  <si>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</si>
  <si>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</si>
  <si>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</si>
  <si>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</si>
  <si>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</si>
  <si>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</si>
  <si>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</si>
  <si>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</si>
  <si>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</si>
  <si>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</si>
  <si>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</si>
  <si>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</si>
  <si>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</si>
  <si>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</si>
  <si>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</si>
  <si>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</si>
  <si>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</si>
  <si>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</si>
  <si>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</si>
  <si>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</si>
  <si>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</si>
  <si>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</si>
  <si>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</si>
  <si>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</si>
  <si>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</si>
  <si>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</si>
  <si>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</si>
  <si>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</si>
  <si>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</si>
  <si>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</si>
  <si>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</si>
  <si>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</si>
  <si>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</si>
  <si>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</si>
  <si>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</si>
  <si>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</si>
  <si>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</si>
  <si>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</si>
  <si>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</si>
  <si>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2.1</t>
  </si>
  <si>
    <t>2.2</t>
  </si>
  <si>
    <t>2.3</t>
  </si>
  <si>
    <t>2.4</t>
  </si>
  <si>
    <t>3</t>
  </si>
  <si>
    <t>4.1</t>
  </si>
  <si>
    <t>8.1</t>
  </si>
  <si>
    <t>10.1</t>
  </si>
  <si>
    <t>5</t>
  </si>
  <si>
    <t>6</t>
  </si>
  <si>
    <t>Didinti ikimokyklinių įstaigų pastatų energinį efektyvumą, modernizuoti vidaus erdves</t>
  </si>
  <si>
    <t xml:space="preserve">KĖDAINIŲ RAJONO SAVIVALDYBĖS  2023 METŲ BIUDŽETO ASIGNAVIMAI INVESTICIJŲ PROJEKTAMS FINANSUOTI  PASKOLŲ LĖŠOMIS 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</si>
  <si>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</si>
  <si>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</si>
  <si>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</si>
  <si>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</si>
  <si>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>Užimtumo didinimo programų įgyvendinimas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</si>
  <si>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</si>
  <si>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</si>
  <si>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</si>
  <si>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</si>
  <si>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>Duomenų teikimas suteiktos valstybės pagalbos registrui</t>
  </si>
  <si>
    <t xml:space="preserve">     psichosocialinės pagalbos ir savižudžių prevencijos priemonių įgyvendinimui</t>
  </si>
  <si>
    <t xml:space="preserve">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</si>
  <si>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</si>
  <si>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1.12.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</si>
  <si>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</si>
  <si>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</si>
  <si>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</si>
  <si>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</si>
  <si>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</si>
  <si>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</si>
  <si>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</si>
  <si>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</si>
  <si>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</si>
  <si>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</si>
  <si>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</si>
  <si>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</si>
  <si>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</si>
  <si>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</si>
  <si>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 xml:space="preserve">Įrengti pėsčiųjų ir dviračių takus Pramonės g. Kėdainių mieste  </t>
  </si>
  <si>
    <t>04.05.01.02</t>
  </si>
  <si>
    <t>Kompleksiškai sutvarkyti ir pritaikyti bendruomenei ir verslui Kėdainių miesto viešąsias erdves</t>
  </si>
  <si>
    <t>4.2.2.</t>
  </si>
  <si>
    <t>Bešeimininkėms atliekoms ir nelegalioms sąvartoms tvarkyti, rekreacinių teritorijų tvarkai užtikrinti seniūnijose</t>
  </si>
  <si>
    <t>4.5.6.</t>
  </si>
  <si>
    <t>Želdynų kūrimo ir tvarkymo projektų rengimui</t>
  </si>
  <si>
    <t>Iš viso (1.1 + 1.2):</t>
  </si>
  <si>
    <t>Iš viso (1.4 + 1.5):</t>
  </si>
  <si>
    <t>Faktinės Programos lėšos (1.3 + 1.6)</t>
  </si>
  <si>
    <t>Iš viso (2.1 + 2.2):</t>
  </si>
  <si>
    <t>13</t>
  </si>
  <si>
    <t>05.1</t>
  </si>
  <si>
    <t>Kita dotacija savivaldybės viešajai bibliotekai dokumentams 2022 metais įsigyti</t>
  </si>
  <si>
    <t xml:space="preserve">  savivaldybės viešajai bibliotekai dokumentams 2023 m. įsigyti</t>
  </si>
  <si>
    <t xml:space="preserve">     valstybės biudžeto lėšos, skirtos 2023 m. apmokėti būstų nuomai iš fizinių ar juridinių asmenų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</si>
  <si>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</si>
  <si>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</si>
  <si>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</si>
  <si>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</si>
  <si>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</si>
  <si>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</si>
  <si>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</si>
  <si>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</si>
  <si>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</si>
  <si>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Kita dotacija 2023 m. apmokėti būstų nuomai iš fizinių ar juridinių asmenų</t>
  </si>
  <si>
    <t>prioritetinės ir neprioritetinės infrastruktūros įmokos</t>
  </si>
  <si>
    <t>Kitos neišvardytos pajamos, iš jų:</t>
  </si>
  <si>
    <t>Teikti kompleksines paslaugas šeimai Kėdainių rajone</t>
  </si>
  <si>
    <t>Rengti infrastruktūros plėtros  technines dokumentacijas</t>
  </si>
  <si>
    <t>Mokėti išmokas pagal savivaldybės infrastruktūros plėtros sutartis</t>
  </si>
  <si>
    <t>6.2</t>
  </si>
  <si>
    <t>12.1</t>
  </si>
  <si>
    <t>12.2</t>
  </si>
  <si>
    <t>14.1</t>
  </si>
  <si>
    <t>10.2</t>
  </si>
  <si>
    <t>14</t>
  </si>
  <si>
    <t>Infrastruktūros objektų investicijoms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</si>
  <si>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</si>
  <si>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</si>
  <si>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</si>
  <si>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</si>
  <si>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</si>
  <si>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</si>
  <si>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</si>
  <si>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</si>
  <si>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</si>
  <si>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</si>
  <si>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</si>
  <si>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</si>
  <si>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</si>
  <si>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</si>
  <si>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</si>
  <si>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</si>
  <si>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</si>
  <si>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</si>
  <si>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</si>
  <si>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</si>
  <si>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</si>
  <si>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</si>
  <si>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</si>
  <si>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</si>
  <si>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</si>
  <si>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</si>
  <si>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</si>
  <si>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</si>
  <si>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</si>
  <si>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</si>
  <si>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</si>
  <si>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>iš jų: kurti modernias ir šiuolaikines mokymosi erdves Kėdainių kalbų mokykloje</t>
  </si>
  <si>
    <t>11.13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</si>
  <si>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</si>
  <si>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</si>
  <si>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</si>
  <si>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</si>
  <si>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</si>
  <si>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</si>
  <si>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1.9</t>
  </si>
  <si>
    <t>Iš viso (1.8+1.9):</t>
  </si>
  <si>
    <t>1.13.</t>
  </si>
  <si>
    <t>Iš viso (1.11 + 1.12):</t>
  </si>
  <si>
    <t>Išplėsti nuotekų tinklus Aukštųjų Kaplių k. Liepų g. ir įrengti siurblinę</t>
  </si>
  <si>
    <t>Vykdyti pacientų eilių valdymo sistemos palaikymo Kėdainių pirminės priežiūros centre 2022-2026 m. programą</t>
  </si>
  <si>
    <t>Vykdyti sveikatos priežiūros specialistų skatinimo dirbti VšĮ Kėdainių ligoninėje 2023-2028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</si>
  <si>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</si>
  <si>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</si>
  <si>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</si>
  <si>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</si>
  <si>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</si>
  <si>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</si>
  <si>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</si>
  <si>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</si>
  <si>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</si>
  <si>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</si>
  <si>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</si>
  <si>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</si>
  <si>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</si>
  <si>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</si>
  <si>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</si>
  <si>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</si>
  <si>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</si>
  <si>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</si>
  <si>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</si>
  <si>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</si>
  <si>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</si>
  <si>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</si>
  <si>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</si>
  <si>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</si>
  <si>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</si>
  <si>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</si>
  <si>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</si>
  <si>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</si>
  <si>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</si>
  <si>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</si>
  <si>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</si>
  <si>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</si>
  <si>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</si>
  <si>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</si>
  <si>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</si>
  <si>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</si>
  <si>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</si>
  <si>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</si>
  <si>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</si>
  <si>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</si>
  <si>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</si>
  <si>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</si>
  <si>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</si>
  <si>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</si>
  <si>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</si>
  <si>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</si>
  <si>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</si>
  <si>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</si>
  <si>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</si>
  <si>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</si>
  <si>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</si>
  <si>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</si>
  <si>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</si>
  <si>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</si>
  <si>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</si>
  <si>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</si>
  <si>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</si>
  <si>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</si>
  <si>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</si>
  <si>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</si>
  <si>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</si>
  <si>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</si>
  <si>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</si>
  <si>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</si>
  <si>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</si>
  <si>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</si>
  <si>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</si>
  <si>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</si>
  <si>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</si>
  <si>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Kita dotaacija 2022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</si>
  <si>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</si>
  <si>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</si>
  <si>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</si>
  <si>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</si>
  <si>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</si>
  <si>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</si>
  <si>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</si>
  <si>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</si>
  <si>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</si>
  <si>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</si>
  <si>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</si>
  <si>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</si>
  <si>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</si>
  <si>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</si>
  <si>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</si>
  <si>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</si>
  <si>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</si>
  <si>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</si>
  <si>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</si>
  <si>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</si>
  <si>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</si>
  <si>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</si>
  <si>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</si>
  <si>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</si>
  <si>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</si>
  <si>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</si>
  <si>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</si>
  <si>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</si>
  <si>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</si>
  <si>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</si>
  <si>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</si>
  <si>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</si>
  <si>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>Kita dotacija įgyvendinti valstybei nuosavybės taeise priklausančių žemės savininkų ir kitų naudotojų žemėje esančių melioracijos statinių rekonstravimo ir remonto darbus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</si>
  <si>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</si>
  <si>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</si>
  <si>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</si>
  <si>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</si>
  <si>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</si>
  <si>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</si>
  <si>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</si>
  <si>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</si>
  <si>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</si>
  <si>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</si>
  <si>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</si>
  <si>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</si>
  <si>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</si>
  <si>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</si>
  <si>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</si>
  <si>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</si>
  <si>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</si>
  <si>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</si>
  <si>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</si>
  <si>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</si>
  <si>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</si>
  <si>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</si>
  <si>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</si>
  <si>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</si>
  <si>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</si>
  <si>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</si>
  <si>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</si>
  <si>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 xml:space="preserve">Įgyvendinti projektą "Kėdainių miesto A. Kanapinsko, P. Lukšio, Mindaugo, Pavasario ir Žemaitės gatvių rekonstrukcija"     </t>
  </si>
  <si>
    <t xml:space="preserve">04.05.01.02 </t>
  </si>
  <si>
    <t>16.27</t>
  </si>
  <si>
    <t>16.28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</si>
  <si>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</si>
  <si>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</si>
  <si>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</si>
  <si>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</si>
  <si>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</si>
  <si>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</si>
  <si>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</si>
  <si>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</si>
  <si>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</si>
  <si>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</si>
  <si>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</si>
  <si>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</si>
  <si>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>03.14</t>
  </si>
  <si>
    <t>03.15</t>
  </si>
  <si>
    <t>31.5.13</t>
  </si>
  <si>
    <t>74.7.3</t>
  </si>
  <si>
    <t>55.6.3</t>
  </si>
  <si>
    <t>10.3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</si>
  <si>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Ukrainoje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</si>
  <si>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Ukrainoje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</si>
  <si>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Ukrainoje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</si>
  <si>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</si>
  <si>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</si>
  <si>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Kita dotacija teikti paramą būstui išsinuomoti pagal Lietuvos Respublikos paramos būstui įsigyti ar išsinuomoti įstatymą užsieniečiams, pasitraukusiems iš Ukrainos dėl Rusijos federacijos karinių veiksmų Ukrainoje</t>
  </si>
  <si>
    <t xml:space="preserve">Kėdainių rajono želdynų ir želdinių inventorizacijai ir apskaitai  </t>
  </si>
  <si>
    <t>16.33</t>
  </si>
  <si>
    <t xml:space="preserve">     valstybės biudžeto lėšos, skirtos savivaldybės administracijai padengti išlaidas patirtas teikiant specialiąsias socialines paslaugas užsieniečiams, pasitraukusiems iš Ukrainos dėl Rusijos federacijos karinių veiksmų Ukrainoje</t>
  </si>
  <si>
    <t>03.16</t>
  </si>
  <si>
    <t>Kita dotacija padengti išlaidas patirtas teikiant specialiąsias socialines paslaugas užsieniečiams, pasitraukusiems iš Ukrainos dėl Rusijos federacijos karinių veiksmų Ukrainoje</t>
  </si>
  <si>
    <t>Kita dotacija 2023 metais švietimo įstaigų sporto aikštynų atnaujinimo programos įgyvendinimui</t>
  </si>
  <si>
    <t>Įgyvendinti priemones, finansuojamas iš Savivaldybės mero rezervo</t>
  </si>
  <si>
    <t>16.34</t>
  </si>
  <si>
    <t xml:space="preserve">     valstybės biudžeto lėšos, skirtos valstybės tarnybos reformai įgyvendinti</t>
  </si>
  <si>
    <t>Kita dotacija valstybės tarnybos reformai įgyvendinti</t>
  </si>
  <si>
    <t>Atkelta iš 4 programos</t>
  </si>
  <si>
    <t>31.5.14</t>
  </si>
  <si>
    <t>4.1.7.</t>
  </si>
  <si>
    <t>Dviračių takų projektavimui  Kėdainių r. sav.</t>
  </si>
  <si>
    <t>4.3.11.</t>
  </si>
  <si>
    <t>55.6.4</t>
  </si>
  <si>
    <t>nauja eilutė</t>
  </si>
  <si>
    <t>Projekto lyginamasis variantas</t>
  </si>
  <si>
    <t>Iškelta į 1 programą</t>
  </si>
  <si>
    <t xml:space="preserve">                                                                       Projekto lyginamasis variantas</t>
  </si>
  <si>
    <t xml:space="preserve">                                                           Projekto lyginamasis variantas</t>
  </si>
  <si>
    <t xml:space="preserve">      Projekto lyginamasis variantas</t>
  </si>
  <si>
    <t xml:space="preserve">                                                                  Projekto lyginamasis variantas</t>
  </si>
  <si>
    <t xml:space="preserve">   Projekto 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</si>
</sst>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"/>
    <numFmt numFmtId="172" formatCode="0.0;\-0.0;;"/>
  </numFmts>
  <fonts count="27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trike/>
      <sz val="10"/>
      <name val="Times New Roman"/>
      <family val="1"/>
      <charset val="186"/>
    </font>
    <font>
      <b/>
      <strike/>
      <sz val="10"/>
      <name val="Times New Roman"/>
      <family val="1"/>
      <charset val="186"/>
    </font>
    <font>
      <i/>
      <strike/>
      <sz val="10"/>
      <name val="Times New Roman"/>
      <family val="1"/>
      <charset val="186"/>
    </font>
    <font>
      <b/>
      <sz val="10"/>
      <color theme="9" tint="0.7999816888943144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5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405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167" fontId="1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1" fillId="0" borderId="2" xfId="0" applyNumberFormat="1" applyFont="1" applyBorder="1" applyAlignment="1">
      <alignment vertical="center"/>
    </xf>
    <xf numFmtId="167" fontId="1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vertical="center"/>
    </xf>
    <xf numFmtId="170" fontId="2" fillId="0" borderId="1" xfId="0" applyNumberFormat="1" applyFont="1" applyBorder="1" applyAlignment="1">
      <alignment horizontal="right" vertical="center"/>
    </xf>
    <xf numFmtId="170" fontId="1" fillId="0" borderId="1" xfId="0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68" fontId="1" fillId="0" borderId="1" xfId="0" applyNumberFormat="1" applyFont="1" applyBorder="1" applyAlignment="1">
      <alignment vertical="center"/>
    </xf>
    <xf numFmtId="167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168" fontId="1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7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1" fontId="1" fillId="0" borderId="0" xfId="0" applyNumberFormat="1" applyFont="1"/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7" fontId="9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1" fillId="0" borderId="1" xfId="20" applyNumberFormat="1" applyBorder="1" applyAlignment="1">
      <alignment horizontal="right" vertical="center"/>
    </xf>
    <xf numFmtId="167" fontId="2" fillId="0" borderId="1" xfId="0" applyNumberFormat="1" applyFont="1" applyBorder="1" applyAlignment="1">
      <alignment vertical="center" wrapText="1"/>
    </xf>
    <xf numFmtId="168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49" fontId="1" fillId="0" borderId="1" xfId="0" applyNumberFormat="1" applyFont="1" applyBorder="1" applyAlignment="1">
      <alignment horizontal="right" vertical="center"/>
    </xf>
    <xf numFmtId="168" fontId="2" fillId="0" borderId="1" xfId="2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center" wrapText="1"/>
    </xf>
    <xf numFmtId="168" fontId="1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0" fontId="7" fillId="0" borderId="0" xfId="0" applyFont="1"/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right"/>
    </xf>
    <xf numFmtId="170" fontId="2" fillId="0" borderId="1" xfId="0" applyNumberFormat="1" applyFont="1" applyBorder="1" applyAlignment="1">
      <alignment horizontal="center" vertical="center" wrapText="1"/>
    </xf>
    <xf numFmtId="171" fontId="1" fillId="0" borderId="1" xfId="20" applyNumberFormat="1" applyBorder="1" applyAlignment="1">
      <alignment horizontal="right" vertical="center"/>
    </xf>
    <xf numFmtId="170" fontId="1" fillId="0" borderId="1" xfId="20" applyNumberForma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right" vertical="center"/>
    </xf>
    <xf numFmtId="167" fontId="16" fillId="0" borderId="0" xfId="0" applyNumberFormat="1" applyFont="1"/>
    <xf numFmtId="0" fontId="16" fillId="0" borderId="0" xfId="0" applyFont="1"/>
    <xf numFmtId="0" fontId="3" fillId="0" borderId="0" xfId="1" applyFont="1" applyAlignment="1">
      <alignment horizontal="right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8" fontId="24" fillId="0" borderId="1" xfId="1" applyNumberFormat="1" applyFont="1" applyBorder="1" applyAlignment="1">
      <alignment horizontal="right" vertical="center"/>
    </xf>
    <xf numFmtId="168" fontId="2" fillId="0" borderId="1" xfId="0" applyNumberFormat="1" applyFont="1" applyBorder="1"/>
    <xf numFmtId="0" fontId="23" fillId="0" borderId="0" xfId="0" applyFont="1"/>
    <xf numFmtId="168" fontId="24" fillId="0" borderId="1" xfId="0" applyNumberFormat="1" applyFont="1" applyBorder="1" applyAlignment="1">
      <alignment vertical="center"/>
    </xf>
    <xf numFmtId="168" fontId="2" fillId="0" borderId="1" xfId="0" applyNumberFormat="1" applyFont="1" applyBorder="1" applyAlignment="1">
      <alignment vertical="center"/>
    </xf>
    <xf numFmtId="0" fontId="1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vertical="center" wrapText="1"/>
    </xf>
    <xf numFmtId="0" fontId="1" fillId="0" borderId="1" xfId="1" applyFont="1" applyBorder="1" applyAlignment="1">
      <alignment vertical="center"/>
    </xf>
    <xf numFmtId="168" fontId="23" fillId="0" borderId="1" xfId="0" applyNumberFormat="1" applyFont="1" applyBorder="1" applyAlignment="1">
      <alignment vertical="center"/>
    </xf>
    <xf numFmtId="18" fontId="1" fillId="0" borderId="0" xfId="0" applyNumberFormat="1" applyFont="1"/>
    <xf numFmtId="0" fontId="1" fillId="0" borderId="1" xfId="1" applyFont="1" applyBorder="1" applyAlignment="1">
      <alignment vertical="center" wrapText="1"/>
    </xf>
    <xf numFmtId="16" fontId="1" fillId="0" borderId="1" xfId="1" applyNumberFormat="1" applyFont="1" applyBorder="1" applyAlignment="1">
      <alignment horizontal="right" vertical="center"/>
    </xf>
    <xf numFmtId="168" fontId="16" fillId="0" borderId="0" xfId="0" applyNumberFormat="1" applyFont="1"/>
    <xf numFmtId="0" fontId="1" fillId="0" borderId="1" xfId="1" applyFont="1" applyBorder="1" applyAlignment="1">
      <alignment horizontal="left" vertical="center" wrapText="1"/>
    </xf>
    <xf numFmtId="168" fontId="18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168" fontId="11" fillId="0" borderId="0" xfId="0" applyNumberFormat="1" applyFont="1"/>
    <xf numFmtId="168" fontId="20" fillId="0" borderId="0" xfId="0" applyNumberFormat="1" applyFont="1" applyAlignment="1">
      <alignment vertical="center"/>
    </xf>
    <xf numFmtId="168" fontId="20" fillId="0" borderId="0" xfId="0" applyNumberFormat="1" applyFont="1"/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168" fontId="19" fillId="0" borderId="0" xfId="0" applyNumberFormat="1" applyFont="1"/>
    <xf numFmtId="168" fontId="24" fillId="0" borderId="1" xfId="0" applyNumberFormat="1" applyFont="1" applyBorder="1"/>
    <xf numFmtId="0" fontId="3" fillId="0" borderId="0" xfId="0" applyFont="1" applyAlignment="1">
      <alignment horizontal="center"/>
    </xf>
    <xf numFmtId="49" fontId="1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168" fontId="23" fillId="0" borderId="1" xfId="0" applyNumberFormat="1" applyFont="1" applyBorder="1" applyAlignment="1">
      <alignment horizontal="right" vertical="center" wrapText="1"/>
    </xf>
    <xf numFmtId="168" fontId="24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168" fontId="23" fillId="0" borderId="1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/>
    </xf>
    <xf numFmtId="168" fontId="23" fillId="0" borderId="1" xfId="20" applyNumberFormat="1" applyFont="1" applyBorder="1" applyAlignment="1">
      <alignment horizontal="right" vertical="center"/>
    </xf>
    <xf numFmtId="168" fontId="24" fillId="0" borderId="1" xfId="20" applyNumberFormat="1" applyFont="1" applyBorder="1" applyAlignment="1">
      <alignment horizontal="right" vertical="center"/>
    </xf>
    <xf numFmtId="168" fontId="2" fillId="0" borderId="1" xfId="20" applyNumberFormat="1" applyFont="1" applyBorder="1" applyAlignment="1">
      <alignment horizontal="right" vertical="center"/>
    </xf>
    <xf numFmtId="168" fontId="24" fillId="0" borderId="1" xfId="20" applyNumberFormat="1" applyFont="1" applyBorder="1" applyAlignment="1">
      <alignment horizontal="center" vertical="center"/>
    </xf>
    <xf numFmtId="168" fontId="24" fillId="0" borderId="1" xfId="0" applyNumberFormat="1" applyFont="1" applyBorder="1" applyAlignment="1">
      <alignment horizontal="center" vertical="center"/>
    </xf>
    <xf numFmtId="167" fontId="1" fillId="0" borderId="1" xfId="20" applyNumberFormat="1" applyBorder="1" applyAlignment="1">
      <alignment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68" fontId="24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3" xfId="20" applyNumberForma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 wrapText="1"/>
    </xf>
    <xf numFmtId="167" fontId="1" fillId="0" borderId="3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168" fontId="2" fillId="0" borderId="0" xfId="0" applyNumberFormat="1" applyFont="1" applyAlignment="1">
      <alignment horizontal="center" vertical="center" wrapText="1"/>
    </xf>
    <xf numFmtId="167" fontId="1" fillId="0" borderId="2" xfId="0" applyNumberFormat="1" applyFont="1" applyBorder="1" applyAlignment="1">
      <alignment horizontal="left" vertical="center"/>
    </xf>
    <xf numFmtId="167" fontId="1" fillId="0" borderId="1" xfId="20" applyNumberForma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168" fontId="23" fillId="0" borderId="11" xfId="0" applyNumberFormat="1" applyFont="1" applyBorder="1" applyAlignment="1">
      <alignment horizontal="right" vertical="center"/>
    </xf>
    <xf numFmtId="168" fontId="1" fillId="0" borderId="1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9" fontId="1" fillId="0" borderId="1" xfId="20" applyNumberForma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20" applyNumberFormat="1" applyBorder="1" applyAlignment="1">
      <alignment horizontal="center" vertical="center"/>
    </xf>
    <xf numFmtId="0" fontId="6" fillId="0" borderId="1" xfId="18" applyFont="1" applyBorder="1" applyAlignment="1">
      <alignment vertical="center" wrapText="1"/>
    </xf>
    <xf numFmtId="167" fontId="1" fillId="0" borderId="1" xfId="20" applyNumberForma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168" fontId="23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/>
    </xf>
    <xf numFmtId="167" fontId="1" fillId="0" borderId="4" xfId="0" applyNumberFormat="1" applyFont="1" applyBorder="1" applyAlignment="1">
      <alignment vertical="center" wrapText="1"/>
    </xf>
    <xf numFmtId="170" fontId="1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18" applyNumberFormat="1" applyBorder="1" applyAlignment="1">
      <alignment horizontal="center" vertical="center" wrapText="1"/>
    </xf>
    <xf numFmtId="49" fontId="1" fillId="0" borderId="4" xfId="20" applyNumberFormat="1" applyBorder="1" applyAlignment="1">
      <alignment horizontal="center" vertical="center" wrapText="1"/>
    </xf>
    <xf numFmtId="49" fontId="2" fillId="0" borderId="1" xfId="2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22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68" fontId="19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168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70" fontId="2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7" fontId="1" fillId="0" borderId="1" xfId="0" applyNumberFormat="1" applyFont="1" applyBorder="1" applyAlignment="1">
      <alignment horizontal="left" vertical="center"/>
    </xf>
    <xf numFmtId="170" fontId="1" fillId="0" borderId="1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vertical="center"/>
    </xf>
    <xf numFmtId="168" fontId="1" fillId="0" borderId="1" xfId="20" applyNumberFormat="1" applyBorder="1" applyAlignment="1">
      <alignment horizontal="center" vertical="center"/>
    </xf>
    <xf numFmtId="49" fontId="1" fillId="0" borderId="4" xfId="0" applyNumberFormat="1" applyFont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68" fontId="6" fillId="0" borderId="1" xfId="0" applyNumberFormat="1" applyFont="1" applyBorder="1" applyAlignment="1">
      <alignment horizontal="right" vertical="center" wrapText="1"/>
    </xf>
    <xf numFmtId="167" fontId="12" fillId="0" borderId="0" xfId="0" applyNumberFormat="1" applyFont="1"/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vertical="center" wrapText="1"/>
    </xf>
    <xf numFmtId="170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67" fontId="1" fillId="0" borderId="1" xfId="0" applyNumberFormat="1" applyFont="1" applyBorder="1" applyAlignment="1">
      <alignment horizontal="right"/>
    </xf>
    <xf numFmtId="167" fontId="6" fillId="0" borderId="1" xfId="19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/>
    </xf>
    <xf numFmtId="169" fontId="1" fillId="0" borderId="1" xfId="0" applyNumberFormat="1" applyFont="1" applyBorder="1" applyAlignment="1">
      <alignment horizontal="right" vertical="center"/>
    </xf>
    <xf numFmtId="168" fontId="25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0" fontId="9" fillId="0" borderId="0" xfId="0" applyFont="1"/>
    <xf numFmtId="167" fontId="23" fillId="0" borderId="1" xfId="20" applyNumberFormat="1" applyFont="1" applyBorder="1" applyAlignment="1">
      <alignment horizontal="right" vertical="center"/>
    </xf>
    <xf numFmtId="171" fontId="24" fillId="0" borderId="1" xfId="20" applyNumberFormat="1" applyFont="1" applyBorder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  <xf numFmtId="167" fontId="3" fillId="0" borderId="0" xfId="0" applyNumberFormat="1" applyFont="1" applyAlignment="1">
      <alignment vertical="center"/>
    </xf>
    <xf numFmtId="167" fontId="2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right" vertical="center" wrapText="1"/>
    </xf>
    <xf numFmtId="168" fontId="24" fillId="0" borderId="1" xfId="0" applyNumberFormat="1" applyFont="1" applyBorder="1" applyAlignment="1">
      <alignment horizontal="right" vertical="center" wrapText="1"/>
    </xf>
    <xf numFmtId="168" fontId="2" fillId="0" borderId="1" xfId="0" applyNumberFormat="1" applyFont="1" applyBorder="1" applyAlignment="1">
      <alignment horizontal="right" vertical="center" wrapText="1"/>
    </xf>
    <xf numFmtId="167" fontId="1" fillId="0" borderId="7" xfId="0" applyNumberFormat="1" applyFont="1" applyBorder="1" applyAlignment="1">
      <alignment horizontal="left" vertical="center" wrapText="1"/>
    </xf>
    <xf numFmtId="167" fontId="1" fillId="0" borderId="0" xfId="0" applyNumberFormat="1" applyFont="1" applyAlignment="1">
      <alignment horizontal="left" vertical="center" wrapText="1"/>
    </xf>
    <xf numFmtId="167" fontId="1" fillId="0" borderId="8" xfId="0" applyNumberFormat="1" applyFont="1" applyBorder="1" applyAlignment="1">
      <alignment horizontal="center" vertical="center" wrapText="1"/>
    </xf>
    <xf numFmtId="167" fontId="1" fillId="0" borderId="9" xfId="0" applyNumberFormat="1" applyFont="1" applyBorder="1" applyAlignment="1">
      <alignment horizontal="left" vertical="center" wrapText="1"/>
    </xf>
    <xf numFmtId="167" fontId="1" fillId="0" borderId="6" xfId="0" applyNumberFormat="1" applyFont="1" applyBorder="1" applyAlignment="1">
      <alignment horizontal="left" vertical="center" wrapText="1"/>
    </xf>
    <xf numFmtId="167" fontId="1" fillId="0" borderId="10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left" vertical="center" wrapText="1"/>
    </xf>
    <xf numFmtId="167" fontId="2" fillId="0" borderId="0" xfId="0" applyNumberFormat="1" applyFont="1" applyAlignment="1">
      <alignment horizontal="right" vertical="center" wrapText="1"/>
    </xf>
    <xf numFmtId="168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justify"/>
    </xf>
    <xf numFmtId="167" fontId="1" fillId="0" borderId="1" xfId="0" applyNumberFormat="1" applyFont="1" applyBorder="1"/>
    <xf numFmtId="168" fontId="3" fillId="0" borderId="0" xfId="0" applyNumberFormat="1" applyFont="1"/>
    <xf numFmtId="0" fontId="4" fillId="0" borderId="0" xfId="0" applyFont="1"/>
    <xf numFmtId="0" fontId="7" fillId="0" borderId="0" xfId="0" applyFont="1" applyAlignment="1">
      <alignment wrapText="1"/>
    </xf>
    <xf numFmtId="0" fontId="1" fillId="0" borderId="11" xfId="0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left" vertical="center" wrapText="1"/>
    </xf>
    <xf numFmtId="168" fontId="2" fillId="0" borderId="11" xfId="0" applyNumberFormat="1" applyFont="1" applyBorder="1" applyAlignment="1">
      <alignment horizontal="right" vertical="center"/>
    </xf>
    <xf numFmtId="168" fontId="11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left" vertical="center" wrapText="1"/>
    </xf>
    <xf numFmtId="167" fontId="2" fillId="0" borderId="1" xfId="20" applyNumberFormat="1" applyFont="1" applyBorder="1" applyAlignment="1">
      <alignment horizontal="right" vertical="center"/>
    </xf>
    <xf numFmtId="171" fontId="2" fillId="0" borderId="1" xfId="20" applyNumberFormat="1" applyFont="1" applyBorder="1" applyAlignment="1">
      <alignment horizontal="right" vertical="center"/>
    </xf>
    <xf numFmtId="170" fontId="2" fillId="0" borderId="1" xfId="2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left" vertical="justify"/>
    </xf>
    <xf numFmtId="0" fontId="1" fillId="0" borderId="4" xfId="1" applyFont="1" applyBorder="1" applyAlignment="1">
      <alignment horizontal="right" vertical="center"/>
    </xf>
    <xf numFmtId="0" fontId="1" fillId="0" borderId="11" xfId="1" applyFont="1" applyBorder="1" applyAlignment="1">
      <alignment horizontal="right" vertical="center"/>
    </xf>
    <xf numFmtId="0" fontId="1" fillId="0" borderId="4" xfId="1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16" fontId="1" fillId="0" borderId="4" xfId="1" applyNumberFormat="1" applyFont="1" applyBorder="1" applyAlignment="1">
      <alignment horizontal="right" vertical="center"/>
    </xf>
    <xf numFmtId="16" fontId="1" fillId="0" borderId="11" xfId="1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center"/>
    </xf>
    <xf numFmtId="0" fontId="3" fillId="0" borderId="0" xfId="1" applyFont="1" applyAlignment="1">
      <alignment horizontal="right"/>
    </xf>
    <xf numFmtId="0" fontId="14" fillId="0" borderId="0" xfId="0" applyFont="1" applyAlignment="1">
      <alignment horizontal="right"/>
    </xf>
    <xf numFmtId="0" fontId="2" fillId="0" borderId="4" xfId="1" applyFont="1" applyBorder="1" applyAlignment="1">
      <alignment horizontal="right" vertical="center"/>
    </xf>
    <xf numFmtId="0" fontId="2" fillId="0" borderId="11" xfId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167" fontId="1" fillId="0" borderId="4" xfId="0" applyNumberFormat="1" applyFont="1" applyBorder="1" applyAlignment="1">
      <alignment horizontal="left" vertical="center" wrapText="1"/>
    </xf>
    <xf numFmtId="167" fontId="1" fillId="0" borderId="1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167" fontId="1" fillId="0" borderId="4" xfId="0" applyNumberFormat="1" applyFont="1" applyBorder="1" applyAlignment="1">
      <alignment vertical="center" wrapText="1"/>
    </xf>
    <xf numFmtId="167" fontId="1" fillId="0" borderId="11" xfId="0" applyNumberFormat="1" applyFont="1" applyBorder="1" applyAlignment="1">
      <alignment vertical="center" wrapText="1"/>
    </xf>
    <xf numFmtId="49" fontId="1" fillId="0" borderId="4" xfId="20" applyNumberFormat="1" applyBorder="1" applyAlignment="1">
      <alignment horizontal="center" vertical="center" wrapText="1"/>
    </xf>
    <xf numFmtId="49" fontId="1" fillId="0" borderId="11" xfId="20" applyNumberForma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right" vertical="center"/>
    </xf>
    <xf numFmtId="49" fontId="9" fillId="0" borderId="11" xfId="0" applyNumberFormat="1" applyFont="1" applyBorder="1" applyAlignment="1">
      <alignment horizontal="right" vertical="center"/>
    </xf>
    <xf numFmtId="49" fontId="1" fillId="0" borderId="4" xfId="18" applyNumberFormat="1" applyBorder="1" applyAlignment="1">
      <alignment horizontal="center" vertical="center" wrapText="1"/>
    </xf>
    <xf numFmtId="49" fontId="1" fillId="0" borderId="11" xfId="18" applyNumberFormat="1" applyBorder="1" applyAlignment="1">
      <alignment horizontal="center" vertical="center" wrapText="1"/>
    </xf>
    <xf numFmtId="0" fontId="1" fillId="0" borderId="4" xfId="18" applyBorder="1" applyAlignment="1">
      <alignment horizontal="left" vertical="center" wrapText="1"/>
    </xf>
    <xf numFmtId="0" fontId="1" fillId="0" borderId="11" xfId="18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left" vertical="center" wrapText="1"/>
    </xf>
    <xf numFmtId="170" fontId="1" fillId="0" borderId="4" xfId="0" applyNumberFormat="1" applyFont="1" applyBorder="1" applyAlignment="1">
      <alignment horizontal="center" vertical="center" wrapText="1"/>
    </xf>
    <xf numFmtId="170" fontId="1" fillId="0" borderId="1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center" vertical="center"/>
    </xf>
    <xf numFmtId="167" fontId="1" fillId="0" borderId="4" xfId="20" applyNumberFormat="1" applyBorder="1" applyAlignment="1">
      <alignment horizontal="left" vertical="center"/>
    </xf>
    <xf numFmtId="167" fontId="1" fillId="0" borderId="11" xfId="20" applyNumberForma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67" fontId="1" fillId="0" borderId="4" xfId="0" applyNumberFormat="1" applyFont="1" applyBorder="1" applyAlignment="1">
      <alignment horizontal="left" vertical="center"/>
    </xf>
    <xf numFmtId="167" fontId="1" fillId="0" borderId="11" xfId="0" applyNumberFormat="1" applyFont="1" applyBorder="1" applyAlignment="1">
      <alignment horizontal="left" vertical="center"/>
    </xf>
    <xf numFmtId="167" fontId="1" fillId="0" borderId="4" xfId="0" applyNumberFormat="1" applyFont="1" applyBorder="1" applyAlignment="1">
      <alignment horizontal="center" vertical="center" wrapText="1"/>
    </xf>
    <xf numFmtId="167" fontId="1" fillId="0" borderId="11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right" vertical="center"/>
    </xf>
    <xf numFmtId="49" fontId="1" fillId="0" borderId="4" xfId="20" applyNumberFormat="1" applyBorder="1" applyAlignment="1">
      <alignment horizontal="center" vertical="center"/>
    </xf>
    <xf numFmtId="49" fontId="1" fillId="0" borderId="11" xfId="20" applyNumberForma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7" fontId="1" fillId="0" borderId="4" xfId="20" applyNumberFormat="1" applyBorder="1" applyAlignment="1">
      <alignment horizontal="left" vertical="center" wrapText="1"/>
    </xf>
    <xf numFmtId="167" fontId="1" fillId="0" borderId="11" xfId="20" applyNumberForma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11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left" vertical="center" wrapText="1"/>
    </xf>
    <xf numFmtId="167" fontId="2" fillId="0" borderId="1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0" borderId="1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49" fontId="26" fillId="0" borderId="4" xfId="0" applyNumberFormat="1" applyFont="1" applyBorder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67" fontId="1" fillId="0" borderId="13" xfId="0" applyNumberFormat="1" applyFont="1" applyBorder="1" applyAlignment="1">
      <alignment horizontal="left" vertical="center" wrapText="1"/>
    </xf>
    <xf numFmtId="167" fontId="1" fillId="0" borderId="14" xfId="0" applyNumberFormat="1" applyFont="1" applyBorder="1" applyAlignment="1">
      <alignment horizontal="left" vertical="center" wrapText="1"/>
    </xf>
    <xf numFmtId="167" fontId="1" fillId="0" borderId="9" xfId="0" applyNumberFormat="1" applyFont="1" applyBorder="1" applyAlignment="1">
      <alignment horizontal="left" vertical="center" wrapText="1"/>
    </xf>
    <xf numFmtId="167" fontId="1" fillId="0" borderId="10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167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14" fillId="0" borderId="0" xfId="1" applyFont="1" applyAlignment="1">
      <alignment horizontal="right"/>
    </xf>
    <xf numFmtId="0" fontId="1" fillId="0" borderId="4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168" fontId="23" fillId="0" borderId="1" xfId="0" applyNumberFormat="1" applyFont="1" applyBorder="1" applyAlignment="1">
      <alignment horizontal="center"/>
    </xf>
    <xf numFmtId="169" fontId="23" fillId="0" borderId="1" xfId="0" applyNumberFormat="1" applyFont="1" applyBorder="1" applyAlignment="1">
      <alignment horizontal="center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1"/>
  <sheetViews>
    <sheetView tabSelected="1" zoomScaleNormal="100" workbookViewId="0">
      <selection activeCell="J18" sqref="J18"/>
    </sheetView>
  </sheetViews>
  <sheetFormatPr defaultColWidth="9.140625" defaultRowHeight="12.75" x14ac:dyDescent="0.2"/>
  <cols>
    <col min="1" max="1" width="6.28515625" style="3" customWidth="1"/>
    <col min="2" max="2" width="69.28515625" style="2" customWidth="1"/>
    <col min="3" max="3" width="14.5703125" style="2" bestFit="1" customWidth="1"/>
    <col min="4" max="4" width="9.28515625" style="70" customWidth="1"/>
    <col min="5" max="5" width="11.7109375" style="2" bestFit="1" customWidth="1"/>
    <col min="6" max="6" width="15.140625" style="2" customWidth="1"/>
    <col min="7" max="16384" width="9.140625" style="2"/>
  </cols>
  <sheetData>
    <row r="1" spans="1:15" ht="15.75" x14ac:dyDescent="0.25">
      <c r="A1" s="86"/>
      <c r="B1" s="290" t="s">
        <v>992</v>
      </c>
      <c r="C1" s="290"/>
    </row>
    <row r="2" spans="1:15" ht="15.75" x14ac:dyDescent="0.25">
      <c r="A2" s="289" t="s">
        <v>300</v>
      </c>
      <c r="B2" s="289"/>
      <c r="C2" s="289"/>
    </row>
    <row r="3" spans="1:15" ht="15.75" x14ac:dyDescent="0.25">
      <c r="A3" s="87"/>
      <c r="B3" s="85"/>
      <c r="C3" s="85"/>
    </row>
    <row r="4" spans="1:15" ht="10.5" customHeight="1" x14ac:dyDescent="0.2">
      <c r="A4" s="86"/>
      <c r="B4" s="88" t="s">
        <v>577</v>
      </c>
      <c r="C4" s="89"/>
    </row>
    <row r="5" spans="1:15" x14ac:dyDescent="0.2">
      <c r="A5" s="86"/>
      <c r="B5" s="89"/>
      <c r="C5" s="89"/>
    </row>
    <row r="6" spans="1:15" s="3" customFormat="1" x14ac:dyDescent="0.2">
      <c r="A6" s="90" t="s">
        <v>0</v>
      </c>
      <c r="B6" s="91" t="s">
        <v>301</v>
      </c>
      <c r="C6" s="91" t="s">
        <v>302</v>
      </c>
      <c r="D6" s="56"/>
    </row>
    <row r="7" spans="1:15" s="3" customFormat="1" x14ac:dyDescent="0.2">
      <c r="A7" s="276">
        <v>1</v>
      </c>
      <c r="B7" s="280" t="s">
        <v>383</v>
      </c>
      <c r="C7" s="92">
        <v>42384</v>
      </c>
      <c r="D7" s="56"/>
    </row>
    <row r="8" spans="1:15" ht="12.6" customHeight="1" x14ac:dyDescent="0.2">
      <c r="A8" s="277"/>
      <c r="B8" s="281"/>
      <c r="C8" s="93">
        <f>+C10+C11+C12+C17</f>
        <v>45168.700000000004</v>
      </c>
      <c r="E8" s="4"/>
      <c r="F8" s="70"/>
      <c r="G8" s="70"/>
      <c r="I8" s="94"/>
    </row>
    <row r="9" spans="1:15" ht="12.6" customHeight="1" x14ac:dyDescent="0.2">
      <c r="A9" s="276">
        <v>2</v>
      </c>
      <c r="B9" s="280" t="s">
        <v>303</v>
      </c>
      <c r="C9" s="95">
        <f>39669</f>
        <v>39669</v>
      </c>
      <c r="E9" s="4"/>
      <c r="G9" s="70"/>
    </row>
    <row r="10" spans="1:15" ht="12.6" customHeight="1" x14ac:dyDescent="0.2">
      <c r="A10" s="277"/>
      <c r="B10" s="281"/>
      <c r="C10" s="96">
        <f>39669+2701.9</f>
        <v>42370.9</v>
      </c>
      <c r="D10" s="70">
        <v>2701.9</v>
      </c>
      <c r="E10" s="70"/>
      <c r="G10" s="70"/>
    </row>
    <row r="11" spans="1:15" ht="25.5" x14ac:dyDescent="0.2">
      <c r="A11" s="97">
        <v>3</v>
      </c>
      <c r="B11" s="98" t="s">
        <v>384</v>
      </c>
      <c r="C11" s="96">
        <v>50</v>
      </c>
      <c r="E11" s="70"/>
      <c r="F11" s="71"/>
    </row>
    <row r="12" spans="1:15" ht="12.6" customHeight="1" x14ac:dyDescent="0.2">
      <c r="A12" s="97">
        <v>4</v>
      </c>
      <c r="B12" s="90" t="s">
        <v>385</v>
      </c>
      <c r="C12" s="96">
        <f>+C13+C15+C14</f>
        <v>2415</v>
      </c>
      <c r="F12" s="71"/>
      <c r="G12" s="70"/>
    </row>
    <row r="13" spans="1:15" ht="12.6" customHeight="1" x14ac:dyDescent="0.2">
      <c r="A13" s="97">
        <v>5</v>
      </c>
      <c r="B13" s="99" t="s">
        <v>304</v>
      </c>
      <c r="C13" s="31">
        <v>900</v>
      </c>
      <c r="F13" s="72"/>
      <c r="G13" s="70"/>
    </row>
    <row r="14" spans="1:15" ht="12.6" customHeight="1" x14ac:dyDescent="0.2">
      <c r="A14" s="97">
        <v>6</v>
      </c>
      <c r="B14" s="99" t="s">
        <v>305</v>
      </c>
      <c r="C14" s="31">
        <v>15</v>
      </c>
      <c r="F14" s="72"/>
    </row>
    <row r="15" spans="1:15" ht="12.6" customHeight="1" x14ac:dyDescent="0.2">
      <c r="A15" s="97">
        <v>7</v>
      </c>
      <c r="B15" s="99" t="s">
        <v>306</v>
      </c>
      <c r="C15" s="31">
        <v>1500</v>
      </c>
      <c r="F15" s="71"/>
      <c r="O15" s="4"/>
    </row>
    <row r="16" spans="1:15" ht="12.6" customHeight="1" x14ac:dyDescent="0.2">
      <c r="A16" s="276">
        <v>8</v>
      </c>
      <c r="B16" s="280" t="s">
        <v>386</v>
      </c>
      <c r="C16" s="95">
        <v>250</v>
      </c>
      <c r="F16" s="71"/>
      <c r="O16" s="4"/>
    </row>
    <row r="17" spans="1:8" ht="12.6" customHeight="1" x14ac:dyDescent="0.2">
      <c r="A17" s="277"/>
      <c r="B17" s="281"/>
      <c r="C17" s="93">
        <f>+C19</f>
        <v>332.8</v>
      </c>
    </row>
    <row r="18" spans="1:8" ht="12.6" customHeight="1" x14ac:dyDescent="0.2">
      <c r="A18" s="276">
        <v>9</v>
      </c>
      <c r="B18" s="284" t="s">
        <v>307</v>
      </c>
      <c r="C18" s="100">
        <f>250</f>
        <v>250</v>
      </c>
    </row>
    <row r="19" spans="1:8" ht="12.6" customHeight="1" x14ac:dyDescent="0.2">
      <c r="A19" s="277"/>
      <c r="B19" s="285"/>
      <c r="C19" s="96">
        <f>250+82.8</f>
        <v>332.8</v>
      </c>
      <c r="D19" s="70">
        <v>82.8</v>
      </c>
    </row>
    <row r="20" spans="1:8" ht="12.6" customHeight="1" x14ac:dyDescent="0.2">
      <c r="A20" s="276">
        <v>10</v>
      </c>
      <c r="B20" s="280" t="s">
        <v>387</v>
      </c>
      <c r="C20" s="95">
        <v>38682.9</v>
      </c>
    </row>
    <row r="21" spans="1:8" x14ac:dyDescent="0.2">
      <c r="A21" s="277"/>
      <c r="B21" s="281"/>
      <c r="C21" s="93">
        <v>38833</v>
      </c>
    </row>
    <row r="22" spans="1:8" x14ac:dyDescent="0.2">
      <c r="A22" s="276">
        <v>11</v>
      </c>
      <c r="B22" s="282" t="s">
        <v>388</v>
      </c>
      <c r="C22" s="119">
        <v>1937.5</v>
      </c>
    </row>
    <row r="23" spans="1:8" x14ac:dyDescent="0.2">
      <c r="A23" s="277"/>
      <c r="B23" s="283"/>
      <c r="C23" s="93">
        <f>+C25+C26</f>
        <v>1890.8</v>
      </c>
    </row>
    <row r="24" spans="1:8" x14ac:dyDescent="0.2">
      <c r="A24" s="276" t="s">
        <v>34</v>
      </c>
      <c r="B24" s="278" t="s">
        <v>308</v>
      </c>
      <c r="C24" s="100">
        <f>1941.5-213.2+58.7</f>
        <v>1787</v>
      </c>
    </row>
    <row r="25" spans="1:8" x14ac:dyDescent="0.2">
      <c r="A25" s="277"/>
      <c r="B25" s="279"/>
      <c r="C25" s="96">
        <f>1941.5-213.2+58.7-46.7</f>
        <v>1740.3</v>
      </c>
      <c r="D25" s="70">
        <v>-46.7</v>
      </c>
      <c r="E25" s="83"/>
      <c r="F25" s="101"/>
      <c r="G25" s="2" t="s">
        <v>372</v>
      </c>
      <c r="H25" s="70"/>
    </row>
    <row r="26" spans="1:8" ht="25.5" x14ac:dyDescent="0.2">
      <c r="A26" s="97" t="s">
        <v>35</v>
      </c>
      <c r="B26" s="102" t="s">
        <v>309</v>
      </c>
      <c r="C26" s="31">
        <f>38.1-0.4+112.8</f>
        <v>150.5</v>
      </c>
      <c r="E26" s="101"/>
      <c r="F26" s="101"/>
      <c r="H26" s="70"/>
    </row>
    <row r="27" spans="1:8" x14ac:dyDescent="0.2">
      <c r="A27" s="276">
        <v>12</v>
      </c>
      <c r="B27" s="280" t="s">
        <v>389</v>
      </c>
      <c r="C27" s="95">
        <v>25248</v>
      </c>
      <c r="E27" s="101"/>
      <c r="F27" s="101"/>
      <c r="H27" s="70"/>
    </row>
    <row r="28" spans="1:8" ht="12.6" customHeight="1" x14ac:dyDescent="0.2">
      <c r="A28" s="277"/>
      <c r="B28" s="281"/>
      <c r="C28" s="96">
        <v>25319.9</v>
      </c>
    </row>
    <row r="29" spans="1:8" ht="12.6" customHeight="1" x14ac:dyDescent="0.2">
      <c r="A29" s="276">
        <v>13</v>
      </c>
      <c r="B29" s="284" t="s">
        <v>390</v>
      </c>
      <c r="C29" s="100">
        <v>5825</v>
      </c>
    </row>
    <row r="30" spans="1:8" ht="12.6" customHeight="1" x14ac:dyDescent="0.2">
      <c r="A30" s="277"/>
      <c r="B30" s="285"/>
      <c r="C30" s="96">
        <v>5896.9</v>
      </c>
      <c r="E30" s="101"/>
      <c r="F30" s="44"/>
    </row>
    <row r="31" spans="1:8" ht="12.6" customHeight="1" x14ac:dyDescent="0.2">
      <c r="A31" s="103" t="s">
        <v>288</v>
      </c>
      <c r="B31" s="99" t="s">
        <v>310</v>
      </c>
      <c r="C31" s="31">
        <v>32.6</v>
      </c>
      <c r="E31" s="101"/>
      <c r="G31" s="4"/>
    </row>
    <row r="32" spans="1:8" ht="12.6" customHeight="1" x14ac:dyDescent="0.2">
      <c r="A32" s="97" t="s">
        <v>391</v>
      </c>
      <c r="B32" s="99" t="s">
        <v>311</v>
      </c>
      <c r="C32" s="31">
        <v>9</v>
      </c>
      <c r="E32" s="101"/>
      <c r="G32" s="4"/>
    </row>
    <row r="33" spans="1:7" ht="12.6" customHeight="1" x14ac:dyDescent="0.2">
      <c r="A33" s="103" t="s">
        <v>392</v>
      </c>
      <c r="B33" s="99" t="s">
        <v>312</v>
      </c>
      <c r="C33" s="31">
        <v>398.5</v>
      </c>
      <c r="E33" s="83"/>
      <c r="F33" s="104"/>
      <c r="G33" s="4"/>
    </row>
    <row r="34" spans="1:7" ht="12.6" customHeight="1" x14ac:dyDescent="0.2">
      <c r="A34" s="97" t="s">
        <v>393</v>
      </c>
      <c r="B34" s="99" t="s">
        <v>313</v>
      </c>
      <c r="C34" s="31">
        <v>947.6</v>
      </c>
      <c r="E34" s="83"/>
    </row>
    <row r="35" spans="1:7" ht="12.6" customHeight="1" x14ac:dyDescent="0.2">
      <c r="A35" s="286" t="s">
        <v>394</v>
      </c>
      <c r="B35" s="284" t="s">
        <v>314</v>
      </c>
      <c r="C35" s="100">
        <f>1658.1</f>
        <v>1658.1</v>
      </c>
      <c r="E35" s="83"/>
    </row>
    <row r="36" spans="1:7" ht="12.6" customHeight="1" x14ac:dyDescent="0.2">
      <c r="A36" s="287"/>
      <c r="B36" s="285"/>
      <c r="C36" s="96">
        <f>1658.1+71.9</f>
        <v>1730</v>
      </c>
      <c r="D36" s="70">
        <v>71.900000000000006</v>
      </c>
      <c r="E36" s="4"/>
      <c r="F36" s="84"/>
      <c r="G36" s="4"/>
    </row>
    <row r="37" spans="1:7" x14ac:dyDescent="0.2">
      <c r="A37" s="97" t="s">
        <v>395</v>
      </c>
      <c r="B37" s="99" t="s">
        <v>315</v>
      </c>
      <c r="C37" s="31">
        <v>19.5</v>
      </c>
    </row>
    <row r="38" spans="1:7" x14ac:dyDescent="0.2">
      <c r="A38" s="103" t="s">
        <v>396</v>
      </c>
      <c r="B38" s="102" t="s">
        <v>316</v>
      </c>
      <c r="C38" s="31">
        <f>11.1+2</f>
        <v>13.1</v>
      </c>
      <c r="E38" s="44"/>
    </row>
    <row r="39" spans="1:7" ht="12.6" customHeight="1" x14ac:dyDescent="0.2">
      <c r="A39" s="97" t="s">
        <v>397</v>
      </c>
      <c r="B39" s="105" t="s">
        <v>708</v>
      </c>
      <c r="C39" s="31">
        <v>190.1</v>
      </c>
    </row>
    <row r="40" spans="1:7" ht="12.6" customHeight="1" x14ac:dyDescent="0.2">
      <c r="A40" s="103" t="s">
        <v>398</v>
      </c>
      <c r="B40" s="105" t="s">
        <v>317</v>
      </c>
      <c r="C40" s="31">
        <v>35.5</v>
      </c>
    </row>
    <row r="41" spans="1:7" ht="12.6" customHeight="1" x14ac:dyDescent="0.2">
      <c r="A41" s="97" t="s">
        <v>399</v>
      </c>
      <c r="B41" s="105" t="s">
        <v>710</v>
      </c>
      <c r="C41" s="31">
        <v>12.2</v>
      </c>
    </row>
    <row r="42" spans="1:7" ht="12.6" customHeight="1" x14ac:dyDescent="0.2">
      <c r="A42" s="103" t="s">
        <v>400</v>
      </c>
      <c r="B42" s="105" t="s">
        <v>318</v>
      </c>
      <c r="C42" s="31">
        <v>0.8</v>
      </c>
    </row>
    <row r="43" spans="1:7" ht="12.6" customHeight="1" x14ac:dyDescent="0.2">
      <c r="A43" s="97" t="s">
        <v>401</v>
      </c>
      <c r="B43" s="105" t="s">
        <v>319</v>
      </c>
      <c r="C43" s="31">
        <v>57.8</v>
      </c>
    </row>
    <row r="44" spans="1:7" x14ac:dyDescent="0.2">
      <c r="A44" s="103" t="s">
        <v>402</v>
      </c>
      <c r="B44" s="105" t="s">
        <v>320</v>
      </c>
      <c r="C44" s="31">
        <v>1234.5999999999999</v>
      </c>
    </row>
    <row r="45" spans="1:7" ht="25.5" x14ac:dyDescent="0.2">
      <c r="A45" s="97" t="s">
        <v>403</v>
      </c>
      <c r="B45" s="105" t="s">
        <v>711</v>
      </c>
      <c r="C45" s="31">
        <v>5</v>
      </c>
    </row>
    <row r="46" spans="1:7" ht="12.6" customHeight="1" x14ac:dyDescent="0.2">
      <c r="A46" s="103" t="s">
        <v>404</v>
      </c>
      <c r="B46" s="105" t="s">
        <v>321</v>
      </c>
      <c r="C46" s="31">
        <v>254.8</v>
      </c>
    </row>
    <row r="47" spans="1:7" ht="12.6" customHeight="1" x14ac:dyDescent="0.2">
      <c r="A47" s="97" t="s">
        <v>405</v>
      </c>
      <c r="B47" s="99" t="s">
        <v>322</v>
      </c>
      <c r="C47" s="31">
        <v>360</v>
      </c>
    </row>
    <row r="48" spans="1:7" ht="12.6" customHeight="1" x14ac:dyDescent="0.2">
      <c r="A48" s="103" t="s">
        <v>406</v>
      </c>
      <c r="B48" s="99" t="s">
        <v>712</v>
      </c>
      <c r="C48" s="106">
        <v>19.899999999999999</v>
      </c>
    </row>
    <row r="49" spans="1:7" ht="12.6" customHeight="1" x14ac:dyDescent="0.2">
      <c r="A49" s="103" t="s">
        <v>407</v>
      </c>
      <c r="B49" s="99" t="s">
        <v>323</v>
      </c>
      <c r="C49" s="31">
        <v>47.9</v>
      </c>
    </row>
    <row r="50" spans="1:7" ht="12.6" customHeight="1" x14ac:dyDescent="0.2">
      <c r="A50" s="103" t="s">
        <v>408</v>
      </c>
      <c r="B50" s="102" t="s">
        <v>713</v>
      </c>
      <c r="C50" s="31">
        <v>1.2</v>
      </c>
    </row>
    <row r="51" spans="1:7" x14ac:dyDescent="0.2">
      <c r="A51" s="97" t="s">
        <v>409</v>
      </c>
      <c r="B51" s="102" t="s">
        <v>411</v>
      </c>
      <c r="C51" s="31">
        <v>416.4</v>
      </c>
    </row>
    <row r="52" spans="1:7" ht="15.75" customHeight="1" x14ac:dyDescent="0.2">
      <c r="A52" s="103" t="s">
        <v>410</v>
      </c>
      <c r="B52" s="102" t="s">
        <v>324</v>
      </c>
      <c r="C52" s="31">
        <v>1.8</v>
      </c>
    </row>
    <row r="53" spans="1:7" ht="12.75" customHeight="1" x14ac:dyDescent="0.2">
      <c r="A53" s="97" t="s">
        <v>412</v>
      </c>
      <c r="B53" s="102" t="s">
        <v>715</v>
      </c>
      <c r="C53" s="31">
        <v>88.4</v>
      </c>
    </row>
    <row r="54" spans="1:7" ht="26.25" customHeight="1" x14ac:dyDescent="0.2">
      <c r="A54" s="103" t="s">
        <v>413</v>
      </c>
      <c r="B54" s="102" t="s">
        <v>717</v>
      </c>
      <c r="C54" s="31">
        <v>20.2</v>
      </c>
    </row>
    <row r="55" spans="1:7" x14ac:dyDescent="0.2">
      <c r="A55" s="97">
        <v>14</v>
      </c>
      <c r="B55" s="99" t="s">
        <v>414</v>
      </c>
      <c r="C55" s="31">
        <f>18397.8+336.8</f>
        <v>18734.599999999999</v>
      </c>
      <c r="E55" s="101"/>
      <c r="F55" s="44"/>
      <c r="G55" s="4"/>
    </row>
    <row r="56" spans="1:7" ht="12.6" customHeight="1" x14ac:dyDescent="0.2">
      <c r="A56" s="97">
        <v>15</v>
      </c>
      <c r="B56" s="99" t="s">
        <v>325</v>
      </c>
      <c r="C56" s="107">
        <f>+C57</f>
        <v>688.4</v>
      </c>
      <c r="E56" s="101"/>
      <c r="F56" s="44"/>
      <c r="G56" s="4"/>
    </row>
    <row r="57" spans="1:7" ht="12.6" customHeight="1" x14ac:dyDescent="0.2">
      <c r="A57" s="108" t="s">
        <v>176</v>
      </c>
      <c r="B57" s="102" t="s">
        <v>326</v>
      </c>
      <c r="C57" s="31">
        <v>688.4</v>
      </c>
      <c r="F57" s="44"/>
      <c r="G57" s="4"/>
    </row>
    <row r="58" spans="1:7" ht="12.6" customHeight="1" x14ac:dyDescent="0.2">
      <c r="A58" s="276">
        <v>16</v>
      </c>
      <c r="B58" s="280" t="s">
        <v>327</v>
      </c>
      <c r="C58" s="95">
        <v>11497.4</v>
      </c>
      <c r="F58" s="44"/>
      <c r="G58" s="4"/>
    </row>
    <row r="59" spans="1:7" ht="12.6" customHeight="1" x14ac:dyDescent="0.2">
      <c r="A59" s="277"/>
      <c r="B59" s="281"/>
      <c r="C59" s="96">
        <v>11622.3</v>
      </c>
      <c r="E59" s="4"/>
    </row>
    <row r="60" spans="1:7" ht="12.6" customHeight="1" x14ac:dyDescent="0.2">
      <c r="A60" s="97" t="s">
        <v>350</v>
      </c>
      <c r="B60" s="99" t="s">
        <v>797</v>
      </c>
      <c r="C60" s="31">
        <v>261.60000000000002</v>
      </c>
      <c r="E60" s="4"/>
    </row>
    <row r="61" spans="1:7" x14ac:dyDescent="0.2">
      <c r="A61" s="97" t="s">
        <v>724</v>
      </c>
      <c r="B61" s="102" t="s">
        <v>773</v>
      </c>
      <c r="C61" s="31">
        <v>24.7</v>
      </c>
      <c r="E61" s="4"/>
    </row>
    <row r="62" spans="1:7" ht="25.5" x14ac:dyDescent="0.2">
      <c r="A62" s="97" t="s">
        <v>725</v>
      </c>
      <c r="B62" s="102" t="s">
        <v>772</v>
      </c>
      <c r="C62" s="31">
        <v>160.69999999999999</v>
      </c>
      <c r="E62" s="4"/>
    </row>
    <row r="63" spans="1:7" x14ac:dyDescent="0.2">
      <c r="A63" s="276" t="s">
        <v>751</v>
      </c>
      <c r="B63" s="278" t="s">
        <v>726</v>
      </c>
      <c r="C63" s="100">
        <f>102.6</f>
        <v>102.6</v>
      </c>
      <c r="E63" s="4"/>
    </row>
    <row r="64" spans="1:7" x14ac:dyDescent="0.2">
      <c r="A64" s="277"/>
      <c r="B64" s="279"/>
      <c r="C64" s="31">
        <f>102.6-8.9</f>
        <v>93.699999999999989</v>
      </c>
      <c r="D64" s="70">
        <v>-8.9</v>
      </c>
      <c r="E64" s="4"/>
    </row>
    <row r="65" spans="1:14" x14ac:dyDescent="0.2">
      <c r="A65" s="97" t="s">
        <v>752</v>
      </c>
      <c r="B65" s="102" t="s">
        <v>749</v>
      </c>
      <c r="C65" s="31">
        <f>132.8-65.1</f>
        <v>67.700000000000017</v>
      </c>
      <c r="E65" s="4"/>
    </row>
    <row r="66" spans="1:14" ht="25.5" x14ac:dyDescent="0.2">
      <c r="A66" s="97" t="s">
        <v>753</v>
      </c>
      <c r="B66" s="102" t="s">
        <v>748</v>
      </c>
      <c r="C66" s="31">
        <v>0.7</v>
      </c>
      <c r="E66" s="4"/>
    </row>
    <row r="67" spans="1:14" ht="51" x14ac:dyDescent="0.2">
      <c r="A67" s="97" t="s">
        <v>754</v>
      </c>
      <c r="B67" s="102" t="s">
        <v>774</v>
      </c>
      <c r="C67" s="31">
        <f>0.6+1+1</f>
        <v>2.6</v>
      </c>
      <c r="E67" s="4"/>
    </row>
    <row r="68" spans="1:14" x14ac:dyDescent="0.2">
      <c r="A68" s="276" t="s">
        <v>771</v>
      </c>
      <c r="B68" s="278" t="s">
        <v>796</v>
      </c>
      <c r="C68" s="100">
        <f>24.9+22.6+16.5+19+23.3+23.7</f>
        <v>130</v>
      </c>
      <c r="E68" s="4"/>
    </row>
    <row r="69" spans="1:14" x14ac:dyDescent="0.2">
      <c r="A69" s="277"/>
      <c r="B69" s="279"/>
      <c r="C69" s="96">
        <f>24.9+22.6+16.5+19+23.3+23.7+20.6+23.9+25.9</f>
        <v>200.4</v>
      </c>
      <c r="D69" s="70">
        <f>20.6+23.9+25.9</f>
        <v>70.400000000000006</v>
      </c>
      <c r="E69" s="4"/>
    </row>
    <row r="70" spans="1:14" x14ac:dyDescent="0.2">
      <c r="A70" s="97" t="s">
        <v>795</v>
      </c>
      <c r="B70" s="99" t="s">
        <v>747</v>
      </c>
      <c r="C70" s="31">
        <v>54.6</v>
      </c>
      <c r="E70" s="4"/>
    </row>
    <row r="71" spans="1:14" ht="25.5" customHeight="1" x14ac:dyDescent="0.2">
      <c r="A71" s="97" t="s">
        <v>798</v>
      </c>
      <c r="B71" s="102" t="s">
        <v>750</v>
      </c>
      <c r="C71" s="31">
        <v>282</v>
      </c>
      <c r="E71" s="4"/>
      <c r="G71" s="73"/>
      <c r="H71" s="73"/>
      <c r="I71" s="73"/>
      <c r="J71" s="73"/>
      <c r="K71" s="73"/>
      <c r="L71" s="73"/>
      <c r="M71" s="73"/>
      <c r="N71" s="73"/>
    </row>
    <row r="72" spans="1:14" ht="25.5" x14ac:dyDescent="0.2">
      <c r="A72" s="97" t="s">
        <v>899</v>
      </c>
      <c r="B72" s="102" t="s">
        <v>883</v>
      </c>
      <c r="C72" s="31">
        <v>0.1</v>
      </c>
      <c r="E72" s="4"/>
      <c r="G72" s="73"/>
      <c r="H72" s="73"/>
      <c r="I72" s="73"/>
      <c r="J72" s="73"/>
      <c r="K72" s="73"/>
      <c r="L72" s="73"/>
      <c r="M72" s="73"/>
      <c r="N72" s="73"/>
    </row>
    <row r="73" spans="1:14" x14ac:dyDescent="0.2">
      <c r="A73" s="97" t="s">
        <v>900</v>
      </c>
      <c r="B73" s="102" t="s">
        <v>885</v>
      </c>
      <c r="C73" s="31">
        <v>28.7</v>
      </c>
      <c r="E73" s="4"/>
      <c r="G73" s="73"/>
      <c r="H73" s="73"/>
      <c r="I73" s="73"/>
      <c r="J73" s="73"/>
      <c r="K73" s="73"/>
      <c r="L73" s="73"/>
      <c r="M73" s="73"/>
      <c r="N73" s="73"/>
    </row>
    <row r="74" spans="1:14" ht="25.5" x14ac:dyDescent="0.2">
      <c r="A74" s="97" t="s">
        <v>901</v>
      </c>
      <c r="B74" s="102" t="s">
        <v>889</v>
      </c>
      <c r="C74" s="31">
        <v>18</v>
      </c>
      <c r="E74" s="4"/>
      <c r="G74" s="73"/>
      <c r="H74" s="73"/>
      <c r="I74" s="73"/>
      <c r="J74" s="73"/>
      <c r="K74" s="73"/>
      <c r="L74" s="73"/>
      <c r="M74" s="73"/>
      <c r="N74" s="73"/>
    </row>
    <row r="75" spans="1:14" x14ac:dyDescent="0.2">
      <c r="A75" s="97" t="s">
        <v>902</v>
      </c>
      <c r="B75" s="102" t="s">
        <v>890</v>
      </c>
      <c r="C75" s="31">
        <f>300+484</f>
        <v>784</v>
      </c>
      <c r="E75" s="4"/>
      <c r="G75" s="73"/>
      <c r="H75" s="73"/>
      <c r="I75" s="73"/>
      <c r="J75" s="73"/>
      <c r="K75" s="73"/>
      <c r="L75" s="73"/>
      <c r="M75" s="73"/>
      <c r="N75" s="73"/>
    </row>
    <row r="76" spans="1:14" x14ac:dyDescent="0.2">
      <c r="A76" s="97" t="s">
        <v>903</v>
      </c>
      <c r="B76" s="102" t="s">
        <v>898</v>
      </c>
      <c r="C76" s="31">
        <f>2878.6+117</f>
        <v>2995.6</v>
      </c>
      <c r="E76" s="4"/>
      <c r="G76" s="73"/>
      <c r="H76" s="73"/>
      <c r="I76" s="73"/>
      <c r="J76" s="73"/>
      <c r="K76" s="73"/>
      <c r="L76" s="73"/>
      <c r="M76" s="73"/>
      <c r="N76" s="73"/>
    </row>
    <row r="77" spans="1:14" ht="25.5" x14ac:dyDescent="0.2">
      <c r="A77" s="97" t="s">
        <v>905</v>
      </c>
      <c r="B77" s="102" t="s">
        <v>915</v>
      </c>
      <c r="C77" s="31">
        <v>232</v>
      </c>
      <c r="E77" s="4"/>
      <c r="G77" s="73"/>
      <c r="H77" s="73"/>
      <c r="I77" s="73"/>
      <c r="J77" s="73"/>
      <c r="K77" s="73"/>
      <c r="L77" s="73"/>
      <c r="M77" s="73"/>
      <c r="N77" s="73"/>
    </row>
    <row r="78" spans="1:14" ht="25.5" x14ac:dyDescent="0.2">
      <c r="A78" s="97" t="s">
        <v>906</v>
      </c>
      <c r="B78" s="102" t="s">
        <v>904</v>
      </c>
      <c r="C78" s="31">
        <f>18.5+18.7+38.8</f>
        <v>76</v>
      </c>
      <c r="E78" s="4"/>
      <c r="G78" s="73"/>
      <c r="H78" s="73"/>
      <c r="I78" s="73"/>
      <c r="J78" s="73"/>
      <c r="K78" s="73"/>
      <c r="L78" s="73"/>
      <c r="M78" s="73"/>
      <c r="N78" s="73"/>
    </row>
    <row r="79" spans="1:14" ht="25.5" customHeight="1" x14ac:dyDescent="0.2">
      <c r="A79" s="97" t="s">
        <v>908</v>
      </c>
      <c r="B79" s="102" t="s">
        <v>907</v>
      </c>
      <c r="C79" s="31">
        <v>14.1</v>
      </c>
      <c r="E79" s="4"/>
      <c r="G79" s="73"/>
      <c r="H79" s="73"/>
      <c r="I79" s="73"/>
      <c r="J79" s="73"/>
      <c r="K79" s="73"/>
      <c r="L79" s="73"/>
      <c r="M79" s="73"/>
      <c r="N79" s="73"/>
    </row>
    <row r="80" spans="1:14" ht="25.5" customHeight="1" x14ac:dyDescent="0.2">
      <c r="A80" s="97" t="s">
        <v>933</v>
      </c>
      <c r="B80" s="102" t="s">
        <v>917</v>
      </c>
      <c r="C80" s="31">
        <v>1639.3</v>
      </c>
      <c r="E80" s="4"/>
      <c r="G80" s="73"/>
      <c r="H80" s="73"/>
      <c r="I80" s="73"/>
      <c r="J80" s="73"/>
      <c r="K80" s="73"/>
      <c r="L80" s="73"/>
      <c r="M80" s="73"/>
      <c r="N80" s="73"/>
    </row>
    <row r="81" spans="1:14" ht="25.5" customHeight="1" x14ac:dyDescent="0.2">
      <c r="A81" s="97" t="s">
        <v>934</v>
      </c>
      <c r="B81" s="102" t="s">
        <v>940</v>
      </c>
      <c r="C81" s="31">
        <v>300</v>
      </c>
      <c r="E81" s="4"/>
      <c r="G81" s="73"/>
      <c r="H81" s="73"/>
      <c r="I81" s="73"/>
      <c r="J81" s="73"/>
      <c r="K81" s="73"/>
      <c r="L81" s="73"/>
      <c r="M81" s="73"/>
      <c r="N81" s="73"/>
    </row>
    <row r="82" spans="1:14" ht="25.5" customHeight="1" x14ac:dyDescent="0.2">
      <c r="A82" s="97" t="s">
        <v>935</v>
      </c>
      <c r="B82" s="102" t="s">
        <v>920</v>
      </c>
      <c r="C82" s="31">
        <f>8.6+10.5</f>
        <v>19.100000000000001</v>
      </c>
      <c r="E82" s="4"/>
      <c r="G82" s="73"/>
      <c r="H82" s="73"/>
      <c r="I82" s="73"/>
      <c r="J82" s="73"/>
      <c r="K82" s="73"/>
      <c r="L82" s="73"/>
      <c r="M82" s="73"/>
      <c r="N82" s="73"/>
    </row>
    <row r="83" spans="1:14" ht="25.5" customHeight="1" x14ac:dyDescent="0.2">
      <c r="A83" s="97" t="s">
        <v>936</v>
      </c>
      <c r="B83" s="102" t="s">
        <v>922</v>
      </c>
      <c r="C83" s="31">
        <v>13.6</v>
      </c>
      <c r="E83" s="4"/>
      <c r="G83" s="73"/>
      <c r="H83" s="73"/>
      <c r="I83" s="73"/>
      <c r="J83" s="73"/>
      <c r="K83" s="73"/>
      <c r="L83" s="73"/>
      <c r="M83" s="73"/>
      <c r="N83" s="73"/>
    </row>
    <row r="84" spans="1:14" ht="25.5" customHeight="1" x14ac:dyDescent="0.2">
      <c r="A84" s="97" t="s">
        <v>937</v>
      </c>
      <c r="B84" s="102" t="s">
        <v>924</v>
      </c>
      <c r="C84" s="31">
        <v>15.4</v>
      </c>
      <c r="E84" s="4"/>
      <c r="G84" s="73"/>
      <c r="H84" s="73"/>
      <c r="I84" s="73"/>
      <c r="J84" s="73"/>
      <c r="K84" s="73"/>
      <c r="L84" s="73"/>
      <c r="M84" s="73"/>
      <c r="N84" s="73"/>
    </row>
    <row r="85" spans="1:14" ht="25.5" customHeight="1" x14ac:dyDescent="0.2">
      <c r="A85" s="97" t="s">
        <v>938</v>
      </c>
      <c r="B85" s="102" t="s">
        <v>926</v>
      </c>
      <c r="C85" s="31">
        <v>27.8</v>
      </c>
      <c r="E85" s="4"/>
      <c r="G85" s="73"/>
      <c r="H85" s="73"/>
      <c r="I85" s="73"/>
      <c r="J85" s="73"/>
      <c r="K85" s="73"/>
      <c r="L85" s="73"/>
      <c r="M85" s="73"/>
      <c r="N85" s="73"/>
    </row>
    <row r="86" spans="1:14" ht="25.5" customHeight="1" x14ac:dyDescent="0.2">
      <c r="A86" s="97" t="s">
        <v>939</v>
      </c>
      <c r="B86" s="102" t="s">
        <v>942</v>
      </c>
      <c r="C86" s="31">
        <v>30</v>
      </c>
      <c r="E86" s="4"/>
      <c r="G86" s="73"/>
      <c r="H86" s="73"/>
      <c r="I86" s="73"/>
      <c r="J86" s="73"/>
      <c r="K86" s="73"/>
      <c r="L86" s="73"/>
      <c r="M86" s="73"/>
      <c r="N86" s="73"/>
    </row>
    <row r="87" spans="1:14" ht="25.5" customHeight="1" x14ac:dyDescent="0.2">
      <c r="A87" s="97" t="s">
        <v>941</v>
      </c>
      <c r="B87" s="102" t="s">
        <v>946</v>
      </c>
      <c r="C87" s="31">
        <v>32</v>
      </c>
      <c r="E87" s="4"/>
      <c r="G87" s="73"/>
      <c r="H87" s="73"/>
      <c r="I87" s="73"/>
      <c r="J87" s="73"/>
      <c r="K87" s="73"/>
      <c r="L87" s="73"/>
      <c r="M87" s="73"/>
      <c r="N87" s="73"/>
    </row>
    <row r="88" spans="1:14" ht="25.5" customHeight="1" x14ac:dyDescent="0.2">
      <c r="A88" s="276" t="s">
        <v>949</v>
      </c>
      <c r="B88" s="278" t="s">
        <v>969</v>
      </c>
      <c r="C88" s="100">
        <f>5.8</f>
        <v>5.8</v>
      </c>
      <c r="E88" s="4"/>
      <c r="G88" s="73"/>
      <c r="H88" s="73"/>
      <c r="I88" s="73"/>
      <c r="J88" s="73"/>
      <c r="K88" s="73"/>
      <c r="L88" s="73"/>
      <c r="M88" s="73"/>
      <c r="N88" s="73"/>
    </row>
    <row r="89" spans="1:14" x14ac:dyDescent="0.2">
      <c r="A89" s="277"/>
      <c r="B89" s="279"/>
      <c r="C89" s="31">
        <f>5.8+10.2</f>
        <v>16</v>
      </c>
      <c r="D89" s="70">
        <v>10.199999999999999</v>
      </c>
      <c r="E89" s="4"/>
      <c r="G89" s="73"/>
      <c r="H89" s="73"/>
      <c r="I89" s="73"/>
      <c r="J89" s="73"/>
      <c r="K89" s="73"/>
      <c r="L89" s="73"/>
      <c r="M89" s="73"/>
      <c r="N89" s="73"/>
    </row>
    <row r="90" spans="1:14" x14ac:dyDescent="0.2">
      <c r="A90" s="276" t="s">
        <v>950</v>
      </c>
      <c r="B90" s="278" t="s">
        <v>970</v>
      </c>
      <c r="C90" s="100">
        <f>51.7</f>
        <v>51.7</v>
      </c>
      <c r="E90" s="4"/>
      <c r="G90" s="73"/>
      <c r="H90" s="73"/>
      <c r="I90" s="73"/>
      <c r="J90" s="73"/>
      <c r="K90" s="73"/>
      <c r="L90" s="73"/>
      <c r="M90" s="73"/>
      <c r="N90" s="73"/>
    </row>
    <row r="91" spans="1:14" x14ac:dyDescent="0.2">
      <c r="A91" s="277"/>
      <c r="B91" s="279"/>
      <c r="C91" s="96">
        <f>51.7+46</f>
        <v>97.7</v>
      </c>
      <c r="D91" s="70">
        <v>46</v>
      </c>
      <c r="E91" s="4"/>
      <c r="G91" s="73"/>
      <c r="H91" s="73"/>
      <c r="I91" s="73"/>
      <c r="J91" s="73"/>
      <c r="K91" s="73"/>
      <c r="L91" s="73"/>
      <c r="M91" s="73"/>
      <c r="N91" s="73"/>
    </row>
    <row r="92" spans="1:14" ht="12.75" customHeight="1" x14ac:dyDescent="0.2">
      <c r="A92" s="276" t="s">
        <v>951</v>
      </c>
      <c r="B92" s="278" t="s">
        <v>971</v>
      </c>
      <c r="C92" s="100">
        <f>0.4</f>
        <v>0.4</v>
      </c>
      <c r="E92" s="4"/>
      <c r="G92" s="73"/>
      <c r="H92" s="73"/>
      <c r="I92" s="73"/>
      <c r="J92" s="73"/>
      <c r="K92" s="73"/>
      <c r="L92" s="73"/>
      <c r="M92" s="73"/>
      <c r="N92" s="73"/>
    </row>
    <row r="93" spans="1:14" ht="34.5" customHeight="1" x14ac:dyDescent="0.2">
      <c r="A93" s="277"/>
      <c r="B93" s="279"/>
      <c r="C93" s="96">
        <f>0.4+0.6</f>
        <v>1</v>
      </c>
      <c r="D93" s="70">
        <v>0.6</v>
      </c>
      <c r="E93" s="4"/>
      <c r="G93" s="73"/>
      <c r="H93" s="73"/>
      <c r="I93" s="73"/>
      <c r="J93" s="73"/>
      <c r="K93" s="73"/>
      <c r="L93" s="73"/>
      <c r="M93" s="73"/>
      <c r="N93" s="73"/>
    </row>
    <row r="94" spans="1:14" ht="25.5" x14ac:dyDescent="0.2">
      <c r="A94" s="97" t="s">
        <v>953</v>
      </c>
      <c r="B94" s="102" t="s">
        <v>954</v>
      </c>
      <c r="C94" s="31">
        <v>147.19999999999999</v>
      </c>
      <c r="E94" s="4"/>
      <c r="G94" s="73"/>
      <c r="H94" s="73"/>
      <c r="I94" s="73"/>
      <c r="J94" s="73"/>
      <c r="K94" s="73"/>
      <c r="L94" s="73"/>
      <c r="M94" s="73"/>
      <c r="N94" s="73"/>
    </row>
    <row r="95" spans="1:14" ht="38.25" x14ac:dyDescent="0.2">
      <c r="A95" s="97" t="s">
        <v>956</v>
      </c>
      <c r="B95" s="102" t="s">
        <v>961</v>
      </c>
      <c r="C95" s="31">
        <v>1482.4</v>
      </c>
      <c r="E95" s="4"/>
      <c r="G95" s="73"/>
      <c r="H95" s="73"/>
      <c r="I95" s="73"/>
      <c r="J95" s="73"/>
      <c r="K95" s="73"/>
      <c r="L95" s="73"/>
      <c r="M95" s="73"/>
      <c r="N95" s="73"/>
    </row>
    <row r="96" spans="1:14" ht="25.5" x14ac:dyDescent="0.2">
      <c r="A96" s="97" t="s">
        <v>957</v>
      </c>
      <c r="B96" s="102" t="s">
        <v>958</v>
      </c>
      <c r="C96" s="31">
        <v>2496.5</v>
      </c>
      <c r="E96" s="4"/>
      <c r="G96" s="73"/>
      <c r="H96" s="73"/>
      <c r="I96" s="73"/>
      <c r="J96" s="73"/>
      <c r="K96" s="73"/>
      <c r="L96" s="73"/>
      <c r="M96" s="73"/>
      <c r="N96" s="73"/>
    </row>
    <row r="97" spans="1:14" ht="18" customHeight="1" x14ac:dyDescent="0.2">
      <c r="A97" s="276" t="s">
        <v>976</v>
      </c>
      <c r="B97" s="278" t="s">
        <v>977</v>
      </c>
      <c r="C97" s="100">
        <f>0.5</f>
        <v>0.5</v>
      </c>
      <c r="E97" s="4"/>
      <c r="G97" s="73"/>
      <c r="H97" s="73"/>
      <c r="I97" s="73"/>
      <c r="J97" s="73"/>
      <c r="K97" s="73"/>
      <c r="L97" s="73"/>
      <c r="M97" s="73"/>
      <c r="N97" s="73"/>
    </row>
    <row r="98" spans="1:14" ht="24.75" customHeight="1" x14ac:dyDescent="0.2">
      <c r="A98" s="277"/>
      <c r="B98" s="279"/>
      <c r="C98" s="96">
        <f>0.5+0.3</f>
        <v>0.8</v>
      </c>
      <c r="D98" s="70">
        <v>0.3</v>
      </c>
      <c r="E98" s="4"/>
      <c r="G98" s="73"/>
      <c r="H98" s="73"/>
      <c r="I98" s="73"/>
      <c r="J98" s="73"/>
      <c r="K98" s="73"/>
      <c r="L98" s="73"/>
      <c r="M98" s="73"/>
      <c r="N98" s="73"/>
    </row>
    <row r="99" spans="1:14" x14ac:dyDescent="0.2">
      <c r="A99" s="97" t="s">
        <v>982</v>
      </c>
      <c r="B99" s="102" t="s">
        <v>983</v>
      </c>
      <c r="C99" s="31">
        <v>6.3</v>
      </c>
      <c r="D99" s="70">
        <v>6.3</v>
      </c>
      <c r="E99" s="4"/>
      <c r="G99" s="73"/>
      <c r="H99" s="73"/>
      <c r="I99" s="73"/>
      <c r="J99" s="73"/>
      <c r="K99" s="73"/>
      <c r="L99" s="73"/>
      <c r="M99" s="73"/>
      <c r="N99" s="73"/>
    </row>
    <row r="100" spans="1:14" x14ac:dyDescent="0.2">
      <c r="A100" s="97">
        <v>17</v>
      </c>
      <c r="B100" s="90" t="s">
        <v>415</v>
      </c>
      <c r="C100" s="96">
        <f>C101+C106+C110+C113+C114+C116</f>
        <v>4832</v>
      </c>
      <c r="G100" s="70"/>
    </row>
    <row r="101" spans="1:14" x14ac:dyDescent="0.2">
      <c r="A101" s="97">
        <v>18</v>
      </c>
      <c r="B101" s="90" t="s">
        <v>416</v>
      </c>
      <c r="C101" s="96">
        <f>C103+C104+C105+C102</f>
        <v>720</v>
      </c>
    </row>
    <row r="102" spans="1:14" x14ac:dyDescent="0.2">
      <c r="A102" s="97">
        <v>19</v>
      </c>
      <c r="B102" s="109" t="s">
        <v>328</v>
      </c>
      <c r="C102" s="31">
        <v>20</v>
      </c>
    </row>
    <row r="103" spans="1:14" ht="25.5" x14ac:dyDescent="0.2">
      <c r="A103" s="97">
        <v>20</v>
      </c>
      <c r="B103" s="102" t="s">
        <v>329</v>
      </c>
      <c r="C103" s="31">
        <v>600</v>
      </c>
    </row>
    <row r="104" spans="1:14" x14ac:dyDescent="0.2">
      <c r="A104" s="97">
        <v>21</v>
      </c>
      <c r="B104" s="99" t="s">
        <v>330</v>
      </c>
      <c r="C104" s="31">
        <v>50</v>
      </c>
    </row>
    <row r="105" spans="1:14" x14ac:dyDescent="0.2">
      <c r="A105" s="97">
        <v>22</v>
      </c>
      <c r="B105" s="110" t="s">
        <v>183</v>
      </c>
      <c r="C105" s="31">
        <v>50</v>
      </c>
    </row>
    <row r="106" spans="1:14" x14ac:dyDescent="0.2">
      <c r="A106" s="97">
        <v>23</v>
      </c>
      <c r="B106" s="90" t="s">
        <v>417</v>
      </c>
      <c r="C106" s="96">
        <f>+C108+C107+C109</f>
        <v>2083</v>
      </c>
    </row>
    <row r="107" spans="1:14" x14ac:dyDescent="0.2">
      <c r="A107" s="97">
        <v>24</v>
      </c>
      <c r="B107" s="99" t="s">
        <v>331</v>
      </c>
      <c r="C107" s="31">
        <v>259.10000000000002</v>
      </c>
      <c r="E107" s="101"/>
      <c r="F107" s="44"/>
    </row>
    <row r="108" spans="1:14" x14ac:dyDescent="0.2">
      <c r="A108" s="97">
        <v>25</v>
      </c>
      <c r="B108" s="99" t="s">
        <v>332</v>
      </c>
      <c r="C108" s="31">
        <v>148.69999999999999</v>
      </c>
      <c r="E108" s="101"/>
      <c r="F108" s="44"/>
    </row>
    <row r="109" spans="1:14" x14ac:dyDescent="0.2">
      <c r="A109" s="97">
        <v>26</v>
      </c>
      <c r="B109" s="99" t="s">
        <v>333</v>
      </c>
      <c r="C109" s="31">
        <v>1675.2</v>
      </c>
      <c r="E109" s="101"/>
      <c r="F109" s="44"/>
    </row>
    <row r="110" spans="1:14" x14ac:dyDescent="0.2">
      <c r="A110" s="97">
        <v>27</v>
      </c>
      <c r="B110" s="90" t="s">
        <v>418</v>
      </c>
      <c r="C110" s="93">
        <f>+C111+C112</f>
        <v>1645</v>
      </c>
      <c r="E110" s="44"/>
      <c r="F110" s="44"/>
    </row>
    <row r="111" spans="1:14" x14ac:dyDescent="0.2">
      <c r="A111" s="97">
        <v>28</v>
      </c>
      <c r="B111" s="99" t="s">
        <v>334</v>
      </c>
      <c r="C111" s="31">
        <v>45</v>
      </c>
      <c r="G111" s="70"/>
    </row>
    <row r="112" spans="1:14" x14ac:dyDescent="0.2">
      <c r="A112" s="97">
        <v>29</v>
      </c>
      <c r="B112" s="99" t="s">
        <v>335</v>
      </c>
      <c r="C112" s="31">
        <v>1600</v>
      </c>
      <c r="E112" s="101"/>
    </row>
    <row r="113" spans="1:8" x14ac:dyDescent="0.2">
      <c r="A113" s="97">
        <v>30</v>
      </c>
      <c r="B113" s="90" t="s">
        <v>336</v>
      </c>
      <c r="C113" s="96">
        <v>50</v>
      </c>
      <c r="E113" s="44"/>
      <c r="F113" s="44"/>
    </row>
    <row r="114" spans="1:8" x14ac:dyDescent="0.2">
      <c r="A114" s="97">
        <v>31</v>
      </c>
      <c r="B114" s="90" t="s">
        <v>760</v>
      </c>
      <c r="C114" s="96">
        <f>8+C115</f>
        <v>233</v>
      </c>
      <c r="E114" s="4"/>
    </row>
    <row r="115" spans="1:8" x14ac:dyDescent="0.2">
      <c r="A115" s="97" t="s">
        <v>627</v>
      </c>
      <c r="B115" s="99" t="s">
        <v>759</v>
      </c>
      <c r="C115" s="31">
        <v>225</v>
      </c>
      <c r="E115" s="4"/>
    </row>
    <row r="116" spans="1:8" x14ac:dyDescent="0.2">
      <c r="A116" s="97">
        <v>32</v>
      </c>
      <c r="B116" s="90" t="s">
        <v>337</v>
      </c>
      <c r="C116" s="96">
        <v>101</v>
      </c>
    </row>
    <row r="117" spans="1:8" x14ac:dyDescent="0.2">
      <c r="A117" s="276">
        <v>33</v>
      </c>
      <c r="B117" s="291" t="s">
        <v>419</v>
      </c>
      <c r="C117" s="95">
        <v>85898.9</v>
      </c>
    </row>
    <row r="118" spans="1:8" ht="13.5" x14ac:dyDescent="0.25">
      <c r="A118" s="277"/>
      <c r="B118" s="292"/>
      <c r="C118" s="96">
        <f>+C8+C21+C100</f>
        <v>88833.700000000012</v>
      </c>
      <c r="D118" s="111"/>
      <c r="E118" s="4"/>
      <c r="G118" s="112"/>
      <c r="H118" s="113"/>
    </row>
    <row r="119" spans="1:8" ht="12.6" customHeight="1" x14ac:dyDescent="0.2">
      <c r="A119" s="97">
        <v>34</v>
      </c>
      <c r="B119" s="98" t="s">
        <v>338</v>
      </c>
      <c r="C119" s="93">
        <f>1836.7+426+532+1046</f>
        <v>3840.7</v>
      </c>
      <c r="D119" s="72"/>
      <c r="F119" s="4"/>
    </row>
    <row r="120" spans="1:8" ht="12.6" customHeight="1" x14ac:dyDescent="0.2">
      <c r="A120" s="276">
        <v>35</v>
      </c>
      <c r="B120" s="291" t="s">
        <v>420</v>
      </c>
      <c r="C120" s="119">
        <v>89739.6</v>
      </c>
      <c r="D120" s="72"/>
      <c r="F120" s="4"/>
    </row>
    <row r="121" spans="1:8" ht="12.6" customHeight="1" x14ac:dyDescent="0.2">
      <c r="A121" s="277"/>
      <c r="B121" s="292"/>
      <c r="C121" s="96">
        <f>+C118+C119</f>
        <v>92674.400000000009</v>
      </c>
      <c r="E121" s="4"/>
      <c r="F121" s="4"/>
      <c r="G121" s="4"/>
    </row>
    <row r="122" spans="1:8" ht="12.6" customHeight="1" x14ac:dyDescent="0.2">
      <c r="A122" s="97">
        <v>36</v>
      </c>
      <c r="B122" s="90" t="s">
        <v>625</v>
      </c>
      <c r="C122" s="96">
        <f>+C123+C125+C124+C126+C127+C128+C129+C130+C131</f>
        <v>7372.4</v>
      </c>
      <c r="E122" s="4"/>
      <c r="F122" s="4"/>
      <c r="G122" s="4"/>
    </row>
    <row r="123" spans="1:8" x14ac:dyDescent="0.2">
      <c r="A123" s="97">
        <v>37</v>
      </c>
      <c r="B123" s="99" t="s">
        <v>339</v>
      </c>
      <c r="C123" s="31">
        <v>6100.4</v>
      </c>
      <c r="E123" s="4"/>
      <c r="F123" s="83"/>
      <c r="G123" s="83"/>
      <c r="H123" s="70"/>
    </row>
    <row r="124" spans="1:8" ht="12.6" customHeight="1" x14ac:dyDescent="0.2">
      <c r="A124" s="97">
        <v>38</v>
      </c>
      <c r="B124" s="99" t="s">
        <v>340</v>
      </c>
      <c r="C124" s="31">
        <v>109.5</v>
      </c>
      <c r="E124" s="101"/>
      <c r="F124" s="4"/>
      <c r="G124" s="4"/>
    </row>
    <row r="125" spans="1:8" ht="12.6" customHeight="1" x14ac:dyDescent="0.2">
      <c r="A125" s="97">
        <v>39</v>
      </c>
      <c r="B125" s="99" t="s">
        <v>341</v>
      </c>
      <c r="C125" s="31">
        <v>49.3</v>
      </c>
      <c r="E125" s="101"/>
      <c r="F125" s="4"/>
      <c r="G125" s="4"/>
    </row>
    <row r="126" spans="1:8" ht="12.6" customHeight="1" x14ac:dyDescent="0.2">
      <c r="A126" s="97">
        <v>40</v>
      </c>
      <c r="B126" s="102" t="s">
        <v>342</v>
      </c>
      <c r="C126" s="31">
        <v>193.8</v>
      </c>
      <c r="E126" s="101"/>
      <c r="F126" s="4"/>
      <c r="G126" s="4"/>
    </row>
    <row r="127" spans="1:8" ht="12.6" customHeight="1" x14ac:dyDescent="0.2">
      <c r="A127" s="97">
        <v>41</v>
      </c>
      <c r="B127" s="99" t="s">
        <v>343</v>
      </c>
      <c r="C127" s="31">
        <v>331.2</v>
      </c>
      <c r="G127" s="4"/>
    </row>
    <row r="128" spans="1:8" ht="12.6" customHeight="1" x14ac:dyDescent="0.2">
      <c r="A128" s="97">
        <v>42</v>
      </c>
      <c r="B128" s="99" t="s">
        <v>344</v>
      </c>
      <c r="C128" s="31">
        <v>13</v>
      </c>
      <c r="E128" s="101"/>
      <c r="F128" s="4"/>
      <c r="G128" s="4"/>
    </row>
    <row r="129" spans="1:11" ht="12.6" customHeight="1" x14ac:dyDescent="0.2">
      <c r="A129" s="97">
        <v>43</v>
      </c>
      <c r="B129" s="99" t="s">
        <v>345</v>
      </c>
      <c r="C129" s="31">
        <f>+(224.1+69.8-57.3)+(295.8+10.2-181)</f>
        <v>361.59999999999997</v>
      </c>
      <c r="E129" s="114"/>
      <c r="F129" s="4"/>
      <c r="G129" s="4"/>
    </row>
    <row r="130" spans="1:11" ht="12.6" customHeight="1" x14ac:dyDescent="0.2">
      <c r="A130" s="97">
        <v>44</v>
      </c>
      <c r="B130" s="105" t="s">
        <v>308</v>
      </c>
      <c r="C130" s="31">
        <v>213.2</v>
      </c>
      <c r="E130" s="101"/>
      <c r="F130" s="101"/>
      <c r="G130" s="4"/>
      <c r="K130" s="70"/>
    </row>
    <row r="131" spans="1:11" ht="12.6" customHeight="1" x14ac:dyDescent="0.2">
      <c r="A131" s="97">
        <v>45</v>
      </c>
      <c r="B131" s="105" t="s">
        <v>346</v>
      </c>
      <c r="C131" s="31">
        <v>0.4</v>
      </c>
      <c r="E131" s="101"/>
      <c r="F131" s="101"/>
      <c r="G131" s="4"/>
    </row>
    <row r="132" spans="1:11" ht="12.6" customHeight="1" x14ac:dyDescent="0.2">
      <c r="A132" s="276">
        <v>46</v>
      </c>
      <c r="B132" s="291" t="s">
        <v>347</v>
      </c>
      <c r="C132" s="95">
        <v>97112</v>
      </c>
      <c r="E132" s="101"/>
      <c r="F132" s="101"/>
      <c r="G132" s="4"/>
    </row>
    <row r="133" spans="1:11" ht="12.6" customHeight="1" x14ac:dyDescent="0.2">
      <c r="A133" s="277"/>
      <c r="B133" s="292"/>
      <c r="C133" s="115">
        <f>+C121+C122</f>
        <v>100046.8</v>
      </c>
      <c r="D133" s="72">
        <f>SUM(D6:D131)</f>
        <v>2934.8000000000006</v>
      </c>
      <c r="E133" s="71"/>
      <c r="F133" s="70"/>
      <c r="G133" s="70"/>
    </row>
    <row r="134" spans="1:11" ht="12.6" customHeight="1" x14ac:dyDescent="0.2">
      <c r="A134" s="86"/>
      <c r="B134" s="116" t="s">
        <v>348</v>
      </c>
      <c r="C134" s="117"/>
    </row>
    <row r="135" spans="1:11" ht="12.6" customHeight="1" x14ac:dyDescent="0.2">
      <c r="A135" s="86"/>
      <c r="B135" s="116"/>
      <c r="C135" s="72"/>
    </row>
    <row r="136" spans="1:11" ht="12.6" customHeight="1" x14ac:dyDescent="0.2">
      <c r="A136" s="86"/>
      <c r="B136" s="116"/>
      <c r="C136" s="72"/>
    </row>
    <row r="137" spans="1:11" x14ac:dyDescent="0.2">
      <c r="B137" s="45"/>
      <c r="G137" s="70"/>
    </row>
    <row r="138" spans="1:11" x14ac:dyDescent="0.2">
      <c r="B138" s="45"/>
      <c r="C138" s="72"/>
      <c r="G138" s="70"/>
    </row>
    <row r="139" spans="1:11" x14ac:dyDescent="0.2">
      <c r="B139" s="45"/>
      <c r="C139" s="72"/>
      <c r="G139" s="70"/>
    </row>
    <row r="140" spans="1:11" x14ac:dyDescent="0.2">
      <c r="B140" s="45"/>
      <c r="C140" s="72"/>
      <c r="G140" s="70"/>
    </row>
    <row r="141" spans="1:11" x14ac:dyDescent="0.2">
      <c r="B141" s="45"/>
      <c r="C141" s="70"/>
      <c r="D141" s="72"/>
      <c r="F141" s="4"/>
      <c r="G141" s="70"/>
    </row>
    <row r="142" spans="1:11" x14ac:dyDescent="0.2">
      <c r="B142" s="45"/>
      <c r="C142" s="72"/>
    </row>
    <row r="143" spans="1:11" x14ac:dyDescent="0.2">
      <c r="B143" s="45"/>
      <c r="C143" s="72"/>
      <c r="D143" s="288"/>
    </row>
    <row r="144" spans="1:11" x14ac:dyDescent="0.2">
      <c r="B144" s="45"/>
      <c r="C144" s="72"/>
      <c r="D144" s="288"/>
    </row>
    <row r="145" spans="2:7" ht="15.75" x14ac:dyDescent="0.25">
      <c r="B145" s="51"/>
      <c r="C145" s="118"/>
      <c r="G145" s="70"/>
    </row>
    <row r="151" spans="2:7" x14ac:dyDescent="0.2">
      <c r="G151" s="70"/>
    </row>
    <row r="153" spans="2:7" ht="12" customHeight="1" x14ac:dyDescent="0.2"/>
    <row r="154" spans="2:7" ht="12" customHeight="1" x14ac:dyDescent="0.2"/>
    <row r="155" spans="2:7" ht="12" customHeight="1" x14ac:dyDescent="0.2"/>
    <row r="156" spans="2:7" ht="12" customHeight="1" x14ac:dyDescent="0.2"/>
    <row r="157" spans="2:7" ht="12" customHeight="1" x14ac:dyDescent="0.2"/>
    <row r="158" spans="2:7" ht="12" customHeight="1" x14ac:dyDescent="0.2"/>
    <row r="159" spans="2:7" ht="12" customHeight="1" x14ac:dyDescent="0.2"/>
    <row r="160" spans="2:7" ht="12" customHeight="1" x14ac:dyDescent="0.2"/>
    <row r="161" spans="5:5" x14ac:dyDescent="0.2">
      <c r="E161" s="104"/>
    </row>
  </sheetData>
  <mergeCells count="43">
    <mergeCell ref="D143:D144"/>
    <mergeCell ref="A2:C2"/>
    <mergeCell ref="B1:C1"/>
    <mergeCell ref="B9:B10"/>
    <mergeCell ref="B18:B19"/>
    <mergeCell ref="A9:A10"/>
    <mergeCell ref="A18:A19"/>
    <mergeCell ref="A24:A25"/>
    <mergeCell ref="B24:B25"/>
    <mergeCell ref="A117:A118"/>
    <mergeCell ref="B117:B118"/>
    <mergeCell ref="A120:A121"/>
    <mergeCell ref="B120:B121"/>
    <mergeCell ref="A132:A133"/>
    <mergeCell ref="B132:B133"/>
    <mergeCell ref="A90:A91"/>
    <mergeCell ref="B90:B91"/>
    <mergeCell ref="A92:A93"/>
    <mergeCell ref="B92:B93"/>
    <mergeCell ref="A35:A36"/>
    <mergeCell ref="B35:B36"/>
    <mergeCell ref="A63:A64"/>
    <mergeCell ref="B63:B64"/>
    <mergeCell ref="A68:A69"/>
    <mergeCell ref="B68:B69"/>
    <mergeCell ref="A58:A59"/>
    <mergeCell ref="B58:B59"/>
    <mergeCell ref="A97:A98"/>
    <mergeCell ref="B97:B98"/>
    <mergeCell ref="A7:A8"/>
    <mergeCell ref="B7:B8"/>
    <mergeCell ref="A16:A17"/>
    <mergeCell ref="B16:B17"/>
    <mergeCell ref="A20:A21"/>
    <mergeCell ref="B20:B21"/>
    <mergeCell ref="A22:A23"/>
    <mergeCell ref="B22:B23"/>
    <mergeCell ref="A27:A28"/>
    <mergeCell ref="B27:B28"/>
    <mergeCell ref="A29:A30"/>
    <mergeCell ref="B29:B30"/>
    <mergeCell ref="A88:A89"/>
    <mergeCell ref="B88:B89"/>
  </mergeCells>
  <phoneticPr fontId="13" type="noConversion"/>
  <pageMargins left="0.31496062992125984" right="0" top="0.35433070866141736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44"/>
  <sheetViews>
    <sheetView zoomScaleNormal="100" workbookViewId="0">
      <selection activeCell="L21" sqref="L21"/>
    </sheetView>
  </sheetViews>
  <sheetFormatPr defaultColWidth="9.140625" defaultRowHeight="12.75" x14ac:dyDescent="0.2"/>
  <cols>
    <col min="1" max="1" width="5.42578125" style="45" customWidth="1"/>
    <col min="2" max="2" width="7.140625" style="2" customWidth="1"/>
    <col min="3" max="3" width="48.7109375" style="2" customWidth="1"/>
    <col min="4" max="4" width="10.140625" style="74" customWidth="1"/>
    <col min="5" max="5" width="10.140625" style="2" customWidth="1"/>
    <col min="6" max="6" width="10.85546875" style="2" customWidth="1"/>
    <col min="7" max="16384" width="9.140625" style="2"/>
  </cols>
  <sheetData>
    <row r="1" spans="1:12" ht="15.75" x14ac:dyDescent="0.25">
      <c r="C1" s="290" t="s">
        <v>998</v>
      </c>
      <c r="D1" s="290"/>
      <c r="E1" s="290"/>
      <c r="F1" s="290"/>
    </row>
    <row r="2" spans="1:12" ht="15.75" x14ac:dyDescent="0.25">
      <c r="B2" s="7"/>
      <c r="C2" s="43"/>
      <c r="D2" s="43"/>
      <c r="E2" s="373" t="s">
        <v>436</v>
      </c>
      <c r="F2" s="373"/>
    </row>
    <row r="3" spans="1:12" ht="15.75" x14ac:dyDescent="0.25">
      <c r="B3" s="7"/>
      <c r="E3" s="43"/>
      <c r="F3" s="43"/>
    </row>
    <row r="4" spans="1:12" ht="26.45" customHeight="1" x14ac:dyDescent="0.2">
      <c r="A4" s="374" t="s">
        <v>704</v>
      </c>
      <c r="B4" s="374"/>
      <c r="C4" s="374"/>
      <c r="D4" s="374"/>
      <c r="E4" s="374"/>
      <c r="F4" s="374"/>
    </row>
    <row r="5" spans="1:12" x14ac:dyDescent="0.2">
      <c r="A5" s="137"/>
      <c r="B5" s="29"/>
      <c r="C5" s="29"/>
      <c r="D5" s="29"/>
      <c r="E5" s="29"/>
      <c r="F5" s="29"/>
    </row>
    <row r="6" spans="1:12" x14ac:dyDescent="0.2">
      <c r="B6" s="7"/>
      <c r="E6" s="45"/>
      <c r="F6" s="42" t="s">
        <v>129</v>
      </c>
    </row>
    <row r="7" spans="1:12" ht="38.25" x14ac:dyDescent="0.2">
      <c r="A7" s="8" t="s">
        <v>118</v>
      </c>
      <c r="B7" s="9" t="s">
        <v>356</v>
      </c>
      <c r="C7" s="8" t="s">
        <v>16</v>
      </c>
      <c r="D7" s="9" t="s">
        <v>55</v>
      </c>
      <c r="E7" s="8" t="s">
        <v>17</v>
      </c>
      <c r="F7" s="8" t="s">
        <v>29</v>
      </c>
    </row>
    <row r="8" spans="1:12" x14ac:dyDescent="0.2">
      <c r="A8" s="10">
        <v>1</v>
      </c>
      <c r="B8" s="11" t="s">
        <v>18</v>
      </c>
      <c r="C8" s="8">
        <v>3</v>
      </c>
      <c r="D8" s="9">
        <v>4</v>
      </c>
      <c r="E8" s="8">
        <v>5</v>
      </c>
      <c r="F8" s="8">
        <v>6</v>
      </c>
    </row>
    <row r="9" spans="1:12" x14ac:dyDescent="0.2">
      <c r="A9" s="386">
        <v>1</v>
      </c>
      <c r="B9" s="314" t="s">
        <v>56</v>
      </c>
      <c r="C9" s="363" t="s">
        <v>57</v>
      </c>
      <c r="D9" s="365"/>
      <c r="E9" s="124">
        <v>1318</v>
      </c>
      <c r="F9" s="8"/>
    </row>
    <row r="10" spans="1:12" x14ac:dyDescent="0.2">
      <c r="A10" s="387"/>
      <c r="B10" s="315"/>
      <c r="C10" s="364"/>
      <c r="D10" s="366"/>
      <c r="E10" s="76">
        <f>+E12</f>
        <v>1368</v>
      </c>
      <c r="F10" s="76">
        <f>+F12</f>
        <v>0</v>
      </c>
    </row>
    <row r="11" spans="1:12" x14ac:dyDescent="0.2">
      <c r="A11" s="386">
        <v>2</v>
      </c>
      <c r="B11" s="314"/>
      <c r="C11" s="361" t="s">
        <v>180</v>
      </c>
      <c r="D11" s="365"/>
      <c r="E11" s="123">
        <v>1318</v>
      </c>
      <c r="F11" s="76"/>
    </row>
    <row r="12" spans="1:12" x14ac:dyDescent="0.2">
      <c r="A12" s="387"/>
      <c r="B12" s="315"/>
      <c r="C12" s="362"/>
      <c r="D12" s="366"/>
      <c r="E12" s="131">
        <f>+E14+E16</f>
        <v>1368</v>
      </c>
      <c r="F12" s="77">
        <f>+F14+F16</f>
        <v>0</v>
      </c>
      <c r="K12" s="4"/>
      <c r="L12" s="236"/>
    </row>
    <row r="13" spans="1:12" x14ac:dyDescent="0.2">
      <c r="A13" s="305" t="s">
        <v>693</v>
      </c>
      <c r="B13" s="314"/>
      <c r="C13" s="361" t="s">
        <v>770</v>
      </c>
      <c r="D13" s="316" t="s">
        <v>155</v>
      </c>
      <c r="E13" s="237">
        <v>360</v>
      </c>
      <c r="F13" s="77"/>
      <c r="K13" s="4"/>
      <c r="L13" s="236"/>
    </row>
    <row r="14" spans="1:12" x14ac:dyDescent="0.2">
      <c r="A14" s="306"/>
      <c r="B14" s="315"/>
      <c r="C14" s="362"/>
      <c r="D14" s="317"/>
      <c r="E14" s="271">
        <f>260+100-100</f>
        <v>260</v>
      </c>
      <c r="F14" s="77"/>
      <c r="K14" s="4"/>
      <c r="L14" s="236"/>
    </row>
    <row r="15" spans="1:12" x14ac:dyDescent="0.2">
      <c r="A15" s="305" t="s">
        <v>694</v>
      </c>
      <c r="B15" s="388"/>
      <c r="C15" s="361" t="s">
        <v>703</v>
      </c>
      <c r="D15" s="307" t="s">
        <v>154</v>
      </c>
      <c r="E15" s="237">
        <v>958</v>
      </c>
      <c r="F15" s="77"/>
      <c r="K15" s="4"/>
      <c r="L15" s="236"/>
    </row>
    <row r="16" spans="1:12" ht="28.5" customHeight="1" x14ac:dyDescent="0.2">
      <c r="A16" s="306"/>
      <c r="B16" s="389"/>
      <c r="C16" s="362"/>
      <c r="D16" s="308"/>
      <c r="E16" s="272">
        <f>958+100+50</f>
        <v>1108</v>
      </c>
      <c r="F16" s="77"/>
      <c r="G16" s="2">
        <v>50</v>
      </c>
      <c r="K16" s="4"/>
      <c r="L16" s="236"/>
    </row>
    <row r="17" spans="1:12" ht="16.5" customHeight="1" x14ac:dyDescent="0.2">
      <c r="A17" s="386">
        <v>3</v>
      </c>
      <c r="B17" s="314" t="s">
        <v>76</v>
      </c>
      <c r="C17" s="320" t="s">
        <v>193</v>
      </c>
      <c r="D17" s="307"/>
      <c r="E17" s="238">
        <v>50</v>
      </c>
      <c r="F17" s="77"/>
      <c r="K17" s="4"/>
      <c r="L17" s="236"/>
    </row>
    <row r="18" spans="1:12" x14ac:dyDescent="0.2">
      <c r="A18" s="387"/>
      <c r="B18" s="315"/>
      <c r="C18" s="321"/>
      <c r="D18" s="308"/>
      <c r="E18" s="35">
        <f>+E20</f>
        <v>0</v>
      </c>
      <c r="F18" s="35">
        <f>+F20</f>
        <v>0</v>
      </c>
      <c r="K18" s="4"/>
      <c r="L18" s="236"/>
    </row>
    <row r="19" spans="1:12" x14ac:dyDescent="0.2">
      <c r="A19" s="386">
        <v>4</v>
      </c>
      <c r="B19" s="314"/>
      <c r="C19" s="303" t="s">
        <v>180</v>
      </c>
      <c r="D19" s="307"/>
      <c r="E19" s="127">
        <v>50</v>
      </c>
      <c r="F19" s="35"/>
      <c r="K19" s="4"/>
      <c r="L19" s="236"/>
    </row>
    <row r="20" spans="1:12" x14ac:dyDescent="0.2">
      <c r="A20" s="387"/>
      <c r="B20" s="315"/>
      <c r="C20" s="304"/>
      <c r="D20" s="308"/>
      <c r="E20" s="96">
        <f>+E22</f>
        <v>0</v>
      </c>
      <c r="F20" s="31">
        <f>+F22</f>
        <v>0</v>
      </c>
      <c r="K20" s="4"/>
      <c r="L20" s="236"/>
    </row>
    <row r="21" spans="1:12" x14ac:dyDescent="0.2">
      <c r="A21" s="305" t="s">
        <v>698</v>
      </c>
      <c r="B21" s="314"/>
      <c r="C21" s="361" t="s">
        <v>770</v>
      </c>
      <c r="D21" s="316" t="s">
        <v>155</v>
      </c>
      <c r="E21" s="100">
        <v>50</v>
      </c>
      <c r="F21" s="31"/>
      <c r="K21" s="4"/>
      <c r="L21" s="236"/>
    </row>
    <row r="22" spans="1:12" x14ac:dyDescent="0.2">
      <c r="A22" s="306"/>
      <c r="B22" s="315"/>
      <c r="C22" s="362"/>
      <c r="D22" s="317"/>
      <c r="E22" s="273">
        <f>50-50</f>
        <v>0</v>
      </c>
      <c r="F22" s="26"/>
      <c r="G22" s="2">
        <v>-50</v>
      </c>
      <c r="K22" s="4"/>
      <c r="L22" s="236"/>
    </row>
    <row r="23" spans="1:12" x14ac:dyDescent="0.2">
      <c r="A23" s="75">
        <v>5</v>
      </c>
      <c r="B23" s="11" t="s">
        <v>78</v>
      </c>
      <c r="C23" s="17" t="s">
        <v>79</v>
      </c>
      <c r="D23" s="1"/>
      <c r="E23" s="35">
        <f>+E24</f>
        <v>276</v>
      </c>
      <c r="F23" s="35">
        <f>+F24</f>
        <v>0</v>
      </c>
      <c r="K23" s="4"/>
      <c r="L23" s="236"/>
    </row>
    <row r="24" spans="1:12" x14ac:dyDescent="0.2">
      <c r="A24" s="75">
        <v>6</v>
      </c>
      <c r="B24" s="11"/>
      <c r="C24" s="48" t="s">
        <v>180</v>
      </c>
      <c r="D24" s="1"/>
      <c r="E24" s="31">
        <f>+E25</f>
        <v>276</v>
      </c>
      <c r="F24" s="31">
        <f>+F25</f>
        <v>0</v>
      </c>
      <c r="K24" s="4"/>
      <c r="L24" s="236"/>
    </row>
    <row r="25" spans="1:12" x14ac:dyDescent="0.2">
      <c r="A25" s="12" t="s">
        <v>422</v>
      </c>
      <c r="B25" s="1"/>
      <c r="C25" s="47" t="s">
        <v>770</v>
      </c>
      <c r="D25" s="14" t="s">
        <v>155</v>
      </c>
      <c r="E25" s="78">
        <f>170+106</f>
        <v>276</v>
      </c>
      <c r="F25" s="26"/>
      <c r="K25" s="4"/>
      <c r="L25" s="236"/>
    </row>
    <row r="26" spans="1:12" x14ac:dyDescent="0.2">
      <c r="A26" s="75">
        <v>7</v>
      </c>
      <c r="B26" s="11" t="s">
        <v>84</v>
      </c>
      <c r="C26" s="49" t="s">
        <v>85</v>
      </c>
      <c r="D26" s="1"/>
      <c r="E26" s="35">
        <f>+E27</f>
        <v>360</v>
      </c>
      <c r="F26" s="35">
        <f>+F27</f>
        <v>0</v>
      </c>
      <c r="K26" s="4"/>
      <c r="L26" s="236"/>
    </row>
    <row r="27" spans="1:12" x14ac:dyDescent="0.2">
      <c r="A27" s="75">
        <v>8</v>
      </c>
      <c r="B27" s="1"/>
      <c r="C27" s="48" t="s">
        <v>180</v>
      </c>
      <c r="D27" s="1"/>
      <c r="E27" s="31">
        <f>+E28</f>
        <v>360</v>
      </c>
      <c r="F27" s="31">
        <f>+F28</f>
        <v>0</v>
      </c>
      <c r="K27" s="4"/>
      <c r="L27" s="236"/>
    </row>
    <row r="28" spans="1:12" x14ac:dyDescent="0.2">
      <c r="A28" s="12" t="s">
        <v>699</v>
      </c>
      <c r="B28" s="11"/>
      <c r="C28" s="47" t="s">
        <v>770</v>
      </c>
      <c r="D28" s="14" t="s">
        <v>155</v>
      </c>
      <c r="E28" s="31">
        <v>360</v>
      </c>
      <c r="F28" s="31"/>
      <c r="K28" s="4"/>
      <c r="L28" s="236"/>
    </row>
    <row r="29" spans="1:12" x14ac:dyDescent="0.2">
      <c r="A29" s="75">
        <v>9</v>
      </c>
      <c r="B29" s="1"/>
      <c r="C29" s="79" t="s">
        <v>20</v>
      </c>
      <c r="D29" s="1"/>
      <c r="E29" s="25">
        <f>+E10+E18+E23+E26</f>
        <v>2004</v>
      </c>
      <c r="F29" s="25">
        <f>+F10+F18+F23+F26</f>
        <v>0</v>
      </c>
      <c r="G29" s="4"/>
      <c r="H29" s="4"/>
    </row>
    <row r="30" spans="1:12" x14ac:dyDescent="0.2">
      <c r="C30" s="2" t="s">
        <v>108</v>
      </c>
      <c r="E30" s="4"/>
      <c r="F30" s="4"/>
    </row>
    <row r="31" spans="1:12" x14ac:dyDescent="0.2">
      <c r="D31" s="2"/>
      <c r="E31" s="4"/>
      <c r="F31" s="4"/>
    </row>
    <row r="32" spans="1:12" x14ac:dyDescent="0.2">
      <c r="D32" s="2"/>
      <c r="E32" s="50"/>
      <c r="F32" s="50"/>
    </row>
    <row r="33" spans="3:6" x14ac:dyDescent="0.2">
      <c r="E33" s="50"/>
      <c r="F33" s="50"/>
    </row>
    <row r="34" spans="3:6" x14ac:dyDescent="0.2">
      <c r="E34" s="4"/>
      <c r="F34" s="4"/>
    </row>
    <row r="35" spans="3:6" x14ac:dyDescent="0.2">
      <c r="E35" s="50"/>
    </row>
    <row r="36" spans="3:6" x14ac:dyDescent="0.2">
      <c r="E36" s="4"/>
      <c r="F36" s="4"/>
    </row>
    <row r="37" spans="3:6" x14ac:dyDescent="0.2">
      <c r="C37" s="45"/>
      <c r="D37" s="45"/>
      <c r="E37" s="4"/>
      <c r="F37" s="4"/>
    </row>
    <row r="38" spans="3:6" x14ac:dyDescent="0.2">
      <c r="C38" s="45"/>
      <c r="D38" s="45"/>
      <c r="E38" s="4"/>
      <c r="F38" s="4"/>
    </row>
    <row r="39" spans="3:6" x14ac:dyDescent="0.2">
      <c r="E39" s="4"/>
      <c r="F39" s="4"/>
    </row>
    <row r="40" spans="3:6" x14ac:dyDescent="0.2">
      <c r="E40" s="4"/>
      <c r="F40" s="4"/>
    </row>
    <row r="42" spans="3:6" x14ac:dyDescent="0.2">
      <c r="E42" s="4"/>
      <c r="F42" s="4"/>
    </row>
    <row r="44" spans="3:6" x14ac:dyDescent="0.2">
      <c r="E44" s="4"/>
      <c r="F44" s="4"/>
    </row>
  </sheetData>
  <mergeCells count="31">
    <mergeCell ref="C1:F1"/>
    <mergeCell ref="E2:F2"/>
    <mergeCell ref="A4:F4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19:A20"/>
    <mergeCell ref="B19:B20"/>
    <mergeCell ref="C19:C20"/>
    <mergeCell ref="D19:D20"/>
    <mergeCell ref="A21:A22"/>
    <mergeCell ref="B21:B22"/>
    <mergeCell ref="C21:C22"/>
    <mergeCell ref="D21:D22"/>
  </mergeCells>
  <phoneticPr fontId="5" type="noConversion"/>
  <pageMargins left="0.70866141732283472" right="0" top="0.74803149606299213" bottom="0.74803149606299213" header="0.31496062992125984" footer="0.31496062992125984"/>
  <pageSetup paperSize="9" scale="94" orientation="portrait" blackAndWhite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26"/>
  <sheetViews>
    <sheetView topLeftCell="A40" zoomScale="90" zoomScaleNormal="90" workbookViewId="0">
      <selection activeCell="M64" sqref="M64"/>
    </sheetView>
  </sheetViews>
  <sheetFormatPr defaultColWidth="9.140625" defaultRowHeight="15.75" x14ac:dyDescent="0.25"/>
  <cols>
    <col min="1" max="1" width="5.85546875" style="51" customWidth="1"/>
    <col min="2" max="2" width="10.140625" style="38" customWidth="1"/>
    <col min="3" max="3" width="65.140625" style="38" customWidth="1"/>
    <col min="4" max="4" width="13.5703125" style="242" customWidth="1"/>
    <col min="5" max="5" width="9.140625" style="51"/>
    <col min="6" max="6" width="11.85546875" style="51" bestFit="1" customWidth="1"/>
    <col min="7" max="16384" width="9.140625" style="51"/>
  </cols>
  <sheetData>
    <row r="1" spans="1:5" x14ac:dyDescent="0.25">
      <c r="A1" s="73"/>
      <c r="B1" s="73"/>
      <c r="C1" s="400" t="s">
        <v>998</v>
      </c>
      <c r="D1" s="400"/>
      <c r="E1" s="73"/>
    </row>
    <row r="2" spans="1:5" x14ac:dyDescent="0.25">
      <c r="A2" s="73"/>
      <c r="B2" s="73"/>
      <c r="C2" s="297" t="s">
        <v>437</v>
      </c>
      <c r="D2" s="297"/>
      <c r="E2" s="73"/>
    </row>
    <row r="3" spans="1:5" x14ac:dyDescent="0.25">
      <c r="A3" s="73"/>
      <c r="B3" s="73"/>
      <c r="C3" s="33"/>
      <c r="D3" s="33"/>
      <c r="E3" s="73"/>
    </row>
    <row r="4" spans="1:5" s="2" customFormat="1" ht="12" customHeight="1" x14ac:dyDescent="0.2">
      <c r="A4" s="398" t="s">
        <v>438</v>
      </c>
      <c r="B4" s="398"/>
      <c r="C4" s="398"/>
      <c r="D4" s="398"/>
    </row>
    <row r="5" spans="1:5" s="2" customFormat="1" ht="12.75" customHeight="1" x14ac:dyDescent="0.2">
      <c r="A5" s="399" t="s">
        <v>568</v>
      </c>
      <c r="B5" s="399"/>
      <c r="C5" s="399"/>
      <c r="D5" s="399"/>
    </row>
    <row r="6" spans="1:5" ht="11.25" customHeight="1" x14ac:dyDescent="0.25">
      <c r="A6" s="239"/>
      <c r="B6" s="73"/>
      <c r="C6" s="73"/>
      <c r="D6" s="73"/>
      <c r="E6" s="239"/>
    </row>
    <row r="7" spans="1:5" s="80" customFormat="1" ht="12.75" x14ac:dyDescent="0.2">
      <c r="A7" s="2"/>
      <c r="B7" s="240" t="s">
        <v>439</v>
      </c>
      <c r="C7" s="3"/>
      <c r="D7" s="37"/>
    </row>
    <row r="8" spans="1:5" s="2" customFormat="1" ht="12.6" customHeight="1" x14ac:dyDescent="0.2">
      <c r="B8" s="240" t="s">
        <v>440</v>
      </c>
      <c r="C8" s="3"/>
      <c r="D8" s="37"/>
    </row>
    <row r="9" spans="1:5" s="2" customFormat="1" ht="16.5" customHeight="1" x14ac:dyDescent="0.25">
      <c r="A9" s="51"/>
      <c r="B9" s="241"/>
      <c r="C9" s="38"/>
      <c r="D9" s="242"/>
    </row>
    <row r="10" spans="1:5" s="2" customFormat="1" ht="25.5" x14ac:dyDescent="0.2">
      <c r="A10" s="80"/>
      <c r="B10" s="243" t="s">
        <v>0</v>
      </c>
      <c r="C10" s="243" t="s">
        <v>441</v>
      </c>
      <c r="D10" s="244" t="s">
        <v>442</v>
      </c>
    </row>
    <row r="11" spans="1:5" s="2" customFormat="1" ht="12.75" x14ac:dyDescent="0.2">
      <c r="A11" s="80"/>
      <c r="B11" s="303" t="s">
        <v>443</v>
      </c>
      <c r="C11" s="303" t="s">
        <v>444</v>
      </c>
      <c r="D11" s="245">
        <v>250</v>
      </c>
    </row>
    <row r="12" spans="1:5" s="2" customFormat="1" ht="12.6" customHeight="1" x14ac:dyDescent="0.2">
      <c r="B12" s="304"/>
      <c r="C12" s="304"/>
      <c r="D12" s="247">
        <f>250+82.8</f>
        <v>332.8</v>
      </c>
      <c r="E12" s="2">
        <v>82.8</v>
      </c>
    </row>
    <row r="13" spans="1:5" s="80" customFormat="1" ht="12.6" customHeight="1" x14ac:dyDescent="0.2">
      <c r="A13" s="2"/>
      <c r="B13" s="16" t="s">
        <v>445</v>
      </c>
      <c r="C13" s="16" t="s">
        <v>183</v>
      </c>
      <c r="D13" s="34">
        <v>50</v>
      </c>
    </row>
    <row r="14" spans="1:5" s="2" customFormat="1" ht="12.6" hidden="1" customHeight="1" x14ac:dyDescent="0.2">
      <c r="B14" s="16" t="s">
        <v>446</v>
      </c>
      <c r="C14" s="16" t="s">
        <v>447</v>
      </c>
      <c r="D14" s="34">
        <v>0</v>
      </c>
    </row>
    <row r="15" spans="1:5" s="2" customFormat="1" ht="12.6" hidden="1" customHeight="1" x14ac:dyDescent="0.2">
      <c r="B15" s="16" t="s">
        <v>448</v>
      </c>
      <c r="C15" s="16" t="s">
        <v>449</v>
      </c>
      <c r="D15" s="34">
        <v>0</v>
      </c>
    </row>
    <row r="16" spans="1:5" s="2" customFormat="1" ht="12.6" customHeight="1" x14ac:dyDescent="0.2">
      <c r="B16" s="371" t="s">
        <v>446</v>
      </c>
      <c r="C16" s="371" t="s">
        <v>740</v>
      </c>
      <c r="D16" s="246">
        <v>300</v>
      </c>
    </row>
    <row r="17" spans="1:7" s="80" customFormat="1" ht="12.6" customHeight="1" x14ac:dyDescent="0.2">
      <c r="B17" s="372"/>
      <c r="C17" s="372"/>
      <c r="D17" s="247">
        <f>+D12+D13</f>
        <v>382.8</v>
      </c>
    </row>
    <row r="18" spans="1:7" s="80" customFormat="1" ht="12.6" customHeight="1" x14ac:dyDescent="0.2">
      <c r="A18" s="2"/>
      <c r="B18" s="16" t="s">
        <v>448</v>
      </c>
      <c r="C18" s="16" t="s">
        <v>452</v>
      </c>
      <c r="D18" s="34">
        <v>50</v>
      </c>
      <c r="F18" s="72"/>
    </row>
    <row r="19" spans="1:7" s="2" customFormat="1" ht="12.75" x14ac:dyDescent="0.2">
      <c r="B19" s="16" t="s">
        <v>450</v>
      </c>
      <c r="C19" s="16" t="s">
        <v>454</v>
      </c>
      <c r="D19" s="34">
        <v>32.700000000000003</v>
      </c>
      <c r="F19" s="70"/>
    </row>
    <row r="20" spans="1:7" s="80" customFormat="1" ht="12.75" x14ac:dyDescent="0.2">
      <c r="B20" s="243" t="s">
        <v>451</v>
      </c>
      <c r="C20" s="243" t="s">
        <v>741</v>
      </c>
      <c r="D20" s="247">
        <f>+D18+D19</f>
        <v>82.7</v>
      </c>
      <c r="E20" s="71"/>
      <c r="F20" s="72"/>
    </row>
    <row r="21" spans="1:7" s="80" customFormat="1" ht="12.75" x14ac:dyDescent="0.2">
      <c r="B21" s="371" t="s">
        <v>453</v>
      </c>
      <c r="C21" s="371" t="s">
        <v>742</v>
      </c>
      <c r="D21" s="246">
        <v>382.7</v>
      </c>
      <c r="E21" s="71"/>
      <c r="F21" s="72"/>
    </row>
    <row r="22" spans="1:7" s="2" customFormat="1" ht="12.75" x14ac:dyDescent="0.2">
      <c r="A22" s="80"/>
      <c r="B22" s="372"/>
      <c r="C22" s="372"/>
      <c r="D22" s="247">
        <f>+D17+D20</f>
        <v>465.5</v>
      </c>
      <c r="E22" s="70"/>
      <c r="F22" s="70"/>
    </row>
    <row r="23" spans="1:7" s="2" customFormat="1" ht="16.899999999999999" customHeight="1" x14ac:dyDescent="0.2">
      <c r="B23" s="248"/>
      <c r="C23" s="249"/>
      <c r="D23" s="250"/>
      <c r="E23" s="70"/>
      <c r="F23" s="70"/>
    </row>
    <row r="24" spans="1:7" s="80" customFormat="1" ht="25.5" x14ac:dyDescent="0.2">
      <c r="B24" s="243" t="s">
        <v>0</v>
      </c>
      <c r="C24" s="243" t="s">
        <v>456</v>
      </c>
      <c r="D24" s="244" t="s">
        <v>457</v>
      </c>
    </row>
    <row r="25" spans="1:7" s="80" customFormat="1" ht="12.75" x14ac:dyDescent="0.2">
      <c r="B25" s="303" t="s">
        <v>455</v>
      </c>
      <c r="C25" s="303" t="s">
        <v>459</v>
      </c>
      <c r="D25" s="245">
        <v>60</v>
      </c>
    </row>
    <row r="26" spans="1:7" s="2" customFormat="1" ht="44.25" customHeight="1" x14ac:dyDescent="0.2">
      <c r="B26" s="304"/>
      <c r="C26" s="304"/>
      <c r="D26" s="247">
        <f>60+16.6</f>
        <v>76.599999999999994</v>
      </c>
      <c r="E26" s="2">
        <v>16.600000000000001</v>
      </c>
    </row>
    <row r="27" spans="1:7" s="80" customFormat="1" ht="12.75" x14ac:dyDescent="0.2">
      <c r="A27" s="2"/>
      <c r="B27" s="16" t="s">
        <v>810</v>
      </c>
      <c r="C27" s="16" t="s">
        <v>454</v>
      </c>
      <c r="D27" s="34">
        <v>72.400000000000006</v>
      </c>
    </row>
    <row r="28" spans="1:7" s="80" customFormat="1" ht="12.75" x14ac:dyDescent="0.2">
      <c r="A28" s="2"/>
      <c r="B28" s="371" t="s">
        <v>458</v>
      </c>
      <c r="C28" s="371" t="s">
        <v>811</v>
      </c>
      <c r="D28" s="246">
        <v>132.4</v>
      </c>
    </row>
    <row r="29" spans="1:7" s="2" customFormat="1" ht="12.75" x14ac:dyDescent="0.2">
      <c r="A29" s="80"/>
      <c r="B29" s="372"/>
      <c r="C29" s="372"/>
      <c r="D29" s="247">
        <f>+D26+D27</f>
        <v>149</v>
      </c>
    </row>
    <row r="30" spans="1:7" s="2" customFormat="1" ht="16.149999999999999" customHeight="1" x14ac:dyDescent="0.2">
      <c r="B30" s="248"/>
      <c r="C30" s="249"/>
      <c r="D30" s="250"/>
      <c r="G30" s="70"/>
    </row>
    <row r="31" spans="1:7" s="80" customFormat="1" ht="25.5" x14ac:dyDescent="0.2">
      <c r="B31" s="243" t="s">
        <v>0</v>
      </c>
      <c r="C31" s="243" t="s">
        <v>461</v>
      </c>
      <c r="D31" s="244" t="s">
        <v>457</v>
      </c>
    </row>
    <row r="32" spans="1:7" s="80" customFormat="1" ht="12.75" x14ac:dyDescent="0.2">
      <c r="B32" s="303" t="s">
        <v>460</v>
      </c>
      <c r="C32" s="303" t="s">
        <v>462</v>
      </c>
      <c r="D32" s="245">
        <v>240</v>
      </c>
    </row>
    <row r="33" spans="1:5" s="2" customFormat="1" ht="45" customHeight="1" x14ac:dyDescent="0.2">
      <c r="B33" s="304"/>
      <c r="C33" s="304"/>
      <c r="D33" s="247">
        <f>240+66.2</f>
        <v>306.2</v>
      </c>
      <c r="E33" s="2">
        <v>66.2</v>
      </c>
    </row>
    <row r="34" spans="1:5" s="80" customFormat="1" ht="12.75" x14ac:dyDescent="0.2">
      <c r="A34" s="2"/>
      <c r="B34" s="16" t="s">
        <v>718</v>
      </c>
      <c r="C34" s="16" t="s">
        <v>454</v>
      </c>
      <c r="D34" s="34">
        <v>226.1</v>
      </c>
    </row>
    <row r="35" spans="1:5" s="80" customFormat="1" ht="12.75" x14ac:dyDescent="0.2">
      <c r="A35" s="2"/>
      <c r="B35" s="371" t="s">
        <v>812</v>
      </c>
      <c r="C35" s="371" t="s">
        <v>813</v>
      </c>
      <c r="D35" s="246">
        <v>466.1</v>
      </c>
    </row>
    <row r="36" spans="1:5" s="2" customFormat="1" ht="12.75" x14ac:dyDescent="0.2">
      <c r="A36" s="80"/>
      <c r="B36" s="372"/>
      <c r="C36" s="372"/>
      <c r="D36" s="247">
        <f>+D33+D34</f>
        <v>532.29999999999995</v>
      </c>
    </row>
    <row r="37" spans="1:5" s="2" customFormat="1" ht="16.149999999999999" customHeight="1" x14ac:dyDescent="0.2">
      <c r="B37" s="251"/>
      <c r="C37" s="252"/>
      <c r="D37" s="253"/>
    </row>
    <row r="38" spans="1:5" s="2" customFormat="1" ht="26.1" customHeight="1" x14ac:dyDescent="0.2">
      <c r="A38" s="80"/>
      <c r="B38" s="243" t="s">
        <v>0</v>
      </c>
      <c r="C38" s="243" t="s">
        <v>463</v>
      </c>
      <c r="D38" s="244" t="s">
        <v>457</v>
      </c>
    </row>
    <row r="39" spans="1:5" s="2" customFormat="1" ht="38.25" x14ac:dyDescent="0.2">
      <c r="B39" s="16" t="s">
        <v>464</v>
      </c>
      <c r="C39" s="16" t="s">
        <v>465</v>
      </c>
      <c r="D39" s="34">
        <f>+D40+D41</f>
        <v>82.2</v>
      </c>
    </row>
    <row r="40" spans="1:5" s="2" customFormat="1" ht="38.25" x14ac:dyDescent="0.2">
      <c r="B40" s="16" t="s">
        <v>466</v>
      </c>
      <c r="C40" s="16" t="s">
        <v>467</v>
      </c>
      <c r="D40" s="34">
        <v>81.7</v>
      </c>
    </row>
    <row r="41" spans="1:5" s="2" customFormat="1" ht="25.5" x14ac:dyDescent="0.2">
      <c r="B41" s="16" t="s">
        <v>468</v>
      </c>
      <c r="C41" s="16" t="s">
        <v>469</v>
      </c>
      <c r="D41" s="34">
        <v>0.5</v>
      </c>
    </row>
    <row r="42" spans="1:5" s="2" customFormat="1" ht="38.25" x14ac:dyDescent="0.2">
      <c r="B42" s="16" t="s">
        <v>470</v>
      </c>
      <c r="C42" s="16" t="s">
        <v>471</v>
      </c>
      <c r="D42" s="34">
        <v>0.5</v>
      </c>
    </row>
    <row r="43" spans="1:5" s="2" customFormat="1" ht="12.75" x14ac:dyDescent="0.2">
      <c r="A43" s="80"/>
      <c r="B43" s="243"/>
      <c r="C43" s="243" t="s">
        <v>743</v>
      </c>
      <c r="D43" s="254">
        <f>+D39+D42</f>
        <v>82.7</v>
      </c>
    </row>
    <row r="44" spans="1:5" s="2" customFormat="1" ht="16.5" customHeight="1" x14ac:dyDescent="0.2">
      <c r="A44" s="80"/>
      <c r="B44" s="255"/>
      <c r="C44" s="255"/>
      <c r="D44" s="256"/>
    </row>
    <row r="45" spans="1:5" s="2" customFormat="1" ht="16.149999999999999" customHeight="1" x14ac:dyDescent="0.2">
      <c r="B45" s="397" t="s">
        <v>472</v>
      </c>
      <c r="C45" s="397"/>
      <c r="D45" s="397"/>
    </row>
    <row r="46" spans="1:5" s="2" customFormat="1" ht="25.5" customHeight="1" x14ac:dyDescent="0.2">
      <c r="B46" s="396" t="s">
        <v>473</v>
      </c>
      <c r="C46" s="396"/>
      <c r="D46" s="244" t="s">
        <v>474</v>
      </c>
    </row>
    <row r="47" spans="1:5" s="2" customFormat="1" ht="15" customHeight="1" x14ac:dyDescent="0.2">
      <c r="B47" s="392" t="s">
        <v>475</v>
      </c>
      <c r="C47" s="393"/>
      <c r="D47" s="245">
        <v>132.4</v>
      </c>
    </row>
    <row r="48" spans="1:5" s="2" customFormat="1" ht="12.6" customHeight="1" x14ac:dyDescent="0.2">
      <c r="B48" s="394"/>
      <c r="C48" s="395"/>
      <c r="D48" s="247">
        <f>132.4+16.6</f>
        <v>149</v>
      </c>
      <c r="E48" s="2">
        <v>16.600000000000001</v>
      </c>
    </row>
    <row r="49" spans="2:4" s="2" customFormat="1" ht="12.6" customHeight="1" x14ac:dyDescent="0.2">
      <c r="B49" s="249"/>
      <c r="C49" s="249"/>
      <c r="D49" s="257"/>
    </row>
    <row r="50" spans="2:4" s="2" customFormat="1" ht="12.6" customHeight="1" x14ac:dyDescent="0.2">
      <c r="B50" s="249"/>
      <c r="C50" s="249"/>
      <c r="D50" s="257"/>
    </row>
    <row r="51" spans="2:4" s="2" customFormat="1" ht="12.6" customHeight="1" x14ac:dyDescent="0.2">
      <c r="B51" s="249"/>
      <c r="C51" s="249"/>
      <c r="D51" s="257"/>
    </row>
    <row r="52" spans="2:4" s="2" customFormat="1" ht="12.6" customHeight="1" x14ac:dyDescent="0.2">
      <c r="B52" s="249"/>
      <c r="C52" s="249"/>
      <c r="D52" s="258"/>
    </row>
    <row r="53" spans="2:4" s="2" customFormat="1" ht="12.6" customHeight="1" x14ac:dyDescent="0.2">
      <c r="B53" s="397" t="s">
        <v>476</v>
      </c>
      <c r="C53" s="397"/>
      <c r="D53" s="397"/>
    </row>
    <row r="54" spans="2:4" s="2" customFormat="1" ht="9.75" customHeight="1" x14ac:dyDescent="0.2">
      <c r="B54" s="249"/>
      <c r="C54" s="249"/>
      <c r="D54" s="259"/>
    </row>
    <row r="55" spans="2:4" s="2" customFormat="1" ht="24" customHeight="1" x14ac:dyDescent="0.2">
      <c r="B55" s="243" t="s">
        <v>0</v>
      </c>
      <c r="C55" s="243" t="s">
        <v>463</v>
      </c>
      <c r="D55" s="244" t="s">
        <v>477</v>
      </c>
    </row>
    <row r="56" spans="2:4" s="2" customFormat="1" ht="17.25" customHeight="1" x14ac:dyDescent="0.2">
      <c r="B56" s="303" t="s">
        <v>478</v>
      </c>
      <c r="C56" s="303" t="s">
        <v>479</v>
      </c>
      <c r="D56" s="245">
        <v>78.599999999999994</v>
      </c>
    </row>
    <row r="57" spans="2:4" s="2" customFormat="1" ht="17.25" customHeight="1" x14ac:dyDescent="0.2">
      <c r="B57" s="304"/>
      <c r="C57" s="304"/>
      <c r="D57" s="247">
        <v>91.3</v>
      </c>
    </row>
    <row r="58" spans="2:4" s="2" customFormat="1" ht="16.5" customHeight="1" x14ac:dyDescent="0.2">
      <c r="B58" s="303" t="s">
        <v>480</v>
      </c>
      <c r="C58" s="303" t="s">
        <v>481</v>
      </c>
      <c r="D58" s="123">
        <v>22</v>
      </c>
    </row>
    <row r="59" spans="2:4" s="2" customFormat="1" ht="16.5" customHeight="1" x14ac:dyDescent="0.2">
      <c r="B59" s="304"/>
      <c r="C59" s="304"/>
      <c r="D59" s="247">
        <f>+D69+D68+D66+D64+D63+D62+D61+D60</f>
        <v>23.5</v>
      </c>
    </row>
    <row r="60" spans="2:4" s="2" customFormat="1" ht="12.6" customHeight="1" x14ac:dyDescent="0.2">
      <c r="B60" s="16" t="s">
        <v>482</v>
      </c>
      <c r="C60" s="16" t="s">
        <v>483</v>
      </c>
      <c r="D60" s="34">
        <v>6</v>
      </c>
    </row>
    <row r="61" spans="2:4" s="2" customFormat="1" ht="12.6" customHeight="1" x14ac:dyDescent="0.2">
      <c r="B61" s="16" t="s">
        <v>484</v>
      </c>
      <c r="C61" s="16" t="s">
        <v>485</v>
      </c>
      <c r="D61" s="34">
        <v>0.6</v>
      </c>
    </row>
    <row r="62" spans="2:4" s="2" customFormat="1" ht="12.6" customHeight="1" x14ac:dyDescent="0.2">
      <c r="B62" s="16" t="s">
        <v>486</v>
      </c>
      <c r="C62" s="16" t="s">
        <v>487</v>
      </c>
      <c r="D62" s="34">
        <v>0.9</v>
      </c>
    </row>
    <row r="63" spans="2:4" s="2" customFormat="1" ht="12.6" customHeight="1" x14ac:dyDescent="0.2">
      <c r="B63" s="16" t="s">
        <v>488</v>
      </c>
      <c r="C63" s="16" t="s">
        <v>489</v>
      </c>
      <c r="D63" s="34">
        <v>3</v>
      </c>
    </row>
    <row r="64" spans="2:4" s="2" customFormat="1" ht="12.6" customHeight="1" x14ac:dyDescent="0.2">
      <c r="B64" s="16" t="s">
        <v>490</v>
      </c>
      <c r="C64" s="16" t="s">
        <v>491</v>
      </c>
      <c r="D64" s="34">
        <v>9</v>
      </c>
    </row>
    <row r="65" spans="1:6" s="2" customFormat="1" ht="12.6" customHeight="1" x14ac:dyDescent="0.2">
      <c r="B65" s="303" t="s">
        <v>492</v>
      </c>
      <c r="C65" s="303" t="s">
        <v>493</v>
      </c>
      <c r="D65" s="123">
        <v>1</v>
      </c>
    </row>
    <row r="66" spans="1:6" s="2" customFormat="1" ht="12.6" customHeight="1" x14ac:dyDescent="0.2">
      <c r="B66" s="304"/>
      <c r="C66" s="304"/>
      <c r="D66" s="247">
        <f>1+1</f>
        <v>2</v>
      </c>
      <c r="E66" s="2">
        <v>1</v>
      </c>
    </row>
    <row r="67" spans="1:6" s="2" customFormat="1" ht="12.6" customHeight="1" x14ac:dyDescent="0.2">
      <c r="B67" s="303" t="s">
        <v>494</v>
      </c>
      <c r="C67" s="303" t="s">
        <v>495</v>
      </c>
      <c r="D67" s="123">
        <v>1</v>
      </c>
    </row>
    <row r="68" spans="1:6" s="2" customFormat="1" ht="12.6" customHeight="1" x14ac:dyDescent="0.2">
      <c r="B68" s="304"/>
      <c r="C68" s="304"/>
      <c r="D68" s="247">
        <f>1+0.5</f>
        <v>1.5</v>
      </c>
      <c r="E68" s="2">
        <v>0.5</v>
      </c>
    </row>
    <row r="69" spans="1:6" s="2" customFormat="1" ht="12.6" customHeight="1" x14ac:dyDescent="0.2">
      <c r="B69" s="16" t="s">
        <v>496</v>
      </c>
      <c r="C69" s="16" t="s">
        <v>497</v>
      </c>
      <c r="D69" s="34">
        <v>0.5</v>
      </c>
    </row>
    <row r="70" spans="1:6" s="2" customFormat="1" ht="12.6" customHeight="1" x14ac:dyDescent="0.2">
      <c r="B70" s="16" t="s">
        <v>498</v>
      </c>
      <c r="C70" s="16" t="s">
        <v>499</v>
      </c>
      <c r="D70" s="34">
        <v>3.1</v>
      </c>
    </row>
    <row r="71" spans="1:6" s="2" customFormat="1" ht="12.6" customHeight="1" x14ac:dyDescent="0.2">
      <c r="A71" s="81"/>
      <c r="B71" s="16" t="s">
        <v>500</v>
      </c>
      <c r="C71" s="16" t="s">
        <v>501</v>
      </c>
      <c r="D71" s="34">
        <v>3.5</v>
      </c>
    </row>
    <row r="72" spans="1:6" s="2" customFormat="1" ht="12.6" customHeight="1" x14ac:dyDescent="0.2">
      <c r="B72" s="16" t="s">
        <v>502</v>
      </c>
      <c r="C72" s="16" t="s">
        <v>503</v>
      </c>
      <c r="D72" s="34">
        <v>17</v>
      </c>
    </row>
    <row r="73" spans="1:6" s="2" customFormat="1" ht="12.6" customHeight="1" x14ac:dyDescent="0.2">
      <c r="B73" s="303" t="s">
        <v>504</v>
      </c>
      <c r="C73" s="390" t="s">
        <v>506</v>
      </c>
      <c r="D73" s="123">
        <v>5</v>
      </c>
    </row>
    <row r="74" spans="1:6" s="2" customFormat="1" ht="12.6" customHeight="1" x14ac:dyDescent="0.2">
      <c r="A74" s="81"/>
      <c r="B74" s="304"/>
      <c r="C74" s="391"/>
      <c r="D74" s="34">
        <f>5-5</f>
        <v>0</v>
      </c>
      <c r="E74" s="2">
        <v>-5</v>
      </c>
    </row>
    <row r="75" spans="1:6" s="2" customFormat="1" ht="12.6" customHeight="1" x14ac:dyDescent="0.2">
      <c r="A75" s="81"/>
      <c r="B75" s="16" t="s">
        <v>505</v>
      </c>
      <c r="C75" s="260" t="s">
        <v>620</v>
      </c>
      <c r="D75" s="34">
        <v>28</v>
      </c>
      <c r="E75" s="3"/>
      <c r="F75" s="3"/>
    </row>
    <row r="76" spans="1:6" s="2" customFormat="1" ht="12.75" customHeight="1" x14ac:dyDescent="0.2">
      <c r="A76" s="274"/>
      <c r="B76" s="267" t="s">
        <v>987</v>
      </c>
      <c r="C76" s="275" t="s">
        <v>988</v>
      </c>
      <c r="D76" s="247">
        <v>16.2</v>
      </c>
      <c r="E76" s="3">
        <v>16.2</v>
      </c>
      <c r="F76" s="3" t="s">
        <v>991</v>
      </c>
    </row>
    <row r="77" spans="1:6" s="2" customFormat="1" ht="25.5" x14ac:dyDescent="0.2">
      <c r="B77" s="16" t="s">
        <v>507</v>
      </c>
      <c r="C77" s="16" t="s">
        <v>508</v>
      </c>
      <c r="D77" s="34">
        <f>+D78+D79</f>
        <v>28</v>
      </c>
    </row>
    <row r="78" spans="1:6" s="2" customFormat="1" ht="25.5" x14ac:dyDescent="0.2">
      <c r="B78" s="16" t="s">
        <v>509</v>
      </c>
      <c r="C78" s="16" t="s">
        <v>510</v>
      </c>
      <c r="D78" s="34">
        <v>3</v>
      </c>
    </row>
    <row r="79" spans="1:6" s="2" customFormat="1" ht="25.5" x14ac:dyDescent="0.2">
      <c r="B79" s="16" t="s">
        <v>736</v>
      </c>
      <c r="C79" s="16" t="s">
        <v>737</v>
      </c>
      <c r="D79" s="34">
        <v>25</v>
      </c>
    </row>
    <row r="80" spans="1:6" s="2" customFormat="1" ht="12.75" x14ac:dyDescent="0.2">
      <c r="B80" s="303" t="s">
        <v>511</v>
      </c>
      <c r="C80" s="303" t="s">
        <v>512</v>
      </c>
      <c r="D80" s="123">
        <v>232.7</v>
      </c>
    </row>
    <row r="81" spans="1:6" s="2" customFormat="1" ht="12.6" customHeight="1" x14ac:dyDescent="0.2">
      <c r="B81" s="304"/>
      <c r="C81" s="304"/>
      <c r="D81" s="247">
        <f>+D82+D83+D84+D86+D88+D89+D90+D91+D92+D94+D95</f>
        <v>282.7</v>
      </c>
    </row>
    <row r="82" spans="1:6" s="2" customFormat="1" ht="12.75" x14ac:dyDescent="0.2">
      <c r="B82" s="16" t="s">
        <v>513</v>
      </c>
      <c r="C82" s="16" t="s">
        <v>514</v>
      </c>
      <c r="D82" s="34">
        <v>3</v>
      </c>
    </row>
    <row r="83" spans="1:6" s="2" customFormat="1" ht="25.5" x14ac:dyDescent="0.2">
      <c r="B83" s="16" t="s">
        <v>515</v>
      </c>
      <c r="C83" s="16" t="s">
        <v>621</v>
      </c>
      <c r="D83" s="34">
        <v>14.5</v>
      </c>
    </row>
    <row r="84" spans="1:6" s="2" customFormat="1" ht="12.6" customHeight="1" x14ac:dyDescent="0.2">
      <c r="B84" s="16" t="s">
        <v>516</v>
      </c>
      <c r="C84" s="16" t="s">
        <v>517</v>
      </c>
      <c r="D84" s="34">
        <v>1</v>
      </c>
    </row>
    <row r="85" spans="1:6" s="2" customFormat="1" ht="12.6" customHeight="1" x14ac:dyDescent="0.2">
      <c r="B85" s="303" t="s">
        <v>518</v>
      </c>
      <c r="C85" s="303" t="s">
        <v>519</v>
      </c>
      <c r="D85" s="123">
        <v>12</v>
      </c>
    </row>
    <row r="86" spans="1:6" s="2" customFormat="1" ht="12.6" customHeight="1" x14ac:dyDescent="0.2">
      <c r="B86" s="304"/>
      <c r="C86" s="304"/>
      <c r="D86" s="247">
        <f>12+3</f>
        <v>15</v>
      </c>
      <c r="E86" s="2">
        <v>3</v>
      </c>
    </row>
    <row r="87" spans="1:6" s="2" customFormat="1" ht="12.6" customHeight="1" x14ac:dyDescent="0.2">
      <c r="B87" s="303" t="s">
        <v>520</v>
      </c>
      <c r="C87" s="303" t="s">
        <v>521</v>
      </c>
      <c r="D87" s="123">
        <v>12</v>
      </c>
    </row>
    <row r="88" spans="1:6" s="2" customFormat="1" ht="12.6" customHeight="1" x14ac:dyDescent="0.2">
      <c r="B88" s="304"/>
      <c r="C88" s="304"/>
      <c r="D88" s="247">
        <f>12-3</f>
        <v>9</v>
      </c>
      <c r="E88" s="2">
        <v>-3</v>
      </c>
    </row>
    <row r="89" spans="1:6" s="2" customFormat="1" ht="12.6" customHeight="1" x14ac:dyDescent="0.2">
      <c r="B89" s="16" t="s">
        <v>522</v>
      </c>
      <c r="C89" s="16" t="s">
        <v>523</v>
      </c>
      <c r="D89" s="34">
        <v>1.2</v>
      </c>
    </row>
    <row r="90" spans="1:6" x14ac:dyDescent="0.25">
      <c r="A90" s="2" t="s">
        <v>372</v>
      </c>
      <c r="B90" s="16" t="s">
        <v>524</v>
      </c>
      <c r="C90" s="16" t="s">
        <v>525</v>
      </c>
      <c r="D90" s="34">
        <v>10</v>
      </c>
      <c r="E90" s="2"/>
      <c r="F90" s="2"/>
    </row>
    <row r="91" spans="1:6" ht="12.6" customHeight="1" x14ac:dyDescent="0.25">
      <c r="A91" s="2"/>
      <c r="B91" s="16" t="s">
        <v>526</v>
      </c>
      <c r="C91" s="16" t="s">
        <v>529</v>
      </c>
      <c r="D91" s="34">
        <v>33</v>
      </c>
      <c r="E91" s="73"/>
      <c r="F91" s="73"/>
    </row>
    <row r="92" spans="1:6" ht="12.6" customHeight="1" x14ac:dyDescent="0.25">
      <c r="A92" s="2"/>
      <c r="B92" s="16" t="s">
        <v>527</v>
      </c>
      <c r="C92" s="16" t="s">
        <v>622</v>
      </c>
      <c r="D92" s="34">
        <v>4</v>
      </c>
      <c r="E92" s="73"/>
      <c r="F92" s="73"/>
    </row>
    <row r="93" spans="1:6" ht="12.6" customHeight="1" x14ac:dyDescent="0.25">
      <c r="A93" s="2"/>
      <c r="B93" s="303" t="s">
        <v>528</v>
      </c>
      <c r="C93" s="303" t="s">
        <v>814</v>
      </c>
      <c r="D93" s="123">
        <v>142</v>
      </c>
      <c r="E93" s="73"/>
      <c r="F93" s="73"/>
    </row>
    <row r="94" spans="1:6" x14ac:dyDescent="0.25">
      <c r="A94" s="2"/>
      <c r="B94" s="304"/>
      <c r="C94" s="304"/>
      <c r="D94" s="247">
        <f>142-100</f>
        <v>42</v>
      </c>
      <c r="E94" s="73">
        <v>-100</v>
      </c>
      <c r="F94" s="73"/>
    </row>
    <row r="95" spans="1:6" ht="25.5" x14ac:dyDescent="0.25">
      <c r="A95" s="2"/>
      <c r="B95" s="243" t="s">
        <v>989</v>
      </c>
      <c r="C95" s="243" t="s">
        <v>153</v>
      </c>
      <c r="D95" s="247">
        <v>150</v>
      </c>
      <c r="E95" s="73">
        <v>150</v>
      </c>
      <c r="F95" s="73" t="s">
        <v>991</v>
      </c>
    </row>
    <row r="96" spans="1:6" ht="12.6" customHeight="1" x14ac:dyDescent="0.25">
      <c r="A96" s="2"/>
      <c r="B96" s="16" t="s">
        <v>530</v>
      </c>
      <c r="C96" s="16" t="s">
        <v>531</v>
      </c>
      <c r="D96" s="261">
        <f>+D97+D98+D99</f>
        <v>15</v>
      </c>
      <c r="E96" s="73"/>
      <c r="F96" s="73"/>
    </row>
    <row r="97" spans="1:6" ht="12.6" customHeight="1" x14ac:dyDescent="0.25">
      <c r="A97" s="2"/>
      <c r="B97" s="16" t="s">
        <v>532</v>
      </c>
      <c r="C97" s="16" t="s">
        <v>533</v>
      </c>
      <c r="D97" s="34">
        <v>6</v>
      </c>
      <c r="E97" s="73"/>
      <c r="F97" s="73"/>
    </row>
    <row r="98" spans="1:6" s="239" customFormat="1" ht="12.6" customHeight="1" x14ac:dyDescent="0.25">
      <c r="A98" s="2"/>
      <c r="B98" s="16" t="s">
        <v>534</v>
      </c>
      <c r="C98" s="16" t="s">
        <v>535</v>
      </c>
      <c r="D98" s="34">
        <v>2</v>
      </c>
    </row>
    <row r="99" spans="1:6" x14ac:dyDescent="0.25">
      <c r="A99" s="2"/>
      <c r="B99" s="16" t="s">
        <v>536</v>
      </c>
      <c r="C99" s="16" t="s">
        <v>537</v>
      </c>
      <c r="D99" s="34">
        <v>7</v>
      </c>
    </row>
    <row r="100" spans="1:6" ht="12.6" customHeight="1" x14ac:dyDescent="0.25">
      <c r="A100" s="73"/>
      <c r="B100" s="16" t="s">
        <v>538</v>
      </c>
      <c r="C100" s="16" t="s">
        <v>539</v>
      </c>
      <c r="D100" s="34">
        <f>+D101+D115+D116+D117+D118+D119</f>
        <v>110.3</v>
      </c>
    </row>
    <row r="101" spans="1:6" ht="12.6" customHeight="1" x14ac:dyDescent="0.25">
      <c r="A101" s="73"/>
      <c r="B101" s="16" t="s">
        <v>540</v>
      </c>
      <c r="C101" s="16" t="s">
        <v>541</v>
      </c>
      <c r="D101" s="34">
        <f>D113+D112+D111+D110+D109+D108+D107+D106+D104+D103+D102</f>
        <v>75.7</v>
      </c>
    </row>
    <row r="102" spans="1:6" ht="12.6" customHeight="1" x14ac:dyDescent="0.25">
      <c r="A102" s="73"/>
      <c r="B102" s="16" t="s">
        <v>542</v>
      </c>
      <c r="C102" s="16" t="s">
        <v>483</v>
      </c>
      <c r="D102" s="34">
        <v>2</v>
      </c>
    </row>
    <row r="103" spans="1:6" ht="12.6" customHeight="1" x14ac:dyDescent="0.25">
      <c r="A103" s="73"/>
      <c r="B103" s="16" t="s">
        <v>543</v>
      </c>
      <c r="C103" s="16" t="s">
        <v>544</v>
      </c>
      <c r="D103" s="34">
        <v>2</v>
      </c>
    </row>
    <row r="104" spans="1:6" ht="12.6" customHeight="1" x14ac:dyDescent="0.25">
      <c r="A104" s="73"/>
      <c r="B104" s="16" t="s">
        <v>545</v>
      </c>
      <c r="C104" s="16" t="s">
        <v>546</v>
      </c>
      <c r="D104" s="34">
        <v>2</v>
      </c>
    </row>
    <row r="105" spans="1:6" ht="12.6" customHeight="1" x14ac:dyDescent="0.25">
      <c r="A105" s="73"/>
      <c r="B105" s="303" t="s">
        <v>547</v>
      </c>
      <c r="C105" s="303" t="s">
        <v>493</v>
      </c>
      <c r="D105" s="123">
        <v>44</v>
      </c>
    </row>
    <row r="106" spans="1:6" ht="12.6" customHeight="1" x14ac:dyDescent="0.25">
      <c r="A106" s="73"/>
      <c r="B106" s="304"/>
      <c r="C106" s="304"/>
      <c r="D106" s="247">
        <f>44+5+6.7</f>
        <v>55.7</v>
      </c>
      <c r="E106" s="2">
        <f>5+6.7</f>
        <v>11.7</v>
      </c>
    </row>
    <row r="107" spans="1:6" ht="12.6" customHeight="1" x14ac:dyDescent="0.25">
      <c r="A107" s="73"/>
      <c r="B107" s="16" t="s">
        <v>548</v>
      </c>
      <c r="C107" s="16" t="s">
        <v>485</v>
      </c>
      <c r="D107" s="34">
        <v>2</v>
      </c>
      <c r="E107" s="2"/>
    </row>
    <row r="108" spans="1:6" ht="12.6" customHeight="1" x14ac:dyDescent="0.25">
      <c r="A108" s="73"/>
      <c r="B108" s="16" t="s">
        <v>549</v>
      </c>
      <c r="C108" s="16" t="s">
        <v>487</v>
      </c>
      <c r="D108" s="34">
        <v>2</v>
      </c>
      <c r="E108" s="2"/>
    </row>
    <row r="109" spans="1:6" ht="12.6" customHeight="1" x14ac:dyDescent="0.25">
      <c r="A109" s="73"/>
      <c r="B109" s="16" t="s">
        <v>550</v>
      </c>
      <c r="C109" s="16" t="s">
        <v>551</v>
      </c>
      <c r="D109" s="34">
        <v>2</v>
      </c>
      <c r="E109" s="262"/>
    </row>
    <row r="110" spans="1:6" ht="12.6" customHeight="1" x14ac:dyDescent="0.25">
      <c r="A110" s="239"/>
      <c r="B110" s="16" t="s">
        <v>552</v>
      </c>
      <c r="C110" s="16" t="s">
        <v>495</v>
      </c>
      <c r="D110" s="34">
        <v>2</v>
      </c>
    </row>
    <row r="111" spans="1:6" ht="12.6" customHeight="1" x14ac:dyDescent="0.25">
      <c r="A111" s="73"/>
      <c r="B111" s="16" t="s">
        <v>553</v>
      </c>
      <c r="C111" s="16" t="s">
        <v>489</v>
      </c>
      <c r="D111" s="34">
        <v>2</v>
      </c>
    </row>
    <row r="112" spans="1:6" ht="12.6" customHeight="1" x14ac:dyDescent="0.25">
      <c r="A112" s="73"/>
      <c r="B112" s="16" t="s">
        <v>554</v>
      </c>
      <c r="C112" s="16" t="s">
        <v>555</v>
      </c>
      <c r="D112" s="34">
        <v>2</v>
      </c>
    </row>
    <row r="113" spans="1:5" ht="12.6" customHeight="1" x14ac:dyDescent="0.25">
      <c r="A113" s="73"/>
      <c r="B113" s="16" t="s">
        <v>556</v>
      </c>
      <c r="C113" s="16" t="s">
        <v>491</v>
      </c>
      <c r="D113" s="34">
        <v>2</v>
      </c>
    </row>
    <row r="114" spans="1:5" ht="12.6" customHeight="1" x14ac:dyDescent="0.25">
      <c r="A114" s="73"/>
      <c r="B114" s="303" t="s">
        <v>557</v>
      </c>
      <c r="C114" s="303" t="s">
        <v>558</v>
      </c>
      <c r="D114" s="123">
        <v>9</v>
      </c>
    </row>
    <row r="115" spans="1:5" ht="12.6" customHeight="1" x14ac:dyDescent="0.25">
      <c r="A115" s="73"/>
      <c r="B115" s="304"/>
      <c r="C115" s="304"/>
      <c r="D115" s="247">
        <f>9-6.7</f>
        <v>2.2999999999999998</v>
      </c>
      <c r="E115" s="263">
        <v>-6.7</v>
      </c>
    </row>
    <row r="116" spans="1:5" ht="12.6" customHeight="1" x14ac:dyDescent="0.25">
      <c r="A116" s="73"/>
      <c r="B116" s="16" t="s">
        <v>559</v>
      </c>
      <c r="C116" s="16" t="s">
        <v>975</v>
      </c>
      <c r="D116" s="31">
        <v>10</v>
      </c>
    </row>
    <row r="117" spans="1:5" ht="12.6" customHeight="1" x14ac:dyDescent="0.25">
      <c r="A117" s="73"/>
      <c r="B117" s="16" t="s">
        <v>560</v>
      </c>
      <c r="C117" s="16" t="s">
        <v>561</v>
      </c>
      <c r="D117" s="31">
        <v>10</v>
      </c>
    </row>
    <row r="118" spans="1:5" ht="12.6" customHeight="1" x14ac:dyDescent="0.25">
      <c r="A118" s="73"/>
      <c r="B118" s="16" t="s">
        <v>562</v>
      </c>
      <c r="C118" s="16" t="s">
        <v>623</v>
      </c>
      <c r="D118" s="31">
        <v>2.2999999999999998</v>
      </c>
    </row>
    <row r="119" spans="1:5" ht="12.6" customHeight="1" x14ac:dyDescent="0.25">
      <c r="B119" s="16" t="s">
        <v>738</v>
      </c>
      <c r="C119" s="16" t="s">
        <v>739</v>
      </c>
      <c r="D119" s="31">
        <v>10</v>
      </c>
    </row>
    <row r="120" spans="1:5" ht="12.6" customHeight="1" x14ac:dyDescent="0.25">
      <c r="B120" s="303" t="s">
        <v>563</v>
      </c>
      <c r="C120" s="303" t="s">
        <v>564</v>
      </c>
      <c r="D120" s="100">
        <v>6.5</v>
      </c>
    </row>
    <row r="121" spans="1:5" ht="12.6" customHeight="1" x14ac:dyDescent="0.25">
      <c r="B121" s="304"/>
      <c r="C121" s="304"/>
      <c r="D121" s="247">
        <f>6.5-1.5</f>
        <v>5</v>
      </c>
      <c r="E121" s="263">
        <v>-1.5</v>
      </c>
    </row>
    <row r="122" spans="1:5" ht="12.6" customHeight="1" x14ac:dyDescent="0.25">
      <c r="B122" s="349"/>
      <c r="C122" s="371" t="s">
        <v>565</v>
      </c>
      <c r="D122" s="246">
        <v>466.1</v>
      </c>
      <c r="E122" s="263"/>
    </row>
    <row r="123" spans="1:5" ht="12.6" customHeight="1" x14ac:dyDescent="0.25">
      <c r="B123" s="350"/>
      <c r="C123" s="372"/>
      <c r="D123" s="247">
        <f>+D57+D77+D81+D96+D100+D121</f>
        <v>532.29999999999995</v>
      </c>
    </row>
    <row r="124" spans="1:5" x14ac:dyDescent="0.25">
      <c r="B124" s="73"/>
      <c r="C124" s="38" t="s">
        <v>566</v>
      </c>
      <c r="D124" s="73"/>
    </row>
    <row r="125" spans="1:5" x14ac:dyDescent="0.25">
      <c r="B125" s="73"/>
      <c r="D125" s="73"/>
    </row>
    <row r="126" spans="1:5" x14ac:dyDescent="0.25">
      <c r="B126" s="73"/>
      <c r="C126" s="264"/>
      <c r="D126" s="73"/>
    </row>
  </sheetData>
  <mergeCells count="48">
    <mergeCell ref="B46:C46"/>
    <mergeCell ref="B53:D53"/>
    <mergeCell ref="C2:D2"/>
    <mergeCell ref="A4:D4"/>
    <mergeCell ref="A5:D5"/>
    <mergeCell ref="B45:D45"/>
    <mergeCell ref="C1:D1"/>
    <mergeCell ref="B11:B12"/>
    <mergeCell ref="C11:C12"/>
    <mergeCell ref="B16:B17"/>
    <mergeCell ref="C16:C17"/>
    <mergeCell ref="B21:B22"/>
    <mergeCell ref="B32:B33"/>
    <mergeCell ref="C32:C33"/>
    <mergeCell ref="B35:B36"/>
    <mergeCell ref="C35:C36"/>
    <mergeCell ref="C21:C22"/>
    <mergeCell ref="B25:B26"/>
    <mergeCell ref="C25:C26"/>
    <mergeCell ref="B28:B29"/>
    <mergeCell ref="C28:C29"/>
    <mergeCell ref="B47:C48"/>
    <mergeCell ref="B65:B66"/>
    <mergeCell ref="C65:C66"/>
    <mergeCell ref="B67:B68"/>
    <mergeCell ref="C67:C68"/>
    <mergeCell ref="B73:B74"/>
    <mergeCell ref="C73:C74"/>
    <mergeCell ref="B56:B57"/>
    <mergeCell ref="C56:C57"/>
    <mergeCell ref="B58:B59"/>
    <mergeCell ref="C58:C59"/>
    <mergeCell ref="B80:B81"/>
    <mergeCell ref="C80:C81"/>
    <mergeCell ref="B85:B86"/>
    <mergeCell ref="C85:C86"/>
    <mergeCell ref="B87:B88"/>
    <mergeCell ref="C87:C88"/>
    <mergeCell ref="B120:B121"/>
    <mergeCell ref="C120:C121"/>
    <mergeCell ref="B122:B123"/>
    <mergeCell ref="C122:C123"/>
    <mergeCell ref="B93:B94"/>
    <mergeCell ref="C93:C94"/>
    <mergeCell ref="B105:B106"/>
    <mergeCell ref="C105:C106"/>
    <mergeCell ref="B114:B115"/>
    <mergeCell ref="C114:C115"/>
  </mergeCells>
  <pageMargins left="0.31496062992125984" right="0" top="0.74803149606299213" bottom="0.47244094488188981" header="0.31496062992125984" footer="0.31496062992125984"/>
  <pageSetup paperSize="9" scale="8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6"/>
  <sheetViews>
    <sheetView zoomScaleNormal="100" workbookViewId="0">
      <selection activeCell="N14" sqref="N14"/>
    </sheetView>
  </sheetViews>
  <sheetFormatPr defaultColWidth="9.140625" defaultRowHeight="12.75" x14ac:dyDescent="0.2"/>
  <cols>
    <col min="1" max="1" width="4.140625" style="2" customWidth="1"/>
    <col min="2" max="2" width="48.7109375" style="2" customWidth="1"/>
    <col min="3" max="3" width="7.7109375" style="2" customWidth="1"/>
    <col min="4" max="4" width="7.140625" style="2" customWidth="1"/>
    <col min="5" max="5" width="8.7109375" style="45" customWidth="1"/>
    <col min="6" max="6" width="8.5703125" style="2" customWidth="1"/>
    <col min="7" max="7" width="9.42578125" style="44" customWidth="1"/>
    <col min="8" max="8" width="6" style="2" customWidth="1"/>
    <col min="9" max="9" width="7.42578125" style="2" customWidth="1"/>
    <col min="10" max="14" width="9.140625" style="2" customWidth="1"/>
    <col min="15" max="16384" width="9.140625" style="2"/>
  </cols>
  <sheetData>
    <row r="1" spans="1:14" ht="15.75" customHeight="1" x14ac:dyDescent="0.25">
      <c r="B1" s="290" t="s">
        <v>992</v>
      </c>
      <c r="C1" s="290"/>
      <c r="D1" s="290"/>
      <c r="E1" s="290"/>
      <c r="F1" s="290"/>
    </row>
    <row r="2" spans="1:14" ht="15.75" x14ac:dyDescent="0.25">
      <c r="B2" s="51"/>
      <c r="C2" s="51"/>
      <c r="D2" s="51"/>
      <c r="E2" s="297" t="s">
        <v>202</v>
      </c>
      <c r="F2" s="297"/>
    </row>
    <row r="4" spans="1:14" ht="42" customHeight="1" x14ac:dyDescent="0.2">
      <c r="A4" s="298" t="s">
        <v>576</v>
      </c>
      <c r="B4" s="298"/>
      <c r="C4" s="298"/>
      <c r="D4" s="298"/>
      <c r="E4" s="298"/>
      <c r="F4" s="298"/>
    </row>
    <row r="5" spans="1:14" x14ac:dyDescent="0.2">
      <c r="F5" s="45" t="s">
        <v>129</v>
      </c>
    </row>
    <row r="6" spans="1:14" ht="12.6" customHeight="1" x14ac:dyDescent="0.2">
      <c r="A6" s="299" t="s">
        <v>0</v>
      </c>
      <c r="B6" s="299" t="s">
        <v>203</v>
      </c>
      <c r="C6" s="299" t="s">
        <v>17</v>
      </c>
      <c r="D6" s="293" t="s">
        <v>204</v>
      </c>
      <c r="E6" s="294"/>
      <c r="F6" s="295"/>
    </row>
    <row r="7" spans="1:14" ht="114.75" customHeight="1" x14ac:dyDescent="0.2">
      <c r="A7" s="300"/>
      <c r="B7" s="300"/>
      <c r="C7" s="300"/>
      <c r="D7" s="8" t="s">
        <v>205</v>
      </c>
      <c r="E7" s="8" t="s">
        <v>206</v>
      </c>
      <c r="F7" s="8" t="s">
        <v>207</v>
      </c>
    </row>
    <row r="8" spans="1:14" x14ac:dyDescent="0.2">
      <c r="A8" s="8">
        <v>1</v>
      </c>
      <c r="B8" s="138">
        <v>2</v>
      </c>
      <c r="C8" s="8">
        <v>3</v>
      </c>
      <c r="D8" s="8">
        <v>4</v>
      </c>
      <c r="E8" s="8">
        <v>5</v>
      </c>
      <c r="F8" s="8">
        <v>6</v>
      </c>
    </row>
    <row r="9" spans="1:14" ht="12.6" customHeight="1" x14ac:dyDescent="0.2">
      <c r="A9" s="139">
        <v>1</v>
      </c>
      <c r="B9" s="21" t="s">
        <v>208</v>
      </c>
      <c r="C9" s="31">
        <f t="shared" ref="C9:C65" si="0">+E9+D9+F9</f>
        <v>55.4</v>
      </c>
      <c r="D9" s="31"/>
      <c r="E9" s="34">
        <v>1.1000000000000001</v>
      </c>
      <c r="F9" s="31">
        <v>54.3</v>
      </c>
      <c r="G9" s="4"/>
      <c r="H9" s="4"/>
      <c r="I9" s="4"/>
      <c r="J9" s="4"/>
      <c r="K9" s="4"/>
      <c r="L9" s="4"/>
      <c r="M9" s="4"/>
      <c r="N9" s="4"/>
    </row>
    <row r="10" spans="1:14" ht="12.6" customHeight="1" x14ac:dyDescent="0.2">
      <c r="A10" s="139">
        <v>2</v>
      </c>
      <c r="B10" s="21" t="s">
        <v>156</v>
      </c>
      <c r="C10" s="31">
        <f t="shared" si="0"/>
        <v>58.2</v>
      </c>
      <c r="D10" s="31"/>
      <c r="E10" s="34">
        <v>1.2</v>
      </c>
      <c r="F10" s="31">
        <v>57</v>
      </c>
      <c r="G10" s="4"/>
      <c r="H10" s="4"/>
      <c r="I10" s="4"/>
      <c r="J10" s="4"/>
      <c r="K10" s="4"/>
      <c r="L10" s="4"/>
      <c r="M10" s="4"/>
      <c r="N10" s="4"/>
    </row>
    <row r="11" spans="1:14" ht="12.6" customHeight="1" x14ac:dyDescent="0.2">
      <c r="A11" s="139">
        <v>3</v>
      </c>
      <c r="B11" s="21" t="s">
        <v>157</v>
      </c>
      <c r="C11" s="31">
        <f t="shared" si="0"/>
        <v>75</v>
      </c>
      <c r="D11" s="31"/>
      <c r="E11" s="34">
        <v>3</v>
      </c>
      <c r="F11" s="31">
        <v>72</v>
      </c>
      <c r="G11" s="4"/>
      <c r="H11" s="4"/>
      <c r="I11" s="4"/>
      <c r="J11" s="4"/>
      <c r="K11" s="4"/>
      <c r="L11" s="4"/>
      <c r="M11" s="4"/>
      <c r="N11" s="4"/>
    </row>
    <row r="12" spans="1:14" ht="12.6" customHeight="1" x14ac:dyDescent="0.2">
      <c r="A12" s="139">
        <v>4</v>
      </c>
      <c r="B12" s="21" t="s">
        <v>161</v>
      </c>
      <c r="C12" s="31">
        <f t="shared" si="0"/>
        <v>80</v>
      </c>
      <c r="D12" s="31">
        <v>1</v>
      </c>
      <c r="E12" s="34">
        <v>3</v>
      </c>
      <c r="F12" s="31">
        <v>76</v>
      </c>
      <c r="G12" s="4"/>
      <c r="H12" s="4"/>
      <c r="I12" s="4"/>
      <c r="J12" s="4"/>
      <c r="K12" s="4"/>
      <c r="L12" s="4"/>
      <c r="M12" s="4"/>
      <c r="N12" s="4"/>
    </row>
    <row r="13" spans="1:14" ht="12.6" customHeight="1" x14ac:dyDescent="0.2">
      <c r="A13" s="139">
        <v>5</v>
      </c>
      <c r="B13" s="21" t="s">
        <v>158</v>
      </c>
      <c r="C13" s="31">
        <f t="shared" si="0"/>
        <v>89.5</v>
      </c>
      <c r="D13" s="31"/>
      <c r="E13" s="34">
        <v>2.5</v>
      </c>
      <c r="F13" s="31">
        <v>87</v>
      </c>
      <c r="G13" s="4"/>
      <c r="H13" s="4"/>
      <c r="I13" s="4"/>
      <c r="J13" s="4"/>
      <c r="K13" s="4"/>
      <c r="L13" s="4"/>
      <c r="M13" s="4"/>
      <c r="N13" s="4"/>
    </row>
    <row r="14" spans="1:14" ht="12.6" customHeight="1" x14ac:dyDescent="0.2">
      <c r="A14" s="139">
        <v>6</v>
      </c>
      <c r="B14" s="21" t="s">
        <v>159</v>
      </c>
      <c r="C14" s="31">
        <f t="shared" si="0"/>
        <v>50</v>
      </c>
      <c r="D14" s="31"/>
      <c r="E14" s="34">
        <v>2</v>
      </c>
      <c r="F14" s="31">
        <v>48</v>
      </c>
      <c r="G14" s="4"/>
      <c r="H14" s="4"/>
      <c r="I14" s="4"/>
      <c r="J14" s="4"/>
      <c r="K14" s="4"/>
      <c r="L14" s="4"/>
      <c r="M14" s="4"/>
      <c r="N14" s="4"/>
    </row>
    <row r="15" spans="1:14" ht="12.6" customHeight="1" x14ac:dyDescent="0.2">
      <c r="A15" s="139">
        <v>7</v>
      </c>
      <c r="B15" s="21" t="s">
        <v>160</v>
      </c>
      <c r="C15" s="31">
        <f t="shared" si="0"/>
        <v>62.5</v>
      </c>
      <c r="D15" s="31"/>
      <c r="E15" s="34">
        <v>1.5</v>
      </c>
      <c r="F15" s="31">
        <v>61</v>
      </c>
      <c r="G15" s="4"/>
      <c r="H15" s="4"/>
      <c r="I15" s="4"/>
      <c r="J15" s="4"/>
      <c r="K15" s="4"/>
      <c r="L15" s="4"/>
      <c r="M15" s="4"/>
      <c r="N15" s="4"/>
    </row>
    <row r="16" spans="1:14" ht="12.6" customHeight="1" x14ac:dyDescent="0.2">
      <c r="A16" s="139">
        <v>8</v>
      </c>
      <c r="B16" s="15" t="s">
        <v>184</v>
      </c>
      <c r="C16" s="31">
        <f t="shared" si="0"/>
        <v>64.2</v>
      </c>
      <c r="D16" s="31"/>
      <c r="E16" s="34"/>
      <c r="F16" s="31">
        <v>64.2</v>
      </c>
      <c r="G16" s="4"/>
      <c r="H16" s="4"/>
      <c r="I16" s="4"/>
      <c r="J16" s="4"/>
      <c r="K16" s="4"/>
      <c r="L16" s="4"/>
      <c r="M16" s="4"/>
      <c r="N16" s="4"/>
    </row>
    <row r="17" spans="1:14" ht="12.6" customHeight="1" x14ac:dyDescent="0.2">
      <c r="A17" s="139">
        <v>9</v>
      </c>
      <c r="B17" s="21" t="s">
        <v>164</v>
      </c>
      <c r="C17" s="31">
        <f t="shared" si="0"/>
        <v>19</v>
      </c>
      <c r="D17" s="31">
        <v>9</v>
      </c>
      <c r="E17" s="34">
        <v>10</v>
      </c>
      <c r="F17" s="31"/>
      <c r="G17" s="4"/>
      <c r="H17" s="4"/>
      <c r="I17" s="4"/>
      <c r="J17" s="4"/>
      <c r="K17" s="4"/>
      <c r="L17" s="4"/>
      <c r="M17" s="4"/>
      <c r="N17" s="4"/>
    </row>
    <row r="18" spans="1:14" ht="12.6" customHeight="1" x14ac:dyDescent="0.2">
      <c r="A18" s="139">
        <v>10</v>
      </c>
      <c r="B18" s="21" t="s">
        <v>46</v>
      </c>
      <c r="C18" s="31">
        <f t="shared" si="0"/>
        <v>10.6</v>
      </c>
      <c r="D18" s="31">
        <v>0.5</v>
      </c>
      <c r="E18" s="34">
        <v>0.1</v>
      </c>
      <c r="F18" s="31">
        <v>10</v>
      </c>
      <c r="G18" s="4"/>
      <c r="H18" s="4"/>
      <c r="I18" s="4"/>
      <c r="J18" s="4"/>
      <c r="K18" s="4"/>
      <c r="L18" s="4"/>
      <c r="M18" s="4"/>
      <c r="N18" s="4"/>
    </row>
    <row r="19" spans="1:14" ht="12.6" customHeight="1" x14ac:dyDescent="0.2">
      <c r="A19" s="301">
        <v>11</v>
      </c>
      <c r="B19" s="303" t="s">
        <v>134</v>
      </c>
      <c r="C19" s="100">
        <v>34.299999999999997</v>
      </c>
      <c r="D19" s="100">
        <v>0.8</v>
      </c>
      <c r="E19" s="123">
        <v>1.2</v>
      </c>
      <c r="F19" s="31"/>
      <c r="G19" s="4"/>
      <c r="H19" s="4"/>
      <c r="I19" s="4"/>
      <c r="J19" s="4"/>
      <c r="K19" s="4"/>
      <c r="L19" s="4"/>
      <c r="M19" s="4"/>
      <c r="N19" s="4"/>
    </row>
    <row r="20" spans="1:14" ht="12.6" customHeight="1" x14ac:dyDescent="0.2">
      <c r="A20" s="302"/>
      <c r="B20" s="304"/>
      <c r="C20" s="96">
        <f t="shared" si="0"/>
        <v>34.5</v>
      </c>
      <c r="D20" s="96">
        <f>0.8+0.1</f>
        <v>0.9</v>
      </c>
      <c r="E20" s="247">
        <f>1.2+0.1</f>
        <v>1.3</v>
      </c>
      <c r="F20" s="31">
        <v>32.299999999999997</v>
      </c>
      <c r="G20" s="4">
        <v>0.1</v>
      </c>
      <c r="H20" s="4">
        <v>0.1</v>
      </c>
      <c r="I20" s="4"/>
      <c r="J20" s="4"/>
      <c r="K20" s="4"/>
      <c r="L20" s="4"/>
      <c r="M20" s="4"/>
      <c r="N20" s="4"/>
    </row>
    <row r="21" spans="1:14" ht="12.6" customHeight="1" x14ac:dyDescent="0.2">
      <c r="A21" s="139">
        <v>12</v>
      </c>
      <c r="B21" s="22" t="s">
        <v>135</v>
      </c>
      <c r="C21" s="31">
        <f t="shared" si="0"/>
        <v>3.8</v>
      </c>
      <c r="D21" s="31">
        <v>1.5</v>
      </c>
      <c r="E21" s="34">
        <v>0.3</v>
      </c>
      <c r="F21" s="31">
        <v>2</v>
      </c>
      <c r="G21" s="4"/>
      <c r="H21" s="4"/>
      <c r="I21" s="4"/>
      <c r="J21" s="4"/>
      <c r="K21" s="4"/>
      <c r="L21" s="4"/>
      <c r="M21" s="4"/>
      <c r="N21" s="4"/>
    </row>
    <row r="22" spans="1:14" ht="12.6" customHeight="1" x14ac:dyDescent="0.2">
      <c r="A22" s="139">
        <v>13</v>
      </c>
      <c r="B22" s="22" t="s">
        <v>40</v>
      </c>
      <c r="C22" s="31">
        <f t="shared" si="0"/>
        <v>18</v>
      </c>
      <c r="D22" s="31">
        <v>2.5</v>
      </c>
      <c r="E22" s="34">
        <v>0.2</v>
      </c>
      <c r="F22" s="31">
        <v>15.3</v>
      </c>
      <c r="G22" s="4"/>
      <c r="H22" s="4"/>
      <c r="I22" s="4"/>
      <c r="J22" s="4"/>
      <c r="K22" s="4"/>
      <c r="L22" s="4"/>
      <c r="M22" s="4"/>
      <c r="N22" s="4"/>
    </row>
    <row r="23" spans="1:14" ht="12.6" customHeight="1" x14ac:dyDescent="0.2">
      <c r="A23" s="139">
        <v>14</v>
      </c>
      <c r="B23" s="21" t="s">
        <v>209</v>
      </c>
      <c r="C23" s="31">
        <f t="shared" si="0"/>
        <v>8.3000000000000007</v>
      </c>
      <c r="D23" s="31">
        <v>2</v>
      </c>
      <c r="E23" s="34">
        <v>1</v>
      </c>
      <c r="F23" s="31">
        <v>5.3</v>
      </c>
      <c r="G23" s="4"/>
      <c r="H23" s="4"/>
      <c r="I23" s="4"/>
      <c r="J23" s="4"/>
      <c r="K23" s="4"/>
      <c r="L23" s="4"/>
      <c r="M23" s="4"/>
      <c r="N23" s="4"/>
    </row>
    <row r="24" spans="1:14" ht="12.6" customHeight="1" x14ac:dyDescent="0.2">
      <c r="A24" s="139">
        <v>15</v>
      </c>
      <c r="B24" s="22" t="s">
        <v>162</v>
      </c>
      <c r="C24" s="31">
        <f t="shared" si="0"/>
        <v>31.5</v>
      </c>
      <c r="D24" s="31">
        <v>25</v>
      </c>
      <c r="E24" s="34">
        <v>3</v>
      </c>
      <c r="F24" s="31">
        <v>3.5</v>
      </c>
      <c r="G24" s="4"/>
      <c r="H24" s="4"/>
      <c r="I24" s="4"/>
      <c r="J24" s="4"/>
      <c r="K24" s="4"/>
      <c r="L24" s="4"/>
      <c r="M24" s="4"/>
      <c r="N24" s="4"/>
    </row>
    <row r="25" spans="1:14" ht="15" customHeight="1" x14ac:dyDescent="0.2">
      <c r="A25" s="139">
        <v>16</v>
      </c>
      <c r="B25" s="21" t="s">
        <v>163</v>
      </c>
      <c r="C25" s="31">
        <f t="shared" si="0"/>
        <v>4.0999999999999996</v>
      </c>
      <c r="D25" s="31">
        <v>2</v>
      </c>
      <c r="E25" s="34">
        <v>0.1</v>
      </c>
      <c r="F25" s="31">
        <v>2</v>
      </c>
      <c r="G25" s="4"/>
      <c r="H25" s="4"/>
      <c r="I25" s="4"/>
      <c r="J25" s="4"/>
      <c r="K25" s="4"/>
      <c r="L25" s="4"/>
      <c r="M25" s="4"/>
      <c r="N25" s="4"/>
    </row>
    <row r="26" spans="1:14" ht="12.6" customHeight="1" x14ac:dyDescent="0.2">
      <c r="A26" s="139">
        <v>17</v>
      </c>
      <c r="B26" s="22" t="s">
        <v>120</v>
      </c>
      <c r="C26" s="31">
        <f t="shared" si="0"/>
        <v>10.3</v>
      </c>
      <c r="D26" s="31"/>
      <c r="E26" s="34">
        <v>4</v>
      </c>
      <c r="F26" s="31">
        <v>6.3</v>
      </c>
      <c r="G26" s="4"/>
      <c r="H26" s="4"/>
      <c r="I26" s="4"/>
      <c r="J26" s="4"/>
      <c r="K26" s="4"/>
      <c r="L26" s="4"/>
      <c r="M26" s="4"/>
      <c r="N26" s="4"/>
    </row>
    <row r="27" spans="1:14" ht="12.6" customHeight="1" x14ac:dyDescent="0.2">
      <c r="A27" s="139">
        <v>18</v>
      </c>
      <c r="B27" s="22" t="s">
        <v>41</v>
      </c>
      <c r="C27" s="31">
        <f t="shared" si="0"/>
        <v>1.2</v>
      </c>
      <c r="D27" s="31">
        <v>0.4</v>
      </c>
      <c r="E27" s="34">
        <v>0.3</v>
      </c>
      <c r="F27" s="31">
        <v>0.5</v>
      </c>
      <c r="G27" s="4"/>
      <c r="H27" s="4"/>
      <c r="I27" s="4"/>
      <c r="J27" s="4"/>
      <c r="K27" s="4"/>
      <c r="L27" s="4"/>
      <c r="M27" s="4"/>
      <c r="N27" s="4"/>
    </row>
    <row r="28" spans="1:14" ht="12.6" customHeight="1" x14ac:dyDescent="0.2">
      <c r="A28" s="139">
        <v>19</v>
      </c>
      <c r="B28" s="22" t="s">
        <v>136</v>
      </c>
      <c r="C28" s="31">
        <f t="shared" si="0"/>
        <v>50</v>
      </c>
      <c r="D28" s="31"/>
      <c r="E28" s="34">
        <v>2</v>
      </c>
      <c r="F28" s="31">
        <v>48</v>
      </c>
      <c r="G28" s="4"/>
      <c r="H28" s="4"/>
      <c r="I28" s="4"/>
      <c r="J28" s="4"/>
      <c r="K28" s="4"/>
      <c r="L28" s="4"/>
      <c r="M28" s="4"/>
      <c r="N28" s="4"/>
    </row>
    <row r="29" spans="1:14" ht="12.6" customHeight="1" x14ac:dyDescent="0.2">
      <c r="A29" s="301">
        <v>20</v>
      </c>
      <c r="B29" s="303" t="s">
        <v>210</v>
      </c>
      <c r="C29" s="100">
        <v>0.3</v>
      </c>
      <c r="D29" s="100">
        <v>0.2</v>
      </c>
      <c r="E29" s="123">
        <v>0.1</v>
      </c>
      <c r="F29" s="31"/>
      <c r="G29" s="4"/>
      <c r="H29" s="4"/>
      <c r="I29" s="4"/>
      <c r="J29" s="4"/>
      <c r="K29" s="4"/>
      <c r="L29" s="4"/>
      <c r="M29" s="4"/>
      <c r="N29" s="4"/>
    </row>
    <row r="30" spans="1:14" ht="12.6" customHeight="1" x14ac:dyDescent="0.2">
      <c r="A30" s="302"/>
      <c r="B30" s="304"/>
      <c r="C30" s="96">
        <f>+E30+D30+F30</f>
        <v>0.1</v>
      </c>
      <c r="D30" s="96">
        <f>0.2-0.1</f>
        <v>0.1</v>
      </c>
      <c r="E30" s="247">
        <f>0.1-0.1</f>
        <v>0</v>
      </c>
      <c r="F30" s="31"/>
      <c r="G30" s="4">
        <v>-0.1</v>
      </c>
      <c r="H30" s="4">
        <v>-0.1</v>
      </c>
      <c r="I30" s="4"/>
      <c r="J30" s="4"/>
      <c r="K30" s="4"/>
      <c r="L30" s="4"/>
      <c r="M30" s="4"/>
      <c r="N30" s="4"/>
    </row>
    <row r="31" spans="1:14" ht="12.6" customHeight="1" x14ac:dyDescent="0.2">
      <c r="A31" s="139">
        <v>21</v>
      </c>
      <c r="B31" s="140" t="s">
        <v>42</v>
      </c>
      <c r="C31" s="31">
        <f t="shared" si="0"/>
        <v>2.6999999999999997</v>
      </c>
      <c r="D31" s="31">
        <v>0.3</v>
      </c>
      <c r="E31" s="34">
        <v>0.1</v>
      </c>
      <c r="F31" s="31">
        <v>2.2999999999999998</v>
      </c>
      <c r="G31" s="4"/>
      <c r="H31" s="4"/>
      <c r="I31" s="4"/>
      <c r="J31" s="4"/>
      <c r="K31" s="4"/>
      <c r="L31" s="4"/>
      <c r="M31" s="4"/>
      <c r="N31" s="4"/>
    </row>
    <row r="32" spans="1:14" ht="12.6" customHeight="1" x14ac:dyDescent="0.2">
      <c r="A32" s="139">
        <v>22</v>
      </c>
      <c r="B32" s="22" t="s">
        <v>111</v>
      </c>
      <c r="C32" s="31">
        <f t="shared" si="0"/>
        <v>71.2</v>
      </c>
      <c r="D32" s="31">
        <v>33</v>
      </c>
      <c r="E32" s="34"/>
      <c r="F32" s="31">
        <v>38.200000000000003</v>
      </c>
      <c r="G32" s="4"/>
      <c r="H32" s="4"/>
      <c r="I32" s="4"/>
      <c r="J32" s="4"/>
      <c r="K32" s="4"/>
      <c r="L32" s="4"/>
      <c r="M32" s="4"/>
      <c r="N32" s="4"/>
    </row>
    <row r="33" spans="1:14" ht="12.6" customHeight="1" x14ac:dyDescent="0.2">
      <c r="A33" s="139">
        <v>23</v>
      </c>
      <c r="B33" s="21" t="s">
        <v>355</v>
      </c>
      <c r="C33" s="31">
        <f t="shared" si="0"/>
        <v>14</v>
      </c>
      <c r="D33" s="31">
        <v>2</v>
      </c>
      <c r="E33" s="34"/>
      <c r="F33" s="31">
        <v>12</v>
      </c>
      <c r="G33" s="4"/>
      <c r="H33" s="4"/>
      <c r="I33" s="4"/>
      <c r="J33" s="4"/>
      <c r="K33" s="4"/>
      <c r="L33" s="4"/>
      <c r="M33" s="4"/>
      <c r="N33" s="4"/>
    </row>
    <row r="34" spans="1:14" ht="12.6" customHeight="1" x14ac:dyDescent="0.2">
      <c r="A34" s="139">
        <v>24</v>
      </c>
      <c r="B34" s="141" t="s">
        <v>54</v>
      </c>
      <c r="C34" s="31">
        <f t="shared" si="0"/>
        <v>70.5</v>
      </c>
      <c r="D34" s="31"/>
      <c r="E34" s="34"/>
      <c r="F34" s="31">
        <v>70.5</v>
      </c>
      <c r="G34" s="4"/>
      <c r="H34" s="4"/>
      <c r="I34" s="4"/>
      <c r="J34" s="4"/>
      <c r="K34" s="4"/>
      <c r="L34" s="4"/>
      <c r="M34" s="4"/>
      <c r="N34" s="4"/>
    </row>
    <row r="35" spans="1:14" ht="12.6" customHeight="1" x14ac:dyDescent="0.2">
      <c r="A35" s="139">
        <v>25</v>
      </c>
      <c r="B35" s="141" t="s">
        <v>47</v>
      </c>
      <c r="C35" s="31">
        <f t="shared" si="0"/>
        <v>53.5</v>
      </c>
      <c r="D35" s="31">
        <v>0.4</v>
      </c>
      <c r="E35" s="34">
        <v>0.1</v>
      </c>
      <c r="F35" s="31">
        <v>53</v>
      </c>
      <c r="G35" s="4"/>
      <c r="H35" s="4"/>
      <c r="I35" s="4"/>
      <c r="J35" s="4"/>
      <c r="K35" s="4"/>
      <c r="L35" s="4"/>
      <c r="M35" s="4"/>
      <c r="N35" s="4"/>
    </row>
    <row r="36" spans="1:14" ht="12.6" customHeight="1" x14ac:dyDescent="0.2">
      <c r="A36" s="139">
        <v>26</v>
      </c>
      <c r="B36" s="21" t="s">
        <v>48</v>
      </c>
      <c r="C36" s="31">
        <f t="shared" si="0"/>
        <v>64.5</v>
      </c>
      <c r="D36" s="31">
        <v>0.2</v>
      </c>
      <c r="E36" s="34">
        <v>5.3</v>
      </c>
      <c r="F36" s="31">
        <v>59</v>
      </c>
      <c r="G36" s="4"/>
      <c r="H36" s="4"/>
      <c r="I36" s="4"/>
      <c r="J36" s="4"/>
      <c r="K36" s="4"/>
      <c r="L36" s="4"/>
      <c r="M36" s="4"/>
      <c r="N36" s="4"/>
    </row>
    <row r="37" spans="1:14" ht="12.6" customHeight="1" x14ac:dyDescent="0.2">
      <c r="A37" s="139">
        <v>27</v>
      </c>
      <c r="B37" s="141" t="s">
        <v>211</v>
      </c>
      <c r="C37" s="31">
        <f t="shared" si="0"/>
        <v>15.700000000000001</v>
      </c>
      <c r="D37" s="31">
        <v>14.9</v>
      </c>
      <c r="E37" s="34">
        <v>0.8</v>
      </c>
      <c r="F37" s="31"/>
      <c r="G37" s="4"/>
      <c r="H37" s="4"/>
      <c r="I37" s="4"/>
      <c r="J37" s="4"/>
      <c r="K37" s="4"/>
      <c r="L37" s="4"/>
      <c r="M37" s="4"/>
      <c r="N37" s="4"/>
    </row>
    <row r="38" spans="1:14" ht="12.6" customHeight="1" x14ac:dyDescent="0.2">
      <c r="A38" s="139">
        <v>28</v>
      </c>
      <c r="B38" s="21" t="s">
        <v>112</v>
      </c>
      <c r="C38" s="31">
        <f>+E38+D38+F38</f>
        <v>76.5</v>
      </c>
      <c r="D38" s="31">
        <v>23</v>
      </c>
      <c r="E38" s="34">
        <v>36</v>
      </c>
      <c r="F38" s="31">
        <v>17.5</v>
      </c>
      <c r="G38" s="4"/>
      <c r="H38" s="4"/>
      <c r="I38" s="4"/>
      <c r="J38" s="4"/>
      <c r="K38" s="4"/>
      <c r="L38" s="4"/>
      <c r="M38" s="4"/>
      <c r="N38" s="4"/>
    </row>
    <row r="39" spans="1:14" ht="12.6" customHeight="1" x14ac:dyDescent="0.2">
      <c r="A39" s="139">
        <v>29</v>
      </c>
      <c r="B39" s="141" t="s">
        <v>44</v>
      </c>
      <c r="C39" s="31">
        <f t="shared" si="0"/>
        <v>11</v>
      </c>
      <c r="D39" s="31">
        <v>8</v>
      </c>
      <c r="E39" s="34">
        <v>3</v>
      </c>
      <c r="F39" s="31"/>
      <c r="G39" s="4"/>
      <c r="H39" s="4"/>
      <c r="I39" s="4"/>
      <c r="J39" s="4"/>
      <c r="K39" s="4"/>
      <c r="L39" s="4"/>
      <c r="M39" s="4"/>
      <c r="N39" s="4"/>
    </row>
    <row r="40" spans="1:14" ht="12.6" customHeight="1" x14ac:dyDescent="0.2">
      <c r="A40" s="139">
        <v>30</v>
      </c>
      <c r="B40" s="142" t="s">
        <v>49</v>
      </c>
      <c r="C40" s="31">
        <f t="shared" si="0"/>
        <v>2.2999999999999998</v>
      </c>
      <c r="D40" s="31">
        <v>0.8</v>
      </c>
      <c r="E40" s="34">
        <v>1.5</v>
      </c>
      <c r="F40" s="31"/>
      <c r="G40" s="4"/>
      <c r="H40" s="4"/>
      <c r="I40" s="4"/>
      <c r="J40" s="4"/>
      <c r="K40" s="4"/>
      <c r="L40" s="4"/>
      <c r="M40" s="4"/>
      <c r="N40" s="4"/>
    </row>
    <row r="41" spans="1:14" ht="12.6" customHeight="1" x14ac:dyDescent="0.2">
      <c r="A41" s="139">
        <v>31</v>
      </c>
      <c r="B41" s="141" t="s">
        <v>50</v>
      </c>
      <c r="C41" s="31">
        <f t="shared" si="0"/>
        <v>1</v>
      </c>
      <c r="D41" s="31">
        <v>0.5</v>
      </c>
      <c r="E41" s="34">
        <v>0.5</v>
      </c>
      <c r="F41" s="31"/>
      <c r="G41" s="4"/>
      <c r="H41" s="4"/>
      <c r="I41" s="4"/>
      <c r="J41" s="4"/>
      <c r="K41" s="4"/>
      <c r="L41" s="4"/>
      <c r="M41" s="4"/>
      <c r="N41" s="4"/>
    </row>
    <row r="42" spans="1:14" ht="12.6" customHeight="1" x14ac:dyDescent="0.2">
      <c r="A42" s="139">
        <v>32</v>
      </c>
      <c r="B42" s="141" t="s">
        <v>45</v>
      </c>
      <c r="C42" s="31">
        <f t="shared" si="0"/>
        <v>2.2999999999999998</v>
      </c>
      <c r="D42" s="31">
        <v>1.2</v>
      </c>
      <c r="E42" s="34">
        <v>1.1000000000000001</v>
      </c>
      <c r="F42" s="31"/>
      <c r="G42" s="4"/>
      <c r="H42" s="4"/>
      <c r="I42" s="4"/>
      <c r="J42" s="4"/>
      <c r="K42" s="4"/>
      <c r="L42" s="4"/>
      <c r="M42" s="4"/>
      <c r="N42" s="4"/>
    </row>
    <row r="43" spans="1:14" ht="12.6" customHeight="1" x14ac:dyDescent="0.2">
      <c r="A43" s="139">
        <v>33</v>
      </c>
      <c r="B43" s="141" t="s">
        <v>51</v>
      </c>
      <c r="C43" s="31">
        <f t="shared" si="0"/>
        <v>0.4</v>
      </c>
      <c r="D43" s="31">
        <v>0.3</v>
      </c>
      <c r="E43" s="34">
        <v>0.1</v>
      </c>
      <c r="F43" s="31"/>
      <c r="G43" s="4"/>
      <c r="H43" s="4"/>
      <c r="I43" s="4"/>
      <c r="J43" s="4"/>
      <c r="K43" s="4"/>
      <c r="L43" s="4"/>
      <c r="M43" s="4"/>
      <c r="N43" s="4"/>
    </row>
    <row r="44" spans="1:14" x14ac:dyDescent="0.2">
      <c r="A44" s="139">
        <v>34</v>
      </c>
      <c r="B44" s="141" t="s">
        <v>52</v>
      </c>
      <c r="C44" s="31">
        <f t="shared" si="0"/>
        <v>0.5</v>
      </c>
      <c r="D44" s="31">
        <v>0.3</v>
      </c>
      <c r="E44" s="34">
        <v>0.2</v>
      </c>
      <c r="F44" s="31"/>
      <c r="G44" s="4"/>
      <c r="H44" s="4"/>
      <c r="I44" s="4"/>
      <c r="J44" s="4"/>
      <c r="K44" s="4"/>
      <c r="L44" s="4"/>
      <c r="M44" s="4"/>
      <c r="N44" s="4"/>
    </row>
    <row r="45" spans="1:14" ht="25.5" x14ac:dyDescent="0.2">
      <c r="A45" s="139">
        <v>35</v>
      </c>
      <c r="B45" s="140" t="s">
        <v>53</v>
      </c>
      <c r="C45" s="31">
        <f t="shared" si="0"/>
        <v>6.5</v>
      </c>
      <c r="D45" s="31">
        <v>1</v>
      </c>
      <c r="E45" s="34">
        <v>5.5</v>
      </c>
      <c r="F45" s="31"/>
      <c r="G45" s="4"/>
      <c r="H45" s="4"/>
      <c r="I45" s="4"/>
      <c r="J45" s="4"/>
      <c r="K45" s="4"/>
      <c r="L45" s="4"/>
      <c r="M45" s="4"/>
      <c r="N45" s="4"/>
    </row>
    <row r="46" spans="1:14" ht="12.6" customHeight="1" x14ac:dyDescent="0.2">
      <c r="A46" s="139">
        <v>36</v>
      </c>
      <c r="B46" s="141" t="s">
        <v>43</v>
      </c>
      <c r="C46" s="31">
        <f t="shared" si="0"/>
        <v>25.2</v>
      </c>
      <c r="D46" s="31">
        <v>25</v>
      </c>
      <c r="E46" s="34">
        <v>0.2</v>
      </c>
      <c r="F46" s="31"/>
      <c r="G46" s="4"/>
      <c r="H46" s="4"/>
      <c r="I46" s="4"/>
      <c r="J46" s="4"/>
      <c r="K46" s="4"/>
      <c r="L46" s="4"/>
      <c r="M46" s="4"/>
      <c r="N46" s="4"/>
    </row>
    <row r="47" spans="1:14" ht="12.6" customHeight="1" x14ac:dyDescent="0.2">
      <c r="A47" s="139">
        <v>37</v>
      </c>
      <c r="B47" s="22" t="s">
        <v>27</v>
      </c>
      <c r="C47" s="31">
        <f t="shared" si="0"/>
        <v>1</v>
      </c>
      <c r="D47" s="31">
        <v>1</v>
      </c>
      <c r="E47" s="34"/>
      <c r="F47" s="31"/>
      <c r="G47" s="4"/>
      <c r="H47" s="4"/>
      <c r="I47" s="4"/>
      <c r="J47" s="4"/>
      <c r="K47" s="4"/>
      <c r="L47" s="4"/>
      <c r="M47" s="4"/>
      <c r="N47" s="4"/>
    </row>
    <row r="48" spans="1:14" ht="12.6" customHeight="1" x14ac:dyDescent="0.2">
      <c r="A48" s="139">
        <v>38</v>
      </c>
      <c r="B48" s="143" t="s">
        <v>1</v>
      </c>
      <c r="C48" s="31">
        <f t="shared" si="0"/>
        <v>79.8</v>
      </c>
      <c r="D48" s="31">
        <v>79.8</v>
      </c>
      <c r="E48" s="34"/>
      <c r="F48" s="31"/>
      <c r="G48" s="4"/>
      <c r="H48" s="4"/>
      <c r="I48" s="4"/>
      <c r="J48" s="4"/>
      <c r="K48" s="4"/>
      <c r="L48" s="4"/>
      <c r="M48" s="4"/>
      <c r="N48" s="4"/>
    </row>
    <row r="49" spans="1:14" ht="12.6" customHeight="1" x14ac:dyDescent="0.2">
      <c r="A49" s="139">
        <v>39</v>
      </c>
      <c r="B49" s="141" t="s">
        <v>2</v>
      </c>
      <c r="C49" s="31">
        <f t="shared" si="0"/>
        <v>306.39999999999998</v>
      </c>
      <c r="D49" s="31"/>
      <c r="E49" s="34"/>
      <c r="F49" s="31">
        <v>306.39999999999998</v>
      </c>
      <c r="G49" s="4"/>
      <c r="H49" s="4"/>
      <c r="I49" s="4"/>
      <c r="J49" s="4"/>
      <c r="K49" s="4"/>
      <c r="L49" s="4"/>
      <c r="M49" s="4"/>
      <c r="N49" s="4"/>
    </row>
    <row r="50" spans="1:14" ht="12.6" customHeight="1" x14ac:dyDescent="0.2">
      <c r="A50" s="139">
        <v>40</v>
      </c>
      <c r="B50" s="141" t="s">
        <v>15</v>
      </c>
      <c r="C50" s="31">
        <f t="shared" si="0"/>
        <v>229.6</v>
      </c>
      <c r="D50" s="31"/>
      <c r="E50" s="34"/>
      <c r="F50" s="31">
        <v>229.6</v>
      </c>
      <c r="G50" s="4"/>
      <c r="H50" s="4"/>
      <c r="I50" s="4"/>
      <c r="J50" s="4"/>
      <c r="K50" s="4"/>
      <c r="L50" s="4"/>
      <c r="M50" s="4"/>
      <c r="N50" s="4"/>
    </row>
    <row r="51" spans="1:14" ht="12.6" customHeight="1" x14ac:dyDescent="0.2">
      <c r="A51" s="139">
        <v>41</v>
      </c>
      <c r="B51" s="141" t="s">
        <v>212</v>
      </c>
      <c r="C51" s="31">
        <f t="shared" si="0"/>
        <v>230</v>
      </c>
      <c r="D51" s="31"/>
      <c r="E51" s="34"/>
      <c r="F51" s="31">
        <v>230</v>
      </c>
      <c r="G51" s="4"/>
      <c r="H51" s="4"/>
      <c r="I51" s="4"/>
      <c r="J51" s="4"/>
      <c r="K51" s="4"/>
      <c r="L51" s="4"/>
      <c r="M51" s="4"/>
      <c r="N51" s="4"/>
    </row>
    <row r="52" spans="1:14" ht="12.6" customHeight="1" x14ac:dyDescent="0.2">
      <c r="A52" s="139">
        <v>42</v>
      </c>
      <c r="B52" s="24" t="s">
        <v>147</v>
      </c>
      <c r="C52" s="31">
        <f t="shared" si="0"/>
        <v>12</v>
      </c>
      <c r="D52" s="31"/>
      <c r="E52" s="34"/>
      <c r="F52" s="31">
        <v>12</v>
      </c>
      <c r="G52" s="4"/>
      <c r="H52" s="4"/>
      <c r="I52" s="4"/>
      <c r="J52" s="4"/>
      <c r="K52" s="4"/>
      <c r="L52" s="4"/>
      <c r="M52" s="4"/>
      <c r="N52" s="4"/>
    </row>
    <row r="53" spans="1:14" ht="12.6" customHeight="1" x14ac:dyDescent="0.2">
      <c r="A53" s="139">
        <v>43</v>
      </c>
      <c r="B53" s="140" t="s">
        <v>213</v>
      </c>
      <c r="C53" s="31">
        <f t="shared" si="0"/>
        <v>13.2</v>
      </c>
      <c r="D53" s="31">
        <v>13.2</v>
      </c>
      <c r="E53" s="34"/>
      <c r="F53" s="31"/>
      <c r="G53" s="4"/>
      <c r="H53" s="4"/>
      <c r="I53" s="4"/>
      <c r="J53" s="4"/>
      <c r="K53" s="4"/>
      <c r="L53" s="4"/>
      <c r="M53" s="4"/>
      <c r="N53" s="4"/>
    </row>
    <row r="54" spans="1:14" x14ac:dyDescent="0.2">
      <c r="A54" s="139">
        <v>44</v>
      </c>
      <c r="B54" s="144" t="s">
        <v>3</v>
      </c>
      <c r="C54" s="31">
        <f t="shared" si="0"/>
        <v>22.9</v>
      </c>
      <c r="D54" s="31"/>
      <c r="E54" s="34">
        <v>22.9</v>
      </c>
      <c r="F54" s="31"/>
      <c r="G54" s="4"/>
      <c r="H54" s="4"/>
      <c r="I54" s="4"/>
      <c r="J54" s="4"/>
      <c r="K54" s="4"/>
      <c r="L54" s="4"/>
      <c r="M54" s="4"/>
      <c r="N54" s="4"/>
    </row>
    <row r="55" spans="1:14" ht="25.5" x14ac:dyDescent="0.2">
      <c r="A55" s="139">
        <v>45</v>
      </c>
      <c r="B55" s="140" t="s">
        <v>8</v>
      </c>
      <c r="C55" s="31">
        <f t="shared" si="0"/>
        <v>13.4</v>
      </c>
      <c r="D55" s="31">
        <v>0.3</v>
      </c>
      <c r="E55" s="34">
        <v>13.1</v>
      </c>
      <c r="F55" s="31"/>
      <c r="G55" s="4"/>
      <c r="H55" s="4"/>
      <c r="I55" s="4"/>
      <c r="J55" s="4"/>
      <c r="K55" s="4"/>
      <c r="L55" s="4"/>
      <c r="M55" s="4"/>
      <c r="N55" s="4"/>
    </row>
    <row r="56" spans="1:14" ht="12.6" customHeight="1" x14ac:dyDescent="0.2">
      <c r="A56" s="139">
        <v>46</v>
      </c>
      <c r="B56" s="140" t="s">
        <v>4</v>
      </c>
      <c r="C56" s="31">
        <f t="shared" si="0"/>
        <v>2.9</v>
      </c>
      <c r="D56" s="31"/>
      <c r="E56" s="34">
        <v>2.9</v>
      </c>
      <c r="F56" s="31"/>
      <c r="G56" s="4"/>
      <c r="H56" s="4"/>
      <c r="I56" s="4"/>
      <c r="J56" s="4"/>
      <c r="K56" s="4"/>
      <c r="L56" s="4"/>
      <c r="M56" s="4"/>
      <c r="N56" s="4"/>
    </row>
    <row r="57" spans="1:14" ht="12.6" customHeight="1" x14ac:dyDescent="0.2">
      <c r="A57" s="139">
        <v>47</v>
      </c>
      <c r="B57" s="140" t="s">
        <v>5</v>
      </c>
      <c r="C57" s="31">
        <f t="shared" si="0"/>
        <v>4.9000000000000004</v>
      </c>
      <c r="D57" s="31">
        <v>2.7</v>
      </c>
      <c r="E57" s="34">
        <v>2.2000000000000002</v>
      </c>
      <c r="F57" s="31"/>
      <c r="G57" s="4"/>
      <c r="H57" s="4"/>
      <c r="I57" s="4"/>
      <c r="J57" s="4"/>
      <c r="K57" s="4"/>
      <c r="L57" s="4"/>
      <c r="M57" s="4"/>
      <c r="N57" s="4"/>
    </row>
    <row r="58" spans="1:14" ht="12.6" customHeight="1" x14ac:dyDescent="0.2">
      <c r="A58" s="139">
        <v>48</v>
      </c>
      <c r="B58" s="140" t="s">
        <v>7</v>
      </c>
      <c r="C58" s="31">
        <f t="shared" si="0"/>
        <v>11.2</v>
      </c>
      <c r="D58" s="31">
        <v>3</v>
      </c>
      <c r="E58" s="34">
        <v>8.1999999999999993</v>
      </c>
      <c r="F58" s="31"/>
      <c r="G58" s="4"/>
      <c r="H58" s="4"/>
      <c r="I58" s="4"/>
      <c r="J58" s="4"/>
      <c r="K58" s="4"/>
      <c r="L58" s="4"/>
      <c r="M58" s="4"/>
      <c r="N58" s="4"/>
    </row>
    <row r="59" spans="1:14" ht="12.6" customHeight="1" x14ac:dyDescent="0.2">
      <c r="A59" s="139">
        <v>49</v>
      </c>
      <c r="B59" s="140" t="s">
        <v>6</v>
      </c>
      <c r="C59" s="31">
        <f t="shared" si="0"/>
        <v>1.6</v>
      </c>
      <c r="D59" s="31">
        <v>0.6</v>
      </c>
      <c r="E59" s="34">
        <v>1</v>
      </c>
      <c r="F59" s="31"/>
      <c r="G59" s="4"/>
      <c r="H59" s="4"/>
      <c r="I59" s="4"/>
      <c r="J59" s="4"/>
      <c r="K59" s="4"/>
      <c r="L59" s="4"/>
      <c r="M59" s="4"/>
      <c r="N59" s="4"/>
    </row>
    <row r="60" spans="1:14" ht="12.6" customHeight="1" x14ac:dyDescent="0.2">
      <c r="A60" s="139">
        <v>50</v>
      </c>
      <c r="B60" s="140" t="s">
        <v>9</v>
      </c>
      <c r="C60" s="31">
        <f t="shared" si="0"/>
        <v>3.4</v>
      </c>
      <c r="D60" s="31"/>
      <c r="E60" s="34">
        <v>3.4</v>
      </c>
      <c r="F60" s="31"/>
      <c r="G60" s="4"/>
      <c r="H60" s="4"/>
      <c r="I60" s="4"/>
      <c r="J60" s="4"/>
      <c r="K60" s="4"/>
      <c r="L60" s="4"/>
      <c r="M60" s="4"/>
      <c r="N60" s="4"/>
    </row>
    <row r="61" spans="1:14" ht="12.6" customHeight="1" x14ac:dyDescent="0.2">
      <c r="A61" s="139">
        <v>51</v>
      </c>
      <c r="B61" s="143" t="s">
        <v>10</v>
      </c>
      <c r="C61" s="31">
        <f t="shared" si="0"/>
        <v>0.6</v>
      </c>
      <c r="D61" s="31"/>
      <c r="E61" s="34">
        <v>0.6</v>
      </c>
      <c r="F61" s="31"/>
      <c r="G61" s="4"/>
      <c r="H61" s="4"/>
      <c r="I61" s="4"/>
      <c r="J61" s="4"/>
      <c r="K61" s="4"/>
      <c r="L61" s="4"/>
      <c r="M61" s="4"/>
      <c r="N61" s="4"/>
    </row>
    <row r="62" spans="1:14" ht="12.6" customHeight="1" x14ac:dyDescent="0.2">
      <c r="A62" s="139">
        <v>52</v>
      </c>
      <c r="B62" s="140" t="s">
        <v>12</v>
      </c>
      <c r="C62" s="31">
        <f t="shared" si="0"/>
        <v>1.1000000000000001</v>
      </c>
      <c r="D62" s="31">
        <v>0.1</v>
      </c>
      <c r="E62" s="34">
        <v>1</v>
      </c>
      <c r="F62" s="31"/>
      <c r="G62" s="4"/>
      <c r="H62" s="4"/>
      <c r="I62" s="4"/>
      <c r="J62" s="4"/>
      <c r="K62" s="4"/>
      <c r="L62" s="4"/>
      <c r="M62" s="4"/>
      <c r="N62" s="4"/>
    </row>
    <row r="63" spans="1:14" ht="12.6" customHeight="1" x14ac:dyDescent="0.2">
      <c r="A63" s="139">
        <v>53</v>
      </c>
      <c r="B63" s="140" t="s">
        <v>11</v>
      </c>
      <c r="C63" s="31">
        <f t="shared" si="0"/>
        <v>1.2</v>
      </c>
      <c r="D63" s="31">
        <v>0.6</v>
      </c>
      <c r="E63" s="34">
        <v>0.6</v>
      </c>
      <c r="F63" s="31"/>
      <c r="G63" s="4"/>
      <c r="H63" s="4"/>
      <c r="I63" s="4"/>
      <c r="J63" s="4"/>
      <c r="K63" s="4"/>
      <c r="L63" s="4"/>
      <c r="M63" s="4"/>
      <c r="N63" s="4"/>
    </row>
    <row r="64" spans="1:14" ht="12.6" customHeight="1" x14ac:dyDescent="0.2">
      <c r="A64" s="139">
        <v>54</v>
      </c>
      <c r="B64" s="140" t="s">
        <v>13</v>
      </c>
      <c r="C64" s="31">
        <f t="shared" si="0"/>
        <v>3.3</v>
      </c>
      <c r="D64" s="31">
        <v>2</v>
      </c>
      <c r="E64" s="34">
        <v>1.3</v>
      </c>
      <c r="F64" s="31"/>
      <c r="G64" s="4"/>
      <c r="H64" s="4"/>
      <c r="I64" s="4"/>
      <c r="J64" s="4"/>
      <c r="K64" s="4"/>
      <c r="L64" s="4"/>
      <c r="M64" s="4"/>
      <c r="N64" s="4"/>
    </row>
    <row r="65" spans="1:14" ht="12.6" customHeight="1" x14ac:dyDescent="0.2">
      <c r="A65" s="139">
        <v>55</v>
      </c>
      <c r="B65" s="140" t="s">
        <v>14</v>
      </c>
      <c r="C65" s="31">
        <f t="shared" si="0"/>
        <v>0.5</v>
      </c>
      <c r="D65" s="31"/>
      <c r="E65" s="34">
        <v>0.5</v>
      </c>
      <c r="F65" s="31"/>
      <c r="G65" s="4"/>
      <c r="H65" s="4"/>
      <c r="I65" s="4"/>
      <c r="J65" s="4"/>
      <c r="K65" s="4"/>
      <c r="L65" s="4"/>
      <c r="M65" s="4"/>
      <c r="N65" s="4"/>
    </row>
    <row r="66" spans="1:14" x14ac:dyDescent="0.2">
      <c r="A66" s="265"/>
      <c r="B66" s="266" t="s">
        <v>214</v>
      </c>
      <c r="C66" s="35">
        <v>2083</v>
      </c>
      <c r="D66" s="35">
        <v>259.10000000000002</v>
      </c>
      <c r="E66" s="35">
        <v>148.69999999999999</v>
      </c>
      <c r="F66" s="35">
        <f>SUM(F9:F65)</f>
        <v>1675.1999999999998</v>
      </c>
      <c r="G66" s="4"/>
      <c r="H66" s="4"/>
      <c r="I66" s="4"/>
      <c r="J66" s="4"/>
      <c r="K66" s="4"/>
      <c r="L66" s="4"/>
      <c r="M66" s="4"/>
      <c r="N66" s="4"/>
    </row>
    <row r="67" spans="1:14" x14ac:dyDescent="0.2">
      <c r="E67" s="32"/>
    </row>
    <row r="68" spans="1:14" x14ac:dyDescent="0.2">
      <c r="A68" s="296" t="s">
        <v>215</v>
      </c>
      <c r="B68" s="296"/>
      <c r="C68" s="296"/>
      <c r="D68" s="296"/>
      <c r="E68" s="296"/>
      <c r="F68" s="296"/>
    </row>
    <row r="69" spans="1:14" x14ac:dyDescent="0.2">
      <c r="C69" s="4"/>
      <c r="D69" s="4"/>
      <c r="E69" s="32"/>
      <c r="F69" s="4"/>
    </row>
    <row r="70" spans="1:14" x14ac:dyDescent="0.2">
      <c r="C70" s="4"/>
      <c r="D70" s="4"/>
      <c r="E70" s="4"/>
      <c r="F70" s="4"/>
    </row>
    <row r="71" spans="1:14" x14ac:dyDescent="0.2">
      <c r="C71" s="4"/>
      <c r="D71" s="4"/>
      <c r="E71" s="4"/>
      <c r="F71" s="4"/>
      <c r="G71" s="4"/>
      <c r="H71" s="4"/>
    </row>
    <row r="72" spans="1:14" x14ac:dyDescent="0.2">
      <c r="G72" s="4"/>
    </row>
    <row r="73" spans="1:14" x14ac:dyDescent="0.2">
      <c r="G73" s="4"/>
    </row>
    <row r="76" spans="1:14" x14ac:dyDescent="0.2">
      <c r="B76" s="36"/>
    </row>
  </sheetData>
  <mergeCells count="12">
    <mergeCell ref="D6:F6"/>
    <mergeCell ref="B1:F1"/>
    <mergeCell ref="A68:F68"/>
    <mergeCell ref="E2:F2"/>
    <mergeCell ref="A4:F4"/>
    <mergeCell ref="A6:A7"/>
    <mergeCell ref="B6:B7"/>
    <mergeCell ref="C6:C7"/>
    <mergeCell ref="A19:A20"/>
    <mergeCell ref="B19:B20"/>
    <mergeCell ref="B29:B30"/>
    <mergeCell ref="A29:A30"/>
  </mergeCells>
  <pageMargins left="0.31496062992125984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71"/>
  <sheetViews>
    <sheetView topLeftCell="A412" zoomScaleNormal="100" workbookViewId="0">
      <selection activeCell="C441" sqref="C441"/>
    </sheetView>
  </sheetViews>
  <sheetFormatPr defaultColWidth="9.140625" defaultRowHeight="12.75" x14ac:dyDescent="0.2"/>
  <cols>
    <col min="1" max="1" width="5.85546875" style="5" customWidth="1"/>
    <col min="2" max="2" width="6.7109375" style="6" customWidth="1"/>
    <col min="3" max="3" width="51.28515625" style="3" customWidth="1"/>
    <col min="4" max="4" width="11.42578125" style="7" customWidth="1"/>
    <col min="5" max="5" width="9.7109375" style="3" customWidth="1"/>
    <col min="6" max="6" width="11" style="3" customWidth="1"/>
    <col min="7" max="16384" width="9.140625" style="2"/>
  </cols>
  <sheetData>
    <row r="1" spans="1:11" ht="15.75" x14ac:dyDescent="0.25">
      <c r="C1" s="297" t="s">
        <v>992</v>
      </c>
      <c r="D1" s="297"/>
      <c r="E1" s="297"/>
      <c r="F1" s="297"/>
    </row>
    <row r="2" spans="1:11" ht="14.25" customHeight="1" x14ac:dyDescent="0.2">
      <c r="B2" s="7"/>
      <c r="E2" s="373" t="s">
        <v>115</v>
      </c>
      <c r="F2" s="373"/>
      <c r="K2" s="145"/>
    </row>
    <row r="3" spans="1:11" ht="15.75" x14ac:dyDescent="0.2">
      <c r="B3" s="7"/>
      <c r="E3" s="33"/>
      <c r="F3" s="33"/>
    </row>
    <row r="4" spans="1:11" ht="25.5" customHeight="1" x14ac:dyDescent="0.2">
      <c r="A4" s="374" t="s">
        <v>575</v>
      </c>
      <c r="B4" s="374"/>
      <c r="C4" s="374"/>
      <c r="D4" s="374"/>
      <c r="E4" s="374"/>
      <c r="F4" s="374"/>
    </row>
    <row r="5" spans="1:11" x14ac:dyDescent="0.2">
      <c r="A5" s="137"/>
      <c r="B5" s="29"/>
      <c r="C5" s="29"/>
      <c r="D5" s="29"/>
      <c r="E5" s="29"/>
      <c r="F5" s="29"/>
    </row>
    <row r="6" spans="1:11" x14ac:dyDescent="0.2">
      <c r="B6" s="7"/>
      <c r="E6" s="5"/>
      <c r="F6" s="42" t="s">
        <v>129</v>
      </c>
    </row>
    <row r="7" spans="1:11" ht="43.5" customHeight="1" x14ac:dyDescent="0.2">
      <c r="A7" s="146" t="s">
        <v>118</v>
      </c>
      <c r="B7" s="9" t="s">
        <v>356</v>
      </c>
      <c r="C7" s="8" t="s">
        <v>16</v>
      </c>
      <c r="D7" s="9" t="s">
        <v>55</v>
      </c>
      <c r="E7" s="8" t="s">
        <v>17</v>
      </c>
      <c r="F7" s="8" t="s">
        <v>29</v>
      </c>
    </row>
    <row r="8" spans="1:11" ht="13.5" customHeight="1" x14ac:dyDescent="0.2">
      <c r="A8" s="82">
        <v>1</v>
      </c>
      <c r="B8" s="11" t="s">
        <v>18</v>
      </c>
      <c r="C8" s="8">
        <v>3</v>
      </c>
      <c r="D8" s="9">
        <v>4</v>
      </c>
      <c r="E8" s="8">
        <v>5</v>
      </c>
      <c r="F8" s="8">
        <v>6</v>
      </c>
    </row>
    <row r="9" spans="1:11" ht="15.75" customHeight="1" x14ac:dyDescent="0.2">
      <c r="A9" s="305">
        <v>1</v>
      </c>
      <c r="B9" s="314" t="s">
        <v>56</v>
      </c>
      <c r="C9" s="363" t="s">
        <v>57</v>
      </c>
      <c r="D9" s="365"/>
      <c r="E9" s="124">
        <v>14542.7</v>
      </c>
      <c r="F9" s="124">
        <v>10201.5</v>
      </c>
    </row>
    <row r="10" spans="1:11" ht="20.100000000000001" customHeight="1" x14ac:dyDescent="0.2">
      <c r="A10" s="306"/>
      <c r="B10" s="315"/>
      <c r="C10" s="364"/>
      <c r="D10" s="366"/>
      <c r="E10" s="53">
        <f>+E12+E14+E16+E18+E20+E22+E24+E26+E28+E30+E32+E34+E36+E38+E40+E42+E44+E46+E48+E50+E52+E54+E55+E57+E59+E62+E64+E67+E69+E71</f>
        <v>16000.399999999998</v>
      </c>
      <c r="F10" s="53">
        <f>+F12+F14+F16+F18+F20+F22+F24+F26+F28+F30+F32+F34+F36+F38+F40+F42+F44+F46+F48+F50+F52+F54+F55+F57+F59+F62+F64+F67+F69+F71</f>
        <v>11114.6</v>
      </c>
      <c r="I10" s="147"/>
      <c r="J10" s="147"/>
    </row>
    <row r="11" spans="1:11" ht="13.5" customHeight="1" x14ac:dyDescent="0.2">
      <c r="A11" s="305">
        <v>2</v>
      </c>
      <c r="B11" s="314"/>
      <c r="C11" s="347" t="s">
        <v>165</v>
      </c>
      <c r="D11" s="307" t="s">
        <v>58</v>
      </c>
      <c r="E11" s="123">
        <v>447.7</v>
      </c>
      <c r="F11" s="123">
        <v>354.9</v>
      </c>
      <c r="I11" s="147"/>
      <c r="J11" s="147"/>
    </row>
    <row r="12" spans="1:11" ht="12.6" customHeight="1" x14ac:dyDescent="0.2">
      <c r="A12" s="306"/>
      <c r="B12" s="315"/>
      <c r="C12" s="348"/>
      <c r="D12" s="308"/>
      <c r="E12" s="128">
        <f>447.7+32.9</f>
        <v>480.59999999999997</v>
      </c>
      <c r="F12" s="128">
        <f>354.9+32.2</f>
        <v>387.09999999999997</v>
      </c>
      <c r="G12" s="2">
        <v>32.9</v>
      </c>
      <c r="H12" s="2">
        <v>32.200000000000003</v>
      </c>
    </row>
    <row r="13" spans="1:11" ht="12.6" customHeight="1" x14ac:dyDescent="0.2">
      <c r="A13" s="305">
        <v>3</v>
      </c>
      <c r="B13" s="314"/>
      <c r="C13" s="347" t="s">
        <v>156</v>
      </c>
      <c r="D13" s="307" t="s">
        <v>58</v>
      </c>
      <c r="E13" s="127">
        <v>486.3</v>
      </c>
      <c r="F13" s="127">
        <v>387.8</v>
      </c>
    </row>
    <row r="14" spans="1:11" ht="12.6" customHeight="1" x14ac:dyDescent="0.2">
      <c r="A14" s="306"/>
      <c r="B14" s="315"/>
      <c r="C14" s="348"/>
      <c r="D14" s="308"/>
      <c r="E14" s="128">
        <f>486.3+35.9</f>
        <v>522.20000000000005</v>
      </c>
      <c r="F14" s="128">
        <f>387.8+35.2</f>
        <v>423</v>
      </c>
      <c r="G14" s="2">
        <v>35.9</v>
      </c>
      <c r="H14" s="2">
        <v>35.200000000000003</v>
      </c>
    </row>
    <row r="15" spans="1:11" ht="12.6" customHeight="1" x14ac:dyDescent="0.2">
      <c r="A15" s="305">
        <v>4</v>
      </c>
      <c r="B15" s="307"/>
      <c r="C15" s="347" t="s">
        <v>157</v>
      </c>
      <c r="D15" s="307" t="s">
        <v>58</v>
      </c>
      <c r="E15" s="127">
        <v>448.2</v>
      </c>
      <c r="F15" s="127">
        <v>351.9</v>
      </c>
    </row>
    <row r="16" spans="1:11" ht="12.6" customHeight="1" x14ac:dyDescent="0.2">
      <c r="A16" s="306"/>
      <c r="B16" s="308"/>
      <c r="C16" s="348"/>
      <c r="D16" s="308"/>
      <c r="E16" s="128">
        <f>448.2+32.6</f>
        <v>480.8</v>
      </c>
      <c r="F16" s="128">
        <f>351.9+31.9</f>
        <v>383.79999999999995</v>
      </c>
      <c r="G16" s="2">
        <v>32.6</v>
      </c>
      <c r="H16" s="2">
        <v>31.9</v>
      </c>
    </row>
    <row r="17" spans="1:8" ht="12.6" customHeight="1" x14ac:dyDescent="0.2">
      <c r="A17" s="305">
        <v>5</v>
      </c>
      <c r="B17" s="307"/>
      <c r="C17" s="347" t="s">
        <v>161</v>
      </c>
      <c r="D17" s="307" t="s">
        <v>58</v>
      </c>
      <c r="E17" s="127">
        <v>450.2</v>
      </c>
      <c r="F17" s="127">
        <v>352.9</v>
      </c>
    </row>
    <row r="18" spans="1:8" ht="12.6" customHeight="1" x14ac:dyDescent="0.2">
      <c r="A18" s="306"/>
      <c r="B18" s="308"/>
      <c r="C18" s="348"/>
      <c r="D18" s="308"/>
      <c r="E18" s="128">
        <f>450.2+32.7</f>
        <v>482.9</v>
      </c>
      <c r="F18" s="128">
        <f>352.9+32</f>
        <v>384.9</v>
      </c>
      <c r="G18" s="2">
        <v>32.700000000000003</v>
      </c>
      <c r="H18" s="2">
        <v>32</v>
      </c>
    </row>
    <row r="19" spans="1:8" ht="12.6" customHeight="1" x14ac:dyDescent="0.2">
      <c r="A19" s="305">
        <v>6</v>
      </c>
      <c r="B19" s="307"/>
      <c r="C19" s="347" t="s">
        <v>158</v>
      </c>
      <c r="D19" s="307" t="s">
        <v>58</v>
      </c>
      <c r="E19" s="127">
        <v>468.8</v>
      </c>
      <c r="F19" s="127">
        <v>369.8</v>
      </c>
    </row>
    <row r="20" spans="1:8" ht="12.6" customHeight="1" x14ac:dyDescent="0.2">
      <c r="A20" s="306"/>
      <c r="B20" s="308"/>
      <c r="C20" s="348"/>
      <c r="D20" s="308"/>
      <c r="E20" s="128">
        <f>468.8+34.3</f>
        <v>503.1</v>
      </c>
      <c r="F20" s="128">
        <f>369.8+33.6</f>
        <v>403.40000000000003</v>
      </c>
      <c r="G20" s="2">
        <v>34.299999999999997</v>
      </c>
      <c r="H20" s="2">
        <v>33.6</v>
      </c>
    </row>
    <row r="21" spans="1:8" ht="12.6" customHeight="1" x14ac:dyDescent="0.2">
      <c r="A21" s="305">
        <v>7</v>
      </c>
      <c r="B21" s="307"/>
      <c r="C21" s="347" t="s">
        <v>159</v>
      </c>
      <c r="D21" s="307" t="s">
        <v>58</v>
      </c>
      <c r="E21" s="127">
        <v>541.5</v>
      </c>
      <c r="F21" s="127">
        <v>435.1</v>
      </c>
    </row>
    <row r="22" spans="1:8" ht="12.6" customHeight="1" x14ac:dyDescent="0.2">
      <c r="A22" s="306"/>
      <c r="B22" s="308"/>
      <c r="C22" s="348"/>
      <c r="D22" s="308"/>
      <c r="E22" s="128">
        <f>541.5+40.3</f>
        <v>581.79999999999995</v>
      </c>
      <c r="F22" s="128">
        <f>435.1+39.5</f>
        <v>474.6</v>
      </c>
      <c r="G22" s="2">
        <v>40.299999999999997</v>
      </c>
      <c r="H22" s="2">
        <v>39.5</v>
      </c>
    </row>
    <row r="23" spans="1:8" ht="12.6" customHeight="1" x14ac:dyDescent="0.2">
      <c r="A23" s="305">
        <v>8</v>
      </c>
      <c r="B23" s="307"/>
      <c r="C23" s="347" t="s">
        <v>160</v>
      </c>
      <c r="D23" s="307" t="s">
        <v>58</v>
      </c>
      <c r="E23" s="127">
        <v>510</v>
      </c>
      <c r="F23" s="127">
        <v>396.3</v>
      </c>
    </row>
    <row r="24" spans="1:8" ht="12.6" customHeight="1" x14ac:dyDescent="0.2">
      <c r="A24" s="306"/>
      <c r="B24" s="308"/>
      <c r="C24" s="348"/>
      <c r="D24" s="308"/>
      <c r="E24" s="128">
        <f>510+36.7</f>
        <v>546.70000000000005</v>
      </c>
      <c r="F24" s="128">
        <f>396.3+36</f>
        <v>432.3</v>
      </c>
      <c r="G24" s="2">
        <v>36.700000000000003</v>
      </c>
      <c r="H24" s="2">
        <v>36</v>
      </c>
    </row>
    <row r="25" spans="1:8" ht="12.6" customHeight="1" x14ac:dyDescent="0.2">
      <c r="A25" s="305">
        <v>9</v>
      </c>
      <c r="B25" s="307"/>
      <c r="C25" s="303" t="s">
        <v>184</v>
      </c>
      <c r="D25" s="307" t="s">
        <v>59</v>
      </c>
      <c r="E25" s="127">
        <v>444.6</v>
      </c>
      <c r="F25" s="127">
        <v>346.2</v>
      </c>
    </row>
    <row r="26" spans="1:8" ht="12.6" customHeight="1" x14ac:dyDescent="0.2">
      <c r="A26" s="306"/>
      <c r="B26" s="308"/>
      <c r="C26" s="304"/>
      <c r="D26" s="308"/>
      <c r="E26" s="128">
        <f>444.6+32.1</f>
        <v>476.70000000000005</v>
      </c>
      <c r="F26" s="128">
        <f>346.2+31.4</f>
        <v>377.59999999999997</v>
      </c>
      <c r="G26" s="2">
        <v>32.1</v>
      </c>
      <c r="H26" s="2">
        <v>31.4</v>
      </c>
    </row>
    <row r="27" spans="1:8" ht="12.6" customHeight="1" x14ac:dyDescent="0.2">
      <c r="A27" s="305">
        <v>10</v>
      </c>
      <c r="B27" s="307"/>
      <c r="C27" s="347" t="s">
        <v>164</v>
      </c>
      <c r="D27" s="307" t="s">
        <v>60</v>
      </c>
      <c r="E27" s="127">
        <v>459.3</v>
      </c>
      <c r="F27" s="127">
        <v>307.8</v>
      </c>
    </row>
    <row r="28" spans="1:8" ht="12.6" customHeight="1" x14ac:dyDescent="0.2">
      <c r="A28" s="306"/>
      <c r="B28" s="308"/>
      <c r="C28" s="348"/>
      <c r="D28" s="308"/>
      <c r="E28" s="128">
        <f>459.3+28.5</f>
        <v>487.8</v>
      </c>
      <c r="F28" s="128">
        <f>307.8+27.9</f>
        <v>335.7</v>
      </c>
      <c r="G28" s="2">
        <v>28.5</v>
      </c>
      <c r="H28" s="2">
        <v>27.9</v>
      </c>
    </row>
    <row r="29" spans="1:8" ht="12.6" customHeight="1" x14ac:dyDescent="0.2">
      <c r="A29" s="305">
        <v>11</v>
      </c>
      <c r="B29" s="307"/>
      <c r="C29" s="347" t="s">
        <v>46</v>
      </c>
      <c r="D29" s="316" t="s">
        <v>119</v>
      </c>
      <c r="E29" s="127">
        <v>420</v>
      </c>
      <c r="F29" s="127">
        <v>258</v>
      </c>
    </row>
    <row r="30" spans="1:8" x14ac:dyDescent="0.2">
      <c r="A30" s="306"/>
      <c r="B30" s="308"/>
      <c r="C30" s="348"/>
      <c r="D30" s="317"/>
      <c r="E30" s="128">
        <f>420+28.4</f>
        <v>448.4</v>
      </c>
      <c r="F30" s="128">
        <f>258+23.4</f>
        <v>281.39999999999998</v>
      </c>
      <c r="G30" s="2">
        <v>28.4</v>
      </c>
      <c r="H30" s="2">
        <v>23.4</v>
      </c>
    </row>
    <row r="31" spans="1:8" x14ac:dyDescent="0.2">
      <c r="A31" s="305">
        <v>12</v>
      </c>
      <c r="B31" s="307"/>
      <c r="C31" s="303" t="s">
        <v>134</v>
      </c>
      <c r="D31" s="307" t="s">
        <v>60</v>
      </c>
      <c r="E31" s="127">
        <v>944.7</v>
      </c>
      <c r="F31" s="127">
        <v>679.6</v>
      </c>
    </row>
    <row r="32" spans="1:8" ht="12.6" customHeight="1" x14ac:dyDescent="0.2">
      <c r="A32" s="306"/>
      <c r="B32" s="308"/>
      <c r="C32" s="304"/>
      <c r="D32" s="308"/>
      <c r="E32" s="128">
        <f>944.7+63+12.2+78.8</f>
        <v>1098.7</v>
      </c>
      <c r="F32" s="128">
        <f>679.6+61.8+12+38.1</f>
        <v>791.5</v>
      </c>
      <c r="G32" s="2">
        <f>63+12.2+78.8</f>
        <v>154</v>
      </c>
      <c r="H32" s="2">
        <f>61.8+12+38.1</f>
        <v>111.9</v>
      </c>
    </row>
    <row r="33" spans="1:8" ht="12.6" customHeight="1" x14ac:dyDescent="0.2">
      <c r="A33" s="305">
        <v>13</v>
      </c>
      <c r="B33" s="307"/>
      <c r="C33" s="303" t="s">
        <v>135</v>
      </c>
      <c r="D33" s="307" t="s">
        <v>60</v>
      </c>
      <c r="E33" s="127">
        <v>407</v>
      </c>
      <c r="F33" s="127">
        <v>278.60000000000002</v>
      </c>
    </row>
    <row r="34" spans="1:8" ht="12.6" customHeight="1" x14ac:dyDescent="0.2">
      <c r="A34" s="306"/>
      <c r="B34" s="308"/>
      <c r="C34" s="304"/>
      <c r="D34" s="308"/>
      <c r="E34" s="128">
        <f>407+25.9</f>
        <v>432.9</v>
      </c>
      <c r="F34" s="128">
        <f>278.6+25.4</f>
        <v>304</v>
      </c>
      <c r="G34" s="2">
        <v>25.9</v>
      </c>
      <c r="H34" s="2">
        <v>25.4</v>
      </c>
    </row>
    <row r="35" spans="1:8" ht="12.6" customHeight="1" x14ac:dyDescent="0.2">
      <c r="A35" s="305">
        <v>14</v>
      </c>
      <c r="B35" s="307"/>
      <c r="C35" s="303" t="s">
        <v>40</v>
      </c>
      <c r="D35" s="307" t="s">
        <v>60</v>
      </c>
      <c r="E35" s="127">
        <v>948.2</v>
      </c>
      <c r="F35" s="127">
        <v>655.1</v>
      </c>
    </row>
    <row r="36" spans="1:8" ht="12.6" customHeight="1" x14ac:dyDescent="0.2">
      <c r="A36" s="306"/>
      <c r="B36" s="308"/>
      <c r="C36" s="304"/>
      <c r="D36" s="308"/>
      <c r="E36" s="128">
        <f>948.2+60.7</f>
        <v>1008.9000000000001</v>
      </c>
      <c r="F36" s="128">
        <f>655.1+59.5</f>
        <v>714.6</v>
      </c>
      <c r="G36" s="2">
        <v>60.7</v>
      </c>
      <c r="H36" s="2">
        <v>59.5</v>
      </c>
    </row>
    <row r="37" spans="1:8" ht="12.6" customHeight="1" x14ac:dyDescent="0.2">
      <c r="A37" s="305">
        <v>15</v>
      </c>
      <c r="B37" s="307"/>
      <c r="C37" s="347" t="s">
        <v>137</v>
      </c>
      <c r="D37" s="307" t="s">
        <v>60</v>
      </c>
      <c r="E37" s="127">
        <v>690.1</v>
      </c>
      <c r="F37" s="127">
        <v>435</v>
      </c>
    </row>
    <row r="38" spans="1:8" ht="12.6" customHeight="1" x14ac:dyDescent="0.2">
      <c r="A38" s="306"/>
      <c r="B38" s="308"/>
      <c r="C38" s="348"/>
      <c r="D38" s="308"/>
      <c r="E38" s="128">
        <f>672.6+17.5+40.3</f>
        <v>730.4</v>
      </c>
      <c r="F38" s="128">
        <f>435+39.5</f>
        <v>474.5</v>
      </c>
      <c r="G38" s="2">
        <v>40.299999999999997</v>
      </c>
      <c r="H38" s="2">
        <v>39.5</v>
      </c>
    </row>
    <row r="39" spans="1:8" ht="12.6" customHeight="1" x14ac:dyDescent="0.2">
      <c r="A39" s="305">
        <v>16</v>
      </c>
      <c r="B39" s="307"/>
      <c r="C39" s="303" t="s">
        <v>162</v>
      </c>
      <c r="D39" s="307" t="s">
        <v>61</v>
      </c>
      <c r="E39" s="127">
        <v>638.70000000000005</v>
      </c>
      <c r="F39" s="127">
        <v>400.9</v>
      </c>
    </row>
    <row r="40" spans="1:8" ht="12.6" customHeight="1" x14ac:dyDescent="0.2">
      <c r="A40" s="306"/>
      <c r="B40" s="308"/>
      <c r="C40" s="304"/>
      <c r="D40" s="308"/>
      <c r="E40" s="128">
        <f>638.7+37.1</f>
        <v>675.80000000000007</v>
      </c>
      <c r="F40" s="128">
        <f>400.9+36.4</f>
        <v>437.29999999999995</v>
      </c>
      <c r="G40" s="2">
        <v>37.1</v>
      </c>
      <c r="H40" s="2">
        <v>36.4</v>
      </c>
    </row>
    <row r="41" spans="1:8" ht="12.6" customHeight="1" x14ac:dyDescent="0.2">
      <c r="A41" s="305">
        <v>17</v>
      </c>
      <c r="B41" s="307"/>
      <c r="C41" s="347" t="s">
        <v>163</v>
      </c>
      <c r="D41" s="307" t="s">
        <v>61</v>
      </c>
      <c r="E41" s="127">
        <v>478.1</v>
      </c>
      <c r="F41" s="127">
        <v>312.5</v>
      </c>
    </row>
    <row r="42" spans="1:8" ht="12.6" customHeight="1" x14ac:dyDescent="0.2">
      <c r="A42" s="306"/>
      <c r="B42" s="308"/>
      <c r="C42" s="348"/>
      <c r="D42" s="308"/>
      <c r="E42" s="128">
        <f>478.1+29</f>
        <v>507.1</v>
      </c>
      <c r="F42" s="128">
        <f>312.5+28.5</f>
        <v>341</v>
      </c>
      <c r="G42" s="2">
        <v>29</v>
      </c>
      <c r="H42" s="2">
        <v>28.5</v>
      </c>
    </row>
    <row r="43" spans="1:8" ht="12.6" customHeight="1" x14ac:dyDescent="0.2">
      <c r="A43" s="305">
        <v>18</v>
      </c>
      <c r="B43" s="307"/>
      <c r="C43" s="303" t="s">
        <v>120</v>
      </c>
      <c r="D43" s="307" t="s">
        <v>61</v>
      </c>
      <c r="E43" s="127">
        <v>485.9</v>
      </c>
      <c r="F43" s="127">
        <v>311.2</v>
      </c>
    </row>
    <row r="44" spans="1:8" ht="12.6" customHeight="1" x14ac:dyDescent="0.2">
      <c r="A44" s="306"/>
      <c r="B44" s="308"/>
      <c r="C44" s="304"/>
      <c r="D44" s="308"/>
      <c r="E44" s="128">
        <f>485.9+28.8</f>
        <v>514.69999999999993</v>
      </c>
      <c r="F44" s="128">
        <f>311.2+28.3</f>
        <v>339.5</v>
      </c>
      <c r="G44" s="2">
        <v>28.8</v>
      </c>
      <c r="H44" s="2">
        <v>28.3</v>
      </c>
    </row>
    <row r="45" spans="1:8" ht="12.6" customHeight="1" x14ac:dyDescent="0.2">
      <c r="A45" s="305">
        <v>19</v>
      </c>
      <c r="B45" s="307"/>
      <c r="C45" s="303" t="s">
        <v>41</v>
      </c>
      <c r="D45" s="307" t="s">
        <v>61</v>
      </c>
      <c r="E45" s="127">
        <v>321.60000000000002</v>
      </c>
      <c r="F45" s="127">
        <v>214</v>
      </c>
    </row>
    <row r="46" spans="1:8" ht="12.6" customHeight="1" x14ac:dyDescent="0.2">
      <c r="A46" s="306"/>
      <c r="B46" s="308"/>
      <c r="C46" s="304"/>
      <c r="D46" s="308"/>
      <c r="E46" s="128">
        <f>321.6+19.8</f>
        <v>341.40000000000003</v>
      </c>
      <c r="F46" s="128">
        <f>214+19.4</f>
        <v>233.4</v>
      </c>
      <c r="G46" s="2">
        <v>19.8</v>
      </c>
      <c r="H46" s="2">
        <v>19.399999999999999</v>
      </c>
    </row>
    <row r="47" spans="1:8" ht="12.6" customHeight="1" x14ac:dyDescent="0.2">
      <c r="A47" s="305">
        <v>20</v>
      </c>
      <c r="B47" s="307"/>
      <c r="C47" s="303" t="s">
        <v>136</v>
      </c>
      <c r="D47" s="307" t="s">
        <v>61</v>
      </c>
      <c r="E47" s="127">
        <v>850.1</v>
      </c>
      <c r="F47" s="127">
        <v>569.70000000000005</v>
      </c>
    </row>
    <row r="48" spans="1:8" ht="12.6" customHeight="1" x14ac:dyDescent="0.2">
      <c r="A48" s="306"/>
      <c r="B48" s="308"/>
      <c r="C48" s="304"/>
      <c r="D48" s="308"/>
      <c r="E48" s="128">
        <f>850.1+52.9</f>
        <v>903</v>
      </c>
      <c r="F48" s="128">
        <f>569.7+51.9</f>
        <v>621.6</v>
      </c>
      <c r="G48" s="2">
        <v>52.9</v>
      </c>
      <c r="H48" s="2">
        <v>51.9</v>
      </c>
    </row>
    <row r="49" spans="1:8" ht="12.6" customHeight="1" x14ac:dyDescent="0.2">
      <c r="A49" s="305">
        <v>21</v>
      </c>
      <c r="B49" s="307"/>
      <c r="C49" s="303" t="s">
        <v>146</v>
      </c>
      <c r="D49" s="307" t="s">
        <v>61</v>
      </c>
      <c r="E49" s="127">
        <v>213.7</v>
      </c>
      <c r="F49" s="127">
        <v>131.1</v>
      </c>
    </row>
    <row r="50" spans="1:8" ht="12.6" customHeight="1" x14ac:dyDescent="0.2">
      <c r="A50" s="306"/>
      <c r="B50" s="308"/>
      <c r="C50" s="304"/>
      <c r="D50" s="308"/>
      <c r="E50" s="128">
        <f>213.7-78.8</f>
        <v>134.89999999999998</v>
      </c>
      <c r="F50" s="128">
        <f>131.1-38.1</f>
        <v>93</v>
      </c>
      <c r="G50" s="2">
        <v>-78.8</v>
      </c>
      <c r="H50" s="2">
        <v>-38.1</v>
      </c>
    </row>
    <row r="51" spans="1:8" ht="12.6" customHeight="1" x14ac:dyDescent="0.2">
      <c r="A51" s="305">
        <v>22</v>
      </c>
      <c r="B51" s="307"/>
      <c r="C51" s="303" t="s">
        <v>42</v>
      </c>
      <c r="D51" s="307" t="s">
        <v>61</v>
      </c>
      <c r="E51" s="127">
        <v>272.39999999999998</v>
      </c>
      <c r="F51" s="127">
        <v>207.5</v>
      </c>
    </row>
    <row r="52" spans="1:8" ht="12.6" customHeight="1" x14ac:dyDescent="0.2">
      <c r="A52" s="306"/>
      <c r="B52" s="308"/>
      <c r="C52" s="304"/>
      <c r="D52" s="308"/>
      <c r="E52" s="128">
        <f>272.4+19.3</f>
        <v>291.7</v>
      </c>
      <c r="F52" s="128">
        <f>207.5+18.9</f>
        <v>226.4</v>
      </c>
      <c r="G52" s="2">
        <v>19.3</v>
      </c>
      <c r="H52" s="2">
        <v>18.899999999999999</v>
      </c>
    </row>
    <row r="53" spans="1:8" ht="12.6" customHeight="1" x14ac:dyDescent="0.2">
      <c r="A53" s="305">
        <v>23</v>
      </c>
      <c r="B53" s="307"/>
      <c r="C53" s="303" t="s">
        <v>111</v>
      </c>
      <c r="D53" s="316" t="s">
        <v>349</v>
      </c>
      <c r="E53" s="127">
        <v>555</v>
      </c>
      <c r="F53" s="127">
        <v>342.8</v>
      </c>
    </row>
    <row r="54" spans="1:8" ht="26.25" customHeight="1" x14ac:dyDescent="0.2">
      <c r="A54" s="306"/>
      <c r="B54" s="308"/>
      <c r="C54" s="304"/>
      <c r="D54" s="317"/>
      <c r="E54" s="128">
        <f>555+31.7</f>
        <v>586.70000000000005</v>
      </c>
      <c r="F54" s="128">
        <f>342.8+31.1</f>
        <v>373.90000000000003</v>
      </c>
      <c r="G54" s="2">
        <v>31.7</v>
      </c>
      <c r="H54" s="2">
        <v>31.1</v>
      </c>
    </row>
    <row r="55" spans="1:8" ht="12.6" customHeight="1" x14ac:dyDescent="0.2">
      <c r="A55" s="12">
        <v>24</v>
      </c>
      <c r="B55" s="1"/>
      <c r="C55" s="148" t="s">
        <v>355</v>
      </c>
      <c r="D55" s="14" t="s">
        <v>61</v>
      </c>
      <c r="E55" s="19">
        <v>0.3</v>
      </c>
      <c r="F55" s="19"/>
    </row>
    <row r="56" spans="1:8" ht="12.6" customHeight="1" x14ac:dyDescent="0.2">
      <c r="A56" s="305">
        <v>25</v>
      </c>
      <c r="B56" s="307"/>
      <c r="C56" s="347" t="s">
        <v>54</v>
      </c>
      <c r="D56" s="307" t="s">
        <v>62</v>
      </c>
      <c r="E56" s="127">
        <v>337.5</v>
      </c>
      <c r="F56" s="127">
        <v>308.60000000000002</v>
      </c>
    </row>
    <row r="57" spans="1:8" ht="12.6" customHeight="1" x14ac:dyDescent="0.2">
      <c r="A57" s="306"/>
      <c r="B57" s="308"/>
      <c r="C57" s="348"/>
      <c r="D57" s="308"/>
      <c r="E57" s="128">
        <f>337.5+28.6</f>
        <v>366.1</v>
      </c>
      <c r="F57" s="128">
        <f>308.6+28.1</f>
        <v>336.70000000000005</v>
      </c>
      <c r="G57" s="2">
        <v>28.6</v>
      </c>
      <c r="H57" s="2">
        <v>28.1</v>
      </c>
    </row>
    <row r="58" spans="1:8" ht="12.6" customHeight="1" x14ac:dyDescent="0.2">
      <c r="A58" s="305">
        <v>26</v>
      </c>
      <c r="B58" s="307"/>
      <c r="C58" s="347" t="s">
        <v>47</v>
      </c>
      <c r="D58" s="307" t="s">
        <v>62</v>
      </c>
      <c r="E58" s="127">
        <v>377</v>
      </c>
      <c r="F58" s="127">
        <v>347.8</v>
      </c>
    </row>
    <row r="59" spans="1:8" ht="12.6" customHeight="1" x14ac:dyDescent="0.2">
      <c r="A59" s="340"/>
      <c r="B59" s="341"/>
      <c r="C59" s="348"/>
      <c r="D59" s="341"/>
      <c r="E59" s="128">
        <f>+E60+366+32.3</f>
        <v>409.3</v>
      </c>
      <c r="F59" s="128">
        <f>347.8+31.6</f>
        <v>379.40000000000003</v>
      </c>
      <c r="G59" s="2">
        <v>32.299999999999997</v>
      </c>
      <c r="H59" s="2">
        <v>31.6</v>
      </c>
    </row>
    <row r="60" spans="1:8" ht="25.5" x14ac:dyDescent="0.2">
      <c r="A60" s="306"/>
      <c r="B60" s="308"/>
      <c r="C60" s="16" t="s">
        <v>802</v>
      </c>
      <c r="D60" s="308"/>
      <c r="E60" s="19">
        <v>11</v>
      </c>
      <c r="F60" s="19"/>
    </row>
    <row r="61" spans="1:8" x14ac:dyDescent="0.2">
      <c r="A61" s="305">
        <v>27</v>
      </c>
      <c r="B61" s="307"/>
      <c r="C61" s="347" t="s">
        <v>48</v>
      </c>
      <c r="D61" s="307" t="s">
        <v>62</v>
      </c>
      <c r="E61" s="127">
        <v>951.3</v>
      </c>
      <c r="F61" s="127">
        <v>913.9</v>
      </c>
    </row>
    <row r="62" spans="1:8" ht="12.6" customHeight="1" x14ac:dyDescent="0.2">
      <c r="A62" s="306"/>
      <c r="B62" s="308"/>
      <c r="C62" s="348"/>
      <c r="D62" s="308"/>
      <c r="E62" s="128">
        <f>951.3+84.7</f>
        <v>1036</v>
      </c>
      <c r="F62" s="128">
        <f>913.9+83.1</f>
        <v>997</v>
      </c>
      <c r="G62" s="2">
        <v>84.7</v>
      </c>
      <c r="H62" s="2">
        <v>83.1</v>
      </c>
    </row>
    <row r="63" spans="1:8" ht="12.6" customHeight="1" x14ac:dyDescent="0.2">
      <c r="A63" s="305">
        <v>28</v>
      </c>
      <c r="B63" s="307"/>
      <c r="C63" s="347" t="s">
        <v>133</v>
      </c>
      <c r="D63" s="316" t="s">
        <v>148</v>
      </c>
      <c r="E63" s="127">
        <v>169.8</v>
      </c>
      <c r="F63" s="127">
        <v>113</v>
      </c>
    </row>
    <row r="64" spans="1:8" ht="38.25" customHeight="1" x14ac:dyDescent="0.2">
      <c r="A64" s="340"/>
      <c r="B64" s="341"/>
      <c r="C64" s="348"/>
      <c r="D64" s="358"/>
      <c r="E64" s="128">
        <f>139.6+30.2+10.4</f>
        <v>180.2</v>
      </c>
      <c r="F64" s="128">
        <f>113+10.3</f>
        <v>123.3</v>
      </c>
      <c r="G64" s="2">
        <v>10.4</v>
      </c>
      <c r="H64" s="2">
        <v>10.3</v>
      </c>
    </row>
    <row r="65" spans="1:8" x14ac:dyDescent="0.2">
      <c r="A65" s="306"/>
      <c r="B65" s="308"/>
      <c r="C65" s="149" t="s">
        <v>792</v>
      </c>
      <c r="D65" s="317"/>
      <c r="E65" s="19">
        <v>30.2</v>
      </c>
      <c r="F65" s="19"/>
    </row>
    <row r="66" spans="1:8" x14ac:dyDescent="0.2">
      <c r="A66" s="305">
        <v>29</v>
      </c>
      <c r="B66" s="307"/>
      <c r="C66" s="356" t="s">
        <v>15</v>
      </c>
      <c r="D66" s="307" t="s">
        <v>58</v>
      </c>
      <c r="E66" s="127">
        <v>165</v>
      </c>
      <c r="F66" s="127">
        <v>134.30000000000001</v>
      </c>
    </row>
    <row r="67" spans="1:8" ht="12.6" customHeight="1" x14ac:dyDescent="0.2">
      <c r="A67" s="306"/>
      <c r="B67" s="308"/>
      <c r="C67" s="357"/>
      <c r="D67" s="308"/>
      <c r="E67" s="128">
        <f>165+12</f>
        <v>177</v>
      </c>
      <c r="F67" s="128">
        <f>134.3+11.8</f>
        <v>146.10000000000002</v>
      </c>
      <c r="G67" s="2">
        <v>12</v>
      </c>
      <c r="H67" s="2">
        <v>11.8</v>
      </c>
    </row>
    <row r="68" spans="1:8" ht="12.6" customHeight="1" x14ac:dyDescent="0.2">
      <c r="A68" s="305">
        <v>30</v>
      </c>
      <c r="B68" s="307"/>
      <c r="C68" s="356" t="s">
        <v>19</v>
      </c>
      <c r="D68" s="307" t="s">
        <v>58</v>
      </c>
      <c r="E68" s="127">
        <v>175.3</v>
      </c>
      <c r="F68" s="127">
        <v>136</v>
      </c>
    </row>
    <row r="69" spans="1:8" ht="12.6" customHeight="1" x14ac:dyDescent="0.2">
      <c r="A69" s="306"/>
      <c r="B69" s="308"/>
      <c r="C69" s="357"/>
      <c r="D69" s="308"/>
      <c r="E69" s="128">
        <f>174.6+0.7+12.6</f>
        <v>187.89999999999998</v>
      </c>
      <c r="F69" s="128">
        <f>136+12.4</f>
        <v>148.4</v>
      </c>
      <c r="G69" s="2">
        <v>12.6</v>
      </c>
      <c r="H69" s="2">
        <v>12.4</v>
      </c>
    </row>
    <row r="70" spans="1:8" ht="12.6" customHeight="1" x14ac:dyDescent="0.2">
      <c r="A70" s="305">
        <v>31</v>
      </c>
      <c r="B70" s="307"/>
      <c r="C70" s="303" t="s">
        <v>166</v>
      </c>
      <c r="D70" s="307"/>
      <c r="E70" s="127">
        <v>884.4</v>
      </c>
      <c r="F70" s="19"/>
    </row>
    <row r="71" spans="1:8" ht="12.6" customHeight="1" x14ac:dyDescent="0.2">
      <c r="A71" s="306"/>
      <c r="B71" s="308"/>
      <c r="C71" s="304"/>
      <c r="D71" s="308"/>
      <c r="E71" s="131">
        <f>+E72+E78+E73+E74+E76</f>
        <v>1406.4</v>
      </c>
      <c r="F71" s="54">
        <f>+F72+F78+F73+F74+F76</f>
        <v>149.19999999999999</v>
      </c>
    </row>
    <row r="72" spans="1:8" ht="15" customHeight="1" x14ac:dyDescent="0.2">
      <c r="A72" s="150" t="s">
        <v>627</v>
      </c>
      <c r="B72" s="1"/>
      <c r="C72" s="24" t="s">
        <v>3</v>
      </c>
      <c r="D72" s="14" t="s">
        <v>138</v>
      </c>
      <c r="E72" s="54">
        <v>181.7</v>
      </c>
      <c r="F72" s="54">
        <v>149.19999999999999</v>
      </c>
    </row>
    <row r="73" spans="1:8" ht="25.5" x14ac:dyDescent="0.2">
      <c r="A73" s="150" t="s">
        <v>628</v>
      </c>
      <c r="B73" s="1"/>
      <c r="C73" s="15" t="s">
        <v>729</v>
      </c>
      <c r="D73" s="14" t="s">
        <v>154</v>
      </c>
      <c r="E73" s="54">
        <v>95</v>
      </c>
      <c r="F73" s="19"/>
    </row>
    <row r="74" spans="1:8" ht="33" customHeight="1" x14ac:dyDescent="0.2">
      <c r="A74" s="150" t="s">
        <v>629</v>
      </c>
      <c r="B74" s="1"/>
      <c r="C74" s="149" t="s">
        <v>279</v>
      </c>
      <c r="D74" s="1" t="s">
        <v>63</v>
      </c>
      <c r="E74" s="54">
        <v>50</v>
      </c>
      <c r="F74" s="19"/>
    </row>
    <row r="75" spans="1:8" x14ac:dyDescent="0.2">
      <c r="A75" s="328" t="s">
        <v>630</v>
      </c>
      <c r="B75" s="307"/>
      <c r="C75" s="356" t="s">
        <v>167</v>
      </c>
      <c r="D75" s="307" t="s">
        <v>64</v>
      </c>
      <c r="E75" s="129">
        <v>17</v>
      </c>
      <c r="F75" s="19"/>
    </row>
    <row r="76" spans="1:8" ht="23.25" customHeight="1" x14ac:dyDescent="0.2">
      <c r="A76" s="329"/>
      <c r="B76" s="308"/>
      <c r="C76" s="357"/>
      <c r="D76" s="308"/>
      <c r="E76" s="131">
        <f>17-8</f>
        <v>9</v>
      </c>
      <c r="F76" s="19"/>
      <c r="G76" s="2">
        <v>-8</v>
      </c>
    </row>
    <row r="77" spans="1:8" ht="12.6" customHeight="1" x14ac:dyDescent="0.2">
      <c r="A77" s="328" t="s">
        <v>631</v>
      </c>
      <c r="B77" s="307"/>
      <c r="C77" s="334" t="s">
        <v>578</v>
      </c>
      <c r="D77" s="307"/>
      <c r="E77" s="130">
        <v>540.70000000000005</v>
      </c>
      <c r="F77" s="19"/>
    </row>
    <row r="78" spans="1:8" ht="39" customHeight="1" x14ac:dyDescent="0.2">
      <c r="A78" s="329"/>
      <c r="B78" s="308"/>
      <c r="C78" s="335"/>
      <c r="D78" s="308"/>
      <c r="E78" s="128">
        <v>1070.7</v>
      </c>
      <c r="F78" s="128">
        <f>SUM(F80:F100)</f>
        <v>0</v>
      </c>
    </row>
    <row r="79" spans="1:8" ht="15" customHeight="1" x14ac:dyDescent="0.2">
      <c r="A79" s="328" t="s">
        <v>632</v>
      </c>
      <c r="B79" s="307"/>
      <c r="C79" s="318" t="s">
        <v>149</v>
      </c>
      <c r="D79" s="307" t="s">
        <v>61</v>
      </c>
      <c r="E79" s="127">
        <v>89</v>
      </c>
      <c r="F79" s="128"/>
    </row>
    <row r="80" spans="1:8" x14ac:dyDescent="0.2">
      <c r="A80" s="329"/>
      <c r="B80" s="308"/>
      <c r="C80" s="319"/>
      <c r="D80" s="308"/>
      <c r="E80" s="131">
        <f>89+82</f>
        <v>171</v>
      </c>
      <c r="F80" s="19"/>
      <c r="G80" s="2">
        <v>82</v>
      </c>
    </row>
    <row r="81" spans="1:9" x14ac:dyDescent="0.2">
      <c r="A81" s="328" t="s">
        <v>633</v>
      </c>
      <c r="B81" s="307"/>
      <c r="C81" s="361" t="s">
        <v>589</v>
      </c>
      <c r="D81" s="316" t="s">
        <v>154</v>
      </c>
      <c r="E81" s="129">
        <v>30</v>
      </c>
      <c r="F81" s="19"/>
    </row>
    <row r="82" spans="1:9" x14ac:dyDescent="0.2">
      <c r="A82" s="329"/>
      <c r="B82" s="308"/>
      <c r="C82" s="362"/>
      <c r="D82" s="317"/>
      <c r="E82" s="131">
        <f>30-20</f>
        <v>10</v>
      </c>
      <c r="F82" s="19"/>
      <c r="G82" s="2">
        <v>-20</v>
      </c>
    </row>
    <row r="83" spans="1:9" x14ac:dyDescent="0.2">
      <c r="A83" s="328" t="s">
        <v>634</v>
      </c>
      <c r="B83" s="307"/>
      <c r="C83" s="318" t="s">
        <v>359</v>
      </c>
      <c r="D83" s="307" t="s">
        <v>61</v>
      </c>
      <c r="E83" s="129">
        <v>0</v>
      </c>
      <c r="F83" s="19"/>
    </row>
    <row r="84" spans="1:9" x14ac:dyDescent="0.2">
      <c r="A84" s="329"/>
      <c r="B84" s="308"/>
      <c r="C84" s="319"/>
      <c r="D84" s="308"/>
      <c r="E84" s="131">
        <f>20</f>
        <v>20</v>
      </c>
      <c r="F84" s="19"/>
      <c r="G84" s="2">
        <v>20</v>
      </c>
      <c r="I84" s="2" t="s">
        <v>985</v>
      </c>
    </row>
    <row r="85" spans="1:9" ht="25.5" x14ac:dyDescent="0.2">
      <c r="A85" s="150" t="s">
        <v>635</v>
      </c>
      <c r="B85" s="1"/>
      <c r="C85" s="149" t="s">
        <v>586</v>
      </c>
      <c r="D85" s="1" t="s">
        <v>60</v>
      </c>
      <c r="E85" s="54">
        <v>15.7</v>
      </c>
      <c r="F85" s="19"/>
    </row>
    <row r="86" spans="1:9" x14ac:dyDescent="0.2">
      <c r="A86" s="328" t="s">
        <v>636</v>
      </c>
      <c r="B86" s="307"/>
      <c r="C86" s="367" t="s">
        <v>281</v>
      </c>
      <c r="D86" s="316" t="s">
        <v>154</v>
      </c>
      <c r="E86" s="129">
        <v>50</v>
      </c>
      <c r="F86" s="19"/>
    </row>
    <row r="87" spans="1:9" x14ac:dyDescent="0.2">
      <c r="A87" s="329"/>
      <c r="B87" s="308"/>
      <c r="C87" s="368"/>
      <c r="D87" s="317"/>
      <c r="E87" s="131">
        <f>50+13</f>
        <v>63</v>
      </c>
      <c r="F87" s="19"/>
      <c r="G87" s="2">
        <v>13</v>
      </c>
    </row>
    <row r="88" spans="1:9" ht="25.5" x14ac:dyDescent="0.2">
      <c r="A88" s="150" t="s">
        <v>637</v>
      </c>
      <c r="B88" s="18"/>
      <c r="C88" s="152" t="s">
        <v>282</v>
      </c>
      <c r="D88" s="14" t="s">
        <v>154</v>
      </c>
      <c r="E88" s="31">
        <v>30</v>
      </c>
      <c r="F88" s="31"/>
    </row>
    <row r="89" spans="1:9" x14ac:dyDescent="0.2">
      <c r="A89" s="328" t="s">
        <v>638</v>
      </c>
      <c r="B89" s="369"/>
      <c r="C89" s="356" t="s">
        <v>732</v>
      </c>
      <c r="D89" s="316" t="s">
        <v>154</v>
      </c>
      <c r="E89" s="100">
        <v>20</v>
      </c>
      <c r="F89" s="31"/>
    </row>
    <row r="90" spans="1:9" x14ac:dyDescent="0.2">
      <c r="A90" s="329"/>
      <c r="B90" s="370"/>
      <c r="C90" s="357"/>
      <c r="D90" s="317"/>
      <c r="E90" s="131">
        <f>20-15</f>
        <v>5</v>
      </c>
      <c r="F90" s="19"/>
      <c r="G90" s="2">
        <v>-15</v>
      </c>
    </row>
    <row r="91" spans="1:9" x14ac:dyDescent="0.2">
      <c r="A91" s="328" t="s">
        <v>639</v>
      </c>
      <c r="B91" s="307"/>
      <c r="C91" s="356" t="s">
        <v>590</v>
      </c>
      <c r="D91" s="316" t="s">
        <v>32</v>
      </c>
      <c r="E91" s="129">
        <v>30</v>
      </c>
      <c r="F91" s="19"/>
    </row>
    <row r="92" spans="1:9" x14ac:dyDescent="0.2">
      <c r="A92" s="329"/>
      <c r="B92" s="308"/>
      <c r="C92" s="357"/>
      <c r="D92" s="317"/>
      <c r="E92" s="131">
        <f>30-20</f>
        <v>10</v>
      </c>
      <c r="F92" s="19"/>
      <c r="G92" s="2">
        <v>-20</v>
      </c>
    </row>
    <row r="93" spans="1:9" ht="25.5" x14ac:dyDescent="0.2">
      <c r="A93" s="150" t="s">
        <v>640</v>
      </c>
      <c r="B93" s="1"/>
      <c r="C93" s="149" t="s">
        <v>434</v>
      </c>
      <c r="D93" s="1" t="s">
        <v>58</v>
      </c>
      <c r="E93" s="54">
        <v>1</v>
      </c>
      <c r="F93" s="19"/>
    </row>
    <row r="94" spans="1:9" ht="31.5" customHeight="1" x14ac:dyDescent="0.2">
      <c r="A94" s="150" t="s">
        <v>641</v>
      </c>
      <c r="B94" s="1"/>
      <c r="C94" s="149" t="s">
        <v>807</v>
      </c>
      <c r="D94" s="14" t="s">
        <v>154</v>
      </c>
      <c r="E94" s="54">
        <v>18</v>
      </c>
      <c r="F94" s="19"/>
    </row>
    <row r="95" spans="1:9" x14ac:dyDescent="0.2">
      <c r="A95" s="150" t="s">
        <v>731</v>
      </c>
      <c r="B95" s="1"/>
      <c r="C95" s="149" t="s">
        <v>782</v>
      </c>
      <c r="D95" s="14" t="s">
        <v>154</v>
      </c>
      <c r="E95" s="54">
        <v>50</v>
      </c>
      <c r="F95" s="19"/>
    </row>
    <row r="96" spans="1:9" ht="31.5" customHeight="1" x14ac:dyDescent="0.2">
      <c r="A96" s="150" t="s">
        <v>793</v>
      </c>
      <c r="B96" s="1"/>
      <c r="C96" s="60" t="s">
        <v>783</v>
      </c>
      <c r="D96" s="1" t="s">
        <v>62</v>
      </c>
      <c r="E96" s="54">
        <f>5+2</f>
        <v>7</v>
      </c>
      <c r="F96" s="19"/>
      <c r="G96" s="4"/>
    </row>
    <row r="97" spans="1:8" ht="14.25" customHeight="1" x14ac:dyDescent="0.2">
      <c r="A97" s="328" t="s">
        <v>965</v>
      </c>
      <c r="B97" s="307"/>
      <c r="C97" s="361" t="s">
        <v>587</v>
      </c>
      <c r="D97" s="307" t="s">
        <v>58</v>
      </c>
      <c r="E97" s="129">
        <v>50</v>
      </c>
      <c r="F97" s="19"/>
      <c r="G97" s="4"/>
    </row>
    <row r="98" spans="1:8" ht="27" customHeight="1" x14ac:dyDescent="0.2">
      <c r="A98" s="329"/>
      <c r="B98" s="308"/>
      <c r="C98" s="362"/>
      <c r="D98" s="308"/>
      <c r="E98" s="131">
        <f>50+170</f>
        <v>220</v>
      </c>
      <c r="F98" s="19"/>
      <c r="G98" s="4">
        <v>170</v>
      </c>
    </row>
    <row r="99" spans="1:8" ht="13.5" customHeight="1" x14ac:dyDescent="0.2">
      <c r="A99" s="328" t="s">
        <v>986</v>
      </c>
      <c r="B99" s="307"/>
      <c r="C99" s="361" t="s">
        <v>588</v>
      </c>
      <c r="D99" s="307" t="s">
        <v>58</v>
      </c>
      <c r="E99" s="129">
        <v>150</v>
      </c>
      <c r="F99" s="19"/>
      <c r="G99" s="4"/>
    </row>
    <row r="100" spans="1:8" ht="31.5" customHeight="1" x14ac:dyDescent="0.2">
      <c r="A100" s="329"/>
      <c r="B100" s="308"/>
      <c r="C100" s="362"/>
      <c r="D100" s="308"/>
      <c r="E100" s="131">
        <f>150+300</f>
        <v>450</v>
      </c>
      <c r="F100" s="19"/>
      <c r="G100" s="4">
        <v>300</v>
      </c>
    </row>
    <row r="101" spans="1:8" ht="19.5" customHeight="1" x14ac:dyDescent="0.2">
      <c r="A101" s="305">
        <v>32</v>
      </c>
      <c r="B101" s="314" t="s">
        <v>65</v>
      </c>
      <c r="C101" s="320" t="s">
        <v>66</v>
      </c>
      <c r="D101" s="126"/>
      <c r="E101" s="132">
        <v>937.1</v>
      </c>
      <c r="F101" s="133">
        <v>78.5</v>
      </c>
      <c r="G101" s="4"/>
    </row>
    <row r="102" spans="1:8" ht="20.100000000000001" customHeight="1" x14ac:dyDescent="0.2">
      <c r="A102" s="306"/>
      <c r="B102" s="315"/>
      <c r="C102" s="321"/>
      <c r="D102" s="9"/>
      <c r="E102" s="35">
        <f>+E104+E107</f>
        <v>911.2</v>
      </c>
      <c r="F102" s="35">
        <f>+F104+F107</f>
        <v>82</v>
      </c>
    </row>
    <row r="103" spans="1:8" ht="15" customHeight="1" x14ac:dyDescent="0.2">
      <c r="A103" s="305">
        <v>33</v>
      </c>
      <c r="B103" s="314"/>
      <c r="C103" s="303" t="s">
        <v>168</v>
      </c>
      <c r="D103" s="316" t="s">
        <v>169</v>
      </c>
      <c r="E103" s="127">
        <v>97.6</v>
      </c>
      <c r="F103" s="127">
        <v>78.5</v>
      </c>
    </row>
    <row r="104" spans="1:8" x14ac:dyDescent="0.2">
      <c r="A104" s="340"/>
      <c r="B104" s="315"/>
      <c r="C104" s="304"/>
      <c r="D104" s="358"/>
      <c r="E104" s="128">
        <f>+E105+81.6-3.7+7.3</f>
        <v>101.19999999999999</v>
      </c>
      <c r="F104" s="128">
        <f>78.5-3.7+7.2</f>
        <v>82</v>
      </c>
      <c r="G104" s="2">
        <f>-3.7+7.3</f>
        <v>3.5999999999999996</v>
      </c>
      <c r="H104" s="2">
        <f>-3.7+7.2</f>
        <v>3.5</v>
      </c>
    </row>
    <row r="105" spans="1:8" ht="36.75" customHeight="1" x14ac:dyDescent="0.2">
      <c r="A105" s="306"/>
      <c r="B105" s="11"/>
      <c r="C105" s="154" t="s">
        <v>421</v>
      </c>
      <c r="D105" s="317"/>
      <c r="E105" s="19">
        <v>16</v>
      </c>
      <c r="F105" s="19"/>
    </row>
    <row r="106" spans="1:8" x14ac:dyDescent="0.2">
      <c r="A106" s="305">
        <v>34</v>
      </c>
      <c r="B106" s="314"/>
      <c r="C106" s="303" t="s">
        <v>166</v>
      </c>
      <c r="D106" s="316"/>
      <c r="E106" s="127">
        <v>839.5</v>
      </c>
      <c r="F106" s="19"/>
    </row>
    <row r="107" spans="1:8" ht="12.6" customHeight="1" x14ac:dyDescent="0.2">
      <c r="A107" s="306"/>
      <c r="B107" s="315"/>
      <c r="C107" s="304"/>
      <c r="D107" s="317"/>
      <c r="E107" s="128">
        <v>810</v>
      </c>
      <c r="F107" s="19">
        <f>SUM(F108:F131)</f>
        <v>0</v>
      </c>
    </row>
    <row r="108" spans="1:8" ht="12.6" customHeight="1" x14ac:dyDescent="0.2">
      <c r="A108" s="150" t="s">
        <v>642</v>
      </c>
      <c r="B108" s="1"/>
      <c r="C108" s="24" t="s">
        <v>3</v>
      </c>
      <c r="D108" s="1" t="s">
        <v>109</v>
      </c>
      <c r="E108" s="19">
        <v>3</v>
      </c>
      <c r="F108" s="19"/>
    </row>
    <row r="109" spans="1:8" ht="42" customHeight="1" x14ac:dyDescent="0.2">
      <c r="A109" s="150" t="s">
        <v>643</v>
      </c>
      <c r="B109" s="1"/>
      <c r="C109" s="155" t="s">
        <v>360</v>
      </c>
      <c r="D109" s="14" t="s">
        <v>67</v>
      </c>
      <c r="E109" s="19">
        <v>20</v>
      </c>
      <c r="F109" s="19"/>
    </row>
    <row r="110" spans="1:8" ht="30" customHeight="1" x14ac:dyDescent="0.2">
      <c r="A110" s="150" t="s">
        <v>644</v>
      </c>
      <c r="B110" s="1"/>
      <c r="C110" s="156" t="s">
        <v>591</v>
      </c>
      <c r="D110" s="14" t="s">
        <v>68</v>
      </c>
      <c r="E110" s="19">
        <v>1.8</v>
      </c>
      <c r="F110" s="19"/>
    </row>
    <row r="111" spans="1:8" ht="14.25" customHeight="1" x14ac:dyDescent="0.2">
      <c r="A111" s="328" t="s">
        <v>645</v>
      </c>
      <c r="B111" s="307"/>
      <c r="C111" s="332" t="s">
        <v>592</v>
      </c>
      <c r="D111" s="316" t="s">
        <v>127</v>
      </c>
      <c r="E111" s="127">
        <v>65</v>
      </c>
      <c r="F111" s="19"/>
    </row>
    <row r="112" spans="1:8" ht="26.25" customHeight="1" x14ac:dyDescent="0.2">
      <c r="A112" s="329"/>
      <c r="B112" s="308"/>
      <c r="C112" s="333"/>
      <c r="D112" s="317"/>
      <c r="E112" s="128">
        <f>65+10</f>
        <v>75</v>
      </c>
      <c r="F112" s="19"/>
      <c r="G112" s="2">
        <v>10</v>
      </c>
    </row>
    <row r="113" spans="1:7" ht="45" customHeight="1" x14ac:dyDescent="0.2">
      <c r="A113" s="150" t="s">
        <v>646</v>
      </c>
      <c r="B113" s="1"/>
      <c r="C113" s="155" t="s">
        <v>170</v>
      </c>
      <c r="D113" s="14" t="s">
        <v>177</v>
      </c>
      <c r="E113" s="19">
        <v>7</v>
      </c>
      <c r="F113" s="19"/>
    </row>
    <row r="114" spans="1:7" ht="25.5" x14ac:dyDescent="0.2">
      <c r="A114" s="150" t="s">
        <v>647</v>
      </c>
      <c r="B114" s="1"/>
      <c r="C114" s="155" t="s">
        <v>199</v>
      </c>
      <c r="D114" s="14" t="s">
        <v>68</v>
      </c>
      <c r="E114" s="19">
        <v>21.1</v>
      </c>
      <c r="F114" s="19"/>
    </row>
    <row r="115" spans="1:7" ht="25.5" x14ac:dyDescent="0.2">
      <c r="A115" s="150" t="s">
        <v>648</v>
      </c>
      <c r="B115" s="1"/>
      <c r="C115" s="155" t="s">
        <v>270</v>
      </c>
      <c r="D115" s="14" t="s">
        <v>68</v>
      </c>
      <c r="E115" s="19">
        <v>19.100000000000001</v>
      </c>
      <c r="F115" s="19"/>
    </row>
    <row r="116" spans="1:7" x14ac:dyDescent="0.2">
      <c r="A116" s="328" t="s">
        <v>649</v>
      </c>
      <c r="B116" s="307"/>
      <c r="C116" s="401" t="s">
        <v>361</v>
      </c>
      <c r="D116" s="316" t="s">
        <v>177</v>
      </c>
      <c r="E116" s="127">
        <v>25.9</v>
      </c>
      <c r="F116" s="19"/>
    </row>
    <row r="117" spans="1:7" ht="14.25" customHeight="1" x14ac:dyDescent="0.2">
      <c r="A117" s="329"/>
      <c r="B117" s="308"/>
      <c r="C117" s="402"/>
      <c r="D117" s="317"/>
      <c r="E117" s="128">
        <f>25.9+50</f>
        <v>75.900000000000006</v>
      </c>
      <c r="F117" s="19"/>
      <c r="G117" s="2">
        <v>50</v>
      </c>
    </row>
    <row r="118" spans="1:7" ht="27.6" customHeight="1" x14ac:dyDescent="0.2">
      <c r="A118" s="150" t="s">
        <v>650</v>
      </c>
      <c r="B118" s="1"/>
      <c r="C118" s="156" t="s">
        <v>362</v>
      </c>
      <c r="D118" s="14" t="s">
        <v>177</v>
      </c>
      <c r="E118" s="19">
        <v>28.5</v>
      </c>
      <c r="F118" s="19"/>
    </row>
    <row r="119" spans="1:7" ht="25.5" x14ac:dyDescent="0.2">
      <c r="A119" s="150" t="s">
        <v>651</v>
      </c>
      <c r="B119" s="1"/>
      <c r="C119" s="156" t="s">
        <v>593</v>
      </c>
      <c r="D119" s="14" t="s">
        <v>195</v>
      </c>
      <c r="E119" s="19">
        <v>4.8</v>
      </c>
      <c r="F119" s="19"/>
    </row>
    <row r="120" spans="1:7" ht="25.5" x14ac:dyDescent="0.2">
      <c r="A120" s="150" t="s">
        <v>652</v>
      </c>
      <c r="B120" s="1"/>
      <c r="C120" s="156" t="s">
        <v>707</v>
      </c>
      <c r="D120" s="14" t="s">
        <v>177</v>
      </c>
      <c r="E120" s="19">
        <v>122.1</v>
      </c>
      <c r="F120" s="19"/>
    </row>
    <row r="121" spans="1:7" ht="38.25" x14ac:dyDescent="0.2">
      <c r="A121" s="150" t="s">
        <v>653</v>
      </c>
      <c r="B121" s="1"/>
      <c r="C121" s="155" t="s">
        <v>594</v>
      </c>
      <c r="D121" s="14" t="s">
        <v>67</v>
      </c>
      <c r="E121" s="19">
        <v>15</v>
      </c>
      <c r="F121" s="19"/>
    </row>
    <row r="122" spans="1:7" ht="25.5" x14ac:dyDescent="0.2">
      <c r="A122" s="150" t="s">
        <v>654</v>
      </c>
      <c r="B122" s="1"/>
      <c r="C122" s="155" t="s">
        <v>815</v>
      </c>
      <c r="D122" s="14" t="s">
        <v>69</v>
      </c>
      <c r="E122" s="19">
        <v>3</v>
      </c>
      <c r="F122" s="19"/>
    </row>
    <row r="123" spans="1:7" x14ac:dyDescent="0.2">
      <c r="A123" s="328" t="s">
        <v>655</v>
      </c>
      <c r="B123" s="307"/>
      <c r="C123" s="332" t="s">
        <v>816</v>
      </c>
      <c r="D123" s="359" t="s">
        <v>109</v>
      </c>
      <c r="E123" s="127">
        <v>120</v>
      </c>
      <c r="F123" s="19"/>
    </row>
    <row r="124" spans="1:7" x14ac:dyDescent="0.2">
      <c r="A124" s="329"/>
      <c r="B124" s="308"/>
      <c r="C124" s="333"/>
      <c r="D124" s="360"/>
      <c r="E124" s="128">
        <f>120-50</f>
        <v>70</v>
      </c>
      <c r="F124" s="19"/>
      <c r="G124" s="2">
        <v>-50</v>
      </c>
    </row>
    <row r="125" spans="1:7" x14ac:dyDescent="0.2">
      <c r="A125" s="328" t="s">
        <v>820</v>
      </c>
      <c r="B125" s="307"/>
      <c r="C125" s="332" t="s">
        <v>882</v>
      </c>
      <c r="D125" s="359" t="s">
        <v>109</v>
      </c>
      <c r="E125" s="127">
        <v>105.1</v>
      </c>
      <c r="F125" s="19"/>
    </row>
    <row r="126" spans="1:7" x14ac:dyDescent="0.2">
      <c r="A126" s="329"/>
      <c r="B126" s="308"/>
      <c r="C126" s="333"/>
      <c r="D126" s="360"/>
      <c r="E126" s="128">
        <f>105.1-56.1</f>
        <v>48.999999999999993</v>
      </c>
      <c r="F126" s="19"/>
      <c r="G126" s="2">
        <v>-56.1</v>
      </c>
    </row>
    <row r="127" spans="1:7" ht="25.5" x14ac:dyDescent="0.2">
      <c r="A127" s="150" t="s">
        <v>821</v>
      </c>
      <c r="B127" s="1"/>
      <c r="C127" s="155" t="s">
        <v>817</v>
      </c>
      <c r="D127" s="157" t="s">
        <v>68</v>
      </c>
      <c r="E127" s="19">
        <v>53.3</v>
      </c>
      <c r="F127" s="19"/>
    </row>
    <row r="128" spans="1:7" ht="38.25" x14ac:dyDescent="0.2">
      <c r="A128" s="150" t="s">
        <v>822</v>
      </c>
      <c r="B128" s="1"/>
      <c r="C128" s="155" t="s">
        <v>818</v>
      </c>
      <c r="D128" s="157" t="s">
        <v>109</v>
      </c>
      <c r="E128" s="19">
        <v>50.7</v>
      </c>
      <c r="F128" s="19"/>
    </row>
    <row r="129" spans="1:10" ht="38.25" x14ac:dyDescent="0.2">
      <c r="A129" s="150" t="s">
        <v>823</v>
      </c>
      <c r="B129" s="1"/>
      <c r="C129" s="155" t="s">
        <v>819</v>
      </c>
      <c r="D129" s="157" t="s">
        <v>109</v>
      </c>
      <c r="E129" s="19">
        <v>37.700000000000003</v>
      </c>
      <c r="F129" s="19"/>
    </row>
    <row r="130" spans="1:10" x14ac:dyDescent="0.2">
      <c r="A130" s="328" t="s">
        <v>824</v>
      </c>
      <c r="B130" s="307"/>
      <c r="C130" s="332" t="s">
        <v>269</v>
      </c>
      <c r="D130" s="316" t="s">
        <v>69</v>
      </c>
      <c r="E130" s="158">
        <v>132.4</v>
      </c>
      <c r="F130" s="159"/>
    </row>
    <row r="131" spans="1:10" ht="15.75" customHeight="1" x14ac:dyDescent="0.2">
      <c r="A131" s="329"/>
      <c r="B131" s="308"/>
      <c r="C131" s="333"/>
      <c r="D131" s="317"/>
      <c r="E131" s="268">
        <f>132.4+16.6</f>
        <v>149</v>
      </c>
      <c r="F131" s="159"/>
      <c r="G131" s="2">
        <v>16.600000000000001</v>
      </c>
    </row>
    <row r="132" spans="1:10" ht="38.450000000000003" customHeight="1" x14ac:dyDescent="0.2">
      <c r="A132" s="150" t="s">
        <v>825</v>
      </c>
      <c r="B132" s="1"/>
      <c r="C132" s="160" t="s">
        <v>578</v>
      </c>
      <c r="D132" s="14"/>
      <c r="E132" s="128">
        <f>+E133+E134</f>
        <v>4</v>
      </c>
      <c r="F132" s="128">
        <f>+F133+F134</f>
        <v>0</v>
      </c>
    </row>
    <row r="133" spans="1:10" ht="25.5" x14ac:dyDescent="0.2">
      <c r="A133" s="150" t="s">
        <v>826</v>
      </c>
      <c r="B133" s="1"/>
      <c r="C133" s="155" t="s">
        <v>179</v>
      </c>
      <c r="D133" s="14" t="s">
        <v>127</v>
      </c>
      <c r="E133" s="19">
        <v>0.6</v>
      </c>
      <c r="F133" s="19"/>
    </row>
    <row r="134" spans="1:10" ht="25.5" x14ac:dyDescent="0.2">
      <c r="A134" s="150" t="s">
        <v>827</v>
      </c>
      <c r="B134" s="1"/>
      <c r="C134" s="46" t="s">
        <v>171</v>
      </c>
      <c r="D134" s="14" t="s">
        <v>68</v>
      </c>
      <c r="E134" s="19">
        <v>3.4</v>
      </c>
      <c r="F134" s="19"/>
    </row>
    <row r="135" spans="1:10" ht="17.25" customHeight="1" x14ac:dyDescent="0.2">
      <c r="A135" s="305">
        <v>35</v>
      </c>
      <c r="B135" s="314" t="s">
        <v>21</v>
      </c>
      <c r="C135" s="320" t="s">
        <v>22</v>
      </c>
      <c r="D135" s="316"/>
      <c r="E135" s="133">
        <v>12780.2</v>
      </c>
      <c r="F135" s="133">
        <v>3282.7</v>
      </c>
    </row>
    <row r="136" spans="1:10" ht="18.75" customHeight="1" x14ac:dyDescent="0.2">
      <c r="A136" s="306"/>
      <c r="B136" s="315"/>
      <c r="C136" s="321"/>
      <c r="D136" s="317"/>
      <c r="E136" s="35">
        <f>+E138+E141+E143+E145+E147+E149+E173+E176+E179+E181+E183+E186+E187+E190+E193+E195+E198</f>
        <v>13082.800000000003</v>
      </c>
      <c r="F136" s="35">
        <f>+F138+F141+F143+F145+F147+F149+F173+F176+F179+F181+F183+F186+F187+F190+F193+F195+F198</f>
        <v>3574.5000000000005</v>
      </c>
    </row>
    <row r="137" spans="1:10" ht="13.5" customHeight="1" x14ac:dyDescent="0.2">
      <c r="A137" s="305">
        <v>36</v>
      </c>
      <c r="B137" s="314"/>
      <c r="C137" s="347" t="s">
        <v>1</v>
      </c>
      <c r="D137" s="316" t="s">
        <v>70</v>
      </c>
      <c r="E137" s="127">
        <v>1317.9</v>
      </c>
      <c r="F137" s="127">
        <v>1018</v>
      </c>
    </row>
    <row r="138" spans="1:10" ht="12.6" customHeight="1" x14ac:dyDescent="0.2">
      <c r="A138" s="340"/>
      <c r="B138" s="346"/>
      <c r="C138" s="348"/>
      <c r="D138" s="358"/>
      <c r="E138" s="128">
        <f>1378.8-60.9+99.9</f>
        <v>1417.8</v>
      </c>
      <c r="F138" s="128">
        <f>1078-60+98</f>
        <v>1116</v>
      </c>
      <c r="G138" s="2">
        <v>99.9</v>
      </c>
      <c r="H138" s="2">
        <v>98</v>
      </c>
    </row>
    <row r="139" spans="1:10" ht="12.6" customHeight="1" x14ac:dyDescent="0.2">
      <c r="A139" s="306"/>
      <c r="B139" s="315"/>
      <c r="C139" s="161" t="s">
        <v>579</v>
      </c>
      <c r="D139" s="317"/>
      <c r="E139" s="19">
        <f>201.9+12.4</f>
        <v>214.3</v>
      </c>
      <c r="F139" s="19"/>
      <c r="G139" s="84"/>
      <c r="J139" s="84"/>
    </row>
    <row r="140" spans="1:10" ht="12.6" customHeight="1" x14ac:dyDescent="0.2">
      <c r="A140" s="305">
        <v>37</v>
      </c>
      <c r="B140" s="307"/>
      <c r="C140" s="342" t="s">
        <v>2</v>
      </c>
      <c r="D140" s="352" t="s">
        <v>71</v>
      </c>
      <c r="E140" s="127">
        <v>328.7</v>
      </c>
      <c r="F140" s="127">
        <v>209.3</v>
      </c>
      <c r="G140" s="84"/>
      <c r="J140" s="84"/>
    </row>
    <row r="141" spans="1:10" ht="12.6" customHeight="1" x14ac:dyDescent="0.2">
      <c r="A141" s="306"/>
      <c r="B141" s="308"/>
      <c r="C141" s="343"/>
      <c r="D141" s="353"/>
      <c r="E141" s="128">
        <f>335.7-7+20.1</f>
        <v>348.8</v>
      </c>
      <c r="F141" s="128">
        <f>216.2-6.9+19.7</f>
        <v>228.99999999999997</v>
      </c>
      <c r="G141" s="2">
        <v>20.100000000000001</v>
      </c>
      <c r="H141" s="2">
        <v>19.7</v>
      </c>
    </row>
    <row r="142" spans="1:10" ht="12.6" customHeight="1" x14ac:dyDescent="0.2">
      <c r="A142" s="305">
        <v>38</v>
      </c>
      <c r="B142" s="307"/>
      <c r="C142" s="356" t="s">
        <v>15</v>
      </c>
      <c r="D142" s="316" t="s">
        <v>103</v>
      </c>
      <c r="E142" s="127">
        <v>339.4</v>
      </c>
      <c r="F142" s="127">
        <v>284.10000000000002</v>
      </c>
    </row>
    <row r="143" spans="1:10" ht="12.6" customHeight="1" x14ac:dyDescent="0.2">
      <c r="A143" s="306"/>
      <c r="B143" s="308"/>
      <c r="C143" s="357"/>
      <c r="D143" s="317"/>
      <c r="E143" s="128">
        <f>352.1-12.7+28</f>
        <v>367.40000000000003</v>
      </c>
      <c r="F143" s="96">
        <f>296.6-12.5+27.4</f>
        <v>311.5</v>
      </c>
      <c r="G143" s="2">
        <v>28</v>
      </c>
      <c r="H143" s="2">
        <v>27.4</v>
      </c>
    </row>
    <row r="144" spans="1:10" ht="12.6" customHeight="1" x14ac:dyDescent="0.2">
      <c r="A144" s="305">
        <v>39</v>
      </c>
      <c r="B144" s="307"/>
      <c r="C144" s="356" t="s">
        <v>19</v>
      </c>
      <c r="D144" s="354" t="s">
        <v>71</v>
      </c>
      <c r="E144" s="127">
        <v>388.4</v>
      </c>
      <c r="F144" s="100">
        <v>309.5</v>
      </c>
    </row>
    <row r="145" spans="1:8" ht="12.6" customHeight="1" x14ac:dyDescent="0.2">
      <c r="A145" s="306"/>
      <c r="B145" s="308"/>
      <c r="C145" s="357"/>
      <c r="D145" s="355"/>
      <c r="E145" s="128">
        <f>395.5+2.4-9.5+29.6</f>
        <v>418</v>
      </c>
      <c r="F145" s="128">
        <f>318.9-9.4+29.2</f>
        <v>338.7</v>
      </c>
      <c r="G145" s="2">
        <v>29.6</v>
      </c>
      <c r="H145" s="2">
        <v>29.2</v>
      </c>
    </row>
    <row r="146" spans="1:8" ht="12.6" customHeight="1" x14ac:dyDescent="0.2">
      <c r="A146" s="305">
        <v>40</v>
      </c>
      <c r="B146" s="307"/>
      <c r="C146" s="347" t="s">
        <v>147</v>
      </c>
      <c r="D146" s="352" t="s">
        <v>23</v>
      </c>
      <c r="E146" s="127">
        <v>1441</v>
      </c>
      <c r="F146" s="127">
        <v>1028.5</v>
      </c>
    </row>
    <row r="147" spans="1:8" ht="12.6" customHeight="1" x14ac:dyDescent="0.2">
      <c r="A147" s="306"/>
      <c r="B147" s="308"/>
      <c r="C147" s="348"/>
      <c r="D147" s="353"/>
      <c r="E147" s="128">
        <f>1498.1-57.1+100.5</f>
        <v>1541.5</v>
      </c>
      <c r="F147" s="128">
        <f>1084.8-56.3+98.6</f>
        <v>1127.0999999999999</v>
      </c>
      <c r="G147" s="2">
        <v>100.5</v>
      </c>
      <c r="H147" s="2">
        <v>98.6</v>
      </c>
    </row>
    <row r="148" spans="1:8" ht="12.6" customHeight="1" x14ac:dyDescent="0.2">
      <c r="A148" s="305">
        <v>41</v>
      </c>
      <c r="B148" s="307"/>
      <c r="C148" s="303" t="s">
        <v>166</v>
      </c>
      <c r="D148" s="352"/>
      <c r="E148" s="127">
        <v>3592.4</v>
      </c>
      <c r="F148" s="127">
        <v>68.8</v>
      </c>
    </row>
    <row r="149" spans="1:8" ht="12" customHeight="1" x14ac:dyDescent="0.2">
      <c r="A149" s="306"/>
      <c r="B149" s="308"/>
      <c r="C149" s="304"/>
      <c r="D149" s="353"/>
      <c r="E149" s="131">
        <f>+E152+E153+E154+E155+E156+E157+E158+E159+E160+E161+E162+E163+E164+E167+E151+E165</f>
        <v>3607.2</v>
      </c>
      <c r="F149" s="131">
        <f>+F152+F153+F154+F155+F156+F157+F158+F159+F160+F161+F162+F163+F164+F167+F151</f>
        <v>78</v>
      </c>
    </row>
    <row r="150" spans="1:8" ht="12" customHeight="1" x14ac:dyDescent="0.2">
      <c r="A150" s="328" t="s">
        <v>656</v>
      </c>
      <c r="B150" s="307"/>
      <c r="C150" s="303" t="s">
        <v>3</v>
      </c>
      <c r="D150" s="354" t="s">
        <v>435</v>
      </c>
      <c r="E150" s="129">
        <v>1467.9</v>
      </c>
      <c r="F150" s="129">
        <v>68.8</v>
      </c>
    </row>
    <row r="151" spans="1:8" ht="55.5" customHeight="1" x14ac:dyDescent="0.2">
      <c r="A151" s="329"/>
      <c r="B151" s="308"/>
      <c r="C151" s="304"/>
      <c r="D151" s="355"/>
      <c r="E151" s="128">
        <f>1467.9+5+9.3</f>
        <v>1482.2</v>
      </c>
      <c r="F151" s="128">
        <f>68.8+9.2</f>
        <v>78</v>
      </c>
      <c r="G151" s="2">
        <f>5+9.3</f>
        <v>14.3</v>
      </c>
      <c r="H151" s="2">
        <v>9.1999999999999993</v>
      </c>
    </row>
    <row r="152" spans="1:8" ht="27.6" customHeight="1" x14ac:dyDescent="0.2">
      <c r="A152" s="150" t="s">
        <v>657</v>
      </c>
      <c r="B152" s="1"/>
      <c r="C152" s="152" t="s">
        <v>363</v>
      </c>
      <c r="D152" s="162" t="s">
        <v>72</v>
      </c>
      <c r="E152" s="19">
        <v>75</v>
      </c>
      <c r="F152" s="19"/>
    </row>
    <row r="153" spans="1:8" ht="26.25" customHeight="1" x14ac:dyDescent="0.2">
      <c r="A153" s="150" t="s">
        <v>658</v>
      </c>
      <c r="B153" s="1"/>
      <c r="C153" s="155" t="s">
        <v>364</v>
      </c>
      <c r="D153" s="162" t="s">
        <v>72</v>
      </c>
      <c r="E153" s="19">
        <v>240</v>
      </c>
      <c r="F153" s="19"/>
    </row>
    <row r="154" spans="1:8" ht="28.5" customHeight="1" x14ac:dyDescent="0.2">
      <c r="A154" s="150" t="s">
        <v>659</v>
      </c>
      <c r="B154" s="1"/>
      <c r="C154" s="163" t="s">
        <v>365</v>
      </c>
      <c r="D154" s="1" t="s">
        <v>107</v>
      </c>
      <c r="E154" s="31">
        <v>58.5</v>
      </c>
      <c r="F154" s="31"/>
    </row>
    <row r="155" spans="1:8" ht="12.6" customHeight="1" x14ac:dyDescent="0.2">
      <c r="A155" s="150" t="s">
        <v>660</v>
      </c>
      <c r="B155" s="1"/>
      <c r="C155" s="163" t="s">
        <v>366</v>
      </c>
      <c r="D155" s="164" t="s">
        <v>73</v>
      </c>
      <c r="E155" s="19">
        <v>153.5</v>
      </c>
      <c r="F155" s="19"/>
    </row>
    <row r="156" spans="1:8" ht="26.25" customHeight="1" x14ac:dyDescent="0.2">
      <c r="A156" s="150" t="s">
        <v>661</v>
      </c>
      <c r="B156" s="1"/>
      <c r="C156" s="163" t="s">
        <v>367</v>
      </c>
      <c r="D156" s="162" t="s">
        <v>73</v>
      </c>
      <c r="E156" s="19">
        <v>170</v>
      </c>
      <c r="F156" s="19"/>
    </row>
    <row r="157" spans="1:8" ht="39" customHeight="1" x14ac:dyDescent="0.2">
      <c r="A157" s="150" t="s">
        <v>662</v>
      </c>
      <c r="B157" s="1"/>
      <c r="C157" s="163" t="s">
        <v>368</v>
      </c>
      <c r="D157" s="162" t="s">
        <v>74</v>
      </c>
      <c r="E157" s="31">
        <f>807-99.8</f>
        <v>707.2</v>
      </c>
      <c r="F157" s="31"/>
    </row>
    <row r="158" spans="1:8" ht="38.25" x14ac:dyDescent="0.2">
      <c r="A158" s="150" t="s">
        <v>663</v>
      </c>
      <c r="B158" s="1"/>
      <c r="C158" s="163" t="s">
        <v>804</v>
      </c>
      <c r="D158" s="1" t="s">
        <v>75</v>
      </c>
      <c r="E158" s="31">
        <v>90</v>
      </c>
      <c r="F158" s="31"/>
    </row>
    <row r="159" spans="1:8" ht="25.5" x14ac:dyDescent="0.2">
      <c r="A159" s="150" t="s">
        <v>664</v>
      </c>
      <c r="B159" s="1"/>
      <c r="C159" s="163" t="s">
        <v>596</v>
      </c>
      <c r="D159" s="1" t="s">
        <v>705</v>
      </c>
      <c r="E159" s="31">
        <v>15</v>
      </c>
      <c r="F159" s="31"/>
    </row>
    <row r="160" spans="1:8" ht="25.5" x14ac:dyDescent="0.2">
      <c r="A160" s="150" t="s">
        <v>665</v>
      </c>
      <c r="B160" s="1"/>
      <c r="C160" s="163" t="s">
        <v>597</v>
      </c>
      <c r="D160" s="1" t="s">
        <v>705</v>
      </c>
      <c r="E160" s="31">
        <v>10</v>
      </c>
      <c r="F160" s="31"/>
    </row>
    <row r="161" spans="1:11" x14ac:dyDescent="0.2">
      <c r="A161" s="150" t="s">
        <v>666</v>
      </c>
      <c r="B161" s="1"/>
      <c r="C161" s="163" t="s">
        <v>185</v>
      </c>
      <c r="D161" s="164" t="s">
        <v>23</v>
      </c>
      <c r="E161" s="31">
        <v>117.1</v>
      </c>
      <c r="F161" s="31"/>
    </row>
    <row r="162" spans="1:11" ht="25.5" x14ac:dyDescent="0.2">
      <c r="A162" s="150" t="s">
        <v>667</v>
      </c>
      <c r="B162" s="1"/>
      <c r="C162" s="163" t="s">
        <v>280</v>
      </c>
      <c r="D162" s="164" t="s">
        <v>23</v>
      </c>
      <c r="E162" s="31">
        <v>30</v>
      </c>
      <c r="F162" s="31"/>
    </row>
    <row r="163" spans="1:11" ht="25.5" x14ac:dyDescent="0.2">
      <c r="A163" s="150" t="s">
        <v>668</v>
      </c>
      <c r="B163" s="1"/>
      <c r="C163" s="163" t="s">
        <v>595</v>
      </c>
      <c r="D163" s="164" t="s">
        <v>31</v>
      </c>
      <c r="E163" s="31">
        <v>18.399999999999999</v>
      </c>
      <c r="F163" s="31"/>
    </row>
    <row r="164" spans="1:11" ht="38.25" x14ac:dyDescent="0.2">
      <c r="A164" s="150" t="s">
        <v>669</v>
      </c>
      <c r="B164" s="1"/>
      <c r="C164" s="163" t="s">
        <v>598</v>
      </c>
      <c r="D164" s="164" t="s">
        <v>705</v>
      </c>
      <c r="E164" s="31">
        <v>10.8</v>
      </c>
      <c r="F164" s="31"/>
    </row>
    <row r="165" spans="1:11" x14ac:dyDescent="0.2">
      <c r="A165" s="150" t="s">
        <v>670</v>
      </c>
      <c r="B165" s="1"/>
      <c r="C165" s="163" t="s">
        <v>776</v>
      </c>
      <c r="D165" s="164" t="s">
        <v>705</v>
      </c>
      <c r="E165" s="31">
        <v>2</v>
      </c>
      <c r="F165" s="31"/>
    </row>
    <row r="166" spans="1:11" x14ac:dyDescent="0.2">
      <c r="A166" s="328" t="s">
        <v>777</v>
      </c>
      <c r="B166" s="307"/>
      <c r="C166" s="334" t="s">
        <v>578</v>
      </c>
      <c r="D166" s="352"/>
      <c r="E166" s="95">
        <v>427</v>
      </c>
      <c r="F166" s="31"/>
    </row>
    <row r="167" spans="1:11" ht="39" customHeight="1" x14ac:dyDescent="0.2">
      <c r="A167" s="329"/>
      <c r="B167" s="308"/>
      <c r="C167" s="335"/>
      <c r="D167" s="353"/>
      <c r="E167" s="131">
        <v>427.5</v>
      </c>
      <c r="F167" s="131">
        <f>SUM(F168:F170)</f>
        <v>0</v>
      </c>
    </row>
    <row r="168" spans="1:11" ht="12.6" customHeight="1" x14ac:dyDescent="0.2">
      <c r="A168" s="150" t="s">
        <v>778</v>
      </c>
      <c r="B168" s="1"/>
      <c r="C168" s="163" t="s">
        <v>150</v>
      </c>
      <c r="D168" s="1" t="s">
        <v>88</v>
      </c>
      <c r="E168" s="31">
        <v>220</v>
      </c>
      <c r="F168" s="31"/>
    </row>
    <row r="169" spans="1:11" ht="25.5" x14ac:dyDescent="0.2">
      <c r="A169" s="150" t="s">
        <v>779</v>
      </c>
      <c r="B169" s="1"/>
      <c r="C169" s="163" t="s">
        <v>369</v>
      </c>
      <c r="D169" s="14" t="s">
        <v>178</v>
      </c>
      <c r="E169" s="31">
        <v>150</v>
      </c>
      <c r="F169" s="31"/>
    </row>
    <row r="170" spans="1:11" ht="25.5" x14ac:dyDescent="0.2">
      <c r="A170" s="150" t="s">
        <v>780</v>
      </c>
      <c r="B170" s="1"/>
      <c r="C170" s="163" t="s">
        <v>186</v>
      </c>
      <c r="D170" s="1" t="s">
        <v>75</v>
      </c>
      <c r="E170" s="31">
        <v>42</v>
      </c>
      <c r="F170" s="31"/>
    </row>
    <row r="171" spans="1:11" x14ac:dyDescent="0.2">
      <c r="A171" s="328" t="s">
        <v>781</v>
      </c>
      <c r="B171" s="307"/>
      <c r="C171" s="361" t="s">
        <v>730</v>
      </c>
      <c r="D171" s="307" t="s">
        <v>88</v>
      </c>
      <c r="E171" s="100">
        <v>15</v>
      </c>
      <c r="F171" s="31"/>
    </row>
    <row r="172" spans="1:11" x14ac:dyDescent="0.2">
      <c r="A172" s="329"/>
      <c r="B172" s="308"/>
      <c r="C172" s="362"/>
      <c r="D172" s="308"/>
      <c r="E172" s="96">
        <f>15+0.5</f>
        <v>15.5</v>
      </c>
      <c r="F172" s="31"/>
      <c r="G172" s="2">
        <v>0.5</v>
      </c>
      <c r="K172" s="70"/>
    </row>
    <row r="173" spans="1:11" ht="51" x14ac:dyDescent="0.2">
      <c r="A173" s="305">
        <v>42</v>
      </c>
      <c r="B173" s="307"/>
      <c r="C173" s="15" t="s">
        <v>8</v>
      </c>
      <c r="D173" s="14" t="s">
        <v>720</v>
      </c>
      <c r="E173" s="19">
        <f>1753.6+E174</f>
        <v>1775.6999999999998</v>
      </c>
      <c r="F173" s="19">
        <f>108+F174</f>
        <v>129.80000000000001</v>
      </c>
    </row>
    <row r="174" spans="1:11" x14ac:dyDescent="0.2">
      <c r="A174" s="306"/>
      <c r="B174" s="308"/>
      <c r="C174" s="15" t="s">
        <v>292</v>
      </c>
      <c r="D174" s="14" t="s">
        <v>39</v>
      </c>
      <c r="E174" s="19">
        <v>22.1</v>
      </c>
      <c r="F174" s="19">
        <v>21.8</v>
      </c>
      <c r="J174" s="70"/>
    </row>
    <row r="175" spans="1:11" x14ac:dyDescent="0.2">
      <c r="A175" s="305">
        <v>43</v>
      </c>
      <c r="B175" s="307"/>
      <c r="C175" s="349" t="s">
        <v>4</v>
      </c>
      <c r="D175" s="316" t="s">
        <v>721</v>
      </c>
      <c r="E175" s="127">
        <v>700</v>
      </c>
      <c r="F175" s="127">
        <v>39.299999999999997</v>
      </c>
      <c r="J175" s="70"/>
    </row>
    <row r="176" spans="1:11" ht="45" customHeight="1" x14ac:dyDescent="0.2">
      <c r="A176" s="340"/>
      <c r="B176" s="341"/>
      <c r="C176" s="350"/>
      <c r="D176" s="317"/>
      <c r="E176" s="128">
        <f>692.6+E177+0.5</f>
        <v>700.5</v>
      </c>
      <c r="F176" s="128">
        <f>32+F177+0.5</f>
        <v>39.799999999999997</v>
      </c>
      <c r="G176" s="2">
        <v>0.5</v>
      </c>
      <c r="H176" s="2">
        <v>0.5</v>
      </c>
    </row>
    <row r="177" spans="1:8" x14ac:dyDescent="0.2">
      <c r="A177" s="306"/>
      <c r="B177" s="308"/>
      <c r="C177" s="15" t="s">
        <v>292</v>
      </c>
      <c r="D177" s="14" t="s">
        <v>39</v>
      </c>
      <c r="E177" s="19">
        <v>7.4</v>
      </c>
      <c r="F177" s="19">
        <v>7.3</v>
      </c>
    </row>
    <row r="178" spans="1:8" x14ac:dyDescent="0.2">
      <c r="A178" s="305">
        <v>44</v>
      </c>
      <c r="B178" s="307"/>
      <c r="C178" s="349" t="s">
        <v>5</v>
      </c>
      <c r="D178" s="316" t="s">
        <v>114</v>
      </c>
      <c r="E178" s="127">
        <v>380</v>
      </c>
      <c r="F178" s="127">
        <v>13.2</v>
      </c>
    </row>
    <row r="179" spans="1:8" ht="30.75" customHeight="1" x14ac:dyDescent="0.2">
      <c r="A179" s="306"/>
      <c r="B179" s="308"/>
      <c r="C179" s="350"/>
      <c r="D179" s="317"/>
      <c r="E179" s="128">
        <f>380+2.1</f>
        <v>382.1</v>
      </c>
      <c r="F179" s="128">
        <f>13.2+2.1</f>
        <v>15.299999999999999</v>
      </c>
      <c r="G179" s="2">
        <v>2.1</v>
      </c>
      <c r="H179" s="2">
        <v>2.1</v>
      </c>
    </row>
    <row r="180" spans="1:8" ht="15" customHeight="1" x14ac:dyDescent="0.2">
      <c r="A180" s="305">
        <v>45</v>
      </c>
      <c r="B180" s="307"/>
      <c r="C180" s="349" t="s">
        <v>7</v>
      </c>
      <c r="D180" s="316" t="s">
        <v>721</v>
      </c>
      <c r="E180" s="127">
        <v>333.1</v>
      </c>
      <c r="F180" s="127">
        <v>21.6</v>
      </c>
    </row>
    <row r="181" spans="1:8" ht="41.25" customHeight="1" x14ac:dyDescent="0.2">
      <c r="A181" s="340"/>
      <c r="B181" s="341"/>
      <c r="C181" s="350"/>
      <c r="D181" s="317"/>
      <c r="E181" s="128">
        <f>329.4+E182+1.1</f>
        <v>334.2</v>
      </c>
      <c r="F181" s="128">
        <f>18+F182+1.1</f>
        <v>22.700000000000003</v>
      </c>
      <c r="G181" s="2">
        <v>1.1000000000000001</v>
      </c>
      <c r="H181" s="2">
        <v>1.1000000000000001</v>
      </c>
    </row>
    <row r="182" spans="1:8" x14ac:dyDescent="0.2">
      <c r="A182" s="306"/>
      <c r="B182" s="308"/>
      <c r="C182" s="15" t="s">
        <v>292</v>
      </c>
      <c r="D182" s="14" t="s">
        <v>39</v>
      </c>
      <c r="E182" s="19">
        <v>3.7</v>
      </c>
      <c r="F182" s="19">
        <v>3.6</v>
      </c>
    </row>
    <row r="183" spans="1:8" ht="50.25" customHeight="1" x14ac:dyDescent="0.2">
      <c r="A183" s="305">
        <v>46</v>
      </c>
      <c r="B183" s="307"/>
      <c r="C183" s="15" t="s">
        <v>6</v>
      </c>
      <c r="D183" s="14" t="s">
        <v>721</v>
      </c>
      <c r="E183" s="19">
        <f>357.4+E184</f>
        <v>361.09999999999997</v>
      </c>
      <c r="F183" s="19">
        <f>27.8+F184</f>
        <v>31.400000000000002</v>
      </c>
    </row>
    <row r="184" spans="1:8" x14ac:dyDescent="0.2">
      <c r="A184" s="306"/>
      <c r="B184" s="308"/>
      <c r="C184" s="15" t="s">
        <v>292</v>
      </c>
      <c r="D184" s="14" t="s">
        <v>39</v>
      </c>
      <c r="E184" s="19">
        <v>3.7</v>
      </c>
      <c r="F184" s="19">
        <v>3.6</v>
      </c>
    </row>
    <row r="185" spans="1:8" x14ac:dyDescent="0.2">
      <c r="A185" s="305">
        <v>47</v>
      </c>
      <c r="B185" s="307"/>
      <c r="C185" s="303" t="s">
        <v>9</v>
      </c>
      <c r="D185" s="316" t="s">
        <v>723</v>
      </c>
      <c r="E185" s="127">
        <v>426.9</v>
      </c>
      <c r="F185" s="127">
        <v>17.600000000000001</v>
      </c>
    </row>
    <row r="186" spans="1:8" ht="33" customHeight="1" x14ac:dyDescent="0.2">
      <c r="A186" s="306"/>
      <c r="B186" s="308"/>
      <c r="C186" s="304"/>
      <c r="D186" s="317"/>
      <c r="E186" s="128">
        <f>426.9+0.3</f>
        <v>427.2</v>
      </c>
      <c r="F186" s="128">
        <f>17.6+0.3</f>
        <v>17.900000000000002</v>
      </c>
      <c r="G186" s="2">
        <v>0.3</v>
      </c>
      <c r="H186" s="2">
        <v>0.3</v>
      </c>
    </row>
    <row r="187" spans="1:8" ht="51.75" customHeight="1" x14ac:dyDescent="0.2">
      <c r="A187" s="305">
        <v>48</v>
      </c>
      <c r="B187" s="307"/>
      <c r="C187" s="16" t="s">
        <v>10</v>
      </c>
      <c r="D187" s="14" t="s">
        <v>721</v>
      </c>
      <c r="E187" s="19">
        <f>323.6+E188</f>
        <v>327.3</v>
      </c>
      <c r="F187" s="19">
        <f>14.8+F188</f>
        <v>18.400000000000002</v>
      </c>
    </row>
    <row r="188" spans="1:8" x14ac:dyDescent="0.2">
      <c r="A188" s="306"/>
      <c r="B188" s="308"/>
      <c r="C188" s="15" t="s">
        <v>292</v>
      </c>
      <c r="D188" s="14" t="s">
        <v>39</v>
      </c>
      <c r="E188" s="19">
        <v>3.7</v>
      </c>
      <c r="F188" s="19">
        <v>3.6</v>
      </c>
    </row>
    <row r="189" spans="1:8" x14ac:dyDescent="0.2">
      <c r="A189" s="305">
        <v>49</v>
      </c>
      <c r="B189" s="307"/>
      <c r="C189" s="349" t="s">
        <v>12</v>
      </c>
      <c r="D189" s="316" t="s">
        <v>721</v>
      </c>
      <c r="E189" s="127">
        <v>306.3</v>
      </c>
      <c r="F189" s="127">
        <v>17.899999999999999</v>
      </c>
    </row>
    <row r="190" spans="1:8" ht="40.5" customHeight="1" x14ac:dyDescent="0.2">
      <c r="A190" s="340"/>
      <c r="B190" s="341"/>
      <c r="C190" s="350"/>
      <c r="D190" s="317"/>
      <c r="E190" s="128">
        <f>302.6+E191+2.2</f>
        <v>308.5</v>
      </c>
      <c r="F190" s="128">
        <f>14.3+F191+2.2</f>
        <v>20.100000000000001</v>
      </c>
      <c r="G190" s="2">
        <v>2.2000000000000002</v>
      </c>
      <c r="H190" s="2">
        <v>2.2000000000000002</v>
      </c>
    </row>
    <row r="191" spans="1:8" x14ac:dyDescent="0.2">
      <c r="A191" s="306"/>
      <c r="B191" s="308"/>
      <c r="C191" s="15" t="s">
        <v>292</v>
      </c>
      <c r="D191" s="14" t="s">
        <v>39</v>
      </c>
      <c r="E191" s="19">
        <v>3.7</v>
      </c>
      <c r="F191" s="19">
        <v>3.6</v>
      </c>
    </row>
    <row r="192" spans="1:8" x14ac:dyDescent="0.2">
      <c r="A192" s="305">
        <v>50</v>
      </c>
      <c r="B192" s="307"/>
      <c r="C192" s="303" t="s">
        <v>11</v>
      </c>
      <c r="D192" s="316" t="s">
        <v>721</v>
      </c>
      <c r="E192" s="127">
        <v>348.2</v>
      </c>
      <c r="F192" s="127">
        <v>22.1</v>
      </c>
    </row>
    <row r="193" spans="1:8" ht="36" customHeight="1" x14ac:dyDescent="0.2">
      <c r="A193" s="340"/>
      <c r="B193" s="341"/>
      <c r="C193" s="304"/>
      <c r="D193" s="317"/>
      <c r="E193" s="128">
        <f>344.5+E194+1</f>
        <v>349.2</v>
      </c>
      <c r="F193" s="128">
        <f>18.5+F194+1</f>
        <v>23.1</v>
      </c>
      <c r="G193" s="2">
        <v>1</v>
      </c>
      <c r="H193" s="2">
        <v>1</v>
      </c>
    </row>
    <row r="194" spans="1:8" x14ac:dyDescent="0.2">
      <c r="A194" s="306"/>
      <c r="B194" s="308"/>
      <c r="C194" s="15" t="s">
        <v>292</v>
      </c>
      <c r="D194" s="14" t="s">
        <v>39</v>
      </c>
      <c r="E194" s="19">
        <v>3.7</v>
      </c>
      <c r="F194" s="19">
        <v>3.6</v>
      </c>
    </row>
    <row r="195" spans="1:8" ht="53.25" customHeight="1" x14ac:dyDescent="0.2">
      <c r="A195" s="305">
        <v>51</v>
      </c>
      <c r="B195" s="307"/>
      <c r="C195" s="15" t="s">
        <v>13</v>
      </c>
      <c r="D195" s="14" t="s">
        <v>721</v>
      </c>
      <c r="E195" s="19">
        <f>170.5+E196</f>
        <v>174.2</v>
      </c>
      <c r="F195" s="19">
        <f>15.6+F196</f>
        <v>19.2</v>
      </c>
    </row>
    <row r="196" spans="1:8" x14ac:dyDescent="0.2">
      <c r="A196" s="306"/>
      <c r="B196" s="308"/>
      <c r="C196" s="15" t="s">
        <v>292</v>
      </c>
      <c r="D196" s="14" t="s">
        <v>39</v>
      </c>
      <c r="E196" s="19">
        <v>3.7</v>
      </c>
      <c r="F196" s="19">
        <v>3.6</v>
      </c>
    </row>
    <row r="197" spans="1:8" x14ac:dyDescent="0.2">
      <c r="A197" s="305">
        <v>52</v>
      </c>
      <c r="B197" s="307"/>
      <c r="C197" s="303" t="s">
        <v>14</v>
      </c>
      <c r="D197" s="316" t="s">
        <v>721</v>
      </c>
      <c r="E197" s="127">
        <v>239.6</v>
      </c>
      <c r="F197" s="127">
        <v>34</v>
      </c>
    </row>
    <row r="198" spans="1:8" ht="42.75" customHeight="1" x14ac:dyDescent="0.2">
      <c r="A198" s="340"/>
      <c r="B198" s="341"/>
      <c r="C198" s="304"/>
      <c r="D198" s="317"/>
      <c r="E198" s="128">
        <f>232.2+E199+2.5</f>
        <v>242.1</v>
      </c>
      <c r="F198" s="128">
        <f>26.7+F199+2.5</f>
        <v>36.5</v>
      </c>
      <c r="G198" s="2">
        <v>2.5</v>
      </c>
      <c r="H198" s="2">
        <v>2.5</v>
      </c>
    </row>
    <row r="199" spans="1:8" ht="26.25" customHeight="1" x14ac:dyDescent="0.2">
      <c r="A199" s="306"/>
      <c r="B199" s="308"/>
      <c r="C199" s="15" t="s">
        <v>292</v>
      </c>
      <c r="D199" s="14" t="s">
        <v>39</v>
      </c>
      <c r="E199" s="19">
        <v>7.4</v>
      </c>
      <c r="F199" s="19">
        <v>7.3</v>
      </c>
    </row>
    <row r="200" spans="1:8" ht="16.5" customHeight="1" x14ac:dyDescent="0.2">
      <c r="A200" s="305">
        <v>53</v>
      </c>
      <c r="B200" s="314" t="s">
        <v>76</v>
      </c>
      <c r="C200" s="320" t="s">
        <v>193</v>
      </c>
      <c r="D200" s="316"/>
      <c r="E200" s="133">
        <v>1975.9</v>
      </c>
      <c r="F200" s="133">
        <v>717.6</v>
      </c>
    </row>
    <row r="201" spans="1:8" ht="27.75" customHeight="1" x14ac:dyDescent="0.2">
      <c r="A201" s="306"/>
      <c r="B201" s="315"/>
      <c r="C201" s="321"/>
      <c r="D201" s="317"/>
      <c r="E201" s="35">
        <f>+E205+E225+E227+E229+E231+E232+E234+E235+E237+E238+E203</f>
        <v>2027.1000000000001</v>
      </c>
      <c r="F201" s="35">
        <f>+F205+F225+F227+F229+F231+F232+F234+F235+F237+F238+F203</f>
        <v>779.3</v>
      </c>
    </row>
    <row r="202" spans="1:8" ht="13.5" customHeight="1" x14ac:dyDescent="0.2">
      <c r="A202" s="305">
        <v>54</v>
      </c>
      <c r="B202" s="314"/>
      <c r="C202" s="347" t="s">
        <v>112</v>
      </c>
      <c r="D202" s="307" t="s">
        <v>77</v>
      </c>
      <c r="E202" s="127">
        <v>1083.9000000000001</v>
      </c>
      <c r="F202" s="127">
        <v>642.1</v>
      </c>
    </row>
    <row r="203" spans="1:8" ht="12.6" customHeight="1" x14ac:dyDescent="0.2">
      <c r="A203" s="306"/>
      <c r="B203" s="315"/>
      <c r="C203" s="348"/>
      <c r="D203" s="308"/>
      <c r="E203" s="128">
        <f>1083.9+8+59.5</f>
        <v>1151.4000000000001</v>
      </c>
      <c r="F203" s="128">
        <f>642.1+58.4</f>
        <v>700.5</v>
      </c>
      <c r="G203" s="2">
        <f>8+59.5</f>
        <v>67.5</v>
      </c>
      <c r="H203" s="2">
        <v>58.4</v>
      </c>
    </row>
    <row r="204" spans="1:8" ht="12.6" customHeight="1" x14ac:dyDescent="0.2">
      <c r="A204" s="305">
        <v>55</v>
      </c>
      <c r="B204" s="314"/>
      <c r="C204" s="303" t="s">
        <v>166</v>
      </c>
      <c r="D204" s="307"/>
      <c r="E204" s="127">
        <v>862.9</v>
      </c>
      <c r="F204" s="19"/>
    </row>
    <row r="205" spans="1:8" ht="12.6" customHeight="1" x14ac:dyDescent="0.2">
      <c r="A205" s="306"/>
      <c r="B205" s="315"/>
      <c r="C205" s="304"/>
      <c r="D205" s="308"/>
      <c r="E205" s="128">
        <f>+E206+E207+E214+E218+E215+E216</f>
        <v>842.9</v>
      </c>
      <c r="F205" s="19">
        <f>+F206+F207+F214+F218+F215+F216</f>
        <v>47.6</v>
      </c>
    </row>
    <row r="206" spans="1:8" ht="12.6" customHeight="1" x14ac:dyDescent="0.2">
      <c r="A206" s="150" t="s">
        <v>671</v>
      </c>
      <c r="B206" s="1"/>
      <c r="C206" s="16" t="s">
        <v>3</v>
      </c>
      <c r="D206" s="1" t="s">
        <v>132</v>
      </c>
      <c r="E206" s="19">
        <f>108.6+12</f>
        <v>120.6</v>
      </c>
      <c r="F206" s="19">
        <v>47.6</v>
      </c>
    </row>
    <row r="207" spans="1:8" ht="12.6" customHeight="1" x14ac:dyDescent="0.2">
      <c r="A207" s="328" t="s">
        <v>672</v>
      </c>
      <c r="B207" s="307"/>
      <c r="C207" s="155" t="s">
        <v>689</v>
      </c>
      <c r="D207" s="307" t="s">
        <v>77</v>
      </c>
      <c r="E207" s="19">
        <f>+E208+E209+E210+E211+E212+E213</f>
        <v>515</v>
      </c>
      <c r="F207" s="19">
        <f>+F208+F209+F210+F211+F212</f>
        <v>0</v>
      </c>
    </row>
    <row r="208" spans="1:8" ht="25.5" x14ac:dyDescent="0.2">
      <c r="A208" s="351"/>
      <c r="B208" s="341"/>
      <c r="C208" s="165" t="s">
        <v>606</v>
      </c>
      <c r="D208" s="341"/>
      <c r="E208" s="19">
        <v>220</v>
      </c>
      <c r="F208" s="19"/>
    </row>
    <row r="209" spans="1:9" ht="12.6" customHeight="1" x14ac:dyDescent="0.2">
      <c r="A209" s="351"/>
      <c r="B209" s="341"/>
      <c r="C209" s="165" t="s">
        <v>601</v>
      </c>
      <c r="D209" s="341"/>
      <c r="E209" s="19">
        <f>100+20</f>
        <v>120</v>
      </c>
      <c r="F209" s="19"/>
    </row>
    <row r="210" spans="1:9" ht="12.6" customHeight="1" x14ac:dyDescent="0.2">
      <c r="A210" s="351"/>
      <c r="B210" s="341"/>
      <c r="C210" s="165" t="s">
        <v>600</v>
      </c>
      <c r="D210" s="341"/>
      <c r="E210" s="19">
        <v>15</v>
      </c>
      <c r="F210" s="19"/>
    </row>
    <row r="211" spans="1:9" ht="25.5" x14ac:dyDescent="0.2">
      <c r="A211" s="351"/>
      <c r="B211" s="341"/>
      <c r="C211" s="165" t="s">
        <v>599</v>
      </c>
      <c r="D211" s="341"/>
      <c r="E211" s="19">
        <v>120</v>
      </c>
      <c r="F211" s="19"/>
    </row>
    <row r="212" spans="1:9" x14ac:dyDescent="0.2">
      <c r="A212" s="351"/>
      <c r="B212" s="341"/>
      <c r="C212" s="165" t="s">
        <v>602</v>
      </c>
      <c r="D212" s="341"/>
      <c r="E212" s="19">
        <v>20</v>
      </c>
      <c r="F212" s="19"/>
    </row>
    <row r="213" spans="1:9" x14ac:dyDescent="0.2">
      <c r="A213" s="329"/>
      <c r="B213" s="308"/>
      <c r="C213" s="165" t="s">
        <v>603</v>
      </c>
      <c r="D213" s="308"/>
      <c r="E213" s="19">
        <f>10+10</f>
        <v>20</v>
      </c>
      <c r="F213" s="19"/>
    </row>
    <row r="214" spans="1:9" ht="12.6" customHeight="1" x14ac:dyDescent="0.2">
      <c r="A214" s="150" t="s">
        <v>673</v>
      </c>
      <c r="B214" s="1"/>
      <c r="C214" s="155" t="s">
        <v>604</v>
      </c>
      <c r="D214" s="1" t="s">
        <v>77</v>
      </c>
      <c r="E214" s="19">
        <v>55</v>
      </c>
      <c r="F214" s="19"/>
    </row>
    <row r="215" spans="1:9" ht="25.5" x14ac:dyDescent="0.2">
      <c r="A215" s="150" t="s">
        <v>674</v>
      </c>
      <c r="B215" s="1"/>
      <c r="C215" s="155" t="s">
        <v>805</v>
      </c>
      <c r="D215" s="1" t="s">
        <v>77</v>
      </c>
      <c r="E215" s="19">
        <v>10.3</v>
      </c>
      <c r="F215" s="19"/>
    </row>
    <row r="216" spans="1:9" ht="25.5" x14ac:dyDescent="0.2">
      <c r="A216" s="150" t="s">
        <v>675</v>
      </c>
      <c r="B216" s="1"/>
      <c r="C216" s="155" t="s">
        <v>430</v>
      </c>
      <c r="D216" s="1" t="s">
        <v>155</v>
      </c>
      <c r="E216" s="19">
        <v>10</v>
      </c>
      <c r="F216" s="19"/>
    </row>
    <row r="217" spans="1:9" x14ac:dyDescent="0.2">
      <c r="A217" s="328" t="s">
        <v>676</v>
      </c>
      <c r="B217" s="307"/>
      <c r="C217" s="334" t="s">
        <v>578</v>
      </c>
      <c r="D217" s="307"/>
      <c r="E217" s="136">
        <v>152</v>
      </c>
      <c r="F217" s="19"/>
    </row>
    <row r="218" spans="1:9" ht="42" customHeight="1" x14ac:dyDescent="0.2">
      <c r="A218" s="329"/>
      <c r="B218" s="308"/>
      <c r="C218" s="335"/>
      <c r="D218" s="308"/>
      <c r="E218" s="128">
        <f>+E219+E220+E222+E223</f>
        <v>132</v>
      </c>
      <c r="F218" s="128">
        <f>+F219+F220+F222+F223</f>
        <v>0</v>
      </c>
    </row>
    <row r="219" spans="1:9" ht="25.5" x14ac:dyDescent="0.2">
      <c r="A219" s="150" t="s">
        <v>677</v>
      </c>
      <c r="B219" s="1"/>
      <c r="C219" s="15" t="s">
        <v>605</v>
      </c>
      <c r="D219" s="125" t="s">
        <v>77</v>
      </c>
      <c r="E219" s="19">
        <v>22</v>
      </c>
      <c r="F219" s="19"/>
    </row>
    <row r="220" spans="1:9" ht="38.25" x14ac:dyDescent="0.2">
      <c r="A220" s="150" t="s">
        <v>678</v>
      </c>
      <c r="B220" s="1"/>
      <c r="C220" s="15" t="s">
        <v>283</v>
      </c>
      <c r="D220" s="1" t="s">
        <v>77</v>
      </c>
      <c r="E220" s="19">
        <v>50</v>
      </c>
      <c r="F220" s="19"/>
    </row>
    <row r="221" spans="1:9" x14ac:dyDescent="0.2">
      <c r="A221" s="328" t="s">
        <v>967</v>
      </c>
      <c r="B221" s="307"/>
      <c r="C221" s="318" t="s">
        <v>359</v>
      </c>
      <c r="D221" s="307" t="s">
        <v>61</v>
      </c>
      <c r="E221" s="127">
        <v>20</v>
      </c>
      <c r="F221" s="19"/>
    </row>
    <row r="222" spans="1:9" x14ac:dyDescent="0.2">
      <c r="A222" s="329"/>
      <c r="B222" s="308"/>
      <c r="C222" s="319"/>
      <c r="D222" s="308"/>
      <c r="E222" s="131">
        <f>20-20</f>
        <v>0</v>
      </c>
      <c r="F222" s="19"/>
      <c r="G222" s="2">
        <v>-20</v>
      </c>
      <c r="I222" s="2" t="s">
        <v>993</v>
      </c>
    </row>
    <row r="223" spans="1:9" ht="25.5" x14ac:dyDescent="0.2">
      <c r="A223" s="150" t="s">
        <v>990</v>
      </c>
      <c r="B223" s="1"/>
      <c r="C223" s="15" t="s">
        <v>914</v>
      </c>
      <c r="D223" s="1" t="s">
        <v>61</v>
      </c>
      <c r="E223" s="19">
        <v>60</v>
      </c>
      <c r="F223" s="19"/>
    </row>
    <row r="224" spans="1:9" x14ac:dyDescent="0.2">
      <c r="A224" s="305">
        <v>56</v>
      </c>
      <c r="B224" s="307"/>
      <c r="C224" s="303" t="s">
        <v>5</v>
      </c>
      <c r="D224" s="307" t="s">
        <v>77</v>
      </c>
      <c r="E224" s="127">
        <v>3.5</v>
      </c>
      <c r="F224" s="127">
        <v>3.1</v>
      </c>
    </row>
    <row r="225" spans="1:8" ht="12.6" customHeight="1" x14ac:dyDescent="0.2">
      <c r="A225" s="306"/>
      <c r="B225" s="308"/>
      <c r="C225" s="304"/>
      <c r="D225" s="308"/>
      <c r="E225" s="128">
        <f>3.5+0.1</f>
        <v>3.6</v>
      </c>
      <c r="F225" s="128">
        <f>3.1+0.1</f>
        <v>3.2</v>
      </c>
      <c r="G225" s="2">
        <v>0.1</v>
      </c>
      <c r="H225" s="2">
        <v>0.1</v>
      </c>
    </row>
    <row r="226" spans="1:8" ht="12.6" customHeight="1" x14ac:dyDescent="0.2">
      <c r="A226" s="305">
        <v>57</v>
      </c>
      <c r="B226" s="307"/>
      <c r="C226" s="303" t="s">
        <v>7</v>
      </c>
      <c r="D226" s="307" t="s">
        <v>77</v>
      </c>
      <c r="E226" s="127">
        <v>3.4</v>
      </c>
      <c r="F226" s="127">
        <v>3.3</v>
      </c>
    </row>
    <row r="227" spans="1:8" ht="12.6" customHeight="1" x14ac:dyDescent="0.2">
      <c r="A227" s="306"/>
      <c r="B227" s="308"/>
      <c r="C227" s="304"/>
      <c r="D227" s="308"/>
      <c r="E227" s="128">
        <f>3.4+0.3</f>
        <v>3.6999999999999997</v>
      </c>
      <c r="F227" s="128">
        <f>3.3+0.3</f>
        <v>3.5999999999999996</v>
      </c>
      <c r="G227" s="2">
        <v>0.3</v>
      </c>
      <c r="H227" s="2">
        <v>0.3</v>
      </c>
    </row>
    <row r="228" spans="1:8" ht="12.6" customHeight="1" x14ac:dyDescent="0.2">
      <c r="A228" s="305">
        <v>58</v>
      </c>
      <c r="B228" s="307"/>
      <c r="C228" s="303" t="s">
        <v>6</v>
      </c>
      <c r="D228" s="307" t="s">
        <v>77</v>
      </c>
      <c r="E228" s="127">
        <v>3.6</v>
      </c>
      <c r="F228" s="127">
        <v>3.5</v>
      </c>
    </row>
    <row r="229" spans="1:8" ht="12.6" customHeight="1" x14ac:dyDescent="0.2">
      <c r="A229" s="306"/>
      <c r="B229" s="308"/>
      <c r="C229" s="304"/>
      <c r="D229" s="308"/>
      <c r="E229" s="128">
        <f>3.6+1.7</f>
        <v>5.3</v>
      </c>
      <c r="F229" s="128">
        <f>3.5+1.7</f>
        <v>5.2</v>
      </c>
      <c r="G229" s="2">
        <v>1.7</v>
      </c>
      <c r="H229" s="2">
        <v>1.7</v>
      </c>
    </row>
    <row r="230" spans="1:8" ht="12.6" customHeight="1" x14ac:dyDescent="0.2">
      <c r="A230" s="305">
        <v>59</v>
      </c>
      <c r="B230" s="307"/>
      <c r="C230" s="303" t="s">
        <v>9</v>
      </c>
      <c r="D230" s="307" t="s">
        <v>77</v>
      </c>
      <c r="E230" s="127">
        <v>3.3</v>
      </c>
      <c r="F230" s="127">
        <v>3.2</v>
      </c>
    </row>
    <row r="231" spans="1:8" ht="12.6" customHeight="1" x14ac:dyDescent="0.2">
      <c r="A231" s="306"/>
      <c r="B231" s="308"/>
      <c r="C231" s="304"/>
      <c r="D231" s="308"/>
      <c r="E231" s="128">
        <f>3.3+0.4</f>
        <v>3.6999999999999997</v>
      </c>
      <c r="F231" s="128">
        <f>3.2+0.3</f>
        <v>3.5</v>
      </c>
      <c r="G231" s="2">
        <v>0.4</v>
      </c>
      <c r="H231" s="2">
        <v>0.3</v>
      </c>
    </row>
    <row r="232" spans="1:8" ht="32.25" customHeight="1" x14ac:dyDescent="0.2">
      <c r="A232" s="12">
        <v>60</v>
      </c>
      <c r="B232" s="1"/>
      <c r="C232" s="16" t="s">
        <v>10</v>
      </c>
      <c r="D232" s="1" t="s">
        <v>77</v>
      </c>
      <c r="E232" s="19">
        <v>3.2</v>
      </c>
      <c r="F232" s="19">
        <v>3.1</v>
      </c>
    </row>
    <row r="233" spans="1:8" ht="12.6" customHeight="1" x14ac:dyDescent="0.2">
      <c r="A233" s="305">
        <v>61</v>
      </c>
      <c r="B233" s="307"/>
      <c r="C233" s="303" t="s">
        <v>12</v>
      </c>
      <c r="D233" s="307" t="s">
        <v>77</v>
      </c>
      <c r="E233" s="127">
        <v>3.2</v>
      </c>
      <c r="F233" s="127">
        <v>3.1</v>
      </c>
    </row>
    <row r="234" spans="1:8" ht="12.6" customHeight="1" x14ac:dyDescent="0.2">
      <c r="A234" s="306"/>
      <c r="B234" s="308"/>
      <c r="C234" s="304"/>
      <c r="D234" s="308"/>
      <c r="E234" s="128">
        <f>3.2+0.8</f>
        <v>4</v>
      </c>
      <c r="F234" s="128">
        <f>3.1+0.5</f>
        <v>3.6</v>
      </c>
      <c r="G234" s="2">
        <v>0.8</v>
      </c>
      <c r="H234" s="2">
        <v>0.5</v>
      </c>
    </row>
    <row r="235" spans="1:8" ht="19.5" customHeight="1" x14ac:dyDescent="0.2">
      <c r="A235" s="12">
        <v>62</v>
      </c>
      <c r="B235" s="1"/>
      <c r="C235" s="15" t="s">
        <v>11</v>
      </c>
      <c r="D235" s="1" t="s">
        <v>77</v>
      </c>
      <c r="E235" s="19">
        <v>3</v>
      </c>
      <c r="F235" s="19">
        <v>2.9</v>
      </c>
    </row>
    <row r="236" spans="1:8" ht="12.6" customHeight="1" x14ac:dyDescent="0.2">
      <c r="A236" s="305">
        <v>63</v>
      </c>
      <c r="B236" s="307"/>
      <c r="C236" s="349" t="s">
        <v>13</v>
      </c>
      <c r="D236" s="307" t="s">
        <v>77</v>
      </c>
      <c r="E236" s="127">
        <v>2.9</v>
      </c>
      <c r="F236" s="127">
        <v>2.8</v>
      </c>
    </row>
    <row r="237" spans="1:8" ht="12.6" customHeight="1" x14ac:dyDescent="0.2">
      <c r="A237" s="306"/>
      <c r="B237" s="308"/>
      <c r="C237" s="350"/>
      <c r="D237" s="308"/>
      <c r="E237" s="128">
        <f>2.9+0.4</f>
        <v>3.3</v>
      </c>
      <c r="F237" s="128">
        <f>2.8+0.4</f>
        <v>3.1999999999999997</v>
      </c>
      <c r="G237" s="2">
        <v>0.4</v>
      </c>
      <c r="H237" s="2">
        <v>0.4</v>
      </c>
    </row>
    <row r="238" spans="1:8" ht="18" customHeight="1" x14ac:dyDescent="0.2">
      <c r="A238" s="12">
        <v>64</v>
      </c>
      <c r="B238" s="1"/>
      <c r="C238" s="15" t="s">
        <v>14</v>
      </c>
      <c r="D238" s="1" t="s">
        <v>77</v>
      </c>
      <c r="E238" s="19">
        <v>3</v>
      </c>
      <c r="F238" s="19">
        <v>2.9</v>
      </c>
    </row>
    <row r="239" spans="1:8" ht="18.75" customHeight="1" x14ac:dyDescent="0.2">
      <c r="A239" s="305">
        <v>65</v>
      </c>
      <c r="B239" s="314" t="s">
        <v>78</v>
      </c>
      <c r="C239" s="320" t="s">
        <v>79</v>
      </c>
      <c r="D239" s="307"/>
      <c r="E239" s="133">
        <v>4713.3999999999996</v>
      </c>
      <c r="F239" s="133">
        <v>2984.4</v>
      </c>
    </row>
    <row r="240" spans="1:8" ht="17.25" customHeight="1" x14ac:dyDescent="0.2">
      <c r="A240" s="306"/>
      <c r="B240" s="315"/>
      <c r="C240" s="321"/>
      <c r="D240" s="308"/>
      <c r="E240" s="35">
        <f>+E242+E244+E246+E248+E250+E252+E254+E256+E259+E272</f>
        <v>4997.8</v>
      </c>
      <c r="F240" s="35">
        <f>+F242+F244+F246+F248+F250+F252+F254+F256+F259+F272</f>
        <v>3263.2</v>
      </c>
    </row>
    <row r="241" spans="1:8" ht="21.75" customHeight="1" x14ac:dyDescent="0.2">
      <c r="A241" s="305">
        <v>66</v>
      </c>
      <c r="B241" s="314"/>
      <c r="C241" s="347" t="s">
        <v>44</v>
      </c>
      <c r="D241" s="307" t="s">
        <v>80</v>
      </c>
      <c r="E241" s="127">
        <v>951.3</v>
      </c>
      <c r="F241" s="127">
        <v>653.1</v>
      </c>
    </row>
    <row r="242" spans="1:8" ht="14.25" customHeight="1" x14ac:dyDescent="0.2">
      <c r="A242" s="306"/>
      <c r="B242" s="315"/>
      <c r="C242" s="348"/>
      <c r="D242" s="308"/>
      <c r="E242" s="128">
        <f>951.3+60.6</f>
        <v>1011.9</v>
      </c>
      <c r="F242" s="128">
        <f>653.1+59.4</f>
        <v>712.5</v>
      </c>
      <c r="G242" s="2">
        <v>60.6</v>
      </c>
      <c r="H242" s="2">
        <v>59.4</v>
      </c>
    </row>
    <row r="243" spans="1:8" ht="17.25" customHeight="1" x14ac:dyDescent="0.2">
      <c r="A243" s="305">
        <v>67</v>
      </c>
      <c r="B243" s="307"/>
      <c r="C243" s="342" t="s">
        <v>49</v>
      </c>
      <c r="D243" s="307" t="s">
        <v>80</v>
      </c>
      <c r="E243" s="127">
        <v>293.8</v>
      </c>
      <c r="F243" s="127">
        <v>218.5</v>
      </c>
    </row>
    <row r="244" spans="1:8" ht="18" customHeight="1" x14ac:dyDescent="0.2">
      <c r="A244" s="306"/>
      <c r="B244" s="308"/>
      <c r="C244" s="343"/>
      <c r="D244" s="308"/>
      <c r="E244" s="128">
        <f>293.8+20.3</f>
        <v>314.10000000000002</v>
      </c>
      <c r="F244" s="128">
        <f>218.5+19.9</f>
        <v>238.4</v>
      </c>
      <c r="G244" s="2">
        <v>20.3</v>
      </c>
      <c r="H244" s="2">
        <v>19.899999999999999</v>
      </c>
    </row>
    <row r="245" spans="1:8" ht="16.5" customHeight="1" x14ac:dyDescent="0.2">
      <c r="A245" s="305">
        <v>68</v>
      </c>
      <c r="B245" s="307"/>
      <c r="C245" s="342" t="s">
        <v>50</v>
      </c>
      <c r="D245" s="307" t="s">
        <v>80</v>
      </c>
      <c r="E245" s="127">
        <v>227.3</v>
      </c>
      <c r="F245" s="127">
        <v>158</v>
      </c>
    </row>
    <row r="246" spans="1:8" ht="17.25" customHeight="1" x14ac:dyDescent="0.2">
      <c r="A246" s="306"/>
      <c r="B246" s="308"/>
      <c r="C246" s="343"/>
      <c r="D246" s="308"/>
      <c r="E246" s="128">
        <f>227.3+14.6</f>
        <v>241.9</v>
      </c>
      <c r="F246" s="128">
        <f>158+14.3</f>
        <v>172.3</v>
      </c>
      <c r="G246" s="2">
        <v>14.6</v>
      </c>
      <c r="H246" s="2">
        <v>14.3</v>
      </c>
    </row>
    <row r="247" spans="1:8" ht="15" customHeight="1" x14ac:dyDescent="0.2">
      <c r="A247" s="305">
        <v>69</v>
      </c>
      <c r="B247" s="307"/>
      <c r="C247" s="342" t="s">
        <v>45</v>
      </c>
      <c r="D247" s="307" t="s">
        <v>80</v>
      </c>
      <c r="E247" s="127">
        <v>209.9</v>
      </c>
      <c r="F247" s="127">
        <v>148.80000000000001</v>
      </c>
    </row>
    <row r="248" spans="1:8" ht="15.75" customHeight="1" x14ac:dyDescent="0.2">
      <c r="A248" s="306"/>
      <c r="B248" s="308"/>
      <c r="C248" s="343"/>
      <c r="D248" s="308"/>
      <c r="E248" s="128">
        <f>209.9+13.8</f>
        <v>223.70000000000002</v>
      </c>
      <c r="F248" s="128">
        <f>148.8+13.5</f>
        <v>162.30000000000001</v>
      </c>
      <c r="G248" s="2">
        <v>13.8</v>
      </c>
      <c r="H248" s="2">
        <v>13.5</v>
      </c>
    </row>
    <row r="249" spans="1:8" ht="15" customHeight="1" x14ac:dyDescent="0.2">
      <c r="A249" s="305">
        <v>70</v>
      </c>
      <c r="B249" s="307"/>
      <c r="C249" s="342" t="s">
        <v>51</v>
      </c>
      <c r="D249" s="307" t="s">
        <v>80</v>
      </c>
      <c r="E249" s="127">
        <v>141.19999999999999</v>
      </c>
      <c r="F249" s="127">
        <v>114.8</v>
      </c>
    </row>
    <row r="250" spans="1:8" ht="15" customHeight="1" x14ac:dyDescent="0.2">
      <c r="A250" s="306"/>
      <c r="B250" s="308"/>
      <c r="C250" s="343"/>
      <c r="D250" s="308"/>
      <c r="E250" s="128">
        <f>141.2+10.6</f>
        <v>151.79999999999998</v>
      </c>
      <c r="F250" s="128">
        <f>114.8+10.4</f>
        <v>125.2</v>
      </c>
      <c r="G250" s="2">
        <v>10.6</v>
      </c>
      <c r="H250" s="2">
        <v>10.4</v>
      </c>
    </row>
    <row r="251" spans="1:8" ht="18" customHeight="1" x14ac:dyDescent="0.2">
      <c r="A251" s="305">
        <v>71</v>
      </c>
      <c r="B251" s="307"/>
      <c r="C251" s="342" t="s">
        <v>52</v>
      </c>
      <c r="D251" s="307" t="s">
        <v>80</v>
      </c>
      <c r="E251" s="127">
        <v>128.5</v>
      </c>
      <c r="F251" s="127">
        <v>93.1</v>
      </c>
    </row>
    <row r="252" spans="1:8" ht="18" customHeight="1" x14ac:dyDescent="0.2">
      <c r="A252" s="306"/>
      <c r="B252" s="308"/>
      <c r="C252" s="343"/>
      <c r="D252" s="308"/>
      <c r="E252" s="128">
        <f>128.5+8.6</f>
        <v>137.1</v>
      </c>
      <c r="F252" s="128">
        <f>93.1+8.5</f>
        <v>101.6</v>
      </c>
      <c r="G252" s="2">
        <v>8.6</v>
      </c>
      <c r="H252" s="2">
        <v>8.5</v>
      </c>
    </row>
    <row r="253" spans="1:8" ht="16.5" customHeight="1" x14ac:dyDescent="0.2">
      <c r="A253" s="305">
        <v>72</v>
      </c>
      <c r="B253" s="307"/>
      <c r="C253" s="303" t="s">
        <v>53</v>
      </c>
      <c r="D253" s="307" t="s">
        <v>81</v>
      </c>
      <c r="E253" s="127">
        <v>1257.7</v>
      </c>
      <c r="F253" s="127">
        <v>1030.7</v>
      </c>
    </row>
    <row r="254" spans="1:8" ht="16.5" customHeight="1" x14ac:dyDescent="0.2">
      <c r="A254" s="306"/>
      <c r="B254" s="308"/>
      <c r="C254" s="304"/>
      <c r="D254" s="308"/>
      <c r="E254" s="128">
        <f>1257.7+95.6</f>
        <v>1353.3</v>
      </c>
      <c r="F254" s="128">
        <f>1030.7+93.7</f>
        <v>1124.4000000000001</v>
      </c>
      <c r="G254" s="2">
        <v>95.6</v>
      </c>
      <c r="H254" s="2">
        <v>93.7</v>
      </c>
    </row>
    <row r="255" spans="1:8" ht="12.6" customHeight="1" x14ac:dyDescent="0.2">
      <c r="A255" s="305">
        <v>73</v>
      </c>
      <c r="B255" s="307"/>
      <c r="C255" s="342" t="s">
        <v>43</v>
      </c>
      <c r="D255" s="307" t="s">
        <v>82</v>
      </c>
      <c r="E255" s="127">
        <v>651.4</v>
      </c>
      <c r="F255" s="127">
        <v>484.4</v>
      </c>
    </row>
    <row r="256" spans="1:8" ht="14.25" customHeight="1" x14ac:dyDescent="0.2">
      <c r="A256" s="340"/>
      <c r="B256" s="341"/>
      <c r="C256" s="343"/>
      <c r="D256" s="308"/>
      <c r="E256" s="128">
        <f>+E257+646.2+44.9</f>
        <v>696.30000000000007</v>
      </c>
      <c r="F256" s="128">
        <f>484.4+44.1</f>
        <v>528.5</v>
      </c>
      <c r="G256" s="2">
        <v>44.9</v>
      </c>
      <c r="H256" s="2">
        <v>44.1</v>
      </c>
    </row>
    <row r="257" spans="1:8" ht="42.75" customHeight="1" x14ac:dyDescent="0.2">
      <c r="A257" s="306"/>
      <c r="B257" s="308"/>
      <c r="C257" s="134" t="s">
        <v>607</v>
      </c>
      <c r="D257" s="1" t="s">
        <v>126</v>
      </c>
      <c r="E257" s="19">
        <v>5.2</v>
      </c>
      <c r="F257" s="19"/>
    </row>
    <row r="258" spans="1:8" ht="15.75" customHeight="1" x14ac:dyDescent="0.2">
      <c r="A258" s="305">
        <v>74</v>
      </c>
      <c r="B258" s="307"/>
      <c r="C258" s="303" t="s">
        <v>166</v>
      </c>
      <c r="D258" s="307"/>
      <c r="E258" s="127">
        <v>843.8</v>
      </c>
      <c r="F258" s="127">
        <v>74.7</v>
      </c>
    </row>
    <row r="259" spans="1:8" ht="15.75" customHeight="1" x14ac:dyDescent="0.2">
      <c r="A259" s="306"/>
      <c r="B259" s="308"/>
      <c r="C259" s="304"/>
      <c r="D259" s="308"/>
      <c r="E259" s="128">
        <f>+E261+E262+E263+E264+E267+E265+E266</f>
        <v>859</v>
      </c>
      <c r="F259" s="128">
        <f>+F261+F262+F263+F264+F267+F265+F266</f>
        <v>89.7</v>
      </c>
    </row>
    <row r="260" spans="1:8" ht="15.75" customHeight="1" x14ac:dyDescent="0.2">
      <c r="A260" s="328" t="s">
        <v>679</v>
      </c>
      <c r="B260" s="307"/>
      <c r="C260" s="303" t="s">
        <v>3</v>
      </c>
      <c r="D260" s="316" t="s">
        <v>141</v>
      </c>
      <c r="E260" s="127">
        <v>434.9</v>
      </c>
      <c r="F260" s="127">
        <v>74.7</v>
      </c>
    </row>
    <row r="261" spans="1:8" ht="15.75" customHeight="1" x14ac:dyDescent="0.2">
      <c r="A261" s="329"/>
      <c r="B261" s="308"/>
      <c r="C261" s="304"/>
      <c r="D261" s="317"/>
      <c r="E261" s="128">
        <f>434.9+15.2</f>
        <v>450.09999999999997</v>
      </c>
      <c r="F261" s="128">
        <f>74.7+15</f>
        <v>89.7</v>
      </c>
      <c r="G261" s="2">
        <v>15.2</v>
      </c>
      <c r="H261" s="2">
        <v>15</v>
      </c>
    </row>
    <row r="262" spans="1:8" ht="51" x14ac:dyDescent="0.2">
      <c r="A262" s="150" t="s">
        <v>680</v>
      </c>
      <c r="B262" s="1"/>
      <c r="C262" s="163" t="s">
        <v>187</v>
      </c>
      <c r="D262" s="14" t="s">
        <v>83</v>
      </c>
      <c r="E262" s="19">
        <v>27</v>
      </c>
      <c r="F262" s="19"/>
    </row>
    <row r="263" spans="1:8" x14ac:dyDescent="0.2">
      <c r="A263" s="150" t="s">
        <v>681</v>
      </c>
      <c r="B263" s="1"/>
      <c r="C263" s="163" t="s">
        <v>370</v>
      </c>
      <c r="D263" s="14" t="s">
        <v>83</v>
      </c>
      <c r="E263" s="19">
        <v>25</v>
      </c>
      <c r="F263" s="19"/>
    </row>
    <row r="264" spans="1:8" ht="25.5" x14ac:dyDescent="0.2">
      <c r="A264" s="150" t="s">
        <v>682</v>
      </c>
      <c r="B264" s="1"/>
      <c r="C264" s="163" t="s">
        <v>371</v>
      </c>
      <c r="D264" s="14" t="s">
        <v>83</v>
      </c>
      <c r="E264" s="19">
        <v>10</v>
      </c>
      <c r="F264" s="19"/>
    </row>
    <row r="265" spans="1:8" ht="25.5" x14ac:dyDescent="0.2">
      <c r="A265" s="150" t="s">
        <v>683</v>
      </c>
      <c r="B265" s="1"/>
      <c r="C265" s="46" t="s">
        <v>284</v>
      </c>
      <c r="D265" s="14" t="s">
        <v>155</v>
      </c>
      <c r="E265" s="19">
        <v>36</v>
      </c>
      <c r="F265" s="19"/>
    </row>
    <row r="266" spans="1:8" ht="51" x14ac:dyDescent="0.2">
      <c r="A266" s="150" t="s">
        <v>684</v>
      </c>
      <c r="B266" s="1"/>
      <c r="C266" s="46" t="s">
        <v>806</v>
      </c>
      <c r="D266" s="14" t="s">
        <v>155</v>
      </c>
      <c r="E266" s="19">
        <v>19</v>
      </c>
      <c r="F266" s="19"/>
    </row>
    <row r="267" spans="1:8" ht="39" customHeight="1" x14ac:dyDescent="0.2">
      <c r="A267" s="150" t="s">
        <v>685</v>
      </c>
      <c r="B267" s="1"/>
      <c r="C267" s="160" t="s">
        <v>578</v>
      </c>
      <c r="D267" s="9"/>
      <c r="E267" s="128">
        <f>SUM(E268:E270)</f>
        <v>291.90000000000003</v>
      </c>
      <c r="F267" s="128">
        <f>SUM(F268:F270)</f>
        <v>0</v>
      </c>
    </row>
    <row r="268" spans="1:8" ht="38.25" x14ac:dyDescent="0.2">
      <c r="A268" s="150" t="s">
        <v>686</v>
      </c>
      <c r="B268" s="1"/>
      <c r="C268" s="46" t="s">
        <v>172</v>
      </c>
      <c r="D268" s="1" t="s">
        <v>82</v>
      </c>
      <c r="E268" s="19">
        <v>10</v>
      </c>
      <c r="F268" s="19"/>
    </row>
    <row r="269" spans="1:8" x14ac:dyDescent="0.2">
      <c r="A269" s="150" t="s">
        <v>687</v>
      </c>
      <c r="B269" s="1"/>
      <c r="C269" s="46" t="s">
        <v>608</v>
      </c>
      <c r="D269" s="1" t="s">
        <v>82</v>
      </c>
      <c r="E269" s="19">
        <v>267.3</v>
      </c>
      <c r="F269" s="19"/>
    </row>
    <row r="270" spans="1:8" ht="12.6" customHeight="1" x14ac:dyDescent="0.2">
      <c r="A270" s="150" t="s">
        <v>966</v>
      </c>
      <c r="B270" s="1"/>
      <c r="C270" s="15" t="s">
        <v>897</v>
      </c>
      <c r="D270" s="1" t="s">
        <v>80</v>
      </c>
      <c r="E270" s="19">
        <v>14.6</v>
      </c>
      <c r="F270" s="19"/>
    </row>
    <row r="271" spans="1:8" ht="12.6" customHeight="1" x14ac:dyDescent="0.2">
      <c r="A271" s="305">
        <v>75</v>
      </c>
      <c r="B271" s="307"/>
      <c r="C271" s="303" t="s">
        <v>6</v>
      </c>
      <c r="D271" s="307" t="s">
        <v>82</v>
      </c>
      <c r="E271" s="127">
        <v>8.5</v>
      </c>
      <c r="F271" s="19"/>
    </row>
    <row r="272" spans="1:8" ht="12.6" customHeight="1" x14ac:dyDescent="0.2">
      <c r="A272" s="306"/>
      <c r="B272" s="308"/>
      <c r="C272" s="304"/>
      <c r="D272" s="308"/>
      <c r="E272" s="128">
        <f>8.5+0.2</f>
        <v>8.6999999999999993</v>
      </c>
      <c r="F272" s="19">
        <f>8.3</f>
        <v>8.3000000000000007</v>
      </c>
      <c r="G272" s="2">
        <v>0.2</v>
      </c>
    </row>
    <row r="273" spans="1:7" ht="17.25" customHeight="1" x14ac:dyDescent="0.2">
      <c r="A273" s="305">
        <v>76</v>
      </c>
      <c r="B273" s="314" t="s">
        <v>104</v>
      </c>
      <c r="C273" s="371" t="s">
        <v>105</v>
      </c>
      <c r="D273" s="307"/>
      <c r="E273" s="133">
        <v>389</v>
      </c>
      <c r="F273" s="19"/>
    </row>
    <row r="274" spans="1:7" ht="30" customHeight="1" x14ac:dyDescent="0.2">
      <c r="A274" s="306"/>
      <c r="B274" s="315"/>
      <c r="C274" s="372"/>
      <c r="D274" s="308"/>
      <c r="E274" s="35">
        <f>+E279+E275</f>
        <v>384.4</v>
      </c>
      <c r="F274" s="35">
        <f>+F279</f>
        <v>0</v>
      </c>
    </row>
    <row r="275" spans="1:7" ht="12.6" customHeight="1" x14ac:dyDescent="0.2">
      <c r="A275" s="305">
        <v>77</v>
      </c>
      <c r="B275" s="314"/>
      <c r="C275" s="166" t="s">
        <v>289</v>
      </c>
      <c r="D275" s="307" t="s">
        <v>106</v>
      </c>
      <c r="E275" s="19">
        <f>+E276+E277</f>
        <v>41</v>
      </c>
      <c r="F275" s="35"/>
    </row>
    <row r="276" spans="1:7" ht="25.5" x14ac:dyDescent="0.2">
      <c r="A276" s="340"/>
      <c r="B276" s="346"/>
      <c r="C276" s="154" t="s">
        <v>295</v>
      </c>
      <c r="D276" s="341"/>
      <c r="E276" s="19">
        <v>30</v>
      </c>
      <c r="F276" s="19"/>
    </row>
    <row r="277" spans="1:7" ht="30" customHeight="1" x14ac:dyDescent="0.2">
      <c r="A277" s="306"/>
      <c r="B277" s="315"/>
      <c r="C277" s="154" t="s">
        <v>722</v>
      </c>
      <c r="D277" s="308"/>
      <c r="E277" s="19">
        <v>11</v>
      </c>
      <c r="F277" s="19"/>
    </row>
    <row r="278" spans="1:7" ht="15.75" customHeight="1" x14ac:dyDescent="0.2">
      <c r="A278" s="305">
        <v>78</v>
      </c>
      <c r="B278" s="314"/>
      <c r="C278" s="303" t="s">
        <v>166</v>
      </c>
      <c r="D278" s="307"/>
      <c r="E278" s="127">
        <v>348</v>
      </c>
      <c r="F278" s="19"/>
    </row>
    <row r="279" spans="1:7" ht="15.75" customHeight="1" x14ac:dyDescent="0.2">
      <c r="A279" s="306"/>
      <c r="B279" s="315"/>
      <c r="C279" s="304"/>
      <c r="D279" s="308"/>
      <c r="E279" s="128">
        <f>+E281+E282+E285+E283+E284</f>
        <v>343.4</v>
      </c>
      <c r="F279" s="19">
        <f>+F281+F282+F285</f>
        <v>0</v>
      </c>
    </row>
    <row r="280" spans="1:7" ht="12.6" customHeight="1" x14ac:dyDescent="0.2">
      <c r="A280" s="312" t="s">
        <v>688</v>
      </c>
      <c r="B280" s="314"/>
      <c r="C280" s="318" t="s">
        <v>181</v>
      </c>
      <c r="D280" s="307" t="s">
        <v>106</v>
      </c>
      <c r="E280" s="127">
        <v>85</v>
      </c>
      <c r="F280" s="19"/>
    </row>
    <row r="281" spans="1:7" ht="27.6" customHeight="1" x14ac:dyDescent="0.2">
      <c r="A281" s="313"/>
      <c r="B281" s="315"/>
      <c r="C281" s="319"/>
      <c r="D281" s="308"/>
      <c r="E281" s="128">
        <f>85-4.6</f>
        <v>80.400000000000006</v>
      </c>
      <c r="F281" s="19"/>
      <c r="G281" s="2">
        <v>-4.5999999999999996</v>
      </c>
    </row>
    <row r="282" spans="1:7" ht="25.5" x14ac:dyDescent="0.2">
      <c r="A282" s="167" t="s">
        <v>690</v>
      </c>
      <c r="B282" s="1"/>
      <c r="C282" s="163" t="s">
        <v>140</v>
      </c>
      <c r="D282" s="1" t="s">
        <v>142</v>
      </c>
      <c r="E282" s="19">
        <v>50</v>
      </c>
      <c r="F282" s="19"/>
    </row>
    <row r="283" spans="1:7" ht="51" x14ac:dyDescent="0.2">
      <c r="A283" s="167" t="s">
        <v>691</v>
      </c>
      <c r="B283" s="1"/>
      <c r="C283" s="152" t="s">
        <v>428</v>
      </c>
      <c r="D283" s="125" t="s">
        <v>106</v>
      </c>
      <c r="E283" s="19">
        <v>20</v>
      </c>
      <c r="F283" s="19"/>
    </row>
    <row r="284" spans="1:7" ht="25.5" x14ac:dyDescent="0.2">
      <c r="A284" s="167" t="s">
        <v>692</v>
      </c>
      <c r="B284" s="1"/>
      <c r="C284" s="152" t="s">
        <v>269</v>
      </c>
      <c r="D284" s="125" t="s">
        <v>116</v>
      </c>
      <c r="E284" s="19">
        <v>23</v>
      </c>
      <c r="F284" s="19"/>
    </row>
    <row r="285" spans="1:7" ht="41.45" customHeight="1" x14ac:dyDescent="0.2">
      <c r="A285" s="167" t="s">
        <v>785</v>
      </c>
      <c r="B285" s="1"/>
      <c r="C285" s="160" t="s">
        <v>578</v>
      </c>
      <c r="D285" s="11"/>
      <c r="E285" s="128">
        <f>SUM(E286:E291)</f>
        <v>170</v>
      </c>
      <c r="F285" s="128">
        <f>SUM(F286:F291)</f>
        <v>0</v>
      </c>
    </row>
    <row r="286" spans="1:7" ht="25.5" x14ac:dyDescent="0.2">
      <c r="A286" s="150" t="s">
        <v>786</v>
      </c>
      <c r="B286" s="1"/>
      <c r="C286" s="152" t="s">
        <v>285</v>
      </c>
      <c r="D286" s="1" t="s">
        <v>116</v>
      </c>
      <c r="E286" s="19">
        <f>47</f>
        <v>47</v>
      </c>
      <c r="F286" s="19"/>
    </row>
    <row r="287" spans="1:7" ht="25.5" x14ac:dyDescent="0.2">
      <c r="A287" s="150" t="s">
        <v>787</v>
      </c>
      <c r="B287" s="1"/>
      <c r="C287" s="152" t="s">
        <v>286</v>
      </c>
      <c r="D287" s="14" t="s">
        <v>126</v>
      </c>
      <c r="E287" s="19">
        <v>11</v>
      </c>
      <c r="F287" s="19"/>
    </row>
    <row r="288" spans="1:7" ht="38.25" x14ac:dyDescent="0.2">
      <c r="A288" s="150" t="s">
        <v>788</v>
      </c>
      <c r="B288" s="1"/>
      <c r="C288" s="152" t="s">
        <v>373</v>
      </c>
      <c r="D288" s="125" t="s">
        <v>116</v>
      </c>
      <c r="E288" s="19">
        <f>3</f>
        <v>3</v>
      </c>
      <c r="F288" s="19"/>
    </row>
    <row r="289" spans="1:12" ht="51" x14ac:dyDescent="0.2">
      <c r="A289" s="150" t="s">
        <v>789</v>
      </c>
      <c r="B289" s="1"/>
      <c r="C289" s="152" t="s">
        <v>610</v>
      </c>
      <c r="D289" s="125" t="s">
        <v>116</v>
      </c>
      <c r="E289" s="19">
        <v>80</v>
      </c>
      <c r="F289" s="19"/>
    </row>
    <row r="290" spans="1:12" ht="38.25" x14ac:dyDescent="0.2">
      <c r="A290" s="150" t="s">
        <v>790</v>
      </c>
      <c r="B290" s="1"/>
      <c r="C290" s="152" t="s">
        <v>609</v>
      </c>
      <c r="D290" s="1" t="s">
        <v>116</v>
      </c>
      <c r="E290" s="19">
        <v>6</v>
      </c>
      <c r="F290" s="19"/>
    </row>
    <row r="291" spans="1:12" x14ac:dyDescent="0.2">
      <c r="A291" s="150" t="s">
        <v>791</v>
      </c>
      <c r="B291" s="1"/>
      <c r="C291" s="152" t="s">
        <v>784</v>
      </c>
      <c r="D291" s="125" t="s">
        <v>116</v>
      </c>
      <c r="E291" s="19">
        <v>23</v>
      </c>
      <c r="F291" s="19"/>
    </row>
    <row r="292" spans="1:12" x14ac:dyDescent="0.2">
      <c r="A292" s="305">
        <v>79</v>
      </c>
      <c r="B292" s="314" t="s">
        <v>84</v>
      </c>
      <c r="C292" s="344" t="s">
        <v>85</v>
      </c>
      <c r="D292" s="307"/>
      <c r="E292" s="133">
        <v>2446.5</v>
      </c>
      <c r="F292" s="19"/>
    </row>
    <row r="293" spans="1:12" ht="27" customHeight="1" x14ac:dyDescent="0.2">
      <c r="A293" s="306"/>
      <c r="B293" s="315"/>
      <c r="C293" s="345"/>
      <c r="D293" s="308"/>
      <c r="E293" s="53">
        <f>+E295+E297+E328+E329+E330+E331+E332+E333+E334+E335+E336+E338+E339</f>
        <v>2462.1</v>
      </c>
      <c r="F293" s="53">
        <f>+F295+F297+F328+F329+F330+F331+F332+F333+F334+F335+F336+F338+F339</f>
        <v>0</v>
      </c>
    </row>
    <row r="294" spans="1:12" ht="27" customHeight="1" x14ac:dyDescent="0.2">
      <c r="A294" s="305">
        <v>80</v>
      </c>
      <c r="B294" s="314"/>
      <c r="C294" s="338" t="s">
        <v>269</v>
      </c>
      <c r="D294" s="316" t="s">
        <v>131</v>
      </c>
      <c r="E294" s="168">
        <v>142</v>
      </c>
      <c r="F294" s="53"/>
    </row>
    <row r="295" spans="1:12" ht="27" customHeight="1" x14ac:dyDescent="0.2">
      <c r="A295" s="306"/>
      <c r="B295" s="315"/>
      <c r="C295" s="339"/>
      <c r="D295" s="317"/>
      <c r="E295" s="53">
        <f>142-16.2+66.2</f>
        <v>192</v>
      </c>
      <c r="F295" s="135"/>
      <c r="G295" s="2">
        <f>-16.2+66.2</f>
        <v>50</v>
      </c>
    </row>
    <row r="296" spans="1:12" ht="16.5" customHeight="1" x14ac:dyDescent="0.2">
      <c r="A296" s="305">
        <v>81</v>
      </c>
      <c r="B296" s="314"/>
      <c r="C296" s="303" t="s">
        <v>173</v>
      </c>
      <c r="D296" s="316"/>
      <c r="E296" s="123">
        <v>1274.3</v>
      </c>
      <c r="F296" s="135"/>
    </row>
    <row r="297" spans="1:12" ht="16.5" customHeight="1" x14ac:dyDescent="0.2">
      <c r="A297" s="306"/>
      <c r="B297" s="315"/>
      <c r="C297" s="304"/>
      <c r="D297" s="317"/>
      <c r="E297" s="128">
        <f>E299</f>
        <v>1235.4000000000001</v>
      </c>
      <c r="F297" s="19">
        <f>F299</f>
        <v>0</v>
      </c>
    </row>
    <row r="298" spans="1:12" ht="20.25" customHeight="1" x14ac:dyDescent="0.2">
      <c r="A298" s="328" t="s">
        <v>828</v>
      </c>
      <c r="B298" s="307"/>
      <c r="C298" s="334" t="s">
        <v>578</v>
      </c>
      <c r="D298" s="316"/>
      <c r="E298" s="136">
        <v>1274.3</v>
      </c>
      <c r="F298" s="19"/>
    </row>
    <row r="299" spans="1:12" ht="27.75" customHeight="1" x14ac:dyDescent="0.2">
      <c r="A299" s="329"/>
      <c r="B299" s="308"/>
      <c r="C299" s="335"/>
      <c r="D299" s="317"/>
      <c r="E299" s="128">
        <v>1235.4000000000001</v>
      </c>
      <c r="F299" s="128">
        <f>SUM(F300:F325)</f>
        <v>0</v>
      </c>
    </row>
    <row r="300" spans="1:12" ht="27.6" customHeight="1" x14ac:dyDescent="0.2">
      <c r="A300" s="150" t="s">
        <v>829</v>
      </c>
      <c r="B300" s="1"/>
      <c r="C300" s="46" t="s">
        <v>377</v>
      </c>
      <c r="D300" s="14" t="s">
        <v>128</v>
      </c>
      <c r="E300" s="19">
        <v>75</v>
      </c>
      <c r="F300" s="19"/>
      <c r="J300" s="3"/>
      <c r="K300" s="3"/>
      <c r="L300" s="3"/>
    </row>
    <row r="301" spans="1:12" x14ac:dyDescent="0.2">
      <c r="A301" s="150" t="s">
        <v>830</v>
      </c>
      <c r="B301" s="1"/>
      <c r="C301" s="46" t="s">
        <v>431</v>
      </c>
      <c r="D301" s="14" t="s">
        <v>128</v>
      </c>
      <c r="E301" s="19">
        <v>50</v>
      </c>
      <c r="F301" s="19"/>
      <c r="J301" s="3"/>
      <c r="K301" s="3"/>
      <c r="L301" s="3"/>
    </row>
    <row r="302" spans="1:12" ht="27" customHeight="1" x14ac:dyDescent="0.2">
      <c r="A302" s="150" t="s">
        <v>831</v>
      </c>
      <c r="B302" s="1"/>
      <c r="C302" s="152" t="s">
        <v>378</v>
      </c>
      <c r="D302" s="14" t="s">
        <v>38</v>
      </c>
      <c r="E302" s="19">
        <v>25</v>
      </c>
      <c r="F302" s="19"/>
    </row>
    <row r="303" spans="1:12" ht="40.15" customHeight="1" x14ac:dyDescent="0.2">
      <c r="A303" s="150" t="s">
        <v>832</v>
      </c>
      <c r="B303" s="1"/>
      <c r="C303" s="16" t="s">
        <v>139</v>
      </c>
      <c r="D303" s="14" t="s">
        <v>128</v>
      </c>
      <c r="E303" s="19">
        <v>60</v>
      </c>
      <c r="F303" s="19"/>
    </row>
    <row r="304" spans="1:12" ht="17.25" customHeight="1" x14ac:dyDescent="0.2">
      <c r="A304" s="328" t="s">
        <v>833</v>
      </c>
      <c r="B304" s="307"/>
      <c r="C304" s="303" t="s">
        <v>611</v>
      </c>
      <c r="D304" s="336" t="s">
        <v>196</v>
      </c>
      <c r="E304" s="127">
        <v>60</v>
      </c>
      <c r="F304" s="19"/>
    </row>
    <row r="305" spans="1:7" ht="17.25" customHeight="1" x14ac:dyDescent="0.2">
      <c r="A305" s="329"/>
      <c r="B305" s="308"/>
      <c r="C305" s="304"/>
      <c r="D305" s="337"/>
      <c r="E305" s="128">
        <f>60+23.1</f>
        <v>83.1</v>
      </c>
      <c r="F305" s="19"/>
      <c r="G305" s="2">
        <v>23.1</v>
      </c>
    </row>
    <row r="306" spans="1:7" ht="37.5" customHeight="1" x14ac:dyDescent="0.2">
      <c r="A306" s="151" t="s">
        <v>834</v>
      </c>
      <c r="B306" s="169"/>
      <c r="C306" s="170" t="s">
        <v>153</v>
      </c>
      <c r="D306" s="121" t="s">
        <v>152</v>
      </c>
      <c r="E306" s="19">
        <v>145.30000000000001</v>
      </c>
      <c r="F306" s="19"/>
    </row>
    <row r="307" spans="1:7" ht="12.6" customHeight="1" x14ac:dyDescent="0.2">
      <c r="A307" s="150" t="s">
        <v>835</v>
      </c>
      <c r="B307" s="1"/>
      <c r="C307" s="15" t="s">
        <v>200</v>
      </c>
      <c r="D307" s="171" t="s">
        <v>197</v>
      </c>
      <c r="E307" s="19">
        <v>39.5</v>
      </c>
      <c r="F307" s="19"/>
    </row>
    <row r="308" spans="1:7" ht="25.5" x14ac:dyDescent="0.2">
      <c r="A308" s="150" t="s">
        <v>836</v>
      </c>
      <c r="B308" s="1"/>
      <c r="C308" s="15" t="s">
        <v>379</v>
      </c>
      <c r="D308" s="172" t="s">
        <v>196</v>
      </c>
      <c r="E308" s="19">
        <v>13.5</v>
      </c>
      <c r="F308" s="19"/>
    </row>
    <row r="309" spans="1:7" ht="25.5" x14ac:dyDescent="0.2">
      <c r="A309" s="150" t="s">
        <v>837</v>
      </c>
      <c r="B309" s="1"/>
      <c r="C309" s="15" t="s">
        <v>613</v>
      </c>
      <c r="D309" s="14" t="s">
        <v>144</v>
      </c>
      <c r="E309" s="19">
        <f>10</f>
        <v>10</v>
      </c>
      <c r="F309" s="19"/>
    </row>
    <row r="310" spans="1:7" ht="12.6" customHeight="1" x14ac:dyDescent="0.2">
      <c r="A310" s="150" t="s">
        <v>838</v>
      </c>
      <c r="B310" s="1"/>
      <c r="C310" s="152" t="s">
        <v>612</v>
      </c>
      <c r="D310" s="14" t="s">
        <v>144</v>
      </c>
      <c r="E310" s="19">
        <v>15</v>
      </c>
      <c r="F310" s="19"/>
    </row>
    <row r="311" spans="1:7" ht="25.5" x14ac:dyDescent="0.2">
      <c r="A311" s="150" t="s">
        <v>839</v>
      </c>
      <c r="B311" s="1"/>
      <c r="C311" s="152" t="s">
        <v>380</v>
      </c>
      <c r="D311" s="14" t="s">
        <v>144</v>
      </c>
      <c r="E311" s="19">
        <v>4</v>
      </c>
      <c r="F311" s="19"/>
    </row>
    <row r="312" spans="1:7" ht="15" customHeight="1" x14ac:dyDescent="0.2">
      <c r="A312" s="328" t="s">
        <v>840</v>
      </c>
      <c r="B312" s="307"/>
      <c r="C312" s="318" t="s">
        <v>614</v>
      </c>
      <c r="D312" s="316" t="s">
        <v>144</v>
      </c>
      <c r="E312" s="127">
        <v>17</v>
      </c>
      <c r="F312" s="19"/>
    </row>
    <row r="313" spans="1:7" ht="15" customHeight="1" x14ac:dyDescent="0.2">
      <c r="A313" s="329"/>
      <c r="B313" s="308"/>
      <c r="C313" s="319"/>
      <c r="D313" s="317"/>
      <c r="E313" s="128">
        <f>17-12</f>
        <v>5</v>
      </c>
      <c r="F313" s="19"/>
      <c r="G313" s="2">
        <v>-12</v>
      </c>
    </row>
    <row r="314" spans="1:7" ht="17.25" customHeight="1" x14ac:dyDescent="0.2">
      <c r="A314" s="328" t="s">
        <v>841</v>
      </c>
      <c r="B314" s="307"/>
      <c r="C314" s="318" t="s">
        <v>424</v>
      </c>
      <c r="D314" s="316" t="s">
        <v>144</v>
      </c>
      <c r="E314" s="127">
        <v>20</v>
      </c>
      <c r="F314" s="19"/>
    </row>
    <row r="315" spans="1:7" ht="17.25" customHeight="1" x14ac:dyDescent="0.2">
      <c r="A315" s="329"/>
      <c r="B315" s="308"/>
      <c r="C315" s="319"/>
      <c r="D315" s="317"/>
      <c r="E315" s="128">
        <f>20-15</f>
        <v>5</v>
      </c>
      <c r="F315" s="19"/>
      <c r="G315" s="2">
        <v>-15</v>
      </c>
    </row>
    <row r="316" spans="1:7" ht="15.75" customHeight="1" x14ac:dyDescent="0.2">
      <c r="A316" s="150" t="s">
        <v>842</v>
      </c>
      <c r="B316" s="1"/>
      <c r="C316" s="152" t="s">
        <v>122</v>
      </c>
      <c r="D316" s="14" t="s">
        <v>155</v>
      </c>
      <c r="E316" s="19">
        <v>40</v>
      </c>
      <c r="F316" s="19"/>
    </row>
    <row r="317" spans="1:7" ht="15.75" customHeight="1" x14ac:dyDescent="0.2">
      <c r="A317" s="150" t="s">
        <v>843</v>
      </c>
      <c r="B317" s="1"/>
      <c r="C317" s="152" t="s">
        <v>123</v>
      </c>
      <c r="D317" s="14" t="s">
        <v>155</v>
      </c>
      <c r="E317" s="19">
        <v>40</v>
      </c>
      <c r="F317" s="19"/>
    </row>
    <row r="318" spans="1:7" ht="25.5" x14ac:dyDescent="0.2">
      <c r="A318" s="150" t="s">
        <v>844</v>
      </c>
      <c r="B318" s="1"/>
      <c r="C318" s="15" t="s">
        <v>287</v>
      </c>
      <c r="D318" s="14" t="s">
        <v>86</v>
      </c>
      <c r="E318" s="19">
        <f>75-10</f>
        <v>65</v>
      </c>
      <c r="F318" s="19"/>
    </row>
    <row r="319" spans="1:7" ht="25.5" x14ac:dyDescent="0.2">
      <c r="A319" s="150" t="s">
        <v>845</v>
      </c>
      <c r="B319" s="1"/>
      <c r="C319" s="152" t="s">
        <v>567</v>
      </c>
      <c r="D319" s="14" t="s">
        <v>86</v>
      </c>
      <c r="E319" s="19">
        <f>60+10</f>
        <v>70</v>
      </c>
      <c r="F319" s="19"/>
    </row>
    <row r="320" spans="1:7" ht="12.6" customHeight="1" x14ac:dyDescent="0.2">
      <c r="A320" s="150" t="s">
        <v>846</v>
      </c>
      <c r="B320" s="1"/>
      <c r="C320" s="152" t="s">
        <v>124</v>
      </c>
      <c r="D320" s="14" t="s">
        <v>155</v>
      </c>
      <c r="E320" s="19">
        <v>70</v>
      </c>
      <c r="F320" s="19"/>
    </row>
    <row r="321" spans="1:7" ht="13.5" customHeight="1" x14ac:dyDescent="0.2">
      <c r="A321" s="328" t="s">
        <v>847</v>
      </c>
      <c r="B321" s="307"/>
      <c r="C321" s="318" t="s">
        <v>381</v>
      </c>
      <c r="D321" s="316" t="s">
        <v>155</v>
      </c>
      <c r="E321" s="127">
        <v>100</v>
      </c>
      <c r="F321" s="19"/>
    </row>
    <row r="322" spans="1:7" ht="13.5" customHeight="1" x14ac:dyDescent="0.2">
      <c r="A322" s="329"/>
      <c r="B322" s="308"/>
      <c r="C322" s="319"/>
      <c r="D322" s="317"/>
      <c r="E322" s="128">
        <f>100+5</f>
        <v>105</v>
      </c>
      <c r="F322" s="19"/>
      <c r="G322" s="2">
        <v>5</v>
      </c>
    </row>
    <row r="323" spans="1:7" ht="12.6" customHeight="1" x14ac:dyDescent="0.2">
      <c r="A323" s="150" t="s">
        <v>848</v>
      </c>
      <c r="B323" s="1"/>
      <c r="C323" s="152" t="s">
        <v>125</v>
      </c>
      <c r="D323" s="14" t="s">
        <v>155</v>
      </c>
      <c r="E323" s="19">
        <v>50</v>
      </c>
      <c r="F323" s="19"/>
    </row>
    <row r="324" spans="1:7" ht="16.5" customHeight="1" x14ac:dyDescent="0.2">
      <c r="A324" s="328" t="s">
        <v>849</v>
      </c>
      <c r="B324" s="307"/>
      <c r="C324" s="303" t="s">
        <v>382</v>
      </c>
      <c r="D324" s="316" t="s">
        <v>155</v>
      </c>
      <c r="E324" s="127">
        <v>80</v>
      </c>
      <c r="F324" s="19"/>
    </row>
    <row r="325" spans="1:7" ht="16.5" customHeight="1" x14ac:dyDescent="0.2">
      <c r="A325" s="329"/>
      <c r="B325" s="308"/>
      <c r="C325" s="304"/>
      <c r="D325" s="317"/>
      <c r="E325" s="128">
        <f>80-40</f>
        <v>40</v>
      </c>
      <c r="F325" s="19"/>
      <c r="G325" s="2">
        <v>-40</v>
      </c>
    </row>
    <row r="326" spans="1:7" ht="15" customHeight="1" x14ac:dyDescent="0.2">
      <c r="A326" s="150" t="s">
        <v>850</v>
      </c>
      <c r="B326" s="1"/>
      <c r="C326" s="15" t="s">
        <v>762</v>
      </c>
      <c r="D326" s="14" t="s">
        <v>155</v>
      </c>
      <c r="E326" s="19">
        <v>50</v>
      </c>
      <c r="F326" s="19"/>
    </row>
    <row r="327" spans="1:7" ht="25.5" x14ac:dyDescent="0.2">
      <c r="A327" s="150" t="s">
        <v>851</v>
      </c>
      <c r="B327" s="1"/>
      <c r="C327" s="15" t="s">
        <v>763</v>
      </c>
      <c r="D327" s="14" t="s">
        <v>155</v>
      </c>
      <c r="E327" s="19">
        <v>175</v>
      </c>
      <c r="F327" s="19"/>
    </row>
    <row r="328" spans="1:7" ht="26.25" customHeight="1" x14ac:dyDescent="0.2">
      <c r="A328" s="12">
        <v>82</v>
      </c>
      <c r="B328" s="11"/>
      <c r="C328" s="15" t="s">
        <v>8</v>
      </c>
      <c r="D328" s="14" t="s">
        <v>87</v>
      </c>
      <c r="E328" s="19">
        <v>788.8</v>
      </c>
      <c r="F328" s="19"/>
    </row>
    <row r="329" spans="1:7" ht="14.25" customHeight="1" x14ac:dyDescent="0.2">
      <c r="A329" s="12">
        <v>83</v>
      </c>
      <c r="B329" s="11"/>
      <c r="C329" s="15" t="s">
        <v>4</v>
      </c>
      <c r="D329" s="14" t="s">
        <v>86</v>
      </c>
      <c r="E329" s="19">
        <v>40</v>
      </c>
      <c r="F329" s="19"/>
    </row>
    <row r="330" spans="1:7" ht="14.25" customHeight="1" x14ac:dyDescent="0.2">
      <c r="A330" s="12">
        <v>84</v>
      </c>
      <c r="B330" s="11"/>
      <c r="C330" s="15" t="s">
        <v>5</v>
      </c>
      <c r="D330" s="14" t="s">
        <v>86</v>
      </c>
      <c r="E330" s="19">
        <v>12.9</v>
      </c>
      <c r="F330" s="19"/>
    </row>
    <row r="331" spans="1:7" ht="14.25" customHeight="1" x14ac:dyDescent="0.2">
      <c r="A331" s="12">
        <v>85</v>
      </c>
      <c r="B331" s="11"/>
      <c r="C331" s="16" t="s">
        <v>7</v>
      </c>
      <c r="D331" s="14" t="s">
        <v>86</v>
      </c>
      <c r="E331" s="19">
        <v>30</v>
      </c>
      <c r="F331" s="19"/>
    </row>
    <row r="332" spans="1:7" ht="14.25" customHeight="1" x14ac:dyDescent="0.2">
      <c r="A332" s="12">
        <v>86</v>
      </c>
      <c r="B332" s="11"/>
      <c r="C332" s="15" t="s">
        <v>6</v>
      </c>
      <c r="D332" s="14" t="s">
        <v>86</v>
      </c>
      <c r="E332" s="19">
        <v>21.4</v>
      </c>
      <c r="F332" s="19"/>
    </row>
    <row r="333" spans="1:7" ht="14.25" customHeight="1" x14ac:dyDescent="0.2">
      <c r="A333" s="12">
        <v>87</v>
      </c>
      <c r="B333" s="11"/>
      <c r="C333" s="15" t="s">
        <v>9</v>
      </c>
      <c r="D333" s="14" t="s">
        <v>86</v>
      </c>
      <c r="E333" s="19">
        <v>35</v>
      </c>
      <c r="F333" s="19"/>
    </row>
    <row r="334" spans="1:7" ht="14.25" customHeight="1" x14ac:dyDescent="0.2">
      <c r="A334" s="12">
        <v>88</v>
      </c>
      <c r="B334" s="11"/>
      <c r="C334" s="16" t="s">
        <v>10</v>
      </c>
      <c r="D334" s="14" t="s">
        <v>86</v>
      </c>
      <c r="E334" s="19">
        <v>20</v>
      </c>
      <c r="F334" s="19"/>
    </row>
    <row r="335" spans="1:7" ht="14.25" customHeight="1" x14ac:dyDescent="0.2">
      <c r="A335" s="12">
        <v>89</v>
      </c>
      <c r="B335" s="11"/>
      <c r="C335" s="15" t="s">
        <v>12</v>
      </c>
      <c r="D335" s="14" t="s">
        <v>86</v>
      </c>
      <c r="E335" s="19">
        <v>22</v>
      </c>
      <c r="F335" s="19"/>
    </row>
    <row r="336" spans="1:7" ht="12.6" customHeight="1" x14ac:dyDescent="0.2">
      <c r="A336" s="12">
        <v>90</v>
      </c>
      <c r="B336" s="11"/>
      <c r="C336" s="15" t="s">
        <v>11</v>
      </c>
      <c r="D336" s="14" t="s">
        <v>86</v>
      </c>
      <c r="E336" s="19">
        <v>15.7</v>
      </c>
      <c r="F336" s="19"/>
    </row>
    <row r="337" spans="1:12" ht="15.75" customHeight="1" x14ac:dyDescent="0.2">
      <c r="A337" s="305">
        <v>91</v>
      </c>
      <c r="B337" s="314"/>
      <c r="C337" s="303" t="s">
        <v>13</v>
      </c>
      <c r="D337" s="316" t="s">
        <v>86</v>
      </c>
      <c r="E337" s="127">
        <v>9.8000000000000007</v>
      </c>
      <c r="F337" s="19"/>
    </row>
    <row r="338" spans="1:12" ht="15.75" customHeight="1" x14ac:dyDescent="0.2">
      <c r="A338" s="306"/>
      <c r="B338" s="315"/>
      <c r="C338" s="304"/>
      <c r="D338" s="317"/>
      <c r="E338" s="128">
        <f>9.8+4.5</f>
        <v>14.3</v>
      </c>
      <c r="F338" s="19"/>
      <c r="G338" s="2">
        <v>4.5</v>
      </c>
    </row>
    <row r="339" spans="1:12" ht="12.6" customHeight="1" x14ac:dyDescent="0.2">
      <c r="A339" s="12">
        <v>92</v>
      </c>
      <c r="B339" s="1"/>
      <c r="C339" s="15" t="s">
        <v>14</v>
      </c>
      <c r="D339" s="14" t="s">
        <v>86</v>
      </c>
      <c r="E339" s="19">
        <v>34.6</v>
      </c>
      <c r="F339" s="19"/>
    </row>
    <row r="340" spans="1:12" ht="12.6" customHeight="1" x14ac:dyDescent="0.2">
      <c r="A340" s="305">
        <v>93</v>
      </c>
      <c r="B340" s="314" t="s">
        <v>89</v>
      </c>
      <c r="C340" s="320" t="s">
        <v>90</v>
      </c>
      <c r="D340" s="316"/>
      <c r="E340" s="133">
        <v>5681.3</v>
      </c>
      <c r="F340" s="133">
        <v>935.7</v>
      </c>
    </row>
    <row r="341" spans="1:12" ht="27" customHeight="1" x14ac:dyDescent="0.2">
      <c r="A341" s="306"/>
      <c r="B341" s="315"/>
      <c r="C341" s="321"/>
      <c r="D341" s="317"/>
      <c r="E341" s="35">
        <f>+E361+E363+E367+E365+E359+E369+E371+E375+E373+E377+E379+E343</f>
        <v>5762.4999999999991</v>
      </c>
      <c r="F341" s="35">
        <f>+F361+F363+F367+F365+F359+F369+F371+F375+F373+F377+F379+F343</f>
        <v>1008.9999999999999</v>
      </c>
    </row>
    <row r="342" spans="1:12" ht="15" customHeight="1" x14ac:dyDescent="0.2">
      <c r="A342" s="305">
        <v>94</v>
      </c>
      <c r="B342" s="314"/>
      <c r="C342" s="303" t="s">
        <v>166</v>
      </c>
      <c r="D342" s="316"/>
      <c r="E342" s="127">
        <v>2460.1999999999998</v>
      </c>
      <c r="F342" s="35"/>
    </row>
    <row r="343" spans="1:12" ht="15" customHeight="1" x14ac:dyDescent="0.2">
      <c r="A343" s="306"/>
      <c r="B343" s="315"/>
      <c r="C343" s="304"/>
      <c r="D343" s="317"/>
      <c r="E343" s="128">
        <f>+E344+E346+E347+E348+E349+E350+E351+E353</f>
        <v>2466.3999999999996</v>
      </c>
      <c r="F343" s="19">
        <f>+F344+F346+F347+F348+F349+F350+F351+F353</f>
        <v>0</v>
      </c>
    </row>
    <row r="344" spans="1:12" ht="12.6" customHeight="1" x14ac:dyDescent="0.2">
      <c r="A344" s="150" t="s">
        <v>852</v>
      </c>
      <c r="B344" s="1"/>
      <c r="C344" s="173" t="s">
        <v>3</v>
      </c>
      <c r="D344" s="1" t="s">
        <v>143</v>
      </c>
      <c r="E344" s="19">
        <v>25</v>
      </c>
      <c r="F344" s="19"/>
    </row>
    <row r="345" spans="1:12" ht="12.6" customHeight="1" x14ac:dyDescent="0.2">
      <c r="A345" s="328" t="s">
        <v>853</v>
      </c>
      <c r="B345" s="307"/>
      <c r="C345" s="332" t="s">
        <v>269</v>
      </c>
      <c r="D345" s="330" t="s">
        <v>131</v>
      </c>
      <c r="E345" s="127">
        <v>383.8</v>
      </c>
      <c r="F345" s="19"/>
    </row>
    <row r="346" spans="1:12" ht="27" customHeight="1" x14ac:dyDescent="0.2">
      <c r="A346" s="329"/>
      <c r="B346" s="308"/>
      <c r="C346" s="333"/>
      <c r="D346" s="331"/>
      <c r="E346" s="128">
        <f>548.8-23-142+16.2</f>
        <v>399.99999999999994</v>
      </c>
      <c r="F346" s="19"/>
      <c r="G346" s="2">
        <f>16.2</f>
        <v>16.2</v>
      </c>
      <c r="L346" s="70"/>
    </row>
    <row r="347" spans="1:12" ht="12.6" customHeight="1" x14ac:dyDescent="0.2">
      <c r="A347" s="150" t="s">
        <v>854</v>
      </c>
      <c r="B347" s="1"/>
      <c r="C347" s="155" t="s">
        <v>188</v>
      </c>
      <c r="D347" s="174" t="s">
        <v>92</v>
      </c>
      <c r="E347" s="19">
        <f>1600+13</f>
        <v>1613</v>
      </c>
      <c r="F347" s="19"/>
    </row>
    <row r="348" spans="1:12" ht="12.6" customHeight="1" x14ac:dyDescent="0.2">
      <c r="A348" s="150" t="s">
        <v>855</v>
      </c>
      <c r="B348" s="1"/>
      <c r="C348" s="155" t="s">
        <v>145</v>
      </c>
      <c r="D348" s="174" t="s">
        <v>92</v>
      </c>
      <c r="E348" s="19">
        <v>100</v>
      </c>
      <c r="F348" s="19"/>
    </row>
    <row r="349" spans="1:12" ht="25.5" x14ac:dyDescent="0.2">
      <c r="A349" s="150" t="s">
        <v>856</v>
      </c>
      <c r="B349" s="1"/>
      <c r="C349" s="152" t="s">
        <v>615</v>
      </c>
      <c r="D349" s="174" t="s">
        <v>92</v>
      </c>
      <c r="E349" s="19">
        <v>11.6</v>
      </c>
      <c r="F349" s="19"/>
    </row>
    <row r="350" spans="1:12" ht="12.6" customHeight="1" x14ac:dyDescent="0.2">
      <c r="A350" s="150" t="s">
        <v>857</v>
      </c>
      <c r="B350" s="1"/>
      <c r="C350" s="152" t="s">
        <v>432</v>
      </c>
      <c r="D350" s="174" t="s">
        <v>92</v>
      </c>
      <c r="E350" s="19">
        <v>9.1999999999999993</v>
      </c>
      <c r="F350" s="19"/>
    </row>
    <row r="351" spans="1:12" x14ac:dyDescent="0.2">
      <c r="A351" s="150" t="s">
        <v>858</v>
      </c>
      <c r="B351" s="1"/>
      <c r="C351" s="155" t="s">
        <v>808</v>
      </c>
      <c r="D351" s="174" t="s">
        <v>92</v>
      </c>
      <c r="E351" s="19">
        <v>7.6</v>
      </c>
      <c r="F351" s="19"/>
    </row>
    <row r="352" spans="1:12" ht="27" customHeight="1" x14ac:dyDescent="0.2">
      <c r="A352" s="328" t="s">
        <v>859</v>
      </c>
      <c r="B352" s="307"/>
      <c r="C352" s="334" t="s">
        <v>578</v>
      </c>
      <c r="D352" s="330"/>
      <c r="E352" s="136">
        <v>310</v>
      </c>
      <c r="F352" s="19"/>
    </row>
    <row r="353" spans="1:8" ht="27" customHeight="1" x14ac:dyDescent="0.2">
      <c r="A353" s="329"/>
      <c r="B353" s="308"/>
      <c r="C353" s="335"/>
      <c r="D353" s="331"/>
      <c r="E353" s="128">
        <f>+E354+E356+E357</f>
        <v>300</v>
      </c>
      <c r="F353" s="128">
        <f>+F354+F356+F357</f>
        <v>0</v>
      </c>
    </row>
    <row r="354" spans="1:8" ht="12.6" customHeight="1" x14ac:dyDescent="0.2">
      <c r="A354" s="150" t="s">
        <v>860</v>
      </c>
      <c r="B354" s="1"/>
      <c r="C354" s="46" t="s">
        <v>174</v>
      </c>
      <c r="D354" s="1" t="s">
        <v>155</v>
      </c>
      <c r="E354" s="19">
        <v>230</v>
      </c>
      <c r="F354" s="128"/>
    </row>
    <row r="355" spans="1:8" ht="15" customHeight="1" x14ac:dyDescent="0.2">
      <c r="A355" s="328" t="s">
        <v>861</v>
      </c>
      <c r="B355" s="307"/>
      <c r="C355" s="318" t="s">
        <v>151</v>
      </c>
      <c r="D355" s="330" t="s">
        <v>92</v>
      </c>
      <c r="E355" s="127">
        <v>70</v>
      </c>
      <c r="F355" s="128"/>
    </row>
    <row r="356" spans="1:8" ht="15" customHeight="1" x14ac:dyDescent="0.2">
      <c r="A356" s="329"/>
      <c r="B356" s="308"/>
      <c r="C356" s="319"/>
      <c r="D356" s="331"/>
      <c r="E356" s="96">
        <f>70-10</f>
        <v>60</v>
      </c>
      <c r="F356" s="19"/>
      <c r="G356" s="2">
        <v>-10</v>
      </c>
    </row>
    <row r="357" spans="1:8" ht="38.25" x14ac:dyDescent="0.2">
      <c r="A357" s="150" t="s">
        <v>862</v>
      </c>
      <c r="B357" s="1"/>
      <c r="C357" s="152" t="s">
        <v>189</v>
      </c>
      <c r="D357" s="1" t="s">
        <v>143</v>
      </c>
      <c r="E357" s="31">
        <v>10</v>
      </c>
      <c r="F357" s="19"/>
    </row>
    <row r="358" spans="1:8" ht="15.75" customHeight="1" x14ac:dyDescent="0.2">
      <c r="A358" s="305">
        <v>95</v>
      </c>
      <c r="B358" s="307"/>
      <c r="C358" s="318" t="s">
        <v>8</v>
      </c>
      <c r="D358" s="324" t="s">
        <v>93</v>
      </c>
      <c r="E358" s="100">
        <v>2104.5</v>
      </c>
      <c r="F358" s="127">
        <v>193.5</v>
      </c>
    </row>
    <row r="359" spans="1:8" ht="26.25" customHeight="1" x14ac:dyDescent="0.2">
      <c r="A359" s="306"/>
      <c r="B359" s="308"/>
      <c r="C359" s="319"/>
      <c r="D359" s="325"/>
      <c r="E359" s="128">
        <f>2104.5+15.7</f>
        <v>2120.1999999999998</v>
      </c>
      <c r="F359" s="128">
        <f>193.5+15.2</f>
        <v>208.7</v>
      </c>
      <c r="G359" s="2">
        <v>15.7</v>
      </c>
      <c r="H359" s="2">
        <v>15.2</v>
      </c>
    </row>
    <row r="360" spans="1:8" x14ac:dyDescent="0.2">
      <c r="A360" s="305">
        <v>96</v>
      </c>
      <c r="B360" s="307"/>
      <c r="C360" s="303" t="s">
        <v>4</v>
      </c>
      <c r="D360" s="324" t="s">
        <v>91</v>
      </c>
      <c r="E360" s="127">
        <v>140.4</v>
      </c>
      <c r="F360" s="127">
        <v>96.4</v>
      </c>
    </row>
    <row r="361" spans="1:8" ht="15" customHeight="1" x14ac:dyDescent="0.2">
      <c r="A361" s="306"/>
      <c r="B361" s="308"/>
      <c r="C361" s="304"/>
      <c r="D361" s="325"/>
      <c r="E361" s="128">
        <f>140.4+11.4</f>
        <v>151.80000000000001</v>
      </c>
      <c r="F361" s="128">
        <f>96.4+11.2</f>
        <v>107.60000000000001</v>
      </c>
      <c r="G361" s="2">
        <v>11.4</v>
      </c>
      <c r="H361" s="2">
        <v>11.2</v>
      </c>
    </row>
    <row r="362" spans="1:8" x14ac:dyDescent="0.2">
      <c r="A362" s="305">
        <v>97</v>
      </c>
      <c r="B362" s="307"/>
      <c r="C362" s="322" t="s">
        <v>5</v>
      </c>
      <c r="D362" s="324" t="s">
        <v>92</v>
      </c>
      <c r="E362" s="127">
        <v>137.4</v>
      </c>
      <c r="F362" s="127">
        <v>89.7</v>
      </c>
    </row>
    <row r="363" spans="1:8" ht="12.6" customHeight="1" x14ac:dyDescent="0.2">
      <c r="A363" s="306"/>
      <c r="B363" s="308"/>
      <c r="C363" s="323"/>
      <c r="D363" s="325"/>
      <c r="E363" s="128">
        <f>137.4+8.2</f>
        <v>145.6</v>
      </c>
      <c r="F363" s="128">
        <f>89.7+8.1</f>
        <v>97.8</v>
      </c>
      <c r="G363" s="2">
        <v>8.1999999999999993</v>
      </c>
      <c r="H363" s="2">
        <v>8.1</v>
      </c>
    </row>
    <row r="364" spans="1:8" ht="12.6" customHeight="1" x14ac:dyDescent="0.2">
      <c r="A364" s="305">
        <v>98</v>
      </c>
      <c r="B364" s="307"/>
      <c r="C364" s="322" t="s">
        <v>7</v>
      </c>
      <c r="D364" s="324" t="s">
        <v>91</v>
      </c>
      <c r="E364" s="127">
        <v>103.7</v>
      </c>
      <c r="F364" s="127">
        <v>61.5</v>
      </c>
    </row>
    <row r="365" spans="1:8" ht="24.95" customHeight="1" x14ac:dyDescent="0.2">
      <c r="A365" s="306"/>
      <c r="B365" s="308"/>
      <c r="C365" s="323"/>
      <c r="D365" s="325"/>
      <c r="E365" s="128">
        <f>103.7+9.8</f>
        <v>113.5</v>
      </c>
      <c r="F365" s="128">
        <f>61.5+9.6</f>
        <v>71.099999999999994</v>
      </c>
      <c r="G365" s="2">
        <v>9.8000000000000007</v>
      </c>
      <c r="H365" s="2">
        <v>9.6</v>
      </c>
    </row>
    <row r="366" spans="1:8" ht="15" customHeight="1" x14ac:dyDescent="0.2">
      <c r="A366" s="305">
        <v>99</v>
      </c>
      <c r="B366" s="307"/>
      <c r="C366" s="326" t="s">
        <v>6</v>
      </c>
      <c r="D366" s="324" t="s">
        <v>91</v>
      </c>
      <c r="E366" s="127">
        <v>114.9</v>
      </c>
      <c r="F366" s="127">
        <v>71</v>
      </c>
    </row>
    <row r="367" spans="1:8" ht="14.25" customHeight="1" x14ac:dyDescent="0.2">
      <c r="A367" s="306"/>
      <c r="B367" s="308"/>
      <c r="C367" s="327"/>
      <c r="D367" s="325"/>
      <c r="E367" s="128">
        <f>114.9+6.3</f>
        <v>121.2</v>
      </c>
      <c r="F367" s="128">
        <f>71+6.3</f>
        <v>77.3</v>
      </c>
      <c r="G367" s="2">
        <v>6.3</v>
      </c>
      <c r="H367" s="2">
        <v>6.3</v>
      </c>
    </row>
    <row r="368" spans="1:8" ht="13.5" customHeight="1" x14ac:dyDescent="0.2">
      <c r="A368" s="305">
        <v>100</v>
      </c>
      <c r="B368" s="307"/>
      <c r="C368" s="322" t="s">
        <v>9</v>
      </c>
      <c r="D368" s="324" t="s">
        <v>94</v>
      </c>
      <c r="E368" s="127">
        <v>97.6</v>
      </c>
      <c r="F368" s="127">
        <v>57.1</v>
      </c>
    </row>
    <row r="369" spans="1:14" ht="12.6" customHeight="1" x14ac:dyDescent="0.2">
      <c r="A369" s="306"/>
      <c r="B369" s="308"/>
      <c r="C369" s="323"/>
      <c r="D369" s="325"/>
      <c r="E369" s="128">
        <f>97.6+4.5</f>
        <v>102.1</v>
      </c>
      <c r="F369" s="128">
        <f>57.1+4.3</f>
        <v>61.4</v>
      </c>
      <c r="G369" s="2">
        <v>4.5</v>
      </c>
      <c r="H369" s="2">
        <v>4.3</v>
      </c>
    </row>
    <row r="370" spans="1:14" ht="12.6" customHeight="1" x14ac:dyDescent="0.2">
      <c r="A370" s="305">
        <v>101</v>
      </c>
      <c r="B370" s="307"/>
      <c r="C370" s="322" t="s">
        <v>10</v>
      </c>
      <c r="D370" s="324" t="s">
        <v>91</v>
      </c>
      <c r="E370" s="127">
        <v>96.4</v>
      </c>
      <c r="F370" s="127">
        <v>73.099999999999994</v>
      </c>
    </row>
    <row r="371" spans="1:14" ht="18.75" customHeight="1" x14ac:dyDescent="0.2">
      <c r="A371" s="306"/>
      <c r="B371" s="308"/>
      <c r="C371" s="323"/>
      <c r="D371" s="325"/>
      <c r="E371" s="128">
        <f>96.4+4.8</f>
        <v>101.2</v>
      </c>
      <c r="F371" s="128">
        <f>73.1+4.7</f>
        <v>77.8</v>
      </c>
      <c r="G371" s="2">
        <v>4.8</v>
      </c>
      <c r="H371" s="2">
        <v>4.7</v>
      </c>
    </row>
    <row r="372" spans="1:14" ht="15" customHeight="1" x14ac:dyDescent="0.2">
      <c r="A372" s="305">
        <v>102</v>
      </c>
      <c r="B372" s="307"/>
      <c r="C372" s="322" t="s">
        <v>12</v>
      </c>
      <c r="D372" s="324" t="s">
        <v>91</v>
      </c>
      <c r="E372" s="127">
        <v>68</v>
      </c>
      <c r="F372" s="127">
        <v>44.8</v>
      </c>
    </row>
    <row r="373" spans="1:14" ht="15.75" customHeight="1" x14ac:dyDescent="0.2">
      <c r="A373" s="306"/>
      <c r="B373" s="308"/>
      <c r="C373" s="323"/>
      <c r="D373" s="325"/>
      <c r="E373" s="128">
        <f>68+3</f>
        <v>71</v>
      </c>
      <c r="F373" s="128">
        <f>44.8+3</f>
        <v>47.8</v>
      </c>
      <c r="G373" s="2">
        <v>3</v>
      </c>
      <c r="H373" s="2">
        <v>3</v>
      </c>
    </row>
    <row r="374" spans="1:14" ht="15.75" customHeight="1" x14ac:dyDescent="0.2">
      <c r="A374" s="305">
        <v>103</v>
      </c>
      <c r="B374" s="307"/>
      <c r="C374" s="326" t="s">
        <v>11</v>
      </c>
      <c r="D374" s="324" t="s">
        <v>91</v>
      </c>
      <c r="E374" s="127">
        <v>81.8</v>
      </c>
      <c r="F374" s="127">
        <v>62.8</v>
      </c>
    </row>
    <row r="375" spans="1:14" ht="17.25" customHeight="1" x14ac:dyDescent="0.2">
      <c r="A375" s="306"/>
      <c r="B375" s="308"/>
      <c r="C375" s="327"/>
      <c r="D375" s="325"/>
      <c r="E375" s="128">
        <f>81.8+2.4</f>
        <v>84.2</v>
      </c>
      <c r="F375" s="128">
        <f>62.8+2.1</f>
        <v>64.899999999999991</v>
      </c>
      <c r="G375" s="2">
        <v>2.4</v>
      </c>
      <c r="H375" s="2">
        <v>2.1</v>
      </c>
    </row>
    <row r="376" spans="1:14" ht="14.25" customHeight="1" x14ac:dyDescent="0.2">
      <c r="A376" s="305">
        <v>104</v>
      </c>
      <c r="B376" s="307"/>
      <c r="C376" s="322" t="s">
        <v>13</v>
      </c>
      <c r="D376" s="324" t="s">
        <v>91</v>
      </c>
      <c r="E376" s="127">
        <v>89.1</v>
      </c>
      <c r="F376" s="127">
        <v>51.9</v>
      </c>
    </row>
    <row r="377" spans="1:14" ht="15.75" customHeight="1" x14ac:dyDescent="0.2">
      <c r="A377" s="306"/>
      <c r="B377" s="308"/>
      <c r="C377" s="323"/>
      <c r="D377" s="325"/>
      <c r="E377" s="128">
        <f>89.1+4.3</f>
        <v>93.399999999999991</v>
      </c>
      <c r="F377" s="128">
        <f>51.9+4.2</f>
        <v>56.1</v>
      </c>
      <c r="G377" s="2">
        <v>4.3</v>
      </c>
      <c r="H377" s="2">
        <v>4.2</v>
      </c>
    </row>
    <row r="378" spans="1:14" ht="13.5" customHeight="1" x14ac:dyDescent="0.2">
      <c r="A378" s="305">
        <v>105</v>
      </c>
      <c r="B378" s="307"/>
      <c r="C378" s="303" t="s">
        <v>14</v>
      </c>
      <c r="D378" s="324" t="s">
        <v>91</v>
      </c>
      <c r="E378" s="127">
        <v>187.3</v>
      </c>
      <c r="F378" s="127">
        <v>133.9</v>
      </c>
    </row>
    <row r="379" spans="1:14" ht="16.5" customHeight="1" x14ac:dyDescent="0.2">
      <c r="A379" s="306"/>
      <c r="B379" s="308"/>
      <c r="C379" s="304"/>
      <c r="D379" s="325"/>
      <c r="E379" s="128">
        <f>187.3+4.6</f>
        <v>191.9</v>
      </c>
      <c r="F379" s="128">
        <f>133.9+4.6</f>
        <v>138.5</v>
      </c>
      <c r="G379" s="2">
        <v>4.5999999999999996</v>
      </c>
      <c r="H379" s="2">
        <v>4.5999999999999996</v>
      </c>
    </row>
    <row r="380" spans="1:14" x14ac:dyDescent="0.2">
      <c r="A380" s="12">
        <v>106</v>
      </c>
      <c r="B380" s="11" t="s">
        <v>32</v>
      </c>
      <c r="C380" s="17" t="s">
        <v>33</v>
      </c>
      <c r="D380" s="162"/>
      <c r="E380" s="128">
        <f>+E381</f>
        <v>354.3</v>
      </c>
      <c r="F380" s="35">
        <f>+F381</f>
        <v>105.6</v>
      </c>
    </row>
    <row r="381" spans="1:14" ht="12.6" customHeight="1" x14ac:dyDescent="0.2">
      <c r="A381" s="12">
        <v>107</v>
      </c>
      <c r="B381" s="11"/>
      <c r="C381" s="16" t="s">
        <v>180</v>
      </c>
      <c r="D381" s="162"/>
      <c r="E381" s="19">
        <f>+E383+E382</f>
        <v>354.3</v>
      </c>
      <c r="F381" s="19">
        <f>+F383+F382</f>
        <v>105.6</v>
      </c>
    </row>
    <row r="382" spans="1:14" ht="12.6" customHeight="1" x14ac:dyDescent="0.2">
      <c r="A382" s="12" t="s">
        <v>863</v>
      </c>
      <c r="B382" s="11"/>
      <c r="C382" s="16" t="s">
        <v>99</v>
      </c>
      <c r="D382" s="1" t="s">
        <v>244</v>
      </c>
      <c r="E382" s="19">
        <v>119.5</v>
      </c>
      <c r="F382" s="19">
        <v>105.6</v>
      </c>
    </row>
    <row r="383" spans="1:14" ht="40.5" x14ac:dyDescent="0.2">
      <c r="A383" s="150" t="s">
        <v>864</v>
      </c>
      <c r="B383" s="1"/>
      <c r="C383" s="160" t="s">
        <v>578</v>
      </c>
      <c r="D383" s="176"/>
      <c r="E383" s="128">
        <f>SUM(E384:E388)</f>
        <v>234.8</v>
      </c>
      <c r="F383" s="128">
        <f>+F384+F385</f>
        <v>0</v>
      </c>
      <c r="N383" s="80"/>
    </row>
    <row r="384" spans="1:14" ht="25.5" x14ac:dyDescent="0.2">
      <c r="A384" s="167" t="s">
        <v>865</v>
      </c>
      <c r="B384" s="1"/>
      <c r="C384" s="15" t="s">
        <v>190</v>
      </c>
      <c r="D384" s="162" t="s">
        <v>144</v>
      </c>
      <c r="E384" s="19">
        <v>40</v>
      </c>
      <c r="F384" s="19"/>
    </row>
    <row r="385" spans="1:8" x14ac:dyDescent="0.2">
      <c r="A385" s="167" t="s">
        <v>866</v>
      </c>
      <c r="B385" s="1"/>
      <c r="C385" s="15" t="s">
        <v>809</v>
      </c>
      <c r="D385" s="14" t="s">
        <v>247</v>
      </c>
      <c r="E385" s="19">
        <v>10</v>
      </c>
      <c r="F385" s="19"/>
    </row>
    <row r="386" spans="1:8" ht="38.25" x14ac:dyDescent="0.2">
      <c r="A386" s="167" t="s">
        <v>867</v>
      </c>
      <c r="B386" s="1"/>
      <c r="C386" s="15" t="s">
        <v>616</v>
      </c>
      <c r="D386" s="14" t="s">
        <v>144</v>
      </c>
      <c r="E386" s="19">
        <v>151</v>
      </c>
      <c r="F386" s="19"/>
    </row>
    <row r="387" spans="1:8" ht="38.25" x14ac:dyDescent="0.2">
      <c r="A387" s="167" t="s">
        <v>868</v>
      </c>
      <c r="B387" s="1"/>
      <c r="C387" s="15" t="s">
        <v>617</v>
      </c>
      <c r="D387" s="14" t="s">
        <v>144</v>
      </c>
      <c r="E387" s="19">
        <v>3.8</v>
      </c>
      <c r="F387" s="19"/>
    </row>
    <row r="388" spans="1:8" ht="25.5" x14ac:dyDescent="0.2">
      <c r="A388" s="167" t="s">
        <v>869</v>
      </c>
      <c r="B388" s="1"/>
      <c r="C388" s="15" t="s">
        <v>618</v>
      </c>
      <c r="D388" s="14" t="s">
        <v>144</v>
      </c>
      <c r="E388" s="19">
        <v>30</v>
      </c>
      <c r="F388" s="19"/>
    </row>
    <row r="389" spans="1:8" x14ac:dyDescent="0.2">
      <c r="A389" s="12">
        <v>108</v>
      </c>
      <c r="B389" s="11" t="s">
        <v>95</v>
      </c>
      <c r="C389" s="17" t="s">
        <v>96</v>
      </c>
      <c r="D389" s="9"/>
      <c r="E389" s="35">
        <f>+E390</f>
        <v>89</v>
      </c>
      <c r="F389" s="35">
        <f>+F390</f>
        <v>0</v>
      </c>
    </row>
    <row r="390" spans="1:8" ht="12.6" customHeight="1" x14ac:dyDescent="0.2">
      <c r="A390" s="12">
        <v>109</v>
      </c>
      <c r="B390" s="11"/>
      <c r="C390" s="16" t="s">
        <v>166</v>
      </c>
      <c r="D390" s="9"/>
      <c r="E390" s="19">
        <f>+E392+E393+E391</f>
        <v>89</v>
      </c>
      <c r="F390" s="19">
        <f>+F392+F393+F391</f>
        <v>0</v>
      </c>
    </row>
    <row r="391" spans="1:8" ht="12.6" customHeight="1" x14ac:dyDescent="0.2">
      <c r="A391" s="167" t="s">
        <v>870</v>
      </c>
      <c r="B391" s="11"/>
      <c r="C391" s="163" t="s">
        <v>99</v>
      </c>
      <c r="D391" s="14" t="s">
        <v>427</v>
      </c>
      <c r="E391" s="19">
        <v>3</v>
      </c>
      <c r="F391" s="19"/>
    </row>
    <row r="392" spans="1:8" ht="25.5" x14ac:dyDescent="0.2">
      <c r="A392" s="167" t="s">
        <v>871</v>
      </c>
      <c r="B392" s="1"/>
      <c r="C392" s="163" t="s">
        <v>191</v>
      </c>
      <c r="D392" s="14" t="s">
        <v>97</v>
      </c>
      <c r="E392" s="19">
        <v>36</v>
      </c>
      <c r="F392" s="19"/>
    </row>
    <row r="393" spans="1:8" ht="38.25" x14ac:dyDescent="0.2">
      <c r="A393" s="167" t="s">
        <v>872</v>
      </c>
      <c r="B393" s="1"/>
      <c r="C393" s="163" t="s">
        <v>374</v>
      </c>
      <c r="D393" s="14" t="s">
        <v>97</v>
      </c>
      <c r="E393" s="19">
        <v>50</v>
      </c>
      <c r="F393" s="19"/>
    </row>
    <row r="394" spans="1:8" x14ac:dyDescent="0.2">
      <c r="A394" s="305">
        <v>110</v>
      </c>
      <c r="B394" s="314" t="s">
        <v>25</v>
      </c>
      <c r="C394" s="320" t="s">
        <v>26</v>
      </c>
      <c r="D394" s="316"/>
      <c r="E394" s="133">
        <v>8142.6</v>
      </c>
      <c r="F394" s="133">
        <v>3808.6</v>
      </c>
    </row>
    <row r="395" spans="1:8" x14ac:dyDescent="0.2">
      <c r="A395" s="306"/>
      <c r="B395" s="315"/>
      <c r="C395" s="321"/>
      <c r="D395" s="317"/>
      <c r="E395" s="35">
        <f>+E397+E399+E401+E414+E416+E418+E420+E422+E424+E426+E428+E430+E432+E434</f>
        <v>8765.1000000000022</v>
      </c>
      <c r="F395" s="35">
        <f>+F397+F399+F401+F414+F416+F418+F420+F422+F424+F426+F428+F430+F432+F434</f>
        <v>4337.3000000000011</v>
      </c>
    </row>
    <row r="396" spans="1:8" x14ac:dyDescent="0.2">
      <c r="A396" s="305">
        <v>111</v>
      </c>
      <c r="B396" s="314"/>
      <c r="C396" s="303" t="s">
        <v>27</v>
      </c>
      <c r="D396" s="316" t="s">
        <v>28</v>
      </c>
      <c r="E396" s="127">
        <v>92</v>
      </c>
      <c r="F396" s="127">
        <v>15.2</v>
      </c>
    </row>
    <row r="397" spans="1:8" x14ac:dyDescent="0.2">
      <c r="A397" s="306"/>
      <c r="B397" s="315"/>
      <c r="C397" s="304"/>
      <c r="D397" s="317"/>
      <c r="E397" s="128">
        <f>92+1.4</f>
        <v>93.4</v>
      </c>
      <c r="F397" s="128">
        <f>15.2+1.4</f>
        <v>16.599999999999998</v>
      </c>
      <c r="G397" s="2">
        <v>1.4</v>
      </c>
      <c r="H397" s="2">
        <v>1.4</v>
      </c>
    </row>
    <row r="398" spans="1:8" x14ac:dyDescent="0.2">
      <c r="A398" s="305">
        <v>112</v>
      </c>
      <c r="B398" s="314"/>
      <c r="C398" s="303" t="s">
        <v>98</v>
      </c>
      <c r="D398" s="316" t="s">
        <v>110</v>
      </c>
      <c r="E398" s="127">
        <v>171.1</v>
      </c>
      <c r="F398" s="127">
        <v>156</v>
      </c>
    </row>
    <row r="399" spans="1:8" x14ac:dyDescent="0.2">
      <c r="A399" s="306"/>
      <c r="B399" s="315"/>
      <c r="C399" s="304"/>
      <c r="D399" s="317"/>
      <c r="E399" s="128">
        <f>171.1+14.6</f>
        <v>185.7</v>
      </c>
      <c r="F399" s="128">
        <f>156+14.2</f>
        <v>170.2</v>
      </c>
      <c r="G399" s="2">
        <v>14.6</v>
      </c>
      <c r="H399" s="2">
        <v>14.2</v>
      </c>
    </row>
    <row r="400" spans="1:8" x14ac:dyDescent="0.2">
      <c r="A400" s="305">
        <v>113</v>
      </c>
      <c r="B400" s="314"/>
      <c r="C400" s="303" t="s">
        <v>166</v>
      </c>
      <c r="D400" s="316"/>
      <c r="E400" s="127">
        <v>6468.5</v>
      </c>
      <c r="F400" s="127">
        <v>2865.1</v>
      </c>
    </row>
    <row r="401" spans="1:8" x14ac:dyDescent="0.2">
      <c r="A401" s="306"/>
      <c r="B401" s="315"/>
      <c r="C401" s="304"/>
      <c r="D401" s="317"/>
      <c r="E401" s="128">
        <f>+E403+E405+E406+E407+E408+E409+E411+E412+E404</f>
        <v>6978.1000000000013</v>
      </c>
      <c r="F401" s="128">
        <f>+F403+F405+F406+F407+F408+F409+F411+F412+F404</f>
        <v>3278.2</v>
      </c>
    </row>
    <row r="402" spans="1:8" x14ac:dyDescent="0.2">
      <c r="A402" s="312" t="s">
        <v>873</v>
      </c>
      <c r="B402" s="314"/>
      <c r="C402" s="303" t="s">
        <v>99</v>
      </c>
      <c r="D402" s="316" t="s">
        <v>130</v>
      </c>
      <c r="E402" s="127">
        <v>5051.8</v>
      </c>
      <c r="F402" s="127">
        <v>2865.1</v>
      </c>
    </row>
    <row r="403" spans="1:8" ht="82.5" customHeight="1" x14ac:dyDescent="0.2">
      <c r="A403" s="313"/>
      <c r="B403" s="315"/>
      <c r="C403" s="304"/>
      <c r="D403" s="317"/>
      <c r="E403" s="19">
        <f>5051.8-5.5+285.1+110</f>
        <v>5441.4000000000005</v>
      </c>
      <c r="F403" s="19">
        <f>2865.1+24+279.1+110</f>
        <v>3278.2</v>
      </c>
      <c r="G403" s="2">
        <f>-5.5+285.1+110</f>
        <v>389.6</v>
      </c>
      <c r="H403" s="2">
        <f>24+279.1+110</f>
        <v>413.1</v>
      </c>
    </row>
    <row r="404" spans="1:8" ht="25.5" x14ac:dyDescent="0.2">
      <c r="A404" s="167" t="s">
        <v>874</v>
      </c>
      <c r="B404" s="11"/>
      <c r="C404" s="16" t="s">
        <v>619</v>
      </c>
      <c r="D404" s="14" t="s">
        <v>155</v>
      </c>
      <c r="E404" s="19">
        <v>40</v>
      </c>
      <c r="F404" s="19"/>
    </row>
    <row r="405" spans="1:8" ht="25.5" x14ac:dyDescent="0.2">
      <c r="A405" s="167" t="s">
        <v>875</v>
      </c>
      <c r="B405" s="1"/>
      <c r="C405" s="163" t="s">
        <v>981</v>
      </c>
      <c r="D405" s="14" t="s">
        <v>121</v>
      </c>
      <c r="E405" s="19">
        <v>120</v>
      </c>
      <c r="F405" s="19"/>
    </row>
    <row r="406" spans="1:8" ht="12.6" customHeight="1" x14ac:dyDescent="0.2">
      <c r="A406" s="167" t="s">
        <v>876</v>
      </c>
      <c r="B406" s="1"/>
      <c r="C406" s="163" t="s">
        <v>376</v>
      </c>
      <c r="D406" s="14" t="s">
        <v>38</v>
      </c>
      <c r="E406" s="19">
        <v>21.6</v>
      </c>
      <c r="F406" s="19"/>
    </row>
    <row r="407" spans="1:8" x14ac:dyDescent="0.2">
      <c r="A407" s="167" t="s">
        <v>877</v>
      </c>
      <c r="B407" s="1"/>
      <c r="C407" s="163" t="s">
        <v>375</v>
      </c>
      <c r="D407" s="14" t="s">
        <v>101</v>
      </c>
      <c r="E407" s="19">
        <f>1150-100</f>
        <v>1050</v>
      </c>
      <c r="F407" s="19"/>
    </row>
    <row r="408" spans="1:8" x14ac:dyDescent="0.2">
      <c r="A408" s="167" t="s">
        <v>878</v>
      </c>
      <c r="B408" s="1"/>
      <c r="C408" s="163" t="s">
        <v>198</v>
      </c>
      <c r="D408" s="14" t="s">
        <v>38</v>
      </c>
      <c r="E408" s="19">
        <v>15</v>
      </c>
      <c r="F408" s="19"/>
    </row>
    <row r="409" spans="1:8" ht="25.5" x14ac:dyDescent="0.2">
      <c r="A409" s="167" t="s">
        <v>879</v>
      </c>
      <c r="B409" s="1"/>
      <c r="C409" s="163" t="s">
        <v>175</v>
      </c>
      <c r="D409" s="14" t="s">
        <v>100</v>
      </c>
      <c r="E409" s="19">
        <v>12</v>
      </c>
      <c r="F409" s="19"/>
    </row>
    <row r="410" spans="1:8" x14ac:dyDescent="0.2">
      <c r="A410" s="312" t="s">
        <v>880</v>
      </c>
      <c r="B410" s="307"/>
      <c r="C410" s="318" t="s">
        <v>192</v>
      </c>
      <c r="D410" s="316" t="s">
        <v>102</v>
      </c>
      <c r="E410" s="127">
        <v>110</v>
      </c>
      <c r="F410" s="19"/>
    </row>
    <row r="411" spans="1:8" ht="12.6" customHeight="1" x14ac:dyDescent="0.2">
      <c r="A411" s="313"/>
      <c r="B411" s="308"/>
      <c r="C411" s="319"/>
      <c r="D411" s="317"/>
      <c r="E411" s="128">
        <f>110+120</f>
        <v>230</v>
      </c>
      <c r="F411" s="19"/>
      <c r="G411" s="4">
        <v>120</v>
      </c>
    </row>
    <row r="412" spans="1:8" ht="12.6" customHeight="1" x14ac:dyDescent="0.2">
      <c r="A412" s="167" t="s">
        <v>881</v>
      </c>
      <c r="B412" s="1"/>
      <c r="C412" s="163" t="s">
        <v>291</v>
      </c>
      <c r="D412" s="14" t="s">
        <v>298</v>
      </c>
      <c r="E412" s="19">
        <v>48.1</v>
      </c>
      <c r="F412" s="19"/>
    </row>
    <row r="413" spans="1:8" ht="12.6" customHeight="1" x14ac:dyDescent="0.2">
      <c r="A413" s="305">
        <v>114</v>
      </c>
      <c r="B413" s="307"/>
      <c r="C413" s="303" t="s">
        <v>8</v>
      </c>
      <c r="D413" s="307" t="s">
        <v>706</v>
      </c>
      <c r="E413" s="127">
        <v>184.1</v>
      </c>
      <c r="F413" s="127">
        <v>111</v>
      </c>
    </row>
    <row r="414" spans="1:8" ht="25.5" customHeight="1" x14ac:dyDescent="0.2">
      <c r="A414" s="306"/>
      <c r="B414" s="308"/>
      <c r="C414" s="304"/>
      <c r="D414" s="308"/>
      <c r="E414" s="128">
        <f>184.1+22.5</f>
        <v>206.6</v>
      </c>
      <c r="F414" s="128">
        <f>111+22.3</f>
        <v>133.30000000000001</v>
      </c>
      <c r="G414" s="2">
        <v>22.5</v>
      </c>
      <c r="H414" s="2">
        <v>22.3</v>
      </c>
    </row>
    <row r="415" spans="1:8" ht="15" customHeight="1" x14ac:dyDescent="0.2">
      <c r="A415" s="305">
        <v>115</v>
      </c>
      <c r="B415" s="307"/>
      <c r="C415" s="303" t="s">
        <v>4</v>
      </c>
      <c r="D415" s="307" t="s">
        <v>706</v>
      </c>
      <c r="E415" s="127">
        <v>72</v>
      </c>
      <c r="F415" s="127">
        <v>50.3</v>
      </c>
    </row>
    <row r="416" spans="1:8" ht="15" customHeight="1" x14ac:dyDescent="0.2">
      <c r="A416" s="306"/>
      <c r="B416" s="308"/>
      <c r="C416" s="304"/>
      <c r="D416" s="308"/>
      <c r="E416" s="128">
        <f>72+4.6</f>
        <v>76.599999999999994</v>
      </c>
      <c r="F416" s="128">
        <f>50.3+4.5</f>
        <v>54.8</v>
      </c>
      <c r="G416" s="2">
        <v>4.5999999999999996</v>
      </c>
      <c r="H416" s="2">
        <v>4.5</v>
      </c>
    </row>
    <row r="417" spans="1:8" ht="18" customHeight="1" x14ac:dyDescent="0.2">
      <c r="A417" s="305">
        <v>116</v>
      </c>
      <c r="B417" s="307"/>
      <c r="C417" s="303" t="s">
        <v>5</v>
      </c>
      <c r="D417" s="307" t="s">
        <v>706</v>
      </c>
      <c r="E417" s="127">
        <v>125.4</v>
      </c>
      <c r="F417" s="127">
        <v>65</v>
      </c>
    </row>
    <row r="418" spans="1:8" ht="18" customHeight="1" x14ac:dyDescent="0.2">
      <c r="A418" s="306"/>
      <c r="B418" s="308"/>
      <c r="C418" s="304"/>
      <c r="D418" s="308"/>
      <c r="E418" s="128">
        <f>125.4+5.4</f>
        <v>130.80000000000001</v>
      </c>
      <c r="F418" s="128">
        <f>65+5.3</f>
        <v>70.3</v>
      </c>
      <c r="G418" s="2">
        <v>5.4</v>
      </c>
      <c r="H418" s="2">
        <v>5.3</v>
      </c>
    </row>
    <row r="419" spans="1:8" ht="15.75" customHeight="1" x14ac:dyDescent="0.2">
      <c r="A419" s="305">
        <v>117</v>
      </c>
      <c r="B419" s="307"/>
      <c r="C419" s="303" t="s">
        <v>7</v>
      </c>
      <c r="D419" s="307" t="s">
        <v>706</v>
      </c>
      <c r="E419" s="127">
        <v>97</v>
      </c>
      <c r="F419" s="127">
        <v>61</v>
      </c>
    </row>
    <row r="420" spans="1:8" ht="15.75" customHeight="1" x14ac:dyDescent="0.2">
      <c r="A420" s="306"/>
      <c r="B420" s="308"/>
      <c r="C420" s="304"/>
      <c r="D420" s="308"/>
      <c r="E420" s="128">
        <f>97+2.1</f>
        <v>99.1</v>
      </c>
      <c r="F420" s="128">
        <f>61+2</f>
        <v>63</v>
      </c>
      <c r="G420" s="2">
        <v>2.1</v>
      </c>
      <c r="H420" s="2">
        <v>2</v>
      </c>
    </row>
    <row r="421" spans="1:8" ht="16.5" customHeight="1" x14ac:dyDescent="0.2">
      <c r="A421" s="305">
        <v>118</v>
      </c>
      <c r="B421" s="307"/>
      <c r="C421" s="303" t="s">
        <v>6</v>
      </c>
      <c r="D421" s="307" t="s">
        <v>706</v>
      </c>
      <c r="E421" s="127">
        <v>82.7</v>
      </c>
      <c r="F421" s="127">
        <v>54.6</v>
      </c>
    </row>
    <row r="422" spans="1:8" ht="16.5" customHeight="1" x14ac:dyDescent="0.2">
      <c r="A422" s="306"/>
      <c r="B422" s="308"/>
      <c r="C422" s="304"/>
      <c r="D422" s="308"/>
      <c r="E422" s="128">
        <f>82.7+7.1</f>
        <v>89.8</v>
      </c>
      <c r="F422" s="128">
        <f>54.6+7</f>
        <v>61.6</v>
      </c>
      <c r="G422" s="2">
        <v>7.1</v>
      </c>
      <c r="H422" s="2">
        <v>7</v>
      </c>
    </row>
    <row r="423" spans="1:8" ht="15.75" customHeight="1" x14ac:dyDescent="0.2">
      <c r="A423" s="305">
        <v>119</v>
      </c>
      <c r="B423" s="307"/>
      <c r="C423" s="303" t="s">
        <v>9</v>
      </c>
      <c r="D423" s="307" t="s">
        <v>706</v>
      </c>
      <c r="E423" s="127">
        <v>91</v>
      </c>
      <c r="F423" s="127">
        <v>61.7</v>
      </c>
    </row>
    <row r="424" spans="1:8" ht="15.75" customHeight="1" x14ac:dyDescent="0.2">
      <c r="A424" s="306"/>
      <c r="B424" s="308"/>
      <c r="C424" s="304"/>
      <c r="D424" s="308"/>
      <c r="E424" s="128">
        <f>91+7.8</f>
        <v>98.8</v>
      </c>
      <c r="F424" s="128">
        <f>61.7+7.8</f>
        <v>69.5</v>
      </c>
      <c r="G424" s="2">
        <v>7.8</v>
      </c>
      <c r="H424" s="2">
        <v>7.8</v>
      </c>
    </row>
    <row r="425" spans="1:8" x14ac:dyDescent="0.2">
      <c r="A425" s="305">
        <v>120</v>
      </c>
      <c r="B425" s="307"/>
      <c r="C425" s="303" t="s">
        <v>10</v>
      </c>
      <c r="D425" s="307" t="s">
        <v>706</v>
      </c>
      <c r="E425" s="127">
        <v>206.6</v>
      </c>
      <c r="F425" s="127">
        <v>92.9</v>
      </c>
    </row>
    <row r="426" spans="1:8" x14ac:dyDescent="0.2">
      <c r="A426" s="306"/>
      <c r="B426" s="308"/>
      <c r="C426" s="304"/>
      <c r="D426" s="308"/>
      <c r="E426" s="128">
        <f>206.6+12.3</f>
        <v>218.9</v>
      </c>
      <c r="F426" s="128">
        <f>92.9+12</f>
        <v>104.9</v>
      </c>
      <c r="G426" s="2">
        <v>12.3</v>
      </c>
      <c r="H426" s="2">
        <v>12</v>
      </c>
    </row>
    <row r="427" spans="1:8" ht="16.5" customHeight="1" x14ac:dyDescent="0.2">
      <c r="A427" s="305">
        <v>121</v>
      </c>
      <c r="B427" s="307"/>
      <c r="C427" s="303" t="s">
        <v>12</v>
      </c>
      <c r="D427" s="307" t="s">
        <v>706</v>
      </c>
      <c r="E427" s="127">
        <v>89.1</v>
      </c>
      <c r="F427" s="127">
        <v>61.2</v>
      </c>
    </row>
    <row r="428" spans="1:8" ht="16.5" customHeight="1" x14ac:dyDescent="0.2">
      <c r="A428" s="306"/>
      <c r="B428" s="308"/>
      <c r="C428" s="304"/>
      <c r="D428" s="308"/>
      <c r="E428" s="128">
        <f>89.1+5.5</f>
        <v>94.6</v>
      </c>
      <c r="F428" s="128">
        <f>61.2+5.5</f>
        <v>66.7</v>
      </c>
      <c r="G428" s="2">
        <v>5.5</v>
      </c>
      <c r="H428" s="2">
        <v>5.5</v>
      </c>
    </row>
    <row r="429" spans="1:8" x14ac:dyDescent="0.2">
      <c r="A429" s="305">
        <v>122</v>
      </c>
      <c r="B429" s="307"/>
      <c r="C429" s="303" t="s">
        <v>11</v>
      </c>
      <c r="D429" s="307" t="s">
        <v>706</v>
      </c>
      <c r="E429" s="127">
        <v>143.5</v>
      </c>
      <c r="F429" s="127">
        <v>64</v>
      </c>
    </row>
    <row r="430" spans="1:8" ht="15.75" customHeight="1" x14ac:dyDescent="0.2">
      <c r="A430" s="306"/>
      <c r="B430" s="308"/>
      <c r="C430" s="304"/>
      <c r="D430" s="308"/>
      <c r="E430" s="128">
        <f>143.5+10.3</f>
        <v>153.80000000000001</v>
      </c>
      <c r="F430" s="128">
        <f>64+10.3</f>
        <v>74.3</v>
      </c>
      <c r="G430" s="2">
        <v>10.3</v>
      </c>
      <c r="H430" s="2">
        <v>10.3</v>
      </c>
    </row>
    <row r="431" spans="1:8" ht="15.75" customHeight="1" x14ac:dyDescent="0.2">
      <c r="A431" s="305">
        <v>123</v>
      </c>
      <c r="B431" s="307"/>
      <c r="C431" s="303" t="s">
        <v>13</v>
      </c>
      <c r="D431" s="307" t="s">
        <v>706</v>
      </c>
      <c r="E431" s="127">
        <v>96.2</v>
      </c>
      <c r="F431" s="127">
        <v>63.5</v>
      </c>
    </row>
    <row r="432" spans="1:8" x14ac:dyDescent="0.2">
      <c r="A432" s="306"/>
      <c r="B432" s="308"/>
      <c r="C432" s="304"/>
      <c r="D432" s="308"/>
      <c r="E432" s="128">
        <f>96.2-4.5+7.7</f>
        <v>99.4</v>
      </c>
      <c r="F432" s="128">
        <f>63.5+7.6</f>
        <v>71.099999999999994</v>
      </c>
      <c r="G432" s="2">
        <f>-4.5+7.7</f>
        <v>3.2</v>
      </c>
      <c r="H432" s="2">
        <v>7.6</v>
      </c>
    </row>
    <row r="433" spans="1:8" ht="14.25" customHeight="1" x14ac:dyDescent="0.2">
      <c r="A433" s="305">
        <v>124</v>
      </c>
      <c r="B433" s="307"/>
      <c r="C433" s="303" t="s">
        <v>14</v>
      </c>
      <c r="D433" s="307" t="s">
        <v>706</v>
      </c>
      <c r="E433" s="127">
        <v>223.4</v>
      </c>
      <c r="F433" s="127">
        <v>87.1</v>
      </c>
    </row>
    <row r="434" spans="1:8" ht="14.25" customHeight="1" x14ac:dyDescent="0.2">
      <c r="A434" s="306"/>
      <c r="B434" s="308"/>
      <c r="C434" s="304"/>
      <c r="D434" s="308"/>
      <c r="E434" s="128">
        <f>223.4+16.1</f>
        <v>239.5</v>
      </c>
      <c r="F434" s="128">
        <f>87.1+15.7</f>
        <v>102.8</v>
      </c>
      <c r="G434" s="2">
        <v>16.100000000000001</v>
      </c>
      <c r="H434" s="2">
        <v>15.7</v>
      </c>
    </row>
    <row r="435" spans="1:8" ht="15.75" customHeight="1" x14ac:dyDescent="0.2">
      <c r="A435" s="309">
        <v>125</v>
      </c>
      <c r="B435" s="307"/>
      <c r="C435" s="310" t="s">
        <v>20</v>
      </c>
      <c r="D435" s="307"/>
      <c r="E435" s="136">
        <v>52052</v>
      </c>
      <c r="F435" s="136">
        <v>22114.6</v>
      </c>
    </row>
    <row r="436" spans="1:8" ht="15.75" customHeight="1" x14ac:dyDescent="0.2">
      <c r="A436" s="309"/>
      <c r="B436" s="308"/>
      <c r="C436" s="311"/>
      <c r="D436" s="308"/>
      <c r="E436" s="128">
        <f>+E10+E102+E136+E201+E240+E274+E293+E341+E380+E389+E395</f>
        <v>54836.700000000012</v>
      </c>
      <c r="F436" s="128">
        <f>+F10+F102+F136+F201+F240+F274+F293+F341+F380+F389+F395</f>
        <v>24265.5</v>
      </c>
      <c r="G436" s="80">
        <f>SUM(G8:G434)</f>
        <v>2784.6999999999989</v>
      </c>
      <c r="H436" s="80">
        <f>SUM(H8:H434)</f>
        <v>2150.9</v>
      </c>
    </row>
    <row r="437" spans="1:8" x14ac:dyDescent="0.2">
      <c r="C437" s="5"/>
      <c r="F437" s="56"/>
    </row>
    <row r="438" spans="1:8" x14ac:dyDescent="0.2">
      <c r="A438" s="45" t="s">
        <v>215</v>
      </c>
      <c r="B438" s="2"/>
      <c r="C438" s="2"/>
      <c r="D438" s="2"/>
      <c r="E438" s="2"/>
      <c r="F438" s="2"/>
    </row>
    <row r="439" spans="1:8" x14ac:dyDescent="0.2">
      <c r="C439" s="177"/>
      <c r="E439" s="56"/>
      <c r="F439" s="56"/>
    </row>
    <row r="440" spans="1:8" x14ac:dyDescent="0.2">
      <c r="C440" s="5"/>
      <c r="E440" s="178"/>
      <c r="F440" s="178"/>
    </row>
    <row r="441" spans="1:8" ht="15.75" x14ac:dyDescent="0.2">
      <c r="C441" s="179"/>
      <c r="D441" s="180"/>
      <c r="E441" s="181"/>
      <c r="F441" s="56"/>
    </row>
    <row r="442" spans="1:8" x14ac:dyDescent="0.2">
      <c r="C442" s="5"/>
      <c r="D442" s="5"/>
      <c r="E442" s="70"/>
      <c r="F442" s="70"/>
    </row>
    <row r="443" spans="1:8" x14ac:dyDescent="0.2">
      <c r="C443" s="5"/>
      <c r="D443" s="41"/>
      <c r="E443" s="37"/>
      <c r="F443" s="37"/>
    </row>
    <row r="444" spans="1:8" x14ac:dyDescent="0.2">
      <c r="C444" s="182"/>
      <c r="D444" s="183"/>
      <c r="E444" s="184"/>
      <c r="F444" s="184"/>
    </row>
    <row r="445" spans="1:8" x14ac:dyDescent="0.2">
      <c r="C445" s="182"/>
      <c r="D445" s="183"/>
      <c r="E445" s="184"/>
      <c r="F445" s="184"/>
    </row>
    <row r="446" spans="1:8" ht="15.75" x14ac:dyDescent="0.2">
      <c r="C446" s="179"/>
      <c r="D446" s="185"/>
      <c r="E446" s="186"/>
      <c r="F446" s="186"/>
    </row>
    <row r="447" spans="1:8" ht="15.75" x14ac:dyDescent="0.2">
      <c r="C447" s="179"/>
      <c r="D447" s="185"/>
      <c r="E447" s="186"/>
      <c r="F447" s="186"/>
    </row>
    <row r="448" spans="1:8" x14ac:dyDescent="0.2">
      <c r="C448" s="5"/>
      <c r="D448" s="41"/>
      <c r="E448" s="56"/>
    </row>
    <row r="449" spans="3:10" x14ac:dyDescent="0.2">
      <c r="C449" s="5"/>
      <c r="D449" s="41"/>
      <c r="E449" s="187"/>
      <c r="F449" s="41"/>
    </row>
    <row r="450" spans="3:10" x14ac:dyDescent="0.2">
      <c r="C450" s="5"/>
      <c r="D450" s="41"/>
      <c r="F450" s="56"/>
    </row>
    <row r="452" spans="3:10" x14ac:dyDescent="0.2">
      <c r="C452" s="5"/>
      <c r="D452" s="185"/>
      <c r="E452" s="37"/>
      <c r="F452" s="56"/>
    </row>
    <row r="453" spans="3:10" x14ac:dyDescent="0.2">
      <c r="C453" s="5"/>
      <c r="D453" s="185"/>
      <c r="E453" s="187"/>
    </row>
    <row r="454" spans="3:10" x14ac:dyDescent="0.2">
      <c r="C454" s="177"/>
      <c r="E454" s="56"/>
    </row>
    <row r="455" spans="3:10" x14ac:dyDescent="0.2">
      <c r="C455" s="5"/>
      <c r="E455" s="57"/>
      <c r="F455" s="57"/>
    </row>
    <row r="456" spans="3:10" x14ac:dyDescent="0.2">
      <c r="E456" s="56"/>
    </row>
    <row r="457" spans="3:10" x14ac:dyDescent="0.2">
      <c r="E457" s="56"/>
      <c r="J457" s="2" t="s">
        <v>372</v>
      </c>
    </row>
    <row r="458" spans="3:10" x14ac:dyDescent="0.2">
      <c r="E458" s="56"/>
    </row>
    <row r="460" spans="3:10" x14ac:dyDescent="0.2">
      <c r="E460" s="56"/>
      <c r="F460" s="56"/>
    </row>
    <row r="462" spans="3:10" x14ac:dyDescent="0.2">
      <c r="E462" s="56"/>
      <c r="F462" s="56"/>
    </row>
    <row r="471" spans="5:6" x14ac:dyDescent="0.2">
      <c r="E471" s="56"/>
      <c r="F471" s="56"/>
    </row>
  </sheetData>
  <mergeCells count="556">
    <mergeCell ref="D13:D14"/>
    <mergeCell ref="D15:D16"/>
    <mergeCell ref="D17:D18"/>
    <mergeCell ref="A183:A184"/>
    <mergeCell ref="B183:B184"/>
    <mergeCell ref="A187:A188"/>
    <mergeCell ref="B187:B188"/>
    <mergeCell ref="A68:A69"/>
    <mergeCell ref="B68:B69"/>
    <mergeCell ref="D29:D30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D19:D20"/>
    <mergeCell ref="D21:D22"/>
    <mergeCell ref="D23:D24"/>
    <mergeCell ref="D25:D26"/>
    <mergeCell ref="D27:D28"/>
    <mergeCell ref="E2:F2"/>
    <mergeCell ref="A4:F4"/>
    <mergeCell ref="C1:F1"/>
    <mergeCell ref="A11:A12"/>
    <mergeCell ref="B11:B12"/>
    <mergeCell ref="C11:C12"/>
    <mergeCell ref="D11:D12"/>
    <mergeCell ref="B271:B272"/>
    <mergeCell ref="C271:C272"/>
    <mergeCell ref="D271:D272"/>
    <mergeCell ref="A273:A274"/>
    <mergeCell ref="B273:B274"/>
    <mergeCell ref="C273:C274"/>
    <mergeCell ref="D273:D274"/>
    <mergeCell ref="A173:A174"/>
    <mergeCell ref="B173:B174"/>
    <mergeCell ref="A195:A196"/>
    <mergeCell ref="B195:B196"/>
    <mergeCell ref="A180:A182"/>
    <mergeCell ref="C180:C181"/>
    <mergeCell ref="D180:D181"/>
    <mergeCell ref="B180:B182"/>
    <mergeCell ref="A185:A186"/>
    <mergeCell ref="B185:B186"/>
    <mergeCell ref="C185:C186"/>
    <mergeCell ref="D185:D186"/>
    <mergeCell ref="A175:A177"/>
    <mergeCell ref="B175:B177"/>
    <mergeCell ref="C175:C176"/>
    <mergeCell ref="D175:D176"/>
    <mergeCell ref="A178:A179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C13:C14"/>
    <mergeCell ref="C15:C16"/>
    <mergeCell ref="C17:C18"/>
    <mergeCell ref="C19:C20"/>
    <mergeCell ref="C21:C22"/>
    <mergeCell ref="C23:C24"/>
    <mergeCell ref="C25:C26"/>
    <mergeCell ref="C27:C28"/>
    <mergeCell ref="C31:C32"/>
    <mergeCell ref="C29:C30"/>
    <mergeCell ref="A41:A42"/>
    <mergeCell ref="A43:A44"/>
    <mergeCell ref="A45:A46"/>
    <mergeCell ref="A47:A48"/>
    <mergeCell ref="A49:A50"/>
    <mergeCell ref="D31:D32"/>
    <mergeCell ref="D33:D34"/>
    <mergeCell ref="D35:D36"/>
    <mergeCell ref="D37:D38"/>
    <mergeCell ref="A39:A40"/>
    <mergeCell ref="D39:D40"/>
    <mergeCell ref="B37:B38"/>
    <mergeCell ref="A37:A38"/>
    <mergeCell ref="C33:C34"/>
    <mergeCell ref="C35:C36"/>
    <mergeCell ref="C37:C38"/>
    <mergeCell ref="A31:A32"/>
    <mergeCell ref="A33:A34"/>
    <mergeCell ref="A35:A36"/>
    <mergeCell ref="B31:B32"/>
    <mergeCell ref="B33:B34"/>
    <mergeCell ref="B35:B36"/>
    <mergeCell ref="B41:B42"/>
    <mergeCell ref="B39:B40"/>
    <mergeCell ref="B61:B62"/>
    <mergeCell ref="B58:B60"/>
    <mergeCell ref="B56:B57"/>
    <mergeCell ref="B53:B54"/>
    <mergeCell ref="A51:A52"/>
    <mergeCell ref="A53:A54"/>
    <mergeCell ref="A56:A57"/>
    <mergeCell ref="A61:A62"/>
    <mergeCell ref="A66:A67"/>
    <mergeCell ref="A63:A65"/>
    <mergeCell ref="A58:A60"/>
    <mergeCell ref="B66:B67"/>
    <mergeCell ref="C39:C40"/>
    <mergeCell ref="C41:C42"/>
    <mergeCell ref="C43:C44"/>
    <mergeCell ref="B51:B52"/>
    <mergeCell ref="B49:B50"/>
    <mergeCell ref="B47:B48"/>
    <mergeCell ref="B45:B46"/>
    <mergeCell ref="B43:B44"/>
    <mergeCell ref="C56:C57"/>
    <mergeCell ref="C58:C59"/>
    <mergeCell ref="C61:C62"/>
    <mergeCell ref="C66:C67"/>
    <mergeCell ref="C68:C69"/>
    <mergeCell ref="C63:C64"/>
    <mergeCell ref="C45:C46"/>
    <mergeCell ref="C47:C48"/>
    <mergeCell ref="C49:C50"/>
    <mergeCell ref="C51:C52"/>
    <mergeCell ref="C53:C54"/>
    <mergeCell ref="D51:D52"/>
    <mergeCell ref="D53:D54"/>
    <mergeCell ref="D56:D57"/>
    <mergeCell ref="D58:D60"/>
    <mergeCell ref="D61:D62"/>
    <mergeCell ref="D41:D42"/>
    <mergeCell ref="D43:D44"/>
    <mergeCell ref="D45:D46"/>
    <mergeCell ref="D47:D48"/>
    <mergeCell ref="D49:D50"/>
    <mergeCell ref="D63:D65"/>
    <mergeCell ref="D66:D67"/>
    <mergeCell ref="D68:D69"/>
    <mergeCell ref="A75:A76"/>
    <mergeCell ref="B75:B76"/>
    <mergeCell ref="C75:C76"/>
    <mergeCell ref="D75:D76"/>
    <mergeCell ref="A70:A71"/>
    <mergeCell ref="B70:B71"/>
    <mergeCell ref="C70:C71"/>
    <mergeCell ref="D70:D71"/>
    <mergeCell ref="B63:B65"/>
    <mergeCell ref="D81:D82"/>
    <mergeCell ref="A83:A84"/>
    <mergeCell ref="B83:B84"/>
    <mergeCell ref="C83:C84"/>
    <mergeCell ref="D83:D84"/>
    <mergeCell ref="A77:A78"/>
    <mergeCell ref="B77:B78"/>
    <mergeCell ref="C77:C78"/>
    <mergeCell ref="D77:D78"/>
    <mergeCell ref="A79:A80"/>
    <mergeCell ref="B79:B80"/>
    <mergeCell ref="C79:C80"/>
    <mergeCell ref="D79:D80"/>
    <mergeCell ref="D99:D100"/>
    <mergeCell ref="A9:A10"/>
    <mergeCell ref="B9:B10"/>
    <mergeCell ref="C9:C10"/>
    <mergeCell ref="D9:D10"/>
    <mergeCell ref="A91:A92"/>
    <mergeCell ref="B91:B92"/>
    <mergeCell ref="C91:C92"/>
    <mergeCell ref="D91:D92"/>
    <mergeCell ref="A97:A98"/>
    <mergeCell ref="B97:B98"/>
    <mergeCell ref="C97:C98"/>
    <mergeCell ref="D97:D98"/>
    <mergeCell ref="A86:A87"/>
    <mergeCell ref="B86:B87"/>
    <mergeCell ref="C86:C87"/>
    <mergeCell ref="D86:D87"/>
    <mergeCell ref="A89:A90"/>
    <mergeCell ref="B89:B90"/>
    <mergeCell ref="C89:C90"/>
    <mergeCell ref="D89:D90"/>
    <mergeCell ref="A81:A82"/>
    <mergeCell ref="B81:B82"/>
    <mergeCell ref="C81:C82"/>
    <mergeCell ref="A101:A102"/>
    <mergeCell ref="B101:B102"/>
    <mergeCell ref="C101:C102"/>
    <mergeCell ref="A103:A105"/>
    <mergeCell ref="B103:B104"/>
    <mergeCell ref="C103:C104"/>
    <mergeCell ref="A99:A100"/>
    <mergeCell ref="B99:B100"/>
    <mergeCell ref="C99:C100"/>
    <mergeCell ref="A111:A112"/>
    <mergeCell ref="B111:B112"/>
    <mergeCell ref="C111:C112"/>
    <mergeCell ref="D111:D112"/>
    <mergeCell ref="A116:A117"/>
    <mergeCell ref="B116:B117"/>
    <mergeCell ref="C116:C117"/>
    <mergeCell ref="D116:D117"/>
    <mergeCell ref="D103:D105"/>
    <mergeCell ref="A106:A107"/>
    <mergeCell ref="B106:B107"/>
    <mergeCell ref="C106:C107"/>
    <mergeCell ref="D106:D107"/>
    <mergeCell ref="A135:A136"/>
    <mergeCell ref="B135:B136"/>
    <mergeCell ref="C135:C136"/>
    <mergeCell ref="D135:D136"/>
    <mergeCell ref="A137:A139"/>
    <mergeCell ref="C137:C138"/>
    <mergeCell ref="D137:D139"/>
    <mergeCell ref="D123:D124"/>
    <mergeCell ref="D125:D126"/>
    <mergeCell ref="A130:A131"/>
    <mergeCell ref="B130:B131"/>
    <mergeCell ref="C130:C131"/>
    <mergeCell ref="D130:D131"/>
    <mergeCell ref="A123:A124"/>
    <mergeCell ref="A125:A126"/>
    <mergeCell ref="B123:B124"/>
    <mergeCell ref="B125:B126"/>
    <mergeCell ref="C123:C124"/>
    <mergeCell ref="C125:C126"/>
    <mergeCell ref="B137:B139"/>
    <mergeCell ref="A144:A145"/>
    <mergeCell ref="B144:B145"/>
    <mergeCell ref="C144:C145"/>
    <mergeCell ref="D144:D145"/>
    <mergeCell ref="A146:A147"/>
    <mergeCell ref="B146:B147"/>
    <mergeCell ref="C146:C147"/>
    <mergeCell ref="D146:D147"/>
    <mergeCell ref="A140:A141"/>
    <mergeCell ref="B140:B141"/>
    <mergeCell ref="C140:C141"/>
    <mergeCell ref="D140:D141"/>
    <mergeCell ref="A142:A143"/>
    <mergeCell ref="B142:B143"/>
    <mergeCell ref="C142:C143"/>
    <mergeCell ref="D142:D143"/>
    <mergeCell ref="A166:A167"/>
    <mergeCell ref="B166:B167"/>
    <mergeCell ref="C166:C167"/>
    <mergeCell ref="D166:D167"/>
    <mergeCell ref="A171:A172"/>
    <mergeCell ref="B171:B172"/>
    <mergeCell ref="C171:C172"/>
    <mergeCell ref="D171:D172"/>
    <mergeCell ref="A148:A149"/>
    <mergeCell ref="B148:B149"/>
    <mergeCell ref="C148:C149"/>
    <mergeCell ref="D148:D149"/>
    <mergeCell ref="A150:A151"/>
    <mergeCell ref="B150:B151"/>
    <mergeCell ref="C150:C151"/>
    <mergeCell ref="D150:D151"/>
    <mergeCell ref="B178:B179"/>
    <mergeCell ref="C178:C179"/>
    <mergeCell ref="D178:D179"/>
    <mergeCell ref="A197:A199"/>
    <mergeCell ref="B197:B199"/>
    <mergeCell ref="C197:C198"/>
    <mergeCell ref="D197:D198"/>
    <mergeCell ref="A200:A201"/>
    <mergeCell ref="B200:B201"/>
    <mergeCell ref="C200:C201"/>
    <mergeCell ref="D200:D201"/>
    <mergeCell ref="A189:A191"/>
    <mergeCell ref="B189:B191"/>
    <mergeCell ref="C189:C190"/>
    <mergeCell ref="D189:D190"/>
    <mergeCell ref="A192:A194"/>
    <mergeCell ref="B192:B194"/>
    <mergeCell ref="C192:C193"/>
    <mergeCell ref="D192:D193"/>
    <mergeCell ref="A221:A222"/>
    <mergeCell ref="B221:B222"/>
    <mergeCell ref="C221:C222"/>
    <mergeCell ref="D221:D222"/>
    <mergeCell ref="A224:A225"/>
    <mergeCell ref="B224:B225"/>
    <mergeCell ref="C224:C225"/>
    <mergeCell ref="D224:D225"/>
    <mergeCell ref="A202:A203"/>
    <mergeCell ref="B202:B203"/>
    <mergeCell ref="C202:C203"/>
    <mergeCell ref="D202:D203"/>
    <mergeCell ref="A217:A218"/>
    <mergeCell ref="B217:B218"/>
    <mergeCell ref="C217:C218"/>
    <mergeCell ref="D217:D218"/>
    <mergeCell ref="A204:A205"/>
    <mergeCell ref="B204:B205"/>
    <mergeCell ref="C204:C205"/>
    <mergeCell ref="D204:D205"/>
    <mergeCell ref="A207:A213"/>
    <mergeCell ref="B207:B213"/>
    <mergeCell ref="D207:D213"/>
    <mergeCell ref="A230:A231"/>
    <mergeCell ref="B230:B231"/>
    <mergeCell ref="C230:C231"/>
    <mergeCell ref="D230:D231"/>
    <mergeCell ref="A233:A234"/>
    <mergeCell ref="B233:B234"/>
    <mergeCell ref="C233:C234"/>
    <mergeCell ref="D233:D234"/>
    <mergeCell ref="A226:A227"/>
    <mergeCell ref="B226:B227"/>
    <mergeCell ref="C226:C227"/>
    <mergeCell ref="D226:D227"/>
    <mergeCell ref="A228:A229"/>
    <mergeCell ref="B228:B229"/>
    <mergeCell ref="C228:C229"/>
    <mergeCell ref="D228:D229"/>
    <mergeCell ref="A241:A242"/>
    <mergeCell ref="B241:B242"/>
    <mergeCell ref="C241:C242"/>
    <mergeCell ref="D241:D242"/>
    <mergeCell ref="A243:A244"/>
    <mergeCell ref="B243:B244"/>
    <mergeCell ref="C243:C244"/>
    <mergeCell ref="D243:D244"/>
    <mergeCell ref="A236:A237"/>
    <mergeCell ref="B236:B237"/>
    <mergeCell ref="C236:C237"/>
    <mergeCell ref="D236:D237"/>
    <mergeCell ref="A239:A240"/>
    <mergeCell ref="B239:B240"/>
    <mergeCell ref="C239:C240"/>
    <mergeCell ref="D239:D240"/>
    <mergeCell ref="A249:A250"/>
    <mergeCell ref="B249:B250"/>
    <mergeCell ref="C249:C250"/>
    <mergeCell ref="D249:D250"/>
    <mergeCell ref="A251:A252"/>
    <mergeCell ref="B251:B252"/>
    <mergeCell ref="C251:C252"/>
    <mergeCell ref="D251:D252"/>
    <mergeCell ref="A245:A246"/>
    <mergeCell ref="B245:B246"/>
    <mergeCell ref="C245:C246"/>
    <mergeCell ref="D245:D246"/>
    <mergeCell ref="A247:A248"/>
    <mergeCell ref="B247:B248"/>
    <mergeCell ref="C247:C248"/>
    <mergeCell ref="D247:D248"/>
    <mergeCell ref="A253:A254"/>
    <mergeCell ref="B253:B254"/>
    <mergeCell ref="C253:C254"/>
    <mergeCell ref="D253:D254"/>
    <mergeCell ref="A255:A257"/>
    <mergeCell ref="B255:B257"/>
    <mergeCell ref="C255:C256"/>
    <mergeCell ref="D255:D256"/>
    <mergeCell ref="A292:A293"/>
    <mergeCell ref="B292:B293"/>
    <mergeCell ref="C292:C293"/>
    <mergeCell ref="D292:D293"/>
    <mergeCell ref="A275:A277"/>
    <mergeCell ref="B275:B277"/>
    <mergeCell ref="D275:D277"/>
    <mergeCell ref="A258:A259"/>
    <mergeCell ref="B258:B259"/>
    <mergeCell ref="C258:C259"/>
    <mergeCell ref="D258:D259"/>
    <mergeCell ref="A260:A261"/>
    <mergeCell ref="B260:B261"/>
    <mergeCell ref="C260:C261"/>
    <mergeCell ref="D260:D261"/>
    <mergeCell ref="A271:A272"/>
    <mergeCell ref="A294:A295"/>
    <mergeCell ref="B294:B295"/>
    <mergeCell ref="C294:C295"/>
    <mergeCell ref="D294:D295"/>
    <mergeCell ref="A278:A279"/>
    <mergeCell ref="B278:B279"/>
    <mergeCell ref="C278:C279"/>
    <mergeCell ref="D278:D279"/>
    <mergeCell ref="A280:A281"/>
    <mergeCell ref="B280:B281"/>
    <mergeCell ref="C280:C281"/>
    <mergeCell ref="D280:D281"/>
    <mergeCell ref="A304:A305"/>
    <mergeCell ref="B304:B305"/>
    <mergeCell ref="C304:C305"/>
    <mergeCell ref="D304:D305"/>
    <mergeCell ref="A296:A297"/>
    <mergeCell ref="B296:B297"/>
    <mergeCell ref="C296:C297"/>
    <mergeCell ref="D296:D297"/>
    <mergeCell ref="A298:A299"/>
    <mergeCell ref="B298:B299"/>
    <mergeCell ref="C298:C299"/>
    <mergeCell ref="D298:D299"/>
    <mergeCell ref="A314:A315"/>
    <mergeCell ref="B314:B315"/>
    <mergeCell ref="C314:C315"/>
    <mergeCell ref="D314:D315"/>
    <mergeCell ref="A321:A322"/>
    <mergeCell ref="B321:B322"/>
    <mergeCell ref="C321:C322"/>
    <mergeCell ref="D321:D322"/>
    <mergeCell ref="A312:A313"/>
    <mergeCell ref="B312:B313"/>
    <mergeCell ref="C312:C313"/>
    <mergeCell ref="D312:D313"/>
    <mergeCell ref="A340:A341"/>
    <mergeCell ref="B340:B341"/>
    <mergeCell ref="C340:C341"/>
    <mergeCell ref="D340:D341"/>
    <mergeCell ref="A342:A343"/>
    <mergeCell ref="B342:B343"/>
    <mergeCell ref="C342:C343"/>
    <mergeCell ref="D342:D343"/>
    <mergeCell ref="A324:A325"/>
    <mergeCell ref="B324:B325"/>
    <mergeCell ref="C324:C325"/>
    <mergeCell ref="D324:D325"/>
    <mergeCell ref="A337:A338"/>
    <mergeCell ref="B337:B338"/>
    <mergeCell ref="C337:C338"/>
    <mergeCell ref="D337:D338"/>
    <mergeCell ref="A355:A356"/>
    <mergeCell ref="B355:B356"/>
    <mergeCell ref="C355:C356"/>
    <mergeCell ref="D355:D356"/>
    <mergeCell ref="A358:A359"/>
    <mergeCell ref="B358:B359"/>
    <mergeCell ref="C358:C359"/>
    <mergeCell ref="D358:D359"/>
    <mergeCell ref="A345:A346"/>
    <mergeCell ref="B345:B346"/>
    <mergeCell ref="C345:C346"/>
    <mergeCell ref="D345:D346"/>
    <mergeCell ref="A352:A353"/>
    <mergeCell ref="B352:B353"/>
    <mergeCell ref="C352:C353"/>
    <mergeCell ref="D352:D353"/>
    <mergeCell ref="A364:A365"/>
    <mergeCell ref="B364:B365"/>
    <mergeCell ref="C364:C365"/>
    <mergeCell ref="D364:D365"/>
    <mergeCell ref="A366:A367"/>
    <mergeCell ref="B366:B367"/>
    <mergeCell ref="C366:C367"/>
    <mergeCell ref="D366:D367"/>
    <mergeCell ref="A360:A361"/>
    <mergeCell ref="B360:B361"/>
    <mergeCell ref="C360:C361"/>
    <mergeCell ref="D360:D361"/>
    <mergeCell ref="A362:A363"/>
    <mergeCell ref="B362:B363"/>
    <mergeCell ref="C362:C363"/>
    <mergeCell ref="D362:D363"/>
    <mergeCell ref="A372:A373"/>
    <mergeCell ref="B372:B373"/>
    <mergeCell ref="C372:C373"/>
    <mergeCell ref="D372:D373"/>
    <mergeCell ref="A374:A375"/>
    <mergeCell ref="B374:B375"/>
    <mergeCell ref="C374:C375"/>
    <mergeCell ref="D374:D375"/>
    <mergeCell ref="A368:A369"/>
    <mergeCell ref="B368:B369"/>
    <mergeCell ref="C368:C369"/>
    <mergeCell ref="D368:D369"/>
    <mergeCell ref="A370:A371"/>
    <mergeCell ref="B370:B371"/>
    <mergeCell ref="C370:C371"/>
    <mergeCell ref="D370:D371"/>
    <mergeCell ref="A394:A395"/>
    <mergeCell ref="B394:B395"/>
    <mergeCell ref="C394:C395"/>
    <mergeCell ref="D394:D395"/>
    <mergeCell ref="A396:A397"/>
    <mergeCell ref="B396:B397"/>
    <mergeCell ref="C396:C397"/>
    <mergeCell ref="D396:D397"/>
    <mergeCell ref="A376:A377"/>
    <mergeCell ref="B376:B377"/>
    <mergeCell ref="C376:C377"/>
    <mergeCell ref="D376:D377"/>
    <mergeCell ref="A378:A379"/>
    <mergeCell ref="B378:B379"/>
    <mergeCell ref="C378:C379"/>
    <mergeCell ref="D378:D379"/>
    <mergeCell ref="A402:A403"/>
    <mergeCell ref="B402:B403"/>
    <mergeCell ref="C402:C403"/>
    <mergeCell ref="D402:D403"/>
    <mergeCell ref="A410:A411"/>
    <mergeCell ref="B410:B411"/>
    <mergeCell ref="C410:C411"/>
    <mergeCell ref="D410:D411"/>
    <mergeCell ref="A398:A399"/>
    <mergeCell ref="B398:B399"/>
    <mergeCell ref="C398:C399"/>
    <mergeCell ref="D398:D399"/>
    <mergeCell ref="A400:A401"/>
    <mergeCell ref="B400:B401"/>
    <mergeCell ref="C400:C401"/>
    <mergeCell ref="D400:D401"/>
    <mergeCell ref="A417:A418"/>
    <mergeCell ref="B417:B418"/>
    <mergeCell ref="C417:C418"/>
    <mergeCell ref="D417:D418"/>
    <mergeCell ref="A419:A420"/>
    <mergeCell ref="B419:B420"/>
    <mergeCell ref="C419:C420"/>
    <mergeCell ref="D419:D420"/>
    <mergeCell ref="A413:A414"/>
    <mergeCell ref="B413:B414"/>
    <mergeCell ref="C413:C414"/>
    <mergeCell ref="D413:D414"/>
    <mergeCell ref="A415:A416"/>
    <mergeCell ref="B415:B416"/>
    <mergeCell ref="C415:C416"/>
    <mergeCell ref="D415:D416"/>
    <mergeCell ref="A425:A426"/>
    <mergeCell ref="B425:B426"/>
    <mergeCell ref="C425:C426"/>
    <mergeCell ref="D425:D426"/>
    <mergeCell ref="A427:A428"/>
    <mergeCell ref="B427:B428"/>
    <mergeCell ref="C427:C428"/>
    <mergeCell ref="D427:D428"/>
    <mergeCell ref="A421:A422"/>
    <mergeCell ref="B421:B422"/>
    <mergeCell ref="C421:C422"/>
    <mergeCell ref="D421:D422"/>
    <mergeCell ref="A423:A424"/>
    <mergeCell ref="B423:B424"/>
    <mergeCell ref="C423:C424"/>
    <mergeCell ref="D423:D424"/>
    <mergeCell ref="A433:A434"/>
    <mergeCell ref="B433:B434"/>
    <mergeCell ref="C433:C434"/>
    <mergeCell ref="D433:D434"/>
    <mergeCell ref="A435:A436"/>
    <mergeCell ref="B435:B436"/>
    <mergeCell ref="C435:C436"/>
    <mergeCell ref="D435:D436"/>
    <mergeCell ref="A429:A430"/>
    <mergeCell ref="B429:B430"/>
    <mergeCell ref="C429:C430"/>
    <mergeCell ref="D429:D430"/>
    <mergeCell ref="A431:A432"/>
    <mergeCell ref="B431:B432"/>
    <mergeCell ref="C431:C432"/>
    <mergeCell ref="D431:D432"/>
  </mergeCells>
  <phoneticPr fontId="13" type="noConversion"/>
  <pageMargins left="0.70866141732283472" right="0" top="0.35433070866141736" bottom="0.19685039370078741" header="0.31496062992125984" footer="0.31496062992125984"/>
  <pageSetup paperSize="9" fitToHeight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9"/>
  <sheetViews>
    <sheetView zoomScaleNormal="100" workbookViewId="0">
      <selection activeCell="L55" sqref="L55"/>
    </sheetView>
  </sheetViews>
  <sheetFormatPr defaultColWidth="9.140625" defaultRowHeight="12.75" x14ac:dyDescent="0.2"/>
  <cols>
    <col min="1" max="1" width="4" style="3" customWidth="1"/>
    <col min="2" max="2" width="6.7109375" style="6" customWidth="1"/>
    <col min="3" max="3" width="51.5703125" style="3" customWidth="1"/>
    <col min="4" max="4" width="10.28515625" style="6" customWidth="1"/>
    <col min="5" max="5" width="7.42578125" style="5" customWidth="1"/>
    <col min="6" max="6" width="8.140625" style="5" customWidth="1"/>
    <col min="7" max="11" width="9.140625" style="2" customWidth="1"/>
    <col min="12" max="16384" width="9.140625" style="2"/>
  </cols>
  <sheetData>
    <row r="1" spans="1:15" ht="15.75" x14ac:dyDescent="0.25">
      <c r="C1" s="290" t="s">
        <v>992</v>
      </c>
      <c r="D1" s="290"/>
      <c r="E1" s="290"/>
      <c r="F1" s="290"/>
    </row>
    <row r="2" spans="1:15" ht="15.75" x14ac:dyDescent="0.2">
      <c r="C2" s="38"/>
      <c r="D2" s="39"/>
      <c r="E2" s="373" t="s">
        <v>216</v>
      </c>
      <c r="F2" s="373"/>
    </row>
    <row r="4" spans="1:15" ht="18.75" customHeight="1" x14ac:dyDescent="0.2">
      <c r="A4" s="298" t="s">
        <v>574</v>
      </c>
      <c r="B4" s="298"/>
      <c r="C4" s="298"/>
      <c r="D4" s="298"/>
      <c r="E4" s="298"/>
      <c r="F4" s="298"/>
    </row>
    <row r="5" spans="1:15" x14ac:dyDescent="0.2">
      <c r="F5" s="42" t="s">
        <v>129</v>
      </c>
    </row>
    <row r="6" spans="1:15" ht="56.25" customHeight="1" x14ac:dyDescent="0.2">
      <c r="A6" s="8" t="s">
        <v>118</v>
      </c>
      <c r="B6" s="9" t="s">
        <v>356</v>
      </c>
      <c r="C6" s="8" t="s">
        <v>16</v>
      </c>
      <c r="D6" s="9" t="s">
        <v>55</v>
      </c>
      <c r="E6" s="8" t="s">
        <v>17</v>
      </c>
      <c r="F6" s="8" t="s">
        <v>29</v>
      </c>
    </row>
    <row r="7" spans="1:15" x14ac:dyDescent="0.2">
      <c r="A7" s="10">
        <v>1</v>
      </c>
      <c r="B7" s="11" t="s">
        <v>18</v>
      </c>
      <c r="C7" s="8">
        <v>3</v>
      </c>
      <c r="D7" s="9">
        <v>4</v>
      </c>
      <c r="E7" s="8">
        <v>5</v>
      </c>
      <c r="F7" s="8">
        <v>6</v>
      </c>
    </row>
    <row r="8" spans="1:15" x14ac:dyDescent="0.2">
      <c r="A8" s="12">
        <v>1</v>
      </c>
      <c r="B8" s="11" t="s">
        <v>56</v>
      </c>
      <c r="C8" s="13" t="s">
        <v>57</v>
      </c>
      <c r="D8" s="10"/>
      <c r="E8" s="27">
        <v>134.69999999999999</v>
      </c>
      <c r="F8" s="27">
        <f>SUM(F9:F27)</f>
        <v>22.5</v>
      </c>
      <c r="G8" s="4"/>
      <c r="H8" s="4"/>
      <c r="L8" s="4"/>
      <c r="M8" s="4"/>
      <c r="N8" s="4"/>
      <c r="O8" s="4"/>
    </row>
    <row r="9" spans="1:15" ht="12.6" customHeight="1" x14ac:dyDescent="0.2">
      <c r="A9" s="12">
        <v>2</v>
      </c>
      <c r="B9" s="18"/>
      <c r="C9" s="21" t="s">
        <v>161</v>
      </c>
      <c r="D9" s="1" t="s">
        <v>58</v>
      </c>
      <c r="E9" s="26">
        <v>1</v>
      </c>
      <c r="F9" s="26"/>
      <c r="G9" s="4"/>
      <c r="H9" s="4"/>
      <c r="L9" s="4"/>
      <c r="M9" s="4"/>
      <c r="N9" s="4"/>
      <c r="O9" s="4"/>
    </row>
    <row r="10" spans="1:15" ht="12.6" customHeight="1" x14ac:dyDescent="0.2">
      <c r="A10" s="12">
        <v>3</v>
      </c>
      <c r="B10" s="18"/>
      <c r="C10" s="21" t="s">
        <v>164</v>
      </c>
      <c r="D10" s="1" t="s">
        <v>60</v>
      </c>
      <c r="E10" s="26">
        <v>9</v>
      </c>
      <c r="F10" s="26"/>
      <c r="G10" s="4"/>
      <c r="H10" s="4"/>
      <c r="L10" s="4"/>
      <c r="M10" s="4"/>
      <c r="N10" s="4"/>
      <c r="O10" s="4"/>
    </row>
    <row r="11" spans="1:15" ht="12.6" customHeight="1" x14ac:dyDescent="0.2">
      <c r="A11" s="12">
        <v>4</v>
      </c>
      <c r="B11" s="18"/>
      <c r="C11" s="21" t="s">
        <v>46</v>
      </c>
      <c r="D11" s="1" t="s">
        <v>60</v>
      </c>
      <c r="E11" s="26">
        <f>0.5+0.1</f>
        <v>0.6</v>
      </c>
      <c r="F11" s="26"/>
      <c r="G11" s="4"/>
      <c r="H11" s="4"/>
      <c r="L11" s="4"/>
      <c r="M11" s="4"/>
      <c r="N11" s="4"/>
      <c r="O11" s="4"/>
    </row>
    <row r="12" spans="1:15" ht="12.6" customHeight="1" x14ac:dyDescent="0.2">
      <c r="A12" s="375">
        <v>5</v>
      </c>
      <c r="B12" s="369"/>
      <c r="C12" s="303" t="s">
        <v>134</v>
      </c>
      <c r="D12" s="307" t="s">
        <v>60</v>
      </c>
      <c r="E12" s="188">
        <v>0.8</v>
      </c>
      <c r="F12" s="26"/>
      <c r="G12" s="4"/>
      <c r="H12" s="4"/>
      <c r="L12" s="4"/>
      <c r="M12" s="4"/>
      <c r="N12" s="4"/>
      <c r="O12" s="4"/>
    </row>
    <row r="13" spans="1:15" ht="12.6" customHeight="1" x14ac:dyDescent="0.2">
      <c r="A13" s="376"/>
      <c r="B13" s="370"/>
      <c r="C13" s="304"/>
      <c r="D13" s="308"/>
      <c r="E13" s="25">
        <f>0.8+0.1</f>
        <v>0.9</v>
      </c>
      <c r="F13" s="26">
        <v>0.3</v>
      </c>
      <c r="G13" s="4">
        <v>0.1</v>
      </c>
      <c r="H13" s="4"/>
      <c r="L13" s="4"/>
      <c r="M13" s="4"/>
      <c r="N13" s="4"/>
      <c r="O13" s="4"/>
    </row>
    <row r="14" spans="1:15" ht="12.6" customHeight="1" x14ac:dyDescent="0.2">
      <c r="A14" s="189">
        <v>6</v>
      </c>
      <c r="B14" s="18"/>
      <c r="C14" s="22" t="s">
        <v>135</v>
      </c>
      <c r="D14" s="1" t="s">
        <v>60</v>
      </c>
      <c r="E14" s="26">
        <f>1.5+0.7</f>
        <v>2.2000000000000002</v>
      </c>
      <c r="F14" s="26"/>
      <c r="G14" s="4"/>
      <c r="H14" s="4"/>
      <c r="L14" s="4"/>
      <c r="M14" s="4"/>
      <c r="N14" s="4"/>
      <c r="O14" s="4"/>
    </row>
    <row r="15" spans="1:15" ht="12.6" customHeight="1" x14ac:dyDescent="0.2">
      <c r="A15" s="189">
        <v>7</v>
      </c>
      <c r="B15" s="18"/>
      <c r="C15" s="22" t="s">
        <v>40</v>
      </c>
      <c r="D15" s="1" t="s">
        <v>60</v>
      </c>
      <c r="E15" s="26">
        <f>2.5+0.6</f>
        <v>3.1</v>
      </c>
      <c r="F15" s="26"/>
      <c r="G15" s="4"/>
      <c r="H15" s="4"/>
      <c r="L15" s="4"/>
      <c r="M15" s="4"/>
      <c r="N15" s="4"/>
      <c r="O15" s="4"/>
    </row>
    <row r="16" spans="1:15" ht="12.6" customHeight="1" x14ac:dyDescent="0.2">
      <c r="A16" s="189">
        <v>8</v>
      </c>
      <c r="B16" s="18"/>
      <c r="C16" s="21" t="s">
        <v>137</v>
      </c>
      <c r="D16" s="1" t="s">
        <v>60</v>
      </c>
      <c r="E16" s="26">
        <f>2+0.1</f>
        <v>2.1</v>
      </c>
      <c r="F16" s="26"/>
      <c r="G16" s="4"/>
      <c r="H16" s="4"/>
      <c r="L16" s="4"/>
      <c r="M16" s="4"/>
      <c r="N16" s="4"/>
      <c r="O16" s="4"/>
    </row>
    <row r="17" spans="1:15" ht="12.6" customHeight="1" x14ac:dyDescent="0.2">
      <c r="A17" s="189">
        <v>9</v>
      </c>
      <c r="B17" s="18"/>
      <c r="C17" s="22" t="s">
        <v>162</v>
      </c>
      <c r="D17" s="14" t="s">
        <v>217</v>
      </c>
      <c r="E17" s="26">
        <f>25+9.8</f>
        <v>34.799999999999997</v>
      </c>
      <c r="F17" s="26"/>
      <c r="G17" s="4"/>
      <c r="H17" s="4"/>
      <c r="L17" s="4"/>
      <c r="M17" s="4"/>
      <c r="N17" s="4"/>
      <c r="O17" s="4"/>
    </row>
    <row r="18" spans="1:15" ht="12.6" customHeight="1" x14ac:dyDescent="0.2">
      <c r="A18" s="189">
        <v>10</v>
      </c>
      <c r="B18" s="18"/>
      <c r="C18" s="21" t="s">
        <v>163</v>
      </c>
      <c r="D18" s="14" t="s">
        <v>217</v>
      </c>
      <c r="E18" s="26">
        <f>2+0.5</f>
        <v>2.5</v>
      </c>
      <c r="F18" s="26"/>
      <c r="G18" s="4"/>
      <c r="H18" s="4"/>
      <c r="L18" s="4"/>
      <c r="M18" s="4"/>
      <c r="N18" s="4"/>
      <c r="O18" s="4"/>
    </row>
    <row r="19" spans="1:15" ht="12.6" customHeight="1" x14ac:dyDescent="0.2">
      <c r="A19" s="189">
        <v>11</v>
      </c>
      <c r="B19" s="18"/>
      <c r="C19" s="22" t="s">
        <v>41</v>
      </c>
      <c r="D19" s="1" t="s">
        <v>61</v>
      </c>
      <c r="E19" s="26">
        <v>0.4</v>
      </c>
      <c r="F19" s="26"/>
      <c r="G19" s="4"/>
      <c r="H19" s="4"/>
      <c r="L19" s="4"/>
      <c r="M19" s="4"/>
      <c r="N19" s="4"/>
      <c r="O19" s="4"/>
    </row>
    <row r="20" spans="1:15" ht="12.6" customHeight="1" x14ac:dyDescent="0.2">
      <c r="A20" s="375">
        <v>12</v>
      </c>
      <c r="B20" s="369"/>
      <c r="C20" s="303" t="s">
        <v>210</v>
      </c>
      <c r="D20" s="307" t="s">
        <v>61</v>
      </c>
      <c r="E20" s="188">
        <v>0.2</v>
      </c>
      <c r="F20" s="26"/>
      <c r="G20" s="4"/>
      <c r="H20" s="4"/>
      <c r="L20" s="4"/>
      <c r="M20" s="4"/>
      <c r="N20" s="4"/>
      <c r="O20" s="4"/>
    </row>
    <row r="21" spans="1:15" ht="12.6" customHeight="1" x14ac:dyDescent="0.2">
      <c r="A21" s="376"/>
      <c r="B21" s="370"/>
      <c r="C21" s="304"/>
      <c r="D21" s="308"/>
      <c r="E21" s="25">
        <f>0.2-0.1</f>
        <v>0.1</v>
      </c>
      <c r="F21" s="26"/>
      <c r="G21" s="4">
        <v>-0.1</v>
      </c>
      <c r="H21" s="4"/>
      <c r="L21" s="4"/>
      <c r="M21" s="4"/>
      <c r="N21" s="4"/>
      <c r="O21" s="4"/>
    </row>
    <row r="22" spans="1:15" ht="12.6" customHeight="1" x14ac:dyDescent="0.2">
      <c r="A22" s="189">
        <v>13</v>
      </c>
      <c r="B22" s="18"/>
      <c r="C22" s="15" t="s">
        <v>42</v>
      </c>
      <c r="D22" s="1" t="s">
        <v>61</v>
      </c>
      <c r="E22" s="26">
        <v>0.3</v>
      </c>
      <c r="F22" s="26"/>
      <c r="G22" s="4"/>
      <c r="H22" s="4"/>
      <c r="L22" s="4"/>
      <c r="M22" s="4"/>
      <c r="N22" s="4"/>
      <c r="O22" s="4"/>
    </row>
    <row r="23" spans="1:15" ht="12.6" customHeight="1" x14ac:dyDescent="0.2">
      <c r="A23" s="12">
        <v>14</v>
      </c>
      <c r="B23" s="18"/>
      <c r="C23" s="22" t="s">
        <v>111</v>
      </c>
      <c r="D23" s="1" t="s">
        <v>60</v>
      </c>
      <c r="E23" s="26">
        <f>33+22.8</f>
        <v>55.8</v>
      </c>
      <c r="F23" s="26">
        <v>22.2</v>
      </c>
      <c r="G23" s="4"/>
      <c r="H23" s="4"/>
      <c r="L23" s="4"/>
      <c r="M23" s="4"/>
      <c r="N23" s="4"/>
      <c r="O23" s="4"/>
    </row>
    <row r="24" spans="1:15" ht="12.6" customHeight="1" x14ac:dyDescent="0.2">
      <c r="A24" s="12">
        <v>15</v>
      </c>
      <c r="B24" s="18"/>
      <c r="C24" s="21" t="s">
        <v>355</v>
      </c>
      <c r="D24" s="1" t="s">
        <v>61</v>
      </c>
      <c r="E24" s="26">
        <f>2+0.3</f>
        <v>2.2999999999999998</v>
      </c>
      <c r="F24" s="26"/>
      <c r="G24" s="4"/>
      <c r="H24" s="4"/>
      <c r="L24" s="4"/>
      <c r="M24" s="4"/>
      <c r="N24" s="4"/>
      <c r="O24" s="4"/>
    </row>
    <row r="25" spans="1:15" ht="12.6" customHeight="1" x14ac:dyDescent="0.2">
      <c r="A25" s="12">
        <v>16</v>
      </c>
      <c r="B25" s="18"/>
      <c r="C25" s="21" t="s">
        <v>47</v>
      </c>
      <c r="D25" s="14" t="s">
        <v>62</v>
      </c>
      <c r="E25" s="26">
        <f>0.4+0.4</f>
        <v>0.8</v>
      </c>
      <c r="F25" s="26"/>
      <c r="G25" s="4"/>
      <c r="H25" s="4"/>
      <c r="L25" s="4"/>
      <c r="M25" s="4"/>
      <c r="N25" s="4"/>
      <c r="O25" s="4"/>
    </row>
    <row r="26" spans="1:15" ht="12.6" customHeight="1" x14ac:dyDescent="0.2">
      <c r="A26" s="12">
        <v>17</v>
      </c>
      <c r="B26" s="18"/>
      <c r="C26" s="24" t="s">
        <v>48</v>
      </c>
      <c r="D26" s="14" t="s">
        <v>62</v>
      </c>
      <c r="E26" s="26">
        <v>0.2</v>
      </c>
      <c r="F26" s="26"/>
      <c r="G26" s="4"/>
      <c r="H26" s="4"/>
      <c r="L26" s="4"/>
      <c r="M26" s="4"/>
      <c r="N26" s="4"/>
      <c r="O26" s="4"/>
    </row>
    <row r="27" spans="1:15" ht="12.6" customHeight="1" x14ac:dyDescent="0.2">
      <c r="A27" s="12">
        <v>18</v>
      </c>
      <c r="B27" s="18"/>
      <c r="C27" s="24" t="s">
        <v>211</v>
      </c>
      <c r="D27" s="1" t="s">
        <v>218</v>
      </c>
      <c r="E27" s="26">
        <f>14.9+3.7</f>
        <v>18.600000000000001</v>
      </c>
      <c r="F27" s="26"/>
      <c r="G27" s="4"/>
      <c r="H27" s="4"/>
      <c r="L27" s="4"/>
      <c r="M27" s="4"/>
      <c r="N27" s="4"/>
      <c r="O27" s="4"/>
    </row>
    <row r="28" spans="1:15" x14ac:dyDescent="0.2">
      <c r="A28" s="12">
        <v>19</v>
      </c>
      <c r="B28" s="11" t="s">
        <v>65</v>
      </c>
      <c r="C28" s="17" t="s">
        <v>66</v>
      </c>
      <c r="D28" s="1"/>
      <c r="E28" s="27">
        <f>SUM(E29:E29)</f>
        <v>23</v>
      </c>
      <c r="F28" s="27">
        <f>SUM(F29:F29)</f>
        <v>4.4000000000000004</v>
      </c>
      <c r="G28" s="4"/>
      <c r="H28" s="4"/>
      <c r="L28" s="4"/>
      <c r="M28" s="4"/>
      <c r="N28" s="4"/>
      <c r="O28" s="4"/>
    </row>
    <row r="29" spans="1:15" ht="12.6" customHeight="1" x14ac:dyDescent="0.2">
      <c r="A29" s="12">
        <v>20</v>
      </c>
      <c r="B29" s="18"/>
      <c r="C29" s="140" t="s">
        <v>213</v>
      </c>
      <c r="D29" s="18" t="s">
        <v>219</v>
      </c>
      <c r="E29" s="26">
        <f>13.2+9.8</f>
        <v>23</v>
      </c>
      <c r="F29" s="26">
        <v>4.4000000000000004</v>
      </c>
      <c r="G29" s="4"/>
      <c r="H29" s="4"/>
      <c r="L29" s="4"/>
      <c r="M29" s="4"/>
      <c r="N29" s="4"/>
      <c r="O29" s="4"/>
    </row>
    <row r="30" spans="1:15" x14ac:dyDescent="0.2">
      <c r="A30" s="12">
        <v>21</v>
      </c>
      <c r="B30" s="11" t="s">
        <v>21</v>
      </c>
      <c r="C30" s="17" t="s">
        <v>22</v>
      </c>
      <c r="D30" s="18"/>
      <c r="E30" s="27">
        <f>SUM(E31:E31)</f>
        <v>87.7</v>
      </c>
      <c r="F30" s="27">
        <f>SUM(F31:F31)</f>
        <v>0</v>
      </c>
      <c r="G30" s="4"/>
      <c r="H30" s="4"/>
      <c r="L30" s="4"/>
      <c r="M30" s="4"/>
      <c r="N30" s="4"/>
      <c r="O30" s="4"/>
    </row>
    <row r="31" spans="1:15" ht="25.5" x14ac:dyDescent="0.2">
      <c r="A31" s="12">
        <v>22</v>
      </c>
      <c r="B31" s="18"/>
      <c r="C31" s="143" t="s">
        <v>1</v>
      </c>
      <c r="D31" s="23" t="s">
        <v>220</v>
      </c>
      <c r="E31" s="26">
        <f>79.8+7.9</f>
        <v>87.7</v>
      </c>
      <c r="F31" s="26"/>
      <c r="G31" s="4"/>
      <c r="H31" s="4"/>
      <c r="I31" s="4"/>
      <c r="L31" s="4"/>
      <c r="M31" s="4"/>
      <c r="N31" s="4"/>
      <c r="O31" s="4"/>
    </row>
    <row r="32" spans="1:15" ht="12.75" customHeight="1" x14ac:dyDescent="0.2">
      <c r="A32" s="12">
        <v>23</v>
      </c>
      <c r="B32" s="11" t="s">
        <v>76</v>
      </c>
      <c r="C32" s="17" t="s">
        <v>193</v>
      </c>
      <c r="D32" s="23"/>
      <c r="E32" s="27">
        <f>+E33</f>
        <v>36.799999999999997</v>
      </c>
      <c r="F32" s="27">
        <f>+F33</f>
        <v>0</v>
      </c>
      <c r="G32" s="4"/>
      <c r="H32" s="4"/>
      <c r="L32" s="4"/>
      <c r="M32" s="4"/>
      <c r="N32" s="4"/>
      <c r="O32" s="4"/>
    </row>
    <row r="33" spans="1:15" ht="12.6" customHeight="1" x14ac:dyDescent="0.2">
      <c r="A33" s="12">
        <v>24</v>
      </c>
      <c r="B33" s="18"/>
      <c r="C33" s="21" t="s">
        <v>112</v>
      </c>
      <c r="D33" s="14" t="s">
        <v>77</v>
      </c>
      <c r="E33" s="26">
        <f>23+13.8</f>
        <v>36.799999999999997</v>
      </c>
      <c r="F33" s="26"/>
      <c r="G33" s="4"/>
      <c r="H33" s="4"/>
      <c r="L33" s="4"/>
      <c r="M33" s="4"/>
      <c r="N33" s="4"/>
      <c r="O33" s="4"/>
    </row>
    <row r="34" spans="1:15" x14ac:dyDescent="0.2">
      <c r="A34" s="12">
        <v>25</v>
      </c>
      <c r="B34" s="11" t="s">
        <v>78</v>
      </c>
      <c r="C34" s="17" t="s">
        <v>79</v>
      </c>
      <c r="D34" s="1"/>
      <c r="E34" s="27">
        <f>SUM(E35:E42)</f>
        <v>71.699999999999989</v>
      </c>
      <c r="F34" s="27">
        <f>SUM(F35:F42)</f>
        <v>0</v>
      </c>
      <c r="G34" s="4"/>
      <c r="H34" s="4"/>
      <c r="L34" s="4"/>
      <c r="M34" s="4"/>
      <c r="N34" s="4"/>
      <c r="O34" s="4"/>
    </row>
    <row r="35" spans="1:15" ht="12.6" customHeight="1" x14ac:dyDescent="0.2">
      <c r="A35" s="12">
        <v>26</v>
      </c>
      <c r="B35" s="18"/>
      <c r="C35" s="24" t="s">
        <v>44</v>
      </c>
      <c r="D35" s="1" t="s">
        <v>80</v>
      </c>
      <c r="E35" s="26">
        <f>8+0.5</f>
        <v>8.5</v>
      </c>
      <c r="F35" s="26"/>
      <c r="G35" s="4"/>
      <c r="H35" s="4"/>
      <c r="L35" s="4"/>
      <c r="M35" s="4"/>
      <c r="N35" s="4"/>
      <c r="O35" s="4"/>
    </row>
    <row r="36" spans="1:15" ht="12.6" customHeight="1" x14ac:dyDescent="0.2">
      <c r="A36" s="12">
        <v>27</v>
      </c>
      <c r="B36" s="18"/>
      <c r="C36" s="24" t="s">
        <v>49</v>
      </c>
      <c r="D36" s="1" t="s">
        <v>80</v>
      </c>
      <c r="E36" s="26">
        <f>0.8+0.4</f>
        <v>1.2000000000000002</v>
      </c>
      <c r="F36" s="26"/>
      <c r="G36" s="4"/>
      <c r="H36" s="4"/>
      <c r="L36" s="4"/>
      <c r="M36" s="4"/>
      <c r="N36" s="4"/>
      <c r="O36" s="4"/>
    </row>
    <row r="37" spans="1:15" ht="12.6" customHeight="1" x14ac:dyDescent="0.2">
      <c r="A37" s="12">
        <v>28</v>
      </c>
      <c r="B37" s="18"/>
      <c r="C37" s="24" t="s">
        <v>50</v>
      </c>
      <c r="D37" s="1" t="s">
        <v>80</v>
      </c>
      <c r="E37" s="26">
        <f>0.5+0.2</f>
        <v>0.7</v>
      </c>
      <c r="F37" s="26"/>
      <c r="G37" s="4"/>
      <c r="H37" s="4"/>
      <c r="L37" s="4"/>
      <c r="M37" s="4"/>
      <c r="N37" s="4"/>
      <c r="O37" s="4"/>
    </row>
    <row r="38" spans="1:15" ht="12.6" customHeight="1" x14ac:dyDescent="0.2">
      <c r="A38" s="12">
        <v>29</v>
      </c>
      <c r="B38" s="18"/>
      <c r="C38" s="24" t="s">
        <v>45</v>
      </c>
      <c r="D38" s="1" t="s">
        <v>80</v>
      </c>
      <c r="E38" s="26">
        <v>1.2</v>
      </c>
      <c r="F38" s="26"/>
      <c r="G38" s="4"/>
      <c r="H38" s="4"/>
      <c r="L38" s="4"/>
      <c r="M38" s="4"/>
      <c r="N38" s="4"/>
      <c r="O38" s="4"/>
    </row>
    <row r="39" spans="1:15" ht="12.6" customHeight="1" x14ac:dyDescent="0.2">
      <c r="A39" s="12">
        <v>30</v>
      </c>
      <c r="B39" s="18"/>
      <c r="C39" s="24" t="s">
        <v>51</v>
      </c>
      <c r="D39" s="1" t="s">
        <v>80</v>
      </c>
      <c r="E39" s="26">
        <f>0.3+0.1</f>
        <v>0.4</v>
      </c>
      <c r="F39" s="26"/>
      <c r="G39" s="4"/>
      <c r="H39" s="4"/>
      <c r="L39" s="4"/>
      <c r="M39" s="4"/>
      <c r="N39" s="4"/>
      <c r="O39" s="4"/>
    </row>
    <row r="40" spans="1:15" ht="12.6" customHeight="1" x14ac:dyDescent="0.2">
      <c r="A40" s="12">
        <v>31</v>
      </c>
      <c r="B40" s="18"/>
      <c r="C40" s="24" t="s">
        <v>52</v>
      </c>
      <c r="D40" s="1" t="s">
        <v>80</v>
      </c>
      <c r="E40" s="26">
        <f>0.3+0.4</f>
        <v>0.7</v>
      </c>
      <c r="F40" s="26"/>
      <c r="G40" s="4"/>
      <c r="H40" s="4"/>
      <c r="L40" s="4"/>
      <c r="M40" s="4"/>
      <c r="N40" s="4"/>
      <c r="O40" s="4"/>
    </row>
    <row r="41" spans="1:15" ht="12.6" customHeight="1" x14ac:dyDescent="0.2">
      <c r="A41" s="12">
        <v>32</v>
      </c>
      <c r="B41" s="18"/>
      <c r="C41" s="140" t="s">
        <v>53</v>
      </c>
      <c r="D41" s="18" t="s">
        <v>81</v>
      </c>
      <c r="E41" s="26">
        <f>1+0.7</f>
        <v>1.7</v>
      </c>
      <c r="F41" s="26"/>
      <c r="G41" s="4"/>
      <c r="H41" s="4"/>
      <c r="L41" s="4"/>
      <c r="M41" s="4"/>
      <c r="N41" s="4"/>
      <c r="O41" s="4"/>
    </row>
    <row r="42" spans="1:15" ht="12.6" customHeight="1" x14ac:dyDescent="0.2">
      <c r="A42" s="12">
        <v>33</v>
      </c>
      <c r="B42" s="18"/>
      <c r="C42" s="24" t="s">
        <v>43</v>
      </c>
      <c r="D42" s="14" t="s">
        <v>82</v>
      </c>
      <c r="E42" s="26">
        <f>25+32.3</f>
        <v>57.3</v>
      </c>
      <c r="F42" s="26"/>
      <c r="G42" s="4"/>
      <c r="H42" s="4"/>
      <c r="L42" s="4"/>
      <c r="M42" s="4"/>
      <c r="N42" s="4"/>
      <c r="O42" s="4"/>
    </row>
    <row r="43" spans="1:15" ht="20.100000000000001" customHeight="1" x14ac:dyDescent="0.2">
      <c r="A43" s="12">
        <v>34</v>
      </c>
      <c r="B43" s="11" t="s">
        <v>89</v>
      </c>
      <c r="C43" s="17" t="s">
        <v>90</v>
      </c>
      <c r="D43" s="18"/>
      <c r="E43" s="27">
        <f>SUM(E44:E48)</f>
        <v>10.199999999999999</v>
      </c>
      <c r="F43" s="27">
        <f>SUM(F44:F48)</f>
        <v>0</v>
      </c>
      <c r="G43" s="4"/>
      <c r="H43" s="4"/>
      <c r="L43" s="4"/>
      <c r="M43" s="4"/>
      <c r="N43" s="4"/>
      <c r="O43" s="4"/>
    </row>
    <row r="44" spans="1:15" ht="12.6" customHeight="1" x14ac:dyDescent="0.2">
      <c r="A44" s="12">
        <v>35</v>
      </c>
      <c r="B44" s="18"/>
      <c r="C44" s="143" t="s">
        <v>5</v>
      </c>
      <c r="D44" s="23" t="s">
        <v>221</v>
      </c>
      <c r="E44" s="26">
        <v>2.7</v>
      </c>
      <c r="F44" s="26"/>
      <c r="G44" s="4"/>
      <c r="H44" s="4"/>
      <c r="L44" s="4"/>
      <c r="M44" s="4"/>
      <c r="N44" s="4"/>
      <c r="O44" s="4"/>
    </row>
    <row r="45" spans="1:15" x14ac:dyDescent="0.2">
      <c r="A45" s="12">
        <v>36</v>
      </c>
      <c r="B45" s="11"/>
      <c r="C45" s="143" t="s">
        <v>7</v>
      </c>
      <c r="D45" s="175" t="s">
        <v>278</v>
      </c>
      <c r="E45" s="26">
        <f>3+2.2</f>
        <v>5.2</v>
      </c>
      <c r="F45" s="26"/>
      <c r="G45" s="4"/>
      <c r="H45" s="4"/>
      <c r="L45" s="4"/>
      <c r="M45" s="4"/>
      <c r="N45" s="4"/>
      <c r="O45" s="4"/>
    </row>
    <row r="46" spans="1:15" ht="12.6" customHeight="1" x14ac:dyDescent="0.2">
      <c r="A46" s="12">
        <v>37</v>
      </c>
      <c r="B46" s="18"/>
      <c r="C46" s="140" t="s">
        <v>6</v>
      </c>
      <c r="D46" s="23" t="s">
        <v>92</v>
      </c>
      <c r="E46" s="26">
        <v>0.6</v>
      </c>
      <c r="F46" s="26"/>
      <c r="G46" s="4"/>
      <c r="H46" s="4"/>
      <c r="L46" s="4"/>
      <c r="M46" s="4"/>
      <c r="N46" s="4"/>
      <c r="O46" s="4"/>
    </row>
    <row r="47" spans="1:15" ht="12.6" customHeight="1" x14ac:dyDescent="0.2">
      <c r="A47" s="12">
        <v>38</v>
      </c>
      <c r="B47" s="18"/>
      <c r="C47" s="143" t="s">
        <v>12</v>
      </c>
      <c r="D47" s="23" t="s">
        <v>92</v>
      </c>
      <c r="E47" s="26">
        <v>0.1</v>
      </c>
      <c r="F47" s="26"/>
      <c r="G47" s="4"/>
      <c r="H47" s="4"/>
      <c r="L47" s="4"/>
      <c r="M47" s="4"/>
      <c r="N47" s="4"/>
      <c r="O47" s="4"/>
    </row>
    <row r="48" spans="1:15" ht="12.6" customHeight="1" x14ac:dyDescent="0.2">
      <c r="A48" s="12">
        <v>39</v>
      </c>
      <c r="B48" s="11"/>
      <c r="C48" s="143" t="s">
        <v>11</v>
      </c>
      <c r="D48" s="18" t="s">
        <v>222</v>
      </c>
      <c r="E48" s="26">
        <f>0.6+1</f>
        <v>1.6</v>
      </c>
      <c r="F48" s="26"/>
      <c r="G48" s="4"/>
      <c r="H48" s="4"/>
      <c r="L48" s="4"/>
      <c r="M48" s="4"/>
      <c r="N48" s="4"/>
      <c r="O48" s="4"/>
    </row>
    <row r="49" spans="1:15" x14ac:dyDescent="0.2">
      <c r="A49" s="12">
        <v>40</v>
      </c>
      <c r="B49" s="11" t="s">
        <v>25</v>
      </c>
      <c r="C49" s="17" t="s">
        <v>26</v>
      </c>
      <c r="D49" s="23"/>
      <c r="E49" s="27">
        <f>SUM(E50:E52)</f>
        <v>4.5</v>
      </c>
      <c r="F49" s="27">
        <f>SUM(F50:F52)</f>
        <v>0</v>
      </c>
      <c r="G49" s="4"/>
      <c r="H49" s="4"/>
      <c r="L49" s="4"/>
      <c r="M49" s="4"/>
      <c r="N49" s="4"/>
      <c r="O49" s="4"/>
    </row>
    <row r="50" spans="1:15" ht="12.6" customHeight="1" x14ac:dyDescent="0.2">
      <c r="A50" s="12">
        <v>41</v>
      </c>
      <c r="B50" s="11"/>
      <c r="C50" s="22" t="s">
        <v>27</v>
      </c>
      <c r="D50" s="14" t="s">
        <v>28</v>
      </c>
      <c r="E50" s="26">
        <f>1+0.1</f>
        <v>1.1000000000000001</v>
      </c>
      <c r="F50" s="25"/>
      <c r="G50" s="4"/>
      <c r="H50" s="4"/>
      <c r="L50" s="4"/>
      <c r="M50" s="4"/>
      <c r="N50" s="4"/>
      <c r="O50" s="4"/>
    </row>
    <row r="51" spans="1:15" ht="12.6" customHeight="1" x14ac:dyDescent="0.2">
      <c r="A51" s="12">
        <v>42</v>
      </c>
      <c r="B51" s="18"/>
      <c r="C51" s="143" t="s">
        <v>8</v>
      </c>
      <c r="D51" s="23" t="s">
        <v>224</v>
      </c>
      <c r="E51" s="26">
        <v>0.3</v>
      </c>
      <c r="F51" s="26"/>
      <c r="G51" s="4"/>
      <c r="H51" s="4"/>
      <c r="L51" s="4"/>
      <c r="M51" s="4"/>
      <c r="N51" s="4"/>
      <c r="O51" s="4"/>
    </row>
    <row r="52" spans="1:15" ht="12.6" customHeight="1" x14ac:dyDescent="0.2">
      <c r="A52" s="12">
        <v>43</v>
      </c>
      <c r="B52" s="18"/>
      <c r="C52" s="16" t="s">
        <v>13</v>
      </c>
      <c r="D52" s="23" t="s">
        <v>223</v>
      </c>
      <c r="E52" s="26">
        <f>2+1.1</f>
        <v>3.1</v>
      </c>
      <c r="F52" s="26"/>
      <c r="G52" s="4"/>
      <c r="H52" s="4"/>
      <c r="L52" s="4"/>
      <c r="M52" s="4"/>
      <c r="N52" s="4"/>
      <c r="O52" s="4"/>
    </row>
    <row r="53" spans="1:15" ht="12.6" customHeight="1" x14ac:dyDescent="0.2">
      <c r="A53" s="12">
        <v>44</v>
      </c>
      <c r="B53" s="18"/>
      <c r="C53" s="28" t="s">
        <v>20</v>
      </c>
      <c r="D53" s="18"/>
      <c r="E53" s="27">
        <f>+E8+E28+E30+E34+E43+E49+E32</f>
        <v>368.59999999999997</v>
      </c>
      <c r="F53" s="27">
        <f>+F8+F28+F30+F34+F43+F49+F32</f>
        <v>26.9</v>
      </c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C54" s="3" t="s">
        <v>225</v>
      </c>
      <c r="E54" s="20"/>
      <c r="F54" s="20"/>
    </row>
    <row r="55" spans="1:15" x14ac:dyDescent="0.2">
      <c r="C55" s="3" t="s">
        <v>426</v>
      </c>
      <c r="E55" s="20"/>
      <c r="F55" s="20"/>
      <c r="H55" s="4"/>
    </row>
    <row r="56" spans="1:15" x14ac:dyDescent="0.2">
      <c r="E56" s="20"/>
      <c r="F56" s="20"/>
    </row>
    <row r="57" spans="1:15" x14ac:dyDescent="0.2">
      <c r="E57" s="20"/>
      <c r="F57" s="20"/>
      <c r="G57" s="20"/>
    </row>
    <row r="59" spans="1:15" x14ac:dyDescent="0.2">
      <c r="E59" s="30"/>
      <c r="F59" s="30"/>
    </row>
  </sheetData>
  <mergeCells count="11">
    <mergeCell ref="A20:A21"/>
    <mergeCell ref="B20:B21"/>
    <mergeCell ref="C20:C21"/>
    <mergeCell ref="D20:D21"/>
    <mergeCell ref="C1:F1"/>
    <mergeCell ref="A4:F4"/>
    <mergeCell ref="E2:F2"/>
    <mergeCell ref="A12:A13"/>
    <mergeCell ref="B12:B13"/>
    <mergeCell ref="C12:C13"/>
    <mergeCell ref="D12:D13"/>
  </mergeCells>
  <pageMargins left="0.39370078740157483" right="0" top="0.39370078740157483" bottom="0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3"/>
  <sheetViews>
    <sheetView zoomScaleNormal="100" workbookViewId="0">
      <selection activeCell="E61" sqref="E61:F62"/>
    </sheetView>
  </sheetViews>
  <sheetFormatPr defaultColWidth="9.140625" defaultRowHeight="12.75" x14ac:dyDescent="0.2"/>
  <cols>
    <col min="1" max="1" width="3.7109375" style="3" customWidth="1"/>
    <col min="2" max="2" width="6.7109375" style="6" customWidth="1"/>
    <col min="3" max="3" width="55.140625" style="3" customWidth="1"/>
    <col min="4" max="4" width="10.28515625" style="6" customWidth="1"/>
    <col min="5" max="5" width="6.7109375" style="3" customWidth="1"/>
    <col min="6" max="6" width="11.140625" style="3" customWidth="1"/>
    <col min="7" max="16384" width="9.140625" style="2"/>
  </cols>
  <sheetData>
    <row r="1" spans="1:9" ht="15.75" x14ac:dyDescent="0.25">
      <c r="C1" s="290" t="s">
        <v>994</v>
      </c>
      <c r="D1" s="290"/>
      <c r="E1" s="290"/>
      <c r="F1" s="290"/>
    </row>
    <row r="2" spans="1:9" ht="15.75" x14ac:dyDescent="0.2">
      <c r="C2" s="38"/>
      <c r="D2" s="39"/>
      <c r="E2" s="373" t="s">
        <v>271</v>
      </c>
      <c r="F2" s="373"/>
    </row>
    <row r="3" spans="1:9" x14ac:dyDescent="0.2">
      <c r="F3" s="5"/>
    </row>
    <row r="4" spans="1:9" ht="28.5" customHeight="1" x14ac:dyDescent="0.2">
      <c r="A4" s="298" t="s">
        <v>573</v>
      </c>
      <c r="B4" s="298"/>
      <c r="C4" s="298"/>
      <c r="D4" s="298"/>
      <c r="E4" s="298"/>
      <c r="F4" s="298"/>
    </row>
    <row r="5" spans="1:9" x14ac:dyDescent="0.2">
      <c r="F5" s="42" t="s">
        <v>129</v>
      </c>
    </row>
    <row r="6" spans="1:9" ht="51" customHeight="1" x14ac:dyDescent="0.2">
      <c r="A6" s="8" t="s">
        <v>118</v>
      </c>
      <c r="B6" s="9" t="s">
        <v>356</v>
      </c>
      <c r="C6" s="8" t="s">
        <v>16</v>
      </c>
      <c r="D6" s="9" t="s">
        <v>55</v>
      </c>
      <c r="E6" s="8" t="s">
        <v>17</v>
      </c>
      <c r="F6" s="8" t="s">
        <v>29</v>
      </c>
    </row>
    <row r="7" spans="1:9" s="36" customFormat="1" ht="12" customHeight="1" x14ac:dyDescent="0.2">
      <c r="A7" s="10">
        <v>1</v>
      </c>
      <c r="B7" s="11" t="s">
        <v>18</v>
      </c>
      <c r="C7" s="8">
        <v>3</v>
      </c>
      <c r="D7" s="9">
        <v>4</v>
      </c>
      <c r="E7" s="8">
        <v>5</v>
      </c>
      <c r="F7" s="8">
        <v>6</v>
      </c>
    </row>
    <row r="8" spans="1:9" ht="20.100000000000001" customHeight="1" x14ac:dyDescent="0.2">
      <c r="A8" s="12">
        <v>1</v>
      </c>
      <c r="B8" s="11" t="s">
        <v>56</v>
      </c>
      <c r="C8" s="13" t="s">
        <v>57</v>
      </c>
      <c r="D8" s="10"/>
      <c r="E8" s="27">
        <v>51.8</v>
      </c>
      <c r="F8" s="27">
        <f>SUM(F9:F33)</f>
        <v>0</v>
      </c>
      <c r="G8" s="4"/>
      <c r="H8" s="4"/>
      <c r="I8" s="4"/>
    </row>
    <row r="9" spans="1:9" ht="12.6" customHeight="1" x14ac:dyDescent="0.2">
      <c r="A9" s="12">
        <v>2</v>
      </c>
      <c r="B9" s="11"/>
      <c r="C9" s="21" t="s">
        <v>165</v>
      </c>
      <c r="D9" s="1" t="s">
        <v>58</v>
      </c>
      <c r="E9" s="26">
        <f>1.1+0.1</f>
        <v>1.2000000000000002</v>
      </c>
      <c r="F9" s="25"/>
      <c r="G9" s="4"/>
      <c r="H9" s="4"/>
      <c r="I9" s="4"/>
    </row>
    <row r="10" spans="1:9" ht="12.6" customHeight="1" x14ac:dyDescent="0.2">
      <c r="A10" s="12">
        <v>3</v>
      </c>
      <c r="B10" s="11"/>
      <c r="C10" s="21" t="s">
        <v>156</v>
      </c>
      <c r="D10" s="1" t="s">
        <v>58</v>
      </c>
      <c r="E10" s="26">
        <v>1.2</v>
      </c>
      <c r="F10" s="25"/>
      <c r="G10" s="4"/>
      <c r="H10" s="4"/>
      <c r="I10" s="4"/>
    </row>
    <row r="11" spans="1:9" ht="12.6" customHeight="1" x14ac:dyDescent="0.2">
      <c r="A11" s="12">
        <v>4</v>
      </c>
      <c r="B11" s="10"/>
      <c r="C11" s="21" t="s">
        <v>157</v>
      </c>
      <c r="D11" s="1" t="s">
        <v>58</v>
      </c>
      <c r="E11" s="26">
        <v>3</v>
      </c>
      <c r="F11" s="26"/>
      <c r="G11" s="4"/>
      <c r="H11" s="4"/>
      <c r="I11" s="4"/>
    </row>
    <row r="12" spans="1:9" ht="12.6" customHeight="1" x14ac:dyDescent="0.2">
      <c r="A12" s="12">
        <v>5</v>
      </c>
      <c r="B12" s="10"/>
      <c r="C12" s="21" t="s">
        <v>161</v>
      </c>
      <c r="D12" s="1" t="s">
        <v>58</v>
      </c>
      <c r="E12" s="26">
        <f>3+0.3</f>
        <v>3.3</v>
      </c>
      <c r="F12" s="26"/>
      <c r="G12" s="4"/>
      <c r="H12" s="4"/>
      <c r="I12" s="4"/>
    </row>
    <row r="13" spans="1:9" ht="12.6" customHeight="1" x14ac:dyDescent="0.2">
      <c r="A13" s="12">
        <v>6</v>
      </c>
      <c r="B13" s="10"/>
      <c r="C13" s="21" t="s">
        <v>158</v>
      </c>
      <c r="D13" s="1" t="s">
        <v>58</v>
      </c>
      <c r="E13" s="26">
        <f>2.5+0.5</f>
        <v>3</v>
      </c>
      <c r="F13" s="25"/>
      <c r="G13" s="4"/>
      <c r="H13" s="4"/>
      <c r="I13" s="4"/>
    </row>
    <row r="14" spans="1:9" ht="12.6" customHeight="1" x14ac:dyDescent="0.2">
      <c r="A14" s="12">
        <v>7</v>
      </c>
      <c r="B14" s="18"/>
      <c r="C14" s="21" t="s">
        <v>159</v>
      </c>
      <c r="D14" s="1" t="s">
        <v>58</v>
      </c>
      <c r="E14" s="26">
        <f>2+0.2</f>
        <v>2.2000000000000002</v>
      </c>
      <c r="F14" s="26"/>
      <c r="G14" s="4"/>
      <c r="H14" s="4"/>
      <c r="I14" s="4"/>
    </row>
    <row r="15" spans="1:9" ht="12.6" customHeight="1" x14ac:dyDescent="0.2">
      <c r="A15" s="12">
        <v>8</v>
      </c>
      <c r="B15" s="18"/>
      <c r="C15" s="21" t="s">
        <v>160</v>
      </c>
      <c r="D15" s="1" t="s">
        <v>58</v>
      </c>
      <c r="E15" s="26">
        <f>1.5+0.2</f>
        <v>1.7</v>
      </c>
      <c r="F15" s="26"/>
      <c r="G15" s="4"/>
      <c r="H15" s="4"/>
      <c r="I15" s="4"/>
    </row>
    <row r="16" spans="1:9" ht="12.6" customHeight="1" x14ac:dyDescent="0.2">
      <c r="A16" s="12">
        <v>9</v>
      </c>
      <c r="B16" s="18"/>
      <c r="C16" s="21" t="s">
        <v>164</v>
      </c>
      <c r="D16" s="1" t="s">
        <v>60</v>
      </c>
      <c r="E16" s="26">
        <f>10+1.5</f>
        <v>11.5</v>
      </c>
      <c r="F16" s="26"/>
      <c r="G16" s="4"/>
      <c r="H16" s="4"/>
      <c r="I16" s="4"/>
    </row>
    <row r="17" spans="1:9" ht="12.6" customHeight="1" x14ac:dyDescent="0.2">
      <c r="A17" s="12">
        <v>10</v>
      </c>
      <c r="B17" s="18"/>
      <c r="C17" s="21" t="s">
        <v>46</v>
      </c>
      <c r="D17" s="1" t="s">
        <v>60</v>
      </c>
      <c r="E17" s="26">
        <v>0.1</v>
      </c>
      <c r="F17" s="26"/>
      <c r="G17" s="4"/>
      <c r="H17" s="4"/>
      <c r="I17" s="4"/>
    </row>
    <row r="18" spans="1:9" ht="12.6" customHeight="1" x14ac:dyDescent="0.2">
      <c r="A18" s="305">
        <v>11</v>
      </c>
      <c r="B18" s="369"/>
      <c r="C18" s="303" t="s">
        <v>134</v>
      </c>
      <c r="D18" s="307" t="s">
        <v>60</v>
      </c>
      <c r="E18" s="188">
        <v>1.2</v>
      </c>
      <c r="F18" s="26"/>
      <c r="G18" s="4"/>
      <c r="H18" s="4"/>
      <c r="I18" s="4"/>
    </row>
    <row r="19" spans="1:9" ht="12.6" customHeight="1" x14ac:dyDescent="0.2">
      <c r="A19" s="306"/>
      <c r="B19" s="370"/>
      <c r="C19" s="304"/>
      <c r="D19" s="308"/>
      <c r="E19" s="25">
        <f>1.2+0.1</f>
        <v>1.3</v>
      </c>
      <c r="F19" s="26"/>
      <c r="G19" s="4">
        <v>0.1</v>
      </c>
      <c r="H19" s="4"/>
      <c r="I19" s="4"/>
    </row>
    <row r="20" spans="1:9" ht="12.6" customHeight="1" x14ac:dyDescent="0.2">
      <c r="A20" s="12">
        <v>12</v>
      </c>
      <c r="B20" s="18"/>
      <c r="C20" s="48" t="s">
        <v>135</v>
      </c>
      <c r="D20" s="1" t="s">
        <v>60</v>
      </c>
      <c r="E20" s="26">
        <f>0.3+0.1</f>
        <v>0.4</v>
      </c>
      <c r="F20" s="26"/>
      <c r="G20" s="4"/>
      <c r="H20" s="4"/>
      <c r="I20" s="4"/>
    </row>
    <row r="21" spans="1:9" ht="12.6" customHeight="1" x14ac:dyDescent="0.2">
      <c r="A21" s="12">
        <v>13</v>
      </c>
      <c r="B21" s="18"/>
      <c r="C21" s="48" t="s">
        <v>40</v>
      </c>
      <c r="D21" s="1" t="s">
        <v>60</v>
      </c>
      <c r="E21" s="26">
        <f>0.2+0.1</f>
        <v>0.30000000000000004</v>
      </c>
      <c r="F21" s="26"/>
      <c r="G21" s="4"/>
      <c r="H21" s="4"/>
      <c r="I21" s="4"/>
    </row>
    <row r="22" spans="1:9" ht="12.6" customHeight="1" x14ac:dyDescent="0.2">
      <c r="A22" s="12">
        <v>14</v>
      </c>
      <c r="B22" s="18"/>
      <c r="C22" s="148" t="s">
        <v>137</v>
      </c>
      <c r="D22" s="1" t="s">
        <v>60</v>
      </c>
      <c r="E22" s="26">
        <f>1+0.4</f>
        <v>1.4</v>
      </c>
      <c r="F22" s="26"/>
      <c r="G22" s="4"/>
      <c r="H22" s="4"/>
      <c r="I22" s="4"/>
    </row>
    <row r="23" spans="1:9" ht="12.6" customHeight="1" x14ac:dyDescent="0.2">
      <c r="A23" s="12">
        <v>15</v>
      </c>
      <c r="B23" s="18"/>
      <c r="C23" s="48" t="s">
        <v>162</v>
      </c>
      <c r="D23" s="14" t="s">
        <v>217</v>
      </c>
      <c r="E23" s="26">
        <f>3+4.2</f>
        <v>7.2</v>
      </c>
      <c r="F23" s="26"/>
      <c r="G23" s="4"/>
      <c r="H23" s="4"/>
      <c r="I23" s="4"/>
    </row>
    <row r="24" spans="1:9" ht="12.6" customHeight="1" x14ac:dyDescent="0.2">
      <c r="A24" s="12">
        <v>16</v>
      </c>
      <c r="B24" s="18"/>
      <c r="C24" s="148" t="s">
        <v>272</v>
      </c>
      <c r="D24" s="14" t="s">
        <v>217</v>
      </c>
      <c r="E24" s="26">
        <v>0.1</v>
      </c>
      <c r="F24" s="26"/>
      <c r="G24" s="4"/>
      <c r="H24" s="4"/>
      <c r="I24" s="4"/>
    </row>
    <row r="25" spans="1:9" ht="12.6" customHeight="1" x14ac:dyDescent="0.2">
      <c r="A25" s="12">
        <v>17</v>
      </c>
      <c r="B25" s="18"/>
      <c r="C25" s="48" t="s">
        <v>120</v>
      </c>
      <c r="D25" s="14" t="s">
        <v>217</v>
      </c>
      <c r="E25" s="26">
        <f>4+0.1</f>
        <v>4.0999999999999996</v>
      </c>
      <c r="F25" s="26"/>
      <c r="G25" s="4"/>
      <c r="H25" s="4"/>
      <c r="I25" s="4"/>
    </row>
    <row r="26" spans="1:9" ht="12.6" customHeight="1" x14ac:dyDescent="0.2">
      <c r="A26" s="12">
        <v>18</v>
      </c>
      <c r="B26" s="18"/>
      <c r="C26" s="48" t="s">
        <v>41</v>
      </c>
      <c r="D26" s="14" t="s">
        <v>217</v>
      </c>
      <c r="E26" s="26">
        <v>0.3</v>
      </c>
      <c r="F26" s="26"/>
      <c r="G26" s="4"/>
      <c r="H26" s="4"/>
      <c r="I26" s="4"/>
    </row>
    <row r="27" spans="1:9" ht="12.6" customHeight="1" x14ac:dyDescent="0.2">
      <c r="A27" s="12">
        <v>19</v>
      </c>
      <c r="B27" s="18"/>
      <c r="C27" s="48" t="s">
        <v>136</v>
      </c>
      <c r="D27" s="14" t="s">
        <v>217</v>
      </c>
      <c r="E27" s="26">
        <v>2</v>
      </c>
      <c r="F27" s="26"/>
      <c r="G27" s="4"/>
      <c r="H27" s="4"/>
      <c r="I27" s="4"/>
    </row>
    <row r="28" spans="1:9" ht="12.6" customHeight="1" x14ac:dyDescent="0.2">
      <c r="A28" s="305">
        <v>20</v>
      </c>
      <c r="B28" s="369"/>
      <c r="C28" s="303" t="s">
        <v>210</v>
      </c>
      <c r="D28" s="316" t="s">
        <v>217</v>
      </c>
      <c r="E28" s="188">
        <v>0.1</v>
      </c>
      <c r="F28" s="26"/>
      <c r="G28" s="4"/>
      <c r="H28" s="4"/>
      <c r="I28" s="4"/>
    </row>
    <row r="29" spans="1:9" ht="12.6" customHeight="1" x14ac:dyDescent="0.2">
      <c r="A29" s="306"/>
      <c r="B29" s="370"/>
      <c r="C29" s="304"/>
      <c r="D29" s="317"/>
      <c r="E29" s="25">
        <f>0.1-0.1</f>
        <v>0</v>
      </c>
      <c r="F29" s="26"/>
      <c r="G29" s="4">
        <v>-0.1</v>
      </c>
      <c r="H29" s="4"/>
      <c r="I29" s="4"/>
    </row>
    <row r="30" spans="1:9" ht="12.6" customHeight="1" x14ac:dyDescent="0.2">
      <c r="A30" s="12">
        <v>21</v>
      </c>
      <c r="B30" s="18"/>
      <c r="C30" s="15" t="s">
        <v>42</v>
      </c>
      <c r="D30" s="14" t="s">
        <v>217</v>
      </c>
      <c r="E30" s="26">
        <v>0.1</v>
      </c>
      <c r="F30" s="26"/>
      <c r="G30" s="4"/>
      <c r="H30" s="4"/>
      <c r="I30" s="4"/>
    </row>
    <row r="31" spans="1:9" ht="12.6" customHeight="1" x14ac:dyDescent="0.2">
      <c r="A31" s="12">
        <v>22</v>
      </c>
      <c r="B31" s="18"/>
      <c r="C31" s="141" t="s">
        <v>47</v>
      </c>
      <c r="D31" s="1" t="s">
        <v>62</v>
      </c>
      <c r="E31" s="26">
        <v>0.1</v>
      </c>
      <c r="F31" s="26"/>
      <c r="G31" s="4"/>
      <c r="H31" s="4"/>
      <c r="I31" s="4"/>
    </row>
    <row r="32" spans="1:9" ht="12.6" customHeight="1" x14ac:dyDescent="0.2">
      <c r="A32" s="12">
        <v>23</v>
      </c>
      <c r="B32" s="18"/>
      <c r="C32" s="21" t="s">
        <v>48</v>
      </c>
      <c r="D32" s="1" t="s">
        <v>62</v>
      </c>
      <c r="E32" s="26">
        <f>5.3+1.2</f>
        <v>6.5</v>
      </c>
      <c r="F32" s="26"/>
      <c r="G32" s="4"/>
      <c r="H32" s="4"/>
      <c r="I32" s="4"/>
    </row>
    <row r="33" spans="1:9" ht="12.6" customHeight="1" x14ac:dyDescent="0.2">
      <c r="A33" s="12">
        <v>24</v>
      </c>
      <c r="B33" s="18"/>
      <c r="C33" s="24" t="s">
        <v>211</v>
      </c>
      <c r="D33" s="1" t="s">
        <v>218</v>
      </c>
      <c r="E33" s="26">
        <v>0.8</v>
      </c>
      <c r="F33" s="26"/>
      <c r="G33" s="4"/>
      <c r="H33" s="4"/>
      <c r="I33" s="4"/>
    </row>
    <row r="34" spans="1:9" ht="12.6" customHeight="1" x14ac:dyDescent="0.2">
      <c r="A34" s="12">
        <v>25</v>
      </c>
      <c r="B34" s="11" t="s">
        <v>76</v>
      </c>
      <c r="C34" s="17" t="s">
        <v>193</v>
      </c>
      <c r="D34" s="23"/>
      <c r="E34" s="27">
        <f>+E35</f>
        <v>50.8</v>
      </c>
      <c r="F34" s="27">
        <f>+F35</f>
        <v>0</v>
      </c>
      <c r="G34" s="4"/>
      <c r="H34" s="4"/>
      <c r="I34" s="4"/>
    </row>
    <row r="35" spans="1:9" ht="12.6" customHeight="1" x14ac:dyDescent="0.2">
      <c r="A35" s="12">
        <v>26</v>
      </c>
      <c r="B35" s="18"/>
      <c r="C35" s="21" t="s">
        <v>112</v>
      </c>
      <c r="D35" s="1" t="s">
        <v>77</v>
      </c>
      <c r="E35" s="26">
        <f>36+14.8</f>
        <v>50.8</v>
      </c>
      <c r="F35" s="26"/>
      <c r="G35" s="4"/>
      <c r="H35" s="4"/>
      <c r="I35" s="4"/>
    </row>
    <row r="36" spans="1:9" ht="15" customHeight="1" x14ac:dyDescent="0.2">
      <c r="A36" s="12">
        <v>27</v>
      </c>
      <c r="B36" s="11" t="s">
        <v>78</v>
      </c>
      <c r="C36" s="17" t="s">
        <v>79</v>
      </c>
      <c r="D36" s="1"/>
      <c r="E36" s="27">
        <f>SUM(E37:E44)</f>
        <v>16.3</v>
      </c>
      <c r="F36" s="27">
        <f>SUM(F37:F44)</f>
        <v>0</v>
      </c>
      <c r="G36" s="4"/>
      <c r="H36" s="4"/>
      <c r="I36" s="4"/>
    </row>
    <row r="37" spans="1:9" ht="12.6" customHeight="1" x14ac:dyDescent="0.2">
      <c r="A37" s="12">
        <v>28</v>
      </c>
      <c r="B37" s="18"/>
      <c r="C37" s="24" t="s">
        <v>44</v>
      </c>
      <c r="D37" s="1" t="s">
        <v>80</v>
      </c>
      <c r="E37" s="26">
        <f>3+0.3</f>
        <v>3.3</v>
      </c>
      <c r="F37" s="26"/>
      <c r="G37" s="4"/>
      <c r="H37" s="4"/>
      <c r="I37" s="4"/>
    </row>
    <row r="38" spans="1:9" ht="12.6" customHeight="1" x14ac:dyDescent="0.2">
      <c r="A38" s="12">
        <v>29</v>
      </c>
      <c r="B38" s="18"/>
      <c r="C38" s="166" t="s">
        <v>49</v>
      </c>
      <c r="D38" s="1" t="s">
        <v>80</v>
      </c>
      <c r="E38" s="26">
        <v>1.5</v>
      </c>
      <c r="F38" s="26"/>
      <c r="G38" s="4"/>
      <c r="H38" s="4"/>
      <c r="I38" s="4"/>
    </row>
    <row r="39" spans="1:9" ht="12.6" customHeight="1" x14ac:dyDescent="0.2">
      <c r="A39" s="12">
        <v>30</v>
      </c>
      <c r="B39" s="18"/>
      <c r="C39" s="24" t="s">
        <v>50</v>
      </c>
      <c r="D39" s="1" t="s">
        <v>80</v>
      </c>
      <c r="E39" s="26">
        <v>0.5</v>
      </c>
      <c r="F39" s="26"/>
      <c r="G39" s="4"/>
      <c r="H39" s="4"/>
      <c r="I39" s="4"/>
    </row>
    <row r="40" spans="1:9" ht="12.6" customHeight="1" x14ac:dyDescent="0.2">
      <c r="A40" s="12">
        <v>31</v>
      </c>
      <c r="B40" s="18"/>
      <c r="C40" s="24" t="s">
        <v>45</v>
      </c>
      <c r="D40" s="1" t="s">
        <v>80</v>
      </c>
      <c r="E40" s="26">
        <f>1.1+0.1</f>
        <v>1.2000000000000002</v>
      </c>
      <c r="F40" s="26"/>
      <c r="G40" s="4"/>
      <c r="H40" s="4"/>
      <c r="I40" s="4"/>
    </row>
    <row r="41" spans="1:9" ht="12.6" customHeight="1" x14ac:dyDescent="0.2">
      <c r="A41" s="12">
        <v>32</v>
      </c>
      <c r="B41" s="18"/>
      <c r="C41" s="24" t="s">
        <v>51</v>
      </c>
      <c r="D41" s="1" t="s">
        <v>80</v>
      </c>
      <c r="E41" s="26">
        <v>0.1</v>
      </c>
      <c r="F41" s="26"/>
      <c r="G41" s="4"/>
      <c r="H41" s="4"/>
      <c r="I41" s="4"/>
    </row>
    <row r="42" spans="1:9" ht="12.6" customHeight="1" x14ac:dyDescent="0.2">
      <c r="A42" s="12">
        <v>33</v>
      </c>
      <c r="B42" s="18"/>
      <c r="C42" s="24" t="s">
        <v>52</v>
      </c>
      <c r="D42" s="1" t="s">
        <v>80</v>
      </c>
      <c r="E42" s="26">
        <f>0.2+0.1</f>
        <v>0.30000000000000004</v>
      </c>
      <c r="F42" s="26"/>
      <c r="G42" s="4"/>
      <c r="H42" s="4"/>
      <c r="I42" s="4"/>
    </row>
    <row r="43" spans="1:9" x14ac:dyDescent="0.2">
      <c r="A43" s="12">
        <v>34</v>
      </c>
      <c r="B43" s="18"/>
      <c r="C43" s="22" t="s">
        <v>53</v>
      </c>
      <c r="D43" s="1" t="s">
        <v>81</v>
      </c>
      <c r="E43" s="26">
        <f>5.5+3.4</f>
        <v>8.9</v>
      </c>
      <c r="F43" s="26"/>
      <c r="G43" s="4"/>
      <c r="H43" s="4"/>
      <c r="I43" s="4"/>
    </row>
    <row r="44" spans="1:9" ht="12.6" customHeight="1" x14ac:dyDescent="0.2">
      <c r="A44" s="12">
        <v>35</v>
      </c>
      <c r="B44" s="18"/>
      <c r="C44" s="24" t="s">
        <v>43</v>
      </c>
      <c r="D44" s="1" t="s">
        <v>82</v>
      </c>
      <c r="E44" s="26">
        <f>0.2+0.3</f>
        <v>0.5</v>
      </c>
      <c r="F44" s="26"/>
      <c r="G44" s="4"/>
      <c r="H44" s="4"/>
      <c r="I44" s="4"/>
    </row>
    <row r="45" spans="1:9" ht="15" customHeight="1" x14ac:dyDescent="0.2">
      <c r="A45" s="12">
        <v>36</v>
      </c>
      <c r="B45" s="11" t="s">
        <v>25</v>
      </c>
      <c r="C45" s="17" t="s">
        <v>26</v>
      </c>
      <c r="D45" s="1"/>
      <c r="E45" s="27">
        <f>SUM(E46:E57)</f>
        <v>79.099999999999994</v>
      </c>
      <c r="F45" s="27">
        <f>SUM(F46:F57)</f>
        <v>0</v>
      </c>
      <c r="G45" s="4"/>
      <c r="H45" s="4"/>
      <c r="I45" s="4"/>
    </row>
    <row r="46" spans="1:9" ht="12.6" customHeight="1" x14ac:dyDescent="0.2">
      <c r="A46" s="12">
        <v>37</v>
      </c>
      <c r="B46" s="18"/>
      <c r="C46" s="16" t="s">
        <v>3</v>
      </c>
      <c r="D46" s="23" t="s">
        <v>223</v>
      </c>
      <c r="E46" s="26">
        <f>22.9+1.4</f>
        <v>24.299999999999997</v>
      </c>
      <c r="F46" s="26"/>
      <c r="G46" s="4"/>
      <c r="H46" s="4"/>
      <c r="I46" s="4"/>
    </row>
    <row r="47" spans="1:9" ht="12.6" customHeight="1" x14ac:dyDescent="0.2">
      <c r="A47" s="12">
        <v>38</v>
      </c>
      <c r="B47" s="18"/>
      <c r="C47" s="143" t="s">
        <v>8</v>
      </c>
      <c r="D47" s="23" t="s">
        <v>224</v>
      </c>
      <c r="E47" s="26">
        <f>13.1+3.5</f>
        <v>16.600000000000001</v>
      </c>
      <c r="F47" s="26"/>
      <c r="G47" s="4"/>
      <c r="H47" s="4"/>
      <c r="I47" s="4"/>
    </row>
    <row r="48" spans="1:9" ht="12.6" customHeight="1" x14ac:dyDescent="0.2">
      <c r="A48" s="12">
        <v>39</v>
      </c>
      <c r="B48" s="18"/>
      <c r="C48" s="15" t="s">
        <v>4</v>
      </c>
      <c r="D48" s="23" t="s">
        <v>223</v>
      </c>
      <c r="E48" s="26">
        <f>2.9+0.3</f>
        <v>3.1999999999999997</v>
      </c>
      <c r="F48" s="26"/>
      <c r="G48" s="4"/>
      <c r="H48" s="4"/>
      <c r="I48" s="4"/>
    </row>
    <row r="49" spans="1:10" ht="12.6" customHeight="1" x14ac:dyDescent="0.2">
      <c r="A49" s="12">
        <v>40</v>
      </c>
      <c r="B49" s="18"/>
      <c r="C49" s="15" t="s">
        <v>5</v>
      </c>
      <c r="D49" s="23" t="s">
        <v>223</v>
      </c>
      <c r="E49" s="26">
        <f>2.2+0.3</f>
        <v>2.5</v>
      </c>
      <c r="F49" s="26"/>
      <c r="G49" s="4"/>
      <c r="H49" s="4"/>
      <c r="I49" s="4"/>
    </row>
    <row r="50" spans="1:10" ht="12.6" customHeight="1" x14ac:dyDescent="0.2">
      <c r="A50" s="12">
        <v>41</v>
      </c>
      <c r="B50" s="18"/>
      <c r="C50" s="15" t="s">
        <v>7</v>
      </c>
      <c r="D50" s="23" t="s">
        <v>223</v>
      </c>
      <c r="E50" s="26">
        <f>8.2+11.2</f>
        <v>19.399999999999999</v>
      </c>
      <c r="F50" s="26"/>
      <c r="G50" s="4"/>
      <c r="H50" s="4"/>
      <c r="I50" s="4"/>
    </row>
    <row r="51" spans="1:10" ht="12.6" customHeight="1" x14ac:dyDescent="0.2">
      <c r="A51" s="12">
        <v>42</v>
      </c>
      <c r="B51" s="23"/>
      <c r="C51" s="190" t="s">
        <v>6</v>
      </c>
      <c r="D51" s="23" t="s">
        <v>223</v>
      </c>
      <c r="E51" s="191">
        <v>1</v>
      </c>
      <c r="F51" s="191"/>
      <c r="G51" s="4"/>
      <c r="H51" s="4"/>
      <c r="I51" s="4"/>
    </row>
    <row r="52" spans="1:10" ht="12.6" customHeight="1" x14ac:dyDescent="0.2">
      <c r="A52" s="12">
        <v>43</v>
      </c>
      <c r="B52" s="18"/>
      <c r="C52" s="15" t="s">
        <v>9</v>
      </c>
      <c r="D52" s="23" t="s">
        <v>223</v>
      </c>
      <c r="E52" s="26">
        <f>3.4+0.7</f>
        <v>4.0999999999999996</v>
      </c>
      <c r="F52" s="26"/>
      <c r="G52" s="4"/>
      <c r="H52" s="4"/>
      <c r="I52" s="4"/>
    </row>
    <row r="53" spans="1:10" ht="12.6" customHeight="1" x14ac:dyDescent="0.2">
      <c r="A53" s="12">
        <v>44</v>
      </c>
      <c r="B53" s="18"/>
      <c r="C53" s="16" t="s">
        <v>10</v>
      </c>
      <c r="D53" s="23" t="s">
        <v>223</v>
      </c>
      <c r="E53" s="26">
        <f>0.6+2.1</f>
        <v>2.7</v>
      </c>
      <c r="F53" s="26"/>
      <c r="G53" s="4"/>
      <c r="H53" s="4"/>
      <c r="I53" s="4"/>
    </row>
    <row r="54" spans="1:10" ht="12.6" customHeight="1" x14ac:dyDescent="0.2">
      <c r="A54" s="12">
        <v>45</v>
      </c>
      <c r="B54" s="18"/>
      <c r="C54" s="15" t="s">
        <v>12</v>
      </c>
      <c r="D54" s="23" t="s">
        <v>223</v>
      </c>
      <c r="E54" s="26">
        <f>1+0.5</f>
        <v>1.5</v>
      </c>
      <c r="F54" s="26"/>
      <c r="G54" s="4"/>
      <c r="H54" s="4"/>
      <c r="I54" s="4"/>
    </row>
    <row r="55" spans="1:10" ht="12.6" customHeight="1" x14ac:dyDescent="0.2">
      <c r="A55" s="12">
        <v>46</v>
      </c>
      <c r="B55" s="18"/>
      <c r="C55" s="15" t="s">
        <v>11</v>
      </c>
      <c r="D55" s="23" t="s">
        <v>223</v>
      </c>
      <c r="E55" s="26">
        <f>0.6+0.5</f>
        <v>1.1000000000000001</v>
      </c>
      <c r="F55" s="26"/>
      <c r="G55" s="4"/>
      <c r="H55" s="4"/>
      <c r="I55" s="4"/>
    </row>
    <row r="56" spans="1:10" ht="12.6" customHeight="1" x14ac:dyDescent="0.2">
      <c r="A56" s="12">
        <v>47</v>
      </c>
      <c r="B56" s="18"/>
      <c r="C56" s="16" t="s">
        <v>13</v>
      </c>
      <c r="D56" s="23" t="s">
        <v>223</v>
      </c>
      <c r="E56" s="26">
        <f>1.3+0.6</f>
        <v>1.9</v>
      </c>
      <c r="F56" s="26"/>
      <c r="G56" s="4"/>
      <c r="H56" s="4"/>
      <c r="I56" s="4"/>
    </row>
    <row r="57" spans="1:10" ht="12.6" customHeight="1" x14ac:dyDescent="0.2">
      <c r="A57" s="12">
        <v>48</v>
      </c>
      <c r="B57" s="18"/>
      <c r="C57" s="15" t="s">
        <v>14</v>
      </c>
      <c r="D57" s="23" t="s">
        <v>223</v>
      </c>
      <c r="E57" s="26">
        <f>0.5+0.3</f>
        <v>0.8</v>
      </c>
      <c r="F57" s="26"/>
      <c r="G57" s="4"/>
      <c r="H57" s="4"/>
      <c r="I57" s="4"/>
    </row>
    <row r="58" spans="1:10" ht="12.6" customHeight="1" x14ac:dyDescent="0.2">
      <c r="A58" s="12">
        <v>49</v>
      </c>
      <c r="B58" s="18"/>
      <c r="C58" s="28" t="s">
        <v>20</v>
      </c>
      <c r="D58" s="18"/>
      <c r="E58" s="27">
        <f>+E8+E36+E45+E34</f>
        <v>198</v>
      </c>
      <c r="F58" s="27">
        <f>+F8+F36+F45+F34</f>
        <v>0</v>
      </c>
      <c r="G58" s="4"/>
      <c r="H58" s="4"/>
      <c r="I58" s="4"/>
      <c r="J58" s="4"/>
    </row>
    <row r="59" spans="1:10" x14ac:dyDescent="0.2">
      <c r="C59" s="3" t="s">
        <v>273</v>
      </c>
      <c r="E59" s="37"/>
      <c r="F59" s="37"/>
    </row>
    <row r="60" spans="1:10" x14ac:dyDescent="0.2">
      <c r="E60" s="37"/>
      <c r="F60" s="37"/>
    </row>
    <row r="61" spans="1:10" x14ac:dyDescent="0.2">
      <c r="E61" s="37"/>
      <c r="F61" s="37"/>
    </row>
    <row r="62" spans="1:10" x14ac:dyDescent="0.2">
      <c r="E62" s="37"/>
      <c r="F62" s="37"/>
    </row>
    <row r="63" spans="1:10" x14ac:dyDescent="0.2">
      <c r="E63" s="192"/>
      <c r="F63" s="192"/>
    </row>
  </sheetData>
  <mergeCells count="11">
    <mergeCell ref="E2:F2"/>
    <mergeCell ref="C1:F1"/>
    <mergeCell ref="A4:F4"/>
    <mergeCell ref="A18:A19"/>
    <mergeCell ref="C18:C19"/>
    <mergeCell ref="B18:B19"/>
    <mergeCell ref="A28:A29"/>
    <mergeCell ref="B28:B29"/>
    <mergeCell ref="C28:C29"/>
    <mergeCell ref="D28:D29"/>
    <mergeCell ref="D18:D19"/>
  </mergeCells>
  <phoneticPr fontId="5" type="noConversion"/>
  <pageMargins left="0.19685039370078741" right="0" top="0.19685039370078741" bottom="0" header="0.31496062992125984" footer="0.31496062992125984"/>
  <pageSetup paperSize="9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61"/>
  <sheetViews>
    <sheetView zoomScaleNormal="100" workbookViewId="0">
      <selection activeCell="O12" sqref="O12"/>
    </sheetView>
  </sheetViews>
  <sheetFormatPr defaultColWidth="9.140625" defaultRowHeight="12.75" x14ac:dyDescent="0.2"/>
  <cols>
    <col min="1" max="1" width="4.85546875" style="5" customWidth="1"/>
    <col min="2" max="2" width="7.140625" style="36" customWidth="1"/>
    <col min="3" max="3" width="50.28515625" style="3" customWidth="1"/>
    <col min="4" max="4" width="10.28515625" style="7" customWidth="1"/>
    <col min="5" max="5" width="8.140625" style="3" customWidth="1"/>
    <col min="6" max="6" width="11.28515625" style="3" customWidth="1"/>
    <col min="7" max="16384" width="9.140625" style="2"/>
  </cols>
  <sheetData>
    <row r="1" spans="1:12" ht="15.75" customHeight="1" x14ac:dyDescent="0.25">
      <c r="C1" s="290" t="s">
        <v>995</v>
      </c>
      <c r="D1" s="290"/>
      <c r="E1" s="290"/>
      <c r="F1" s="290"/>
    </row>
    <row r="2" spans="1:12" ht="15.75" x14ac:dyDescent="0.2">
      <c r="B2" s="7"/>
      <c r="E2" s="373" t="s">
        <v>117</v>
      </c>
      <c r="F2" s="373"/>
    </row>
    <row r="3" spans="1:12" ht="15.75" x14ac:dyDescent="0.2">
      <c r="B3" s="7"/>
      <c r="E3" s="33"/>
      <c r="F3" s="33"/>
    </row>
    <row r="4" spans="1:12" ht="30" customHeight="1" x14ac:dyDescent="0.2">
      <c r="A4" s="374" t="s">
        <v>572</v>
      </c>
      <c r="B4" s="374"/>
      <c r="C4" s="374"/>
      <c r="D4" s="374"/>
      <c r="E4" s="374"/>
      <c r="F4" s="374"/>
    </row>
    <row r="5" spans="1:12" x14ac:dyDescent="0.2">
      <c r="B5" s="7"/>
      <c r="E5" s="5"/>
      <c r="F5" s="5" t="s">
        <v>129</v>
      </c>
    </row>
    <row r="6" spans="1:12" ht="46.5" customHeight="1" x14ac:dyDescent="0.2">
      <c r="A6" s="146" t="s">
        <v>118</v>
      </c>
      <c r="B6" s="9" t="s">
        <v>356</v>
      </c>
      <c r="C6" s="8" t="s">
        <v>16</v>
      </c>
      <c r="D6" s="9" t="s">
        <v>55</v>
      </c>
      <c r="E6" s="8" t="s">
        <v>17</v>
      </c>
      <c r="F6" s="8" t="s">
        <v>29</v>
      </c>
    </row>
    <row r="7" spans="1:12" x14ac:dyDescent="0.2">
      <c r="A7" s="82">
        <v>1</v>
      </c>
      <c r="B7" s="11" t="s">
        <v>18</v>
      </c>
      <c r="C7" s="8">
        <v>3</v>
      </c>
      <c r="D7" s="9">
        <v>4</v>
      </c>
      <c r="E7" s="8">
        <v>5</v>
      </c>
      <c r="F7" s="8">
        <v>6</v>
      </c>
    </row>
    <row r="8" spans="1:12" x14ac:dyDescent="0.2">
      <c r="A8" s="12">
        <v>1</v>
      </c>
      <c r="B8" s="11" t="s">
        <v>56</v>
      </c>
      <c r="C8" s="13" t="s">
        <v>57</v>
      </c>
      <c r="D8" s="9"/>
      <c r="E8" s="53">
        <f>+E9</f>
        <v>988.8</v>
      </c>
      <c r="F8" s="53">
        <f>+F9</f>
        <v>0</v>
      </c>
      <c r="G8" s="4"/>
      <c r="H8" s="4"/>
      <c r="I8" s="4"/>
      <c r="J8" s="4"/>
      <c r="K8" s="4"/>
      <c r="L8" s="4"/>
    </row>
    <row r="9" spans="1:12" x14ac:dyDescent="0.2">
      <c r="A9" s="12">
        <v>2</v>
      </c>
      <c r="B9" s="1"/>
      <c r="C9" s="48" t="s">
        <v>180</v>
      </c>
      <c r="D9" s="1"/>
      <c r="E9" s="54">
        <f>SUM(E10:E13)</f>
        <v>988.8</v>
      </c>
      <c r="F9" s="54">
        <f>SUM(F10:F13)</f>
        <v>0</v>
      </c>
      <c r="G9" s="4"/>
      <c r="H9" s="4"/>
      <c r="I9" s="4"/>
      <c r="J9" s="4"/>
      <c r="K9" s="4"/>
      <c r="L9" s="50"/>
    </row>
    <row r="10" spans="1:12" ht="25.5" x14ac:dyDescent="0.2">
      <c r="A10" s="58" t="s">
        <v>693</v>
      </c>
      <c r="B10" s="1"/>
      <c r="C10" s="46" t="s">
        <v>149</v>
      </c>
      <c r="D10" s="1" t="s">
        <v>61</v>
      </c>
      <c r="E10" s="54">
        <v>22.4</v>
      </c>
      <c r="F10" s="193"/>
      <c r="G10" s="4"/>
      <c r="H10" s="4"/>
      <c r="I10" s="4"/>
      <c r="J10" s="4"/>
      <c r="K10" s="4"/>
      <c r="L10" s="50"/>
    </row>
    <row r="11" spans="1:12" ht="38.25" x14ac:dyDescent="0.2">
      <c r="A11" s="58" t="s">
        <v>694</v>
      </c>
      <c r="B11" s="1"/>
      <c r="C11" s="46" t="s">
        <v>587</v>
      </c>
      <c r="D11" s="1" t="s">
        <v>58</v>
      </c>
      <c r="E11" s="54">
        <v>426</v>
      </c>
      <c r="F11" s="193"/>
      <c r="G11" s="4"/>
      <c r="H11" s="4"/>
      <c r="I11" s="4"/>
      <c r="J11" s="4"/>
      <c r="K11" s="4"/>
      <c r="L11" s="50"/>
    </row>
    <row r="12" spans="1:12" ht="38.25" x14ac:dyDescent="0.2">
      <c r="A12" s="58" t="s">
        <v>695</v>
      </c>
      <c r="B12" s="1"/>
      <c r="C12" s="46" t="s">
        <v>588</v>
      </c>
      <c r="D12" s="1" t="s">
        <v>58</v>
      </c>
      <c r="E12" s="54">
        <v>532</v>
      </c>
      <c r="F12" s="193"/>
      <c r="G12" s="4"/>
      <c r="H12" s="4"/>
      <c r="I12" s="4"/>
      <c r="J12" s="4"/>
      <c r="K12" s="4"/>
      <c r="L12" s="50"/>
    </row>
    <row r="13" spans="1:12" ht="25.5" x14ac:dyDescent="0.2">
      <c r="A13" s="58" t="s">
        <v>696</v>
      </c>
      <c r="B13" s="1"/>
      <c r="C13" s="149" t="s">
        <v>434</v>
      </c>
      <c r="D13" s="1" t="s">
        <v>58</v>
      </c>
      <c r="E13" s="54">
        <v>8.4</v>
      </c>
      <c r="F13" s="193"/>
      <c r="G13" s="4"/>
      <c r="H13" s="4"/>
      <c r="I13" s="4"/>
      <c r="J13" s="4"/>
      <c r="K13" s="4"/>
      <c r="L13" s="50"/>
    </row>
    <row r="14" spans="1:12" x14ac:dyDescent="0.2">
      <c r="A14" s="58" t="s">
        <v>697</v>
      </c>
      <c r="B14" s="11" t="s">
        <v>65</v>
      </c>
      <c r="C14" s="17" t="s">
        <v>66</v>
      </c>
      <c r="D14" s="1"/>
      <c r="E14" s="59">
        <f>+E15</f>
        <v>5.5</v>
      </c>
      <c r="F14" s="59">
        <f>+F15</f>
        <v>0</v>
      </c>
      <c r="G14" s="4"/>
      <c r="H14" s="4"/>
      <c r="I14" s="4"/>
      <c r="J14" s="4"/>
      <c r="K14" s="4"/>
      <c r="L14" s="50"/>
    </row>
    <row r="15" spans="1:12" x14ac:dyDescent="0.2">
      <c r="A15" s="58" t="s">
        <v>30</v>
      </c>
      <c r="B15" s="11"/>
      <c r="C15" s="48" t="s">
        <v>180</v>
      </c>
      <c r="D15" s="1"/>
      <c r="E15" s="54">
        <f>+E16</f>
        <v>5.5</v>
      </c>
      <c r="F15" s="193">
        <f>+F16</f>
        <v>0</v>
      </c>
      <c r="G15" s="4"/>
      <c r="H15" s="4"/>
      <c r="I15" s="4"/>
      <c r="J15" s="4"/>
      <c r="K15" s="4"/>
      <c r="L15" s="50"/>
    </row>
    <row r="16" spans="1:12" ht="25.5" x14ac:dyDescent="0.2">
      <c r="A16" s="58" t="s">
        <v>698</v>
      </c>
      <c r="B16" s="11"/>
      <c r="C16" s="60" t="s">
        <v>194</v>
      </c>
      <c r="D16" s="14" t="s">
        <v>195</v>
      </c>
      <c r="E16" s="54">
        <v>5.5</v>
      </c>
      <c r="F16" s="193"/>
      <c r="G16" s="4"/>
      <c r="H16" s="4"/>
      <c r="I16" s="4"/>
      <c r="J16" s="4"/>
      <c r="K16" s="4"/>
      <c r="L16" s="50"/>
    </row>
    <row r="17" spans="1:12" x14ac:dyDescent="0.2">
      <c r="A17" s="58" t="s">
        <v>701</v>
      </c>
      <c r="B17" s="11" t="s">
        <v>21</v>
      </c>
      <c r="C17" s="17" t="s">
        <v>22</v>
      </c>
      <c r="D17" s="14"/>
      <c r="E17" s="59">
        <f>+E18</f>
        <v>133.20000000000002</v>
      </c>
      <c r="F17" s="59">
        <f>+F18</f>
        <v>0</v>
      </c>
      <c r="G17" s="4"/>
      <c r="H17" s="4"/>
      <c r="I17" s="4"/>
      <c r="J17" s="4"/>
      <c r="K17" s="4"/>
      <c r="L17" s="50"/>
    </row>
    <row r="18" spans="1:12" x14ac:dyDescent="0.2">
      <c r="A18" s="58" t="s">
        <v>702</v>
      </c>
      <c r="B18" s="11"/>
      <c r="C18" s="48" t="s">
        <v>180</v>
      </c>
      <c r="D18" s="14"/>
      <c r="E18" s="54">
        <f>+E19+E20</f>
        <v>133.20000000000002</v>
      </c>
      <c r="F18" s="193">
        <f>+F19</f>
        <v>0</v>
      </c>
      <c r="G18" s="4"/>
      <c r="H18" s="4"/>
      <c r="I18" s="4"/>
      <c r="J18" s="4"/>
      <c r="K18" s="4"/>
      <c r="L18" s="50"/>
    </row>
    <row r="19" spans="1:12" x14ac:dyDescent="0.2">
      <c r="A19" s="58" t="s">
        <v>422</v>
      </c>
      <c r="B19" s="11"/>
      <c r="C19" s="163" t="s">
        <v>150</v>
      </c>
      <c r="D19" s="125" t="s">
        <v>88</v>
      </c>
      <c r="E19" s="54">
        <v>9.8000000000000007</v>
      </c>
      <c r="F19" s="193"/>
      <c r="G19" s="4"/>
      <c r="H19" s="4"/>
      <c r="I19" s="4"/>
      <c r="J19" s="4"/>
      <c r="K19" s="4"/>
      <c r="L19" s="50"/>
    </row>
    <row r="20" spans="1:12" x14ac:dyDescent="0.2">
      <c r="A20" s="58" t="s">
        <v>764</v>
      </c>
      <c r="B20" s="11"/>
      <c r="C20" s="46" t="s">
        <v>761</v>
      </c>
      <c r="D20" s="125"/>
      <c r="E20" s="54">
        <v>123.4</v>
      </c>
      <c r="F20" s="193"/>
      <c r="G20" s="4"/>
      <c r="H20" s="4"/>
      <c r="I20" s="4"/>
      <c r="J20" s="4"/>
      <c r="K20" s="4"/>
      <c r="L20" s="50"/>
    </row>
    <row r="21" spans="1:12" ht="25.5" x14ac:dyDescent="0.2">
      <c r="A21" s="12">
        <v>7</v>
      </c>
      <c r="B21" s="11" t="s">
        <v>104</v>
      </c>
      <c r="C21" s="55" t="s">
        <v>105</v>
      </c>
      <c r="D21" s="14"/>
      <c r="E21" s="59">
        <f>+E22</f>
        <v>250.8</v>
      </c>
      <c r="F21" s="59">
        <v>0</v>
      </c>
      <c r="G21" s="4"/>
      <c r="H21" s="4"/>
      <c r="I21" s="4"/>
      <c r="J21" s="4"/>
      <c r="K21" s="4"/>
      <c r="L21" s="50"/>
    </row>
    <row r="22" spans="1:12" x14ac:dyDescent="0.2">
      <c r="A22" s="12">
        <v>8</v>
      </c>
      <c r="B22" s="1"/>
      <c r="C22" s="48" t="s">
        <v>180</v>
      </c>
      <c r="D22" s="14"/>
      <c r="E22" s="54">
        <f>+E23</f>
        <v>250.8</v>
      </c>
      <c r="F22" s="193">
        <v>0</v>
      </c>
      <c r="G22" s="4"/>
      <c r="H22" s="4"/>
      <c r="I22" s="4"/>
      <c r="J22" s="4"/>
      <c r="K22" s="4"/>
      <c r="L22" s="50"/>
    </row>
    <row r="23" spans="1:12" ht="25.5" x14ac:dyDescent="0.2">
      <c r="A23" s="58" t="s">
        <v>699</v>
      </c>
      <c r="B23" s="1"/>
      <c r="C23" s="48" t="s">
        <v>735</v>
      </c>
      <c r="D23" s="1" t="s">
        <v>155</v>
      </c>
      <c r="E23" s="54">
        <v>250.8</v>
      </c>
      <c r="F23" s="193"/>
      <c r="G23" s="4"/>
      <c r="H23" s="4"/>
      <c r="I23" s="4"/>
      <c r="J23" s="4"/>
      <c r="K23" s="4"/>
      <c r="L23" s="50"/>
    </row>
    <row r="24" spans="1:12" ht="18" customHeight="1" x14ac:dyDescent="0.2">
      <c r="A24" s="12">
        <v>9</v>
      </c>
      <c r="B24" s="11" t="s">
        <v>84</v>
      </c>
      <c r="C24" s="49" t="s">
        <v>85</v>
      </c>
      <c r="D24" s="1"/>
      <c r="E24" s="59">
        <f>+E25</f>
        <v>168.9</v>
      </c>
      <c r="F24" s="59">
        <f>+F25</f>
        <v>0</v>
      </c>
      <c r="G24" s="4"/>
      <c r="H24" s="4"/>
      <c r="I24" s="4"/>
      <c r="J24" s="4"/>
      <c r="K24" s="4"/>
      <c r="L24" s="50"/>
    </row>
    <row r="25" spans="1:12" ht="12.6" customHeight="1" x14ac:dyDescent="0.2">
      <c r="A25" s="12">
        <v>10</v>
      </c>
      <c r="B25" s="1"/>
      <c r="C25" s="48" t="s">
        <v>180</v>
      </c>
      <c r="D25" s="14"/>
      <c r="E25" s="54">
        <f>+E26+E27+E28</f>
        <v>168.9</v>
      </c>
      <c r="F25" s="54">
        <f>+F26</f>
        <v>0</v>
      </c>
      <c r="G25" s="4"/>
      <c r="H25" s="4"/>
      <c r="I25" s="4"/>
      <c r="J25" s="4"/>
      <c r="K25" s="4"/>
      <c r="L25" s="50"/>
    </row>
    <row r="26" spans="1:12" ht="25.5" x14ac:dyDescent="0.2">
      <c r="A26" s="58" t="s">
        <v>700</v>
      </c>
      <c r="B26" s="1"/>
      <c r="C26" s="48" t="s">
        <v>287</v>
      </c>
      <c r="D26" s="14" t="s">
        <v>290</v>
      </c>
      <c r="E26" s="54">
        <v>75</v>
      </c>
      <c r="F26" s="193"/>
      <c r="G26" s="4"/>
      <c r="H26" s="4"/>
      <c r="I26" s="4"/>
      <c r="J26" s="4"/>
      <c r="K26" s="4"/>
      <c r="L26" s="50"/>
    </row>
    <row r="27" spans="1:12" x14ac:dyDescent="0.2">
      <c r="A27" s="58" t="s">
        <v>768</v>
      </c>
      <c r="B27" s="1"/>
      <c r="C27" s="22" t="s">
        <v>733</v>
      </c>
      <c r="D27" s="14" t="s">
        <v>734</v>
      </c>
      <c r="E27" s="54">
        <v>35.200000000000003</v>
      </c>
      <c r="F27" s="193"/>
      <c r="G27" s="4"/>
      <c r="H27" s="4"/>
      <c r="I27" s="4"/>
      <c r="J27" s="4"/>
      <c r="K27" s="4"/>
      <c r="L27" s="50"/>
    </row>
    <row r="28" spans="1:12" ht="38.25" x14ac:dyDescent="0.2">
      <c r="A28" s="58" t="s">
        <v>968</v>
      </c>
      <c r="B28" s="1"/>
      <c r="C28" s="15" t="s">
        <v>947</v>
      </c>
      <c r="D28" s="14" t="s">
        <v>948</v>
      </c>
      <c r="E28" s="54">
        <v>58.7</v>
      </c>
      <c r="F28" s="193"/>
      <c r="G28" s="4"/>
      <c r="H28" s="4"/>
      <c r="I28" s="4"/>
      <c r="J28" s="4"/>
      <c r="K28" s="4"/>
      <c r="L28" s="50"/>
    </row>
    <row r="29" spans="1:12" ht="18" customHeight="1" x14ac:dyDescent="0.2">
      <c r="A29" s="305">
        <v>11</v>
      </c>
      <c r="B29" s="314" t="s">
        <v>89</v>
      </c>
      <c r="C29" s="320" t="s">
        <v>90</v>
      </c>
      <c r="D29" s="316"/>
      <c r="E29" s="132">
        <v>364.1</v>
      </c>
      <c r="F29" s="193"/>
      <c r="G29" s="4"/>
      <c r="H29" s="4"/>
      <c r="I29" s="4"/>
      <c r="J29" s="4"/>
      <c r="K29" s="4"/>
      <c r="L29" s="50"/>
    </row>
    <row r="30" spans="1:12" ht="18" customHeight="1" x14ac:dyDescent="0.2">
      <c r="A30" s="306"/>
      <c r="B30" s="315"/>
      <c r="C30" s="321"/>
      <c r="D30" s="317"/>
      <c r="E30" s="59">
        <f>+E32</f>
        <v>317.40000000000003</v>
      </c>
      <c r="F30" s="59">
        <f>+F32</f>
        <v>0</v>
      </c>
      <c r="G30" s="4"/>
      <c r="H30" s="4"/>
      <c r="I30" s="4"/>
      <c r="J30" s="4"/>
      <c r="K30" s="4"/>
      <c r="L30" s="50"/>
    </row>
    <row r="31" spans="1:12" ht="14.25" customHeight="1" x14ac:dyDescent="0.2">
      <c r="A31" s="305">
        <v>12</v>
      </c>
      <c r="B31" s="314"/>
      <c r="C31" s="303" t="s">
        <v>180</v>
      </c>
      <c r="D31" s="316"/>
      <c r="E31" s="129">
        <v>364.1</v>
      </c>
      <c r="F31" s="59"/>
      <c r="G31" s="4"/>
      <c r="H31" s="4"/>
      <c r="I31" s="4"/>
      <c r="J31" s="4"/>
      <c r="K31" s="4"/>
      <c r="L31" s="50"/>
    </row>
    <row r="32" spans="1:12" x14ac:dyDescent="0.2">
      <c r="A32" s="306"/>
      <c r="B32" s="315"/>
      <c r="C32" s="304"/>
      <c r="D32" s="317"/>
      <c r="E32" s="131">
        <f>+E34+E35</f>
        <v>317.40000000000003</v>
      </c>
      <c r="F32" s="193">
        <f>+F34+F35</f>
        <v>0</v>
      </c>
      <c r="G32" s="4"/>
      <c r="H32" s="4"/>
      <c r="I32" s="4"/>
      <c r="J32" s="4"/>
      <c r="K32" s="4"/>
      <c r="L32" s="50"/>
    </row>
    <row r="33" spans="1:13" ht="16.5" customHeight="1" x14ac:dyDescent="0.2">
      <c r="A33" s="379" t="s">
        <v>765</v>
      </c>
      <c r="B33" s="314"/>
      <c r="C33" s="361" t="s">
        <v>151</v>
      </c>
      <c r="D33" s="307" t="s">
        <v>92</v>
      </c>
      <c r="E33" s="129">
        <v>354.1</v>
      </c>
      <c r="F33" s="193"/>
      <c r="G33" s="4"/>
      <c r="H33" s="4"/>
      <c r="I33" s="4"/>
      <c r="J33" s="4"/>
      <c r="K33" s="4"/>
      <c r="L33" s="50"/>
    </row>
    <row r="34" spans="1:13" ht="26.25" customHeight="1" x14ac:dyDescent="0.2">
      <c r="A34" s="380"/>
      <c r="B34" s="315"/>
      <c r="C34" s="362"/>
      <c r="D34" s="308"/>
      <c r="E34" s="131">
        <f>367-12.9-46.7</f>
        <v>307.40000000000003</v>
      </c>
      <c r="F34" s="193"/>
      <c r="G34" s="4">
        <v>-46.7</v>
      </c>
      <c r="H34" s="4"/>
      <c r="I34" s="83"/>
      <c r="J34" s="4"/>
      <c r="K34" s="4"/>
      <c r="L34" s="50"/>
      <c r="M34" s="2" t="s">
        <v>372</v>
      </c>
    </row>
    <row r="35" spans="1:13" ht="38.25" x14ac:dyDescent="0.2">
      <c r="A35" s="58" t="s">
        <v>766</v>
      </c>
      <c r="B35" s="1"/>
      <c r="C35" s="47" t="s">
        <v>189</v>
      </c>
      <c r="D35" s="1" t="s">
        <v>143</v>
      </c>
      <c r="E35" s="54">
        <v>10</v>
      </c>
      <c r="F35" s="193"/>
      <c r="G35" s="4"/>
      <c r="H35" s="4"/>
      <c r="I35" s="4"/>
      <c r="J35" s="4"/>
      <c r="K35" s="4"/>
      <c r="L35" s="50"/>
    </row>
    <row r="36" spans="1:13" x14ac:dyDescent="0.2">
      <c r="A36" s="58" t="s">
        <v>744</v>
      </c>
      <c r="B36" s="11" t="s">
        <v>32</v>
      </c>
      <c r="C36" s="17" t="s">
        <v>33</v>
      </c>
      <c r="D36" s="1"/>
      <c r="E36" s="59">
        <f>+E37</f>
        <v>76</v>
      </c>
      <c r="F36" s="59">
        <f>+F37</f>
        <v>0</v>
      </c>
      <c r="G36" s="4"/>
      <c r="H36" s="4"/>
      <c r="I36" s="4"/>
      <c r="J36" s="4"/>
      <c r="K36" s="4"/>
      <c r="L36" s="50"/>
    </row>
    <row r="37" spans="1:13" x14ac:dyDescent="0.2">
      <c r="A37" s="58" t="s">
        <v>769</v>
      </c>
      <c r="B37" s="1"/>
      <c r="C37" s="48" t="s">
        <v>180</v>
      </c>
      <c r="D37" s="1"/>
      <c r="E37" s="54">
        <f>+E38</f>
        <v>76</v>
      </c>
      <c r="F37" s="54">
        <f>+F38</f>
        <v>0</v>
      </c>
      <c r="G37" s="4"/>
      <c r="H37" s="4"/>
      <c r="I37" s="4"/>
      <c r="J37" s="4"/>
      <c r="K37" s="4"/>
      <c r="L37" s="50"/>
    </row>
    <row r="38" spans="1:13" ht="38.25" x14ac:dyDescent="0.2">
      <c r="A38" s="58" t="s">
        <v>767</v>
      </c>
      <c r="B38" s="1"/>
      <c r="C38" s="47" t="s">
        <v>616</v>
      </c>
      <c r="D38" s="14" t="s">
        <v>144</v>
      </c>
      <c r="E38" s="54">
        <v>76</v>
      </c>
      <c r="F38" s="193"/>
      <c r="G38" s="4"/>
      <c r="H38" s="4"/>
      <c r="I38" s="4"/>
      <c r="J38" s="4"/>
      <c r="K38" s="4"/>
      <c r="L38" s="50"/>
    </row>
    <row r="39" spans="1:13" ht="15" customHeight="1" x14ac:dyDescent="0.2">
      <c r="A39" s="305">
        <v>15</v>
      </c>
      <c r="B39" s="307"/>
      <c r="C39" s="377" t="s">
        <v>20</v>
      </c>
      <c r="D39" s="316"/>
      <c r="E39" s="132">
        <v>1987.3</v>
      </c>
      <c r="F39" s="193"/>
      <c r="G39" s="4"/>
      <c r="H39" s="4"/>
      <c r="I39" s="4"/>
      <c r="J39" s="4"/>
      <c r="K39" s="4"/>
      <c r="L39" s="50"/>
    </row>
    <row r="40" spans="1:13" ht="15.75" customHeight="1" x14ac:dyDescent="0.2">
      <c r="A40" s="306"/>
      <c r="B40" s="308"/>
      <c r="C40" s="378"/>
      <c r="D40" s="317"/>
      <c r="E40" s="35">
        <f>+E8+E14+E17+E21+E24+E30+E36</f>
        <v>1940.6000000000001</v>
      </c>
      <c r="F40" s="35">
        <f>+F8+F14+F17+F21+F24+F30+F36</f>
        <v>0</v>
      </c>
      <c r="G40" s="4">
        <f>SUM(G7:G38)</f>
        <v>-46.7</v>
      </c>
      <c r="H40" s="4"/>
      <c r="I40" s="4"/>
      <c r="J40" s="4"/>
      <c r="K40" s="4"/>
      <c r="L40" s="4"/>
    </row>
    <row r="41" spans="1:13" x14ac:dyDescent="0.2">
      <c r="C41" s="3" t="s">
        <v>108</v>
      </c>
      <c r="E41" s="37"/>
      <c r="F41" s="37"/>
    </row>
    <row r="42" spans="1:13" x14ac:dyDescent="0.2">
      <c r="D42" s="6"/>
      <c r="E42" s="37"/>
      <c r="F42" s="37"/>
    </row>
    <row r="43" spans="1:13" x14ac:dyDescent="0.2">
      <c r="C43" s="177"/>
      <c r="E43" s="195"/>
      <c r="F43" s="195"/>
    </row>
    <row r="44" spans="1:13" x14ac:dyDescent="0.2">
      <c r="C44" s="5"/>
      <c r="D44" s="6"/>
      <c r="E44" s="37"/>
      <c r="F44" s="37"/>
    </row>
    <row r="45" spans="1:13" x14ac:dyDescent="0.2">
      <c r="C45" s="45"/>
      <c r="E45" s="37"/>
      <c r="F45" s="37"/>
    </row>
    <row r="46" spans="1:13" x14ac:dyDescent="0.2">
      <c r="C46" s="45"/>
      <c r="E46" s="37"/>
      <c r="F46" s="37"/>
    </row>
    <row r="47" spans="1:13" x14ac:dyDescent="0.2">
      <c r="F47" s="37"/>
    </row>
    <row r="48" spans="1:13" x14ac:dyDescent="0.2">
      <c r="C48" s="5"/>
      <c r="E48" s="37"/>
      <c r="F48" s="37"/>
    </row>
    <row r="49" spans="3:6" x14ac:dyDescent="0.2">
      <c r="C49" s="5"/>
    </row>
    <row r="50" spans="3:6" x14ac:dyDescent="0.2">
      <c r="C50" s="5"/>
    </row>
    <row r="51" spans="3:6" x14ac:dyDescent="0.2">
      <c r="C51" s="5"/>
      <c r="E51" s="37"/>
      <c r="F51" s="37"/>
    </row>
    <row r="52" spans="3:6" x14ac:dyDescent="0.2">
      <c r="C52" s="5"/>
      <c r="E52" s="37"/>
      <c r="F52" s="37"/>
    </row>
    <row r="53" spans="3:6" x14ac:dyDescent="0.2">
      <c r="C53" s="61"/>
      <c r="D53" s="3"/>
      <c r="E53" s="37"/>
      <c r="F53" s="37"/>
    </row>
    <row r="54" spans="3:6" x14ac:dyDescent="0.2">
      <c r="C54" s="62"/>
      <c r="D54" s="37"/>
    </row>
    <row r="55" spans="3:6" x14ac:dyDescent="0.2">
      <c r="C55" s="5"/>
      <c r="D55" s="37"/>
    </row>
    <row r="56" spans="3:6" x14ac:dyDescent="0.2">
      <c r="C56" s="5"/>
      <c r="D56" s="196"/>
    </row>
    <row r="57" spans="3:6" x14ac:dyDescent="0.2">
      <c r="C57" s="5"/>
    </row>
    <row r="58" spans="3:6" x14ac:dyDescent="0.2">
      <c r="C58" s="5"/>
    </row>
    <row r="59" spans="3:6" x14ac:dyDescent="0.2">
      <c r="D59" s="3"/>
    </row>
    <row r="61" spans="3:6" x14ac:dyDescent="0.2">
      <c r="C61" s="5"/>
    </row>
  </sheetData>
  <mergeCells count="19">
    <mergeCell ref="E2:F2"/>
    <mergeCell ref="A4:F4"/>
    <mergeCell ref="C1:F1"/>
    <mergeCell ref="A29:A30"/>
    <mergeCell ref="B29:B30"/>
    <mergeCell ref="C29:C30"/>
    <mergeCell ref="D29:D30"/>
    <mergeCell ref="A31:A32"/>
    <mergeCell ref="B31:B32"/>
    <mergeCell ref="C31:C32"/>
    <mergeCell ref="D31:D32"/>
    <mergeCell ref="A39:A40"/>
    <mergeCell ref="B39:B40"/>
    <mergeCell ref="C39:C40"/>
    <mergeCell ref="D39:D40"/>
    <mergeCell ref="A33:A34"/>
    <mergeCell ref="B33:B34"/>
    <mergeCell ref="C33:C34"/>
    <mergeCell ref="D33:D34"/>
  </mergeCells>
  <phoneticPr fontId="5" type="noConversion"/>
  <pageMargins left="0.31496062992125984" right="0" top="0.15748031496062992" bottom="0" header="0.31496062992125984" footer="0.31496062992125984"/>
  <pageSetup paperSize="9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2"/>
  <sheetViews>
    <sheetView topLeftCell="A50" zoomScaleNormal="100" workbookViewId="0">
      <selection activeCell="O102" sqref="O102"/>
    </sheetView>
  </sheetViews>
  <sheetFormatPr defaultColWidth="9.140625" defaultRowHeight="12.75" x14ac:dyDescent="0.2"/>
  <cols>
    <col min="1" max="1" width="3.85546875" style="5" customWidth="1"/>
    <col min="2" max="2" width="7.28515625" style="7" customWidth="1"/>
    <col min="3" max="3" width="51.28515625" style="177" customWidth="1"/>
    <col min="4" max="4" width="10.28515625" style="63" customWidth="1"/>
    <col min="5" max="5" width="7.7109375" style="5" customWidth="1"/>
    <col min="6" max="6" width="11.140625" style="5" customWidth="1"/>
    <col min="7" max="16384" width="9.140625" style="2"/>
  </cols>
  <sheetData>
    <row r="1" spans="1:8" ht="15.75" x14ac:dyDescent="0.25">
      <c r="C1" s="290" t="s">
        <v>996</v>
      </c>
      <c r="D1" s="290"/>
      <c r="E1" s="290"/>
      <c r="F1" s="290"/>
    </row>
    <row r="2" spans="1:8" ht="15.75" x14ac:dyDescent="0.25">
      <c r="C2" s="43"/>
      <c r="D2" s="43"/>
      <c r="E2" s="373" t="s">
        <v>226</v>
      </c>
      <c r="F2" s="373"/>
    </row>
    <row r="3" spans="1:8" ht="12" customHeight="1" x14ac:dyDescent="0.2">
      <c r="C3" s="6"/>
      <c r="D3" s="6"/>
      <c r="E3" s="6"/>
      <c r="F3" s="6"/>
    </row>
    <row r="4" spans="1:8" ht="25.5" customHeight="1" x14ac:dyDescent="0.2">
      <c r="A4" s="374" t="s">
        <v>571</v>
      </c>
      <c r="B4" s="374"/>
      <c r="C4" s="374"/>
      <c r="D4" s="374"/>
      <c r="E4" s="374"/>
      <c r="F4" s="374"/>
    </row>
    <row r="5" spans="1:8" x14ac:dyDescent="0.2">
      <c r="A5" s="137"/>
      <c r="B5" s="29"/>
      <c r="C5" s="29"/>
      <c r="D5" s="29"/>
      <c r="E5" s="29"/>
      <c r="F5" s="29"/>
    </row>
    <row r="6" spans="1:8" x14ac:dyDescent="0.2">
      <c r="F6" s="42" t="s">
        <v>129</v>
      </c>
    </row>
    <row r="7" spans="1:8" ht="51.75" customHeight="1" x14ac:dyDescent="0.2">
      <c r="A7" s="146" t="s">
        <v>118</v>
      </c>
      <c r="B7" s="9" t="s">
        <v>356</v>
      </c>
      <c r="C7" s="8" t="s">
        <v>16</v>
      </c>
      <c r="D7" s="9" t="s">
        <v>55</v>
      </c>
      <c r="E7" s="8" t="s">
        <v>17</v>
      </c>
      <c r="F7" s="8" t="s">
        <v>29</v>
      </c>
    </row>
    <row r="8" spans="1:8" s="36" customFormat="1" ht="12" customHeight="1" x14ac:dyDescent="0.2">
      <c r="A8" s="82">
        <v>1</v>
      </c>
      <c r="B8" s="11" t="s">
        <v>18</v>
      </c>
      <c r="C8" s="8">
        <v>3</v>
      </c>
      <c r="D8" s="9">
        <v>4</v>
      </c>
      <c r="E8" s="8">
        <v>5</v>
      </c>
      <c r="F8" s="8">
        <v>6</v>
      </c>
    </row>
    <row r="9" spans="1:8" s="36" customFormat="1" ht="20.100000000000001" customHeight="1" x14ac:dyDescent="0.2">
      <c r="A9" s="12">
        <v>1</v>
      </c>
      <c r="B9" s="9" t="s">
        <v>65</v>
      </c>
      <c r="C9" s="13" t="s">
        <v>66</v>
      </c>
      <c r="D9" s="9"/>
      <c r="E9" s="35">
        <f>SUM(+E10+E12+E14)</f>
        <v>506.59999999999997</v>
      </c>
      <c r="F9" s="35">
        <f>SUM(+F10+F12+F14)</f>
        <v>375.1</v>
      </c>
      <c r="G9" s="197"/>
      <c r="H9" s="198"/>
    </row>
    <row r="10" spans="1:8" s="36" customFormat="1" ht="24.75" customHeight="1" x14ac:dyDescent="0.25">
      <c r="A10" s="12">
        <v>2</v>
      </c>
      <c r="B10" s="14" t="s">
        <v>227</v>
      </c>
      <c r="C10" s="161" t="s">
        <v>425</v>
      </c>
      <c r="D10" s="14" t="s">
        <v>219</v>
      </c>
      <c r="E10" s="199">
        <f>+E11</f>
        <v>416.4</v>
      </c>
      <c r="F10" s="199">
        <f>+F11</f>
        <v>348.3</v>
      </c>
      <c r="G10" s="197"/>
      <c r="H10" s="200"/>
    </row>
    <row r="11" spans="1:8" s="36" customFormat="1" ht="12.6" customHeight="1" x14ac:dyDescent="0.2">
      <c r="A11" s="12">
        <v>3</v>
      </c>
      <c r="B11" s="14"/>
      <c r="C11" s="152" t="s">
        <v>213</v>
      </c>
      <c r="D11" s="9"/>
      <c r="E11" s="34">
        <v>416.4</v>
      </c>
      <c r="F11" s="34">
        <v>348.3</v>
      </c>
      <c r="G11" s="197"/>
      <c r="H11" s="197"/>
    </row>
    <row r="12" spans="1:8" s="36" customFormat="1" ht="25.5" x14ac:dyDescent="0.2">
      <c r="A12" s="12">
        <v>4</v>
      </c>
      <c r="B12" s="14" t="s">
        <v>228</v>
      </c>
      <c r="C12" s="161" t="s">
        <v>716</v>
      </c>
      <c r="D12" s="14" t="s">
        <v>219</v>
      </c>
      <c r="E12" s="199">
        <f>+E13</f>
        <v>88.4</v>
      </c>
      <c r="F12" s="199">
        <f>+F13</f>
        <v>25</v>
      </c>
      <c r="G12" s="197"/>
      <c r="H12" s="197"/>
    </row>
    <row r="13" spans="1:8" s="36" customFormat="1" ht="12.6" customHeight="1" x14ac:dyDescent="0.2">
      <c r="A13" s="12">
        <v>5</v>
      </c>
      <c r="B13" s="14"/>
      <c r="C13" s="152" t="s">
        <v>213</v>
      </c>
      <c r="D13" s="9"/>
      <c r="E13" s="34">
        <v>88.4</v>
      </c>
      <c r="F13" s="34">
        <v>25</v>
      </c>
      <c r="G13" s="197"/>
      <c r="H13" s="197"/>
    </row>
    <row r="14" spans="1:8" s="36" customFormat="1" ht="12.6" customHeight="1" x14ac:dyDescent="0.2">
      <c r="A14" s="12">
        <v>6</v>
      </c>
      <c r="B14" s="14" t="s">
        <v>229</v>
      </c>
      <c r="C14" s="161" t="s">
        <v>230</v>
      </c>
      <c r="D14" s="14" t="s">
        <v>69</v>
      </c>
      <c r="E14" s="199">
        <f>+E15</f>
        <v>1.8</v>
      </c>
      <c r="F14" s="199">
        <f>+F15</f>
        <v>1.8</v>
      </c>
      <c r="G14" s="197"/>
      <c r="H14" s="197"/>
    </row>
    <row r="15" spans="1:8" s="36" customFormat="1" ht="12.6" customHeight="1" x14ac:dyDescent="0.2">
      <c r="A15" s="12">
        <v>7</v>
      </c>
      <c r="B15" s="9"/>
      <c r="C15" s="190" t="s">
        <v>3</v>
      </c>
      <c r="D15" s="9"/>
      <c r="E15" s="34">
        <v>1.8</v>
      </c>
      <c r="F15" s="34">
        <v>1.8</v>
      </c>
      <c r="G15" s="197"/>
      <c r="H15" s="197"/>
    </row>
    <row r="16" spans="1:8" s="36" customFormat="1" ht="19.5" customHeight="1" x14ac:dyDescent="0.2">
      <c r="A16" s="305">
        <v>8</v>
      </c>
      <c r="B16" s="314" t="s">
        <v>21</v>
      </c>
      <c r="C16" s="320" t="s">
        <v>22</v>
      </c>
      <c r="D16" s="365"/>
      <c r="E16" s="124">
        <v>3207.4</v>
      </c>
      <c r="F16" s="34"/>
      <c r="G16" s="197"/>
      <c r="H16" s="197"/>
    </row>
    <row r="17" spans="1:11" ht="18" customHeight="1" x14ac:dyDescent="0.2">
      <c r="A17" s="306"/>
      <c r="B17" s="315"/>
      <c r="C17" s="321"/>
      <c r="D17" s="366"/>
      <c r="E17" s="35">
        <v>3279.3</v>
      </c>
      <c r="F17" s="35">
        <f>SUM(F18+F25+F27+F29+F42+F44+F46)</f>
        <v>1521.7000000000003</v>
      </c>
      <c r="G17" s="4"/>
      <c r="H17" s="4"/>
    </row>
    <row r="18" spans="1:11" ht="24.95" customHeight="1" x14ac:dyDescent="0.2">
      <c r="A18" s="12">
        <v>9</v>
      </c>
      <c r="B18" s="1" t="s">
        <v>231</v>
      </c>
      <c r="C18" s="161" t="s">
        <v>232</v>
      </c>
      <c r="D18" s="18" t="s">
        <v>24</v>
      </c>
      <c r="E18" s="201">
        <f>SUM(E19:E24)</f>
        <v>968.9</v>
      </c>
      <c r="F18" s="201">
        <f>SUM(F19:F24)</f>
        <v>375.9</v>
      </c>
      <c r="G18" s="4"/>
      <c r="H18" s="4"/>
      <c r="K18" s="70"/>
    </row>
    <row r="19" spans="1:11" ht="12.6" customHeight="1" x14ac:dyDescent="0.2">
      <c r="A19" s="12">
        <v>10</v>
      </c>
      <c r="B19" s="1"/>
      <c r="C19" s="16" t="s">
        <v>1</v>
      </c>
      <c r="D19" s="18"/>
      <c r="E19" s="19">
        <v>212</v>
      </c>
      <c r="F19" s="19">
        <v>208.7</v>
      </c>
      <c r="G19" s="4"/>
      <c r="H19" s="4"/>
    </row>
    <row r="20" spans="1:11" ht="12.6" customHeight="1" x14ac:dyDescent="0.2">
      <c r="A20" s="12">
        <v>11</v>
      </c>
      <c r="B20" s="1"/>
      <c r="C20" s="163" t="s">
        <v>2</v>
      </c>
      <c r="D20" s="18"/>
      <c r="E20" s="19">
        <v>80</v>
      </c>
      <c r="F20" s="19">
        <v>78.8</v>
      </c>
      <c r="G20" s="4"/>
      <c r="H20" s="4"/>
    </row>
    <row r="21" spans="1:11" ht="12.6" customHeight="1" x14ac:dyDescent="0.2">
      <c r="A21" s="12">
        <v>12</v>
      </c>
      <c r="B21" s="1"/>
      <c r="C21" s="163" t="s">
        <v>15</v>
      </c>
      <c r="D21" s="18"/>
      <c r="E21" s="19">
        <v>51</v>
      </c>
      <c r="F21" s="19">
        <v>31</v>
      </c>
      <c r="G21" s="4"/>
      <c r="H21" s="4"/>
    </row>
    <row r="22" spans="1:11" ht="12.6" customHeight="1" x14ac:dyDescent="0.2">
      <c r="A22" s="12">
        <v>13</v>
      </c>
      <c r="B22" s="1"/>
      <c r="C22" s="163" t="s">
        <v>19</v>
      </c>
      <c r="D22" s="18"/>
      <c r="E22" s="19">
        <v>60</v>
      </c>
      <c r="F22" s="19">
        <f>59.1-1.7</f>
        <v>57.4</v>
      </c>
      <c r="G22" s="4"/>
      <c r="H22" s="4"/>
    </row>
    <row r="23" spans="1:11" ht="12.6" customHeight="1" x14ac:dyDescent="0.2">
      <c r="A23" s="305">
        <v>14</v>
      </c>
      <c r="B23" s="307"/>
      <c r="C23" s="347" t="s">
        <v>3</v>
      </c>
      <c r="D23" s="369"/>
      <c r="E23" s="127">
        <v>247</v>
      </c>
      <c r="F23" s="19"/>
      <c r="G23" s="4"/>
      <c r="H23" s="4"/>
    </row>
    <row r="24" spans="1:11" ht="12.6" customHeight="1" x14ac:dyDescent="0.2">
      <c r="A24" s="306"/>
      <c r="B24" s="308"/>
      <c r="C24" s="348"/>
      <c r="D24" s="370"/>
      <c r="E24" s="128">
        <f>247+71.9</f>
        <v>318.89999999999998</v>
      </c>
      <c r="F24" s="19"/>
      <c r="G24" s="4">
        <v>71.900000000000006</v>
      </c>
      <c r="H24" s="4"/>
    </row>
    <row r="25" spans="1:11" ht="24.95" customHeight="1" x14ac:dyDescent="0.2">
      <c r="A25" s="12">
        <v>15</v>
      </c>
      <c r="B25" s="1" t="s">
        <v>233</v>
      </c>
      <c r="C25" s="161" t="s">
        <v>234</v>
      </c>
      <c r="D25" s="1" t="s">
        <v>23</v>
      </c>
      <c r="E25" s="201">
        <f>SUM(E26:E26)</f>
        <v>872.1</v>
      </c>
      <c r="F25" s="201">
        <f>SUM(F26:F26)</f>
        <v>839</v>
      </c>
      <c r="G25" s="4"/>
      <c r="H25" s="4"/>
    </row>
    <row r="26" spans="1:11" ht="12.6" customHeight="1" x14ac:dyDescent="0.2">
      <c r="A26" s="12">
        <v>16</v>
      </c>
      <c r="B26" s="1"/>
      <c r="C26" s="16" t="s">
        <v>147</v>
      </c>
      <c r="D26" s="1"/>
      <c r="E26" s="19">
        <v>872.1</v>
      </c>
      <c r="F26" s="19">
        <v>839</v>
      </c>
      <c r="G26" s="4"/>
      <c r="H26" s="4"/>
    </row>
    <row r="27" spans="1:11" ht="25.5" x14ac:dyDescent="0.2">
      <c r="A27" s="12">
        <v>17</v>
      </c>
      <c r="B27" s="1" t="s">
        <v>235</v>
      </c>
      <c r="C27" s="161" t="s">
        <v>433</v>
      </c>
      <c r="D27" s="1" t="s">
        <v>23</v>
      </c>
      <c r="E27" s="201">
        <f>SUM(E28:E28)</f>
        <v>136</v>
      </c>
      <c r="F27" s="201">
        <f>SUM(F28:F28)</f>
        <v>130.9</v>
      </c>
      <c r="G27" s="4"/>
      <c r="H27" s="4"/>
    </row>
    <row r="28" spans="1:11" x14ac:dyDescent="0.2">
      <c r="A28" s="12">
        <v>18</v>
      </c>
      <c r="B28" s="1"/>
      <c r="C28" s="16" t="s">
        <v>147</v>
      </c>
      <c r="D28" s="1"/>
      <c r="E28" s="19">
        <v>136</v>
      </c>
      <c r="F28" s="19">
        <f>134.1-3.2</f>
        <v>130.9</v>
      </c>
      <c r="G28" s="4"/>
      <c r="H28" s="4"/>
    </row>
    <row r="29" spans="1:11" ht="45.6" customHeight="1" x14ac:dyDescent="0.2">
      <c r="A29" s="12">
        <v>19</v>
      </c>
      <c r="B29" s="1" t="s">
        <v>238</v>
      </c>
      <c r="C29" s="161" t="s">
        <v>236</v>
      </c>
      <c r="D29" s="14" t="s">
        <v>237</v>
      </c>
      <c r="E29" s="201">
        <f>SUM(E30:E41)</f>
        <v>398.5</v>
      </c>
      <c r="F29" s="201">
        <f>SUM(F30:F41)</f>
        <v>11.3</v>
      </c>
      <c r="G29" s="4"/>
      <c r="H29" s="4"/>
    </row>
    <row r="30" spans="1:11" ht="12.6" customHeight="1" x14ac:dyDescent="0.2">
      <c r="A30" s="12">
        <v>20</v>
      </c>
      <c r="B30" s="1"/>
      <c r="C30" s="190" t="s">
        <v>3</v>
      </c>
      <c r="D30" s="14"/>
      <c r="E30" s="19">
        <v>5</v>
      </c>
      <c r="F30" s="19"/>
      <c r="G30" s="4"/>
      <c r="H30" s="4"/>
    </row>
    <row r="31" spans="1:11" ht="12.6" customHeight="1" x14ac:dyDescent="0.2">
      <c r="A31" s="12">
        <v>21</v>
      </c>
      <c r="B31" s="1"/>
      <c r="C31" s="15" t="s">
        <v>8</v>
      </c>
      <c r="D31" s="1"/>
      <c r="E31" s="19">
        <v>202.7</v>
      </c>
      <c r="F31" s="19">
        <v>5.8</v>
      </c>
      <c r="G31" s="4"/>
      <c r="H31" s="4"/>
    </row>
    <row r="32" spans="1:11" ht="12.6" customHeight="1" x14ac:dyDescent="0.2">
      <c r="A32" s="12">
        <v>22</v>
      </c>
      <c r="B32" s="1"/>
      <c r="C32" s="15" t="s">
        <v>4</v>
      </c>
      <c r="D32" s="1"/>
      <c r="E32" s="19">
        <v>40.799999999999997</v>
      </c>
      <c r="F32" s="19">
        <v>1.2</v>
      </c>
      <c r="G32" s="4"/>
      <c r="H32" s="4"/>
    </row>
    <row r="33" spans="1:8" ht="12.6" customHeight="1" x14ac:dyDescent="0.2">
      <c r="A33" s="12">
        <v>23</v>
      </c>
      <c r="B33" s="1"/>
      <c r="C33" s="15" t="s">
        <v>5</v>
      </c>
      <c r="D33" s="1"/>
      <c r="E33" s="19">
        <v>13.7</v>
      </c>
      <c r="F33" s="19">
        <v>0.4</v>
      </c>
      <c r="G33" s="4"/>
      <c r="H33" s="4"/>
    </row>
    <row r="34" spans="1:8" ht="12.6" customHeight="1" x14ac:dyDescent="0.2">
      <c r="A34" s="12">
        <v>24</v>
      </c>
      <c r="B34" s="1"/>
      <c r="C34" s="15" t="s">
        <v>7</v>
      </c>
      <c r="D34" s="1"/>
      <c r="E34" s="19">
        <v>21.4</v>
      </c>
      <c r="F34" s="19">
        <v>0.6</v>
      </c>
      <c r="G34" s="4"/>
      <c r="H34" s="4"/>
    </row>
    <row r="35" spans="1:8" ht="12.6" customHeight="1" x14ac:dyDescent="0.2">
      <c r="A35" s="12">
        <v>25</v>
      </c>
      <c r="B35" s="1"/>
      <c r="C35" s="15" t="s">
        <v>6</v>
      </c>
      <c r="D35" s="1"/>
      <c r="E35" s="19">
        <v>18.100000000000001</v>
      </c>
      <c r="F35" s="19">
        <v>0.5</v>
      </c>
      <c r="G35" s="4"/>
      <c r="H35" s="4"/>
    </row>
    <row r="36" spans="1:8" ht="12.6" customHeight="1" x14ac:dyDescent="0.2">
      <c r="A36" s="12">
        <v>26</v>
      </c>
      <c r="B36" s="1"/>
      <c r="C36" s="15" t="s">
        <v>9</v>
      </c>
      <c r="D36" s="1"/>
      <c r="E36" s="19">
        <v>27.8</v>
      </c>
      <c r="F36" s="19">
        <v>0.8</v>
      </c>
      <c r="G36" s="4"/>
      <c r="H36" s="4"/>
    </row>
    <row r="37" spans="1:8" ht="12.6" customHeight="1" x14ac:dyDescent="0.2">
      <c r="A37" s="12">
        <v>27</v>
      </c>
      <c r="B37" s="1"/>
      <c r="C37" s="16" t="s">
        <v>10</v>
      </c>
      <c r="D37" s="1"/>
      <c r="E37" s="19">
        <v>13.3</v>
      </c>
      <c r="F37" s="19">
        <v>0.4</v>
      </c>
      <c r="G37" s="4"/>
      <c r="H37" s="4"/>
    </row>
    <row r="38" spans="1:8" ht="12.6" customHeight="1" x14ac:dyDescent="0.2">
      <c r="A38" s="12">
        <v>28</v>
      </c>
      <c r="B38" s="1"/>
      <c r="C38" s="15" t="s">
        <v>12</v>
      </c>
      <c r="D38" s="1"/>
      <c r="E38" s="19">
        <v>8.4</v>
      </c>
      <c r="F38" s="19">
        <v>0.2</v>
      </c>
      <c r="G38" s="4"/>
      <c r="H38" s="4"/>
    </row>
    <row r="39" spans="1:8" ht="12.6" customHeight="1" x14ac:dyDescent="0.2">
      <c r="A39" s="12">
        <v>29</v>
      </c>
      <c r="B39" s="1"/>
      <c r="C39" s="15" t="s">
        <v>11</v>
      </c>
      <c r="D39" s="1"/>
      <c r="E39" s="19">
        <v>17.399999999999999</v>
      </c>
      <c r="F39" s="19">
        <v>0.5</v>
      </c>
      <c r="G39" s="4"/>
      <c r="H39" s="4"/>
    </row>
    <row r="40" spans="1:8" ht="12.6" customHeight="1" x14ac:dyDescent="0.2">
      <c r="A40" s="12">
        <v>30</v>
      </c>
      <c r="B40" s="1"/>
      <c r="C40" s="15" t="s">
        <v>13</v>
      </c>
      <c r="D40" s="1"/>
      <c r="E40" s="19">
        <v>10.1</v>
      </c>
      <c r="F40" s="19">
        <v>0.3</v>
      </c>
      <c r="G40" s="4"/>
      <c r="H40" s="4"/>
    </row>
    <row r="41" spans="1:8" ht="12.6" customHeight="1" x14ac:dyDescent="0.2">
      <c r="A41" s="12">
        <v>31</v>
      </c>
      <c r="B41" s="1"/>
      <c r="C41" s="15" t="s">
        <v>14</v>
      </c>
      <c r="D41" s="1"/>
      <c r="E41" s="19">
        <v>19.8</v>
      </c>
      <c r="F41" s="19">
        <v>0.6</v>
      </c>
      <c r="G41" s="4"/>
      <c r="H41" s="4"/>
    </row>
    <row r="42" spans="1:8" ht="29.25" customHeight="1" x14ac:dyDescent="0.2">
      <c r="A42" s="12">
        <v>32</v>
      </c>
      <c r="B42" s="1" t="s">
        <v>240</v>
      </c>
      <c r="C42" s="202" t="s">
        <v>239</v>
      </c>
      <c r="D42" s="1" t="s">
        <v>31</v>
      </c>
      <c r="E42" s="201">
        <f>+E43</f>
        <v>947.6</v>
      </c>
      <c r="F42" s="201">
        <f>+F43</f>
        <v>16.8</v>
      </c>
      <c r="G42" s="4"/>
      <c r="H42" s="4"/>
    </row>
    <row r="43" spans="1:8" ht="12.6" customHeight="1" x14ac:dyDescent="0.2">
      <c r="A43" s="12">
        <v>33</v>
      </c>
      <c r="B43" s="1"/>
      <c r="C43" s="190" t="s">
        <v>3</v>
      </c>
      <c r="D43" s="1"/>
      <c r="E43" s="19">
        <v>947.6</v>
      </c>
      <c r="F43" s="19">
        <v>16.8</v>
      </c>
      <c r="G43" s="4"/>
      <c r="H43" s="4"/>
    </row>
    <row r="44" spans="1:8" ht="24.95" customHeight="1" x14ac:dyDescent="0.2">
      <c r="A44" s="12">
        <v>34</v>
      </c>
      <c r="B44" s="1" t="s">
        <v>429</v>
      </c>
      <c r="C44" s="202" t="s">
        <v>241</v>
      </c>
      <c r="D44" s="1" t="s">
        <v>72</v>
      </c>
      <c r="E44" s="201">
        <f>+E45</f>
        <v>13.1</v>
      </c>
      <c r="F44" s="201">
        <f>+F45</f>
        <v>0.4</v>
      </c>
      <c r="G44" s="4"/>
      <c r="H44" s="4"/>
    </row>
    <row r="45" spans="1:8" ht="12.6" customHeight="1" x14ac:dyDescent="0.2">
      <c r="A45" s="12">
        <v>35</v>
      </c>
      <c r="B45" s="1"/>
      <c r="C45" s="190" t="s">
        <v>3</v>
      </c>
      <c r="D45" s="1"/>
      <c r="E45" s="19">
        <f>11.1+2</f>
        <v>13.1</v>
      </c>
      <c r="F45" s="19">
        <v>0.4</v>
      </c>
      <c r="G45" s="4"/>
      <c r="H45" s="4"/>
    </row>
    <row r="46" spans="1:8" ht="12.6" customHeight="1" x14ac:dyDescent="0.2">
      <c r="A46" s="12">
        <v>36</v>
      </c>
      <c r="B46" s="1" t="s">
        <v>719</v>
      </c>
      <c r="C46" s="202" t="s">
        <v>709</v>
      </c>
      <c r="D46" s="1" t="s">
        <v>39</v>
      </c>
      <c r="E46" s="201">
        <f>SUM(E47:E58)</f>
        <v>190.09999999999997</v>
      </c>
      <c r="F46" s="201">
        <f>SUM(F47:F58)</f>
        <v>147.4</v>
      </c>
      <c r="G46" s="4"/>
      <c r="H46" s="4"/>
    </row>
    <row r="47" spans="1:8" ht="12.6" customHeight="1" x14ac:dyDescent="0.2">
      <c r="A47" s="12">
        <v>37</v>
      </c>
      <c r="B47" s="1"/>
      <c r="C47" s="190" t="s">
        <v>3</v>
      </c>
      <c r="D47" s="1"/>
      <c r="E47" s="201">
        <v>60</v>
      </c>
      <c r="F47" s="201">
        <v>21.6</v>
      </c>
      <c r="G47" s="4"/>
      <c r="H47" s="4"/>
    </row>
    <row r="48" spans="1:8" ht="12.6" customHeight="1" x14ac:dyDescent="0.2">
      <c r="A48" s="12">
        <v>38</v>
      </c>
      <c r="B48" s="1"/>
      <c r="C48" s="15" t="s">
        <v>8</v>
      </c>
      <c r="D48" s="1"/>
      <c r="E48" s="19">
        <v>34.6</v>
      </c>
      <c r="F48" s="19">
        <v>33.299999999999997</v>
      </c>
      <c r="G48" s="4"/>
      <c r="H48" s="4"/>
    </row>
    <row r="49" spans="1:8" ht="12.6" customHeight="1" x14ac:dyDescent="0.2">
      <c r="A49" s="12">
        <v>39</v>
      </c>
      <c r="B49" s="1"/>
      <c r="C49" s="15" t="s">
        <v>4</v>
      </c>
      <c r="D49" s="1"/>
      <c r="E49" s="19">
        <v>11.5</v>
      </c>
      <c r="F49" s="19">
        <v>11.1</v>
      </c>
      <c r="G49" s="4"/>
      <c r="H49" s="4"/>
    </row>
    <row r="50" spans="1:8" ht="12.6" customHeight="1" x14ac:dyDescent="0.2">
      <c r="A50" s="12">
        <v>40</v>
      </c>
      <c r="B50" s="1"/>
      <c r="C50" s="15" t="s">
        <v>5</v>
      </c>
      <c r="D50" s="1"/>
      <c r="E50" s="19">
        <v>11.5</v>
      </c>
      <c r="F50" s="19">
        <v>11.1</v>
      </c>
      <c r="G50" s="4"/>
      <c r="H50" s="4"/>
    </row>
    <row r="51" spans="1:8" ht="12.6" customHeight="1" x14ac:dyDescent="0.2">
      <c r="A51" s="12">
        <v>41</v>
      </c>
      <c r="B51" s="1"/>
      <c r="C51" s="15" t="s">
        <v>7</v>
      </c>
      <c r="D51" s="1"/>
      <c r="E51" s="19">
        <v>11.5</v>
      </c>
      <c r="F51" s="19">
        <v>11.1</v>
      </c>
      <c r="G51" s="4"/>
      <c r="H51" s="4"/>
    </row>
    <row r="52" spans="1:8" ht="12.6" customHeight="1" x14ac:dyDescent="0.2">
      <c r="A52" s="12">
        <v>42</v>
      </c>
      <c r="B52" s="1"/>
      <c r="C52" s="15" t="s">
        <v>6</v>
      </c>
      <c r="D52" s="1"/>
      <c r="E52" s="19">
        <v>7.6</v>
      </c>
      <c r="F52" s="19">
        <v>7.4</v>
      </c>
      <c r="G52" s="4"/>
      <c r="H52" s="4"/>
    </row>
    <row r="53" spans="1:8" ht="12.6" customHeight="1" x14ac:dyDescent="0.2">
      <c r="A53" s="12">
        <v>43</v>
      </c>
      <c r="B53" s="1"/>
      <c r="C53" s="15" t="s">
        <v>9</v>
      </c>
      <c r="D53" s="1"/>
      <c r="E53" s="19">
        <v>11.5</v>
      </c>
      <c r="F53" s="19">
        <v>11.1</v>
      </c>
      <c r="G53" s="4"/>
      <c r="H53" s="4"/>
    </row>
    <row r="54" spans="1:8" ht="12.6" customHeight="1" x14ac:dyDescent="0.2">
      <c r="A54" s="12">
        <v>44</v>
      </c>
      <c r="B54" s="1"/>
      <c r="C54" s="16" t="s">
        <v>10</v>
      </c>
      <c r="D54" s="1"/>
      <c r="E54" s="19">
        <v>7.6</v>
      </c>
      <c r="F54" s="19">
        <v>7.4</v>
      </c>
      <c r="G54" s="4"/>
      <c r="H54" s="4"/>
    </row>
    <row r="55" spans="1:8" ht="12.6" customHeight="1" x14ac:dyDescent="0.2">
      <c r="A55" s="12">
        <v>45</v>
      </c>
      <c r="B55" s="1"/>
      <c r="C55" s="15" t="s">
        <v>12</v>
      </c>
      <c r="D55" s="1"/>
      <c r="E55" s="19">
        <v>7.6</v>
      </c>
      <c r="F55" s="19">
        <v>7.4</v>
      </c>
      <c r="G55" s="4"/>
      <c r="H55" s="4"/>
    </row>
    <row r="56" spans="1:8" ht="12.6" customHeight="1" x14ac:dyDescent="0.2">
      <c r="A56" s="12">
        <v>46</v>
      </c>
      <c r="B56" s="1"/>
      <c r="C56" s="15" t="s">
        <v>11</v>
      </c>
      <c r="D56" s="1"/>
      <c r="E56" s="19">
        <v>7.6</v>
      </c>
      <c r="F56" s="19">
        <v>7.4</v>
      </c>
      <c r="G56" s="4"/>
      <c r="H56" s="4"/>
    </row>
    <row r="57" spans="1:8" ht="12.6" customHeight="1" x14ac:dyDescent="0.2">
      <c r="A57" s="12">
        <v>47</v>
      </c>
      <c r="B57" s="1"/>
      <c r="C57" s="15" t="s">
        <v>13</v>
      </c>
      <c r="D57" s="1"/>
      <c r="E57" s="19">
        <v>7.6</v>
      </c>
      <c r="F57" s="19">
        <v>7.4</v>
      </c>
      <c r="G57" s="4"/>
      <c r="H57" s="4"/>
    </row>
    <row r="58" spans="1:8" ht="12.6" customHeight="1" x14ac:dyDescent="0.2">
      <c r="A58" s="12">
        <v>48</v>
      </c>
      <c r="B58" s="1"/>
      <c r="C58" s="15" t="s">
        <v>14</v>
      </c>
      <c r="D58" s="1"/>
      <c r="E58" s="19">
        <v>11.5</v>
      </c>
      <c r="F58" s="19">
        <v>11.1</v>
      </c>
      <c r="G58" s="4"/>
      <c r="H58" s="4"/>
    </row>
    <row r="59" spans="1:8" ht="18" customHeight="1" x14ac:dyDescent="0.2">
      <c r="A59" s="12">
        <v>49</v>
      </c>
      <c r="B59" s="11" t="s">
        <v>32</v>
      </c>
      <c r="C59" s="17" t="s">
        <v>33</v>
      </c>
      <c r="D59" s="1"/>
      <c r="E59" s="35">
        <f>+E60+E72</f>
        <v>614.80000000000007</v>
      </c>
      <c r="F59" s="35">
        <f>+F60+F72</f>
        <v>236.89999999999995</v>
      </c>
      <c r="G59" s="4"/>
      <c r="H59" s="4"/>
    </row>
    <row r="60" spans="1:8" ht="12.6" customHeight="1" x14ac:dyDescent="0.2">
      <c r="A60" s="12">
        <v>50</v>
      </c>
      <c r="B60" s="1" t="s">
        <v>242</v>
      </c>
      <c r="C60" s="202" t="s">
        <v>243</v>
      </c>
      <c r="D60" s="1" t="s">
        <v>244</v>
      </c>
      <c r="E60" s="201">
        <f>SUM(E61:E71)</f>
        <v>254.80000000000007</v>
      </c>
      <c r="F60" s="201">
        <f>SUM(F61:F71)</f>
        <v>236.89999999999995</v>
      </c>
      <c r="G60" s="4"/>
      <c r="H60" s="4"/>
    </row>
    <row r="61" spans="1:8" ht="12.6" customHeight="1" x14ac:dyDescent="0.2">
      <c r="A61" s="12">
        <v>51</v>
      </c>
      <c r="B61" s="1"/>
      <c r="C61" s="190" t="s">
        <v>3</v>
      </c>
      <c r="D61" s="1"/>
      <c r="E61" s="19">
        <v>136.5</v>
      </c>
      <c r="F61" s="19">
        <v>120.3</v>
      </c>
      <c r="G61" s="4"/>
      <c r="H61" s="4"/>
    </row>
    <row r="62" spans="1:8" ht="12.6" customHeight="1" x14ac:dyDescent="0.2">
      <c r="A62" s="12">
        <v>52</v>
      </c>
      <c r="B62" s="1"/>
      <c r="C62" s="15" t="s">
        <v>4</v>
      </c>
      <c r="D62" s="1"/>
      <c r="E62" s="19">
        <v>13.4</v>
      </c>
      <c r="F62" s="19">
        <v>13.2</v>
      </c>
      <c r="G62" s="4"/>
      <c r="H62" s="4"/>
    </row>
    <row r="63" spans="1:8" ht="12.6" customHeight="1" x14ac:dyDescent="0.2">
      <c r="A63" s="12">
        <v>53</v>
      </c>
      <c r="B63" s="1"/>
      <c r="C63" s="15" t="s">
        <v>5</v>
      </c>
      <c r="D63" s="1"/>
      <c r="E63" s="19">
        <v>10</v>
      </c>
      <c r="F63" s="19">
        <v>9.9</v>
      </c>
      <c r="G63" s="4"/>
      <c r="H63" s="4"/>
    </row>
    <row r="64" spans="1:8" ht="12.6" customHeight="1" x14ac:dyDescent="0.2">
      <c r="A64" s="12">
        <v>54</v>
      </c>
      <c r="B64" s="1"/>
      <c r="C64" s="15" t="s">
        <v>7</v>
      </c>
      <c r="D64" s="1"/>
      <c r="E64" s="19">
        <v>5.5</v>
      </c>
      <c r="F64" s="19">
        <v>5.4</v>
      </c>
      <c r="G64" s="4"/>
      <c r="H64" s="4"/>
    </row>
    <row r="65" spans="1:8" ht="12.6" customHeight="1" x14ac:dyDescent="0.2">
      <c r="A65" s="12">
        <v>55</v>
      </c>
      <c r="B65" s="1"/>
      <c r="C65" s="15" t="s">
        <v>6</v>
      </c>
      <c r="D65" s="1"/>
      <c r="E65" s="19">
        <v>17.899999999999999</v>
      </c>
      <c r="F65" s="19">
        <v>17.600000000000001</v>
      </c>
      <c r="G65" s="4"/>
      <c r="H65" s="4"/>
    </row>
    <row r="66" spans="1:8" ht="12.6" customHeight="1" x14ac:dyDescent="0.2">
      <c r="A66" s="12">
        <v>56</v>
      </c>
      <c r="B66" s="1"/>
      <c r="C66" s="15" t="s">
        <v>9</v>
      </c>
      <c r="D66" s="1"/>
      <c r="E66" s="19">
        <v>14.3</v>
      </c>
      <c r="F66" s="19">
        <v>14.1</v>
      </c>
      <c r="G66" s="4"/>
      <c r="H66" s="4"/>
    </row>
    <row r="67" spans="1:8" ht="12.6" customHeight="1" x14ac:dyDescent="0.2">
      <c r="A67" s="12">
        <v>57</v>
      </c>
      <c r="B67" s="1"/>
      <c r="C67" s="16" t="s">
        <v>10</v>
      </c>
      <c r="D67" s="1"/>
      <c r="E67" s="19">
        <v>10.3</v>
      </c>
      <c r="F67" s="19">
        <v>10.199999999999999</v>
      </c>
      <c r="G67" s="4"/>
      <c r="H67" s="4"/>
    </row>
    <row r="68" spans="1:8" ht="12.6" customHeight="1" x14ac:dyDescent="0.2">
      <c r="A68" s="12">
        <v>58</v>
      </c>
      <c r="B68" s="1"/>
      <c r="C68" s="15" t="s">
        <v>12</v>
      </c>
      <c r="D68" s="1"/>
      <c r="E68" s="19">
        <v>9.3000000000000007</v>
      </c>
      <c r="F68" s="19">
        <v>9.1999999999999993</v>
      </c>
      <c r="G68" s="4"/>
      <c r="H68" s="4"/>
    </row>
    <row r="69" spans="1:8" ht="12.6" customHeight="1" x14ac:dyDescent="0.2">
      <c r="A69" s="12">
        <v>59</v>
      </c>
      <c r="B69" s="1"/>
      <c r="C69" s="15" t="s">
        <v>11</v>
      </c>
      <c r="D69" s="1"/>
      <c r="E69" s="19">
        <v>13.4</v>
      </c>
      <c r="F69" s="19">
        <v>13.2</v>
      </c>
      <c r="G69" s="4"/>
      <c r="H69" s="4"/>
    </row>
    <row r="70" spans="1:8" ht="12.6" customHeight="1" x14ac:dyDescent="0.2">
      <c r="A70" s="12">
        <v>60</v>
      </c>
      <c r="B70" s="1"/>
      <c r="C70" s="15" t="s">
        <v>13</v>
      </c>
      <c r="D70" s="1"/>
      <c r="E70" s="19">
        <v>10.8</v>
      </c>
      <c r="F70" s="19">
        <v>10.6</v>
      </c>
      <c r="G70" s="4"/>
      <c r="H70" s="4"/>
    </row>
    <row r="71" spans="1:8" ht="12.6" customHeight="1" x14ac:dyDescent="0.2">
      <c r="A71" s="12">
        <v>61</v>
      </c>
      <c r="B71" s="1"/>
      <c r="C71" s="15" t="s">
        <v>14</v>
      </c>
      <c r="D71" s="1"/>
      <c r="E71" s="19">
        <v>13.4</v>
      </c>
      <c r="F71" s="19">
        <v>13.2</v>
      </c>
      <c r="G71" s="4"/>
      <c r="H71" s="4"/>
    </row>
    <row r="72" spans="1:8" ht="67.5" customHeight="1" x14ac:dyDescent="0.2">
      <c r="A72" s="305">
        <v>62</v>
      </c>
      <c r="B72" s="307" t="s">
        <v>245</v>
      </c>
      <c r="C72" s="161" t="s">
        <v>626</v>
      </c>
      <c r="D72" s="307"/>
      <c r="E72" s="201">
        <f>+E74</f>
        <v>360</v>
      </c>
      <c r="F72" s="201">
        <f>+F74</f>
        <v>0</v>
      </c>
      <c r="G72" s="4"/>
      <c r="H72" s="4"/>
    </row>
    <row r="73" spans="1:8" ht="12.6" customHeight="1" x14ac:dyDescent="0.2">
      <c r="A73" s="306"/>
      <c r="B73" s="308"/>
      <c r="C73" s="161" t="s">
        <v>246</v>
      </c>
      <c r="D73" s="308"/>
      <c r="E73" s="201">
        <v>9</v>
      </c>
      <c r="F73" s="201"/>
      <c r="G73" s="4"/>
      <c r="H73" s="4"/>
    </row>
    <row r="74" spans="1:8" ht="12.6" customHeight="1" x14ac:dyDescent="0.2">
      <c r="A74" s="12">
        <v>63</v>
      </c>
      <c r="B74" s="1"/>
      <c r="C74" s="190" t="s">
        <v>3</v>
      </c>
      <c r="D74" s="1" t="s">
        <v>247</v>
      </c>
      <c r="E74" s="19">
        <v>360</v>
      </c>
      <c r="F74" s="19"/>
      <c r="G74" s="4"/>
      <c r="H74" s="4"/>
    </row>
    <row r="75" spans="1:8" ht="18" customHeight="1" x14ac:dyDescent="0.2">
      <c r="A75" s="12">
        <v>64</v>
      </c>
      <c r="B75" s="11" t="s">
        <v>25</v>
      </c>
      <c r="C75" s="17" t="s">
        <v>26</v>
      </c>
      <c r="D75" s="1"/>
      <c r="E75" s="35">
        <f>SUM(E76+E78+E80+E82+E84+E86+E88+E90+E92+E94+E96+E98+E100)</f>
        <v>1496.2</v>
      </c>
      <c r="F75" s="35">
        <f>SUM(F76+F78+F80+F82+F84+F86+F88+F90+F92+F94+F96+F98+F100)</f>
        <v>1349.6000000000004</v>
      </c>
      <c r="G75" s="4"/>
      <c r="H75" s="4"/>
    </row>
    <row r="76" spans="1:8" ht="12.6" customHeight="1" x14ac:dyDescent="0.2">
      <c r="A76" s="12">
        <v>65</v>
      </c>
      <c r="B76" s="1" t="s">
        <v>34</v>
      </c>
      <c r="C76" s="202" t="s">
        <v>249</v>
      </c>
      <c r="D76" s="1" t="s">
        <v>28</v>
      </c>
      <c r="E76" s="201">
        <f>+E77</f>
        <v>1234.5999999999999</v>
      </c>
      <c r="F76" s="201">
        <f>+F77</f>
        <v>1145.7</v>
      </c>
      <c r="G76" s="4"/>
      <c r="H76" s="4"/>
    </row>
    <row r="77" spans="1:8" ht="12.6" customHeight="1" x14ac:dyDescent="0.2">
      <c r="A77" s="12">
        <v>66</v>
      </c>
      <c r="B77" s="122"/>
      <c r="C77" s="15" t="s">
        <v>27</v>
      </c>
      <c r="D77" s="18"/>
      <c r="E77" s="19">
        <v>1234.5999999999999</v>
      </c>
      <c r="F77" s="19">
        <v>1145.7</v>
      </c>
      <c r="G77" s="4"/>
      <c r="H77" s="4"/>
    </row>
    <row r="78" spans="1:8" ht="12.6" customHeight="1" x14ac:dyDescent="0.2">
      <c r="A78" s="12">
        <v>67</v>
      </c>
      <c r="B78" s="1" t="s">
        <v>35</v>
      </c>
      <c r="C78" s="161" t="s">
        <v>250</v>
      </c>
      <c r="D78" s="1" t="s">
        <v>251</v>
      </c>
      <c r="E78" s="201">
        <f>SUM(E79:E79)</f>
        <v>0.8</v>
      </c>
      <c r="F78" s="201">
        <f>SUM(F79:F79)</f>
        <v>0.8</v>
      </c>
      <c r="G78" s="4"/>
      <c r="H78" s="4"/>
    </row>
    <row r="79" spans="1:8" ht="12.6" customHeight="1" x14ac:dyDescent="0.2">
      <c r="A79" s="12">
        <v>68</v>
      </c>
      <c r="B79" s="1"/>
      <c r="C79" s="190" t="s">
        <v>3</v>
      </c>
      <c r="D79" s="1"/>
      <c r="E79" s="19">
        <v>0.8</v>
      </c>
      <c r="F79" s="19">
        <v>0.8</v>
      </c>
      <c r="G79" s="4"/>
      <c r="H79" s="4"/>
    </row>
    <row r="80" spans="1:8" ht="12.6" customHeight="1" x14ac:dyDescent="0.2">
      <c r="A80" s="12">
        <v>69</v>
      </c>
      <c r="B80" s="14" t="s">
        <v>36</v>
      </c>
      <c r="C80" s="161" t="s">
        <v>252</v>
      </c>
      <c r="D80" s="1" t="s">
        <v>251</v>
      </c>
      <c r="E80" s="199">
        <f>+E81</f>
        <v>47.9</v>
      </c>
      <c r="F80" s="199">
        <f>+F81</f>
        <v>42</v>
      </c>
      <c r="G80" s="4"/>
      <c r="H80" s="4"/>
    </row>
    <row r="81" spans="1:8" ht="12.6" customHeight="1" x14ac:dyDescent="0.2">
      <c r="A81" s="12">
        <v>70</v>
      </c>
      <c r="B81" s="1"/>
      <c r="C81" s="190" t="s">
        <v>3</v>
      </c>
      <c r="D81" s="1"/>
      <c r="E81" s="19">
        <v>47.9</v>
      </c>
      <c r="F81" s="19">
        <v>42</v>
      </c>
      <c r="G81" s="4"/>
      <c r="H81" s="4"/>
    </row>
    <row r="82" spans="1:8" ht="12.6" customHeight="1" x14ac:dyDescent="0.2">
      <c r="A82" s="12">
        <v>71</v>
      </c>
      <c r="B82" s="1" t="s">
        <v>37</v>
      </c>
      <c r="C82" s="161" t="s">
        <v>253</v>
      </c>
      <c r="D82" s="1" t="s">
        <v>38</v>
      </c>
      <c r="E82" s="199">
        <f>+E83</f>
        <v>35.5</v>
      </c>
      <c r="F82" s="199">
        <f>+F83</f>
        <v>34.1</v>
      </c>
      <c r="G82" s="4"/>
      <c r="H82" s="4"/>
    </row>
    <row r="83" spans="1:8" ht="12.6" customHeight="1" x14ac:dyDescent="0.2">
      <c r="A83" s="12">
        <v>72</v>
      </c>
      <c r="B83" s="1"/>
      <c r="C83" s="190" t="s">
        <v>3</v>
      </c>
      <c r="D83" s="1"/>
      <c r="E83" s="19">
        <v>35.5</v>
      </c>
      <c r="F83" s="19">
        <v>34.1</v>
      </c>
      <c r="G83" s="4"/>
      <c r="H83" s="4"/>
    </row>
    <row r="84" spans="1:8" ht="12.6" customHeight="1" x14ac:dyDescent="0.2">
      <c r="A84" s="12">
        <v>73</v>
      </c>
      <c r="B84" s="1" t="s">
        <v>182</v>
      </c>
      <c r="C84" s="161" t="s">
        <v>254</v>
      </c>
      <c r="D84" s="14" t="s">
        <v>255</v>
      </c>
      <c r="E84" s="199">
        <f>+E85</f>
        <v>57.8</v>
      </c>
      <c r="F84" s="199">
        <f>+F85</f>
        <v>21.7</v>
      </c>
      <c r="G84" s="4"/>
      <c r="H84" s="4"/>
    </row>
    <row r="85" spans="1:8" ht="12.6" customHeight="1" x14ac:dyDescent="0.2">
      <c r="A85" s="12">
        <v>74</v>
      </c>
      <c r="B85" s="1"/>
      <c r="C85" s="190" t="s">
        <v>3</v>
      </c>
      <c r="D85" s="1"/>
      <c r="E85" s="34">
        <v>57.8</v>
      </c>
      <c r="F85" s="34">
        <v>21.7</v>
      </c>
      <c r="G85" s="4"/>
      <c r="H85" s="4"/>
    </row>
    <row r="86" spans="1:8" ht="12.6" customHeight="1" x14ac:dyDescent="0.2">
      <c r="A86" s="12">
        <v>75</v>
      </c>
      <c r="B86" s="1" t="s">
        <v>256</v>
      </c>
      <c r="C86" s="202" t="s">
        <v>257</v>
      </c>
      <c r="D86" s="1" t="s">
        <v>38</v>
      </c>
      <c r="E86" s="199">
        <f>+E87</f>
        <v>9</v>
      </c>
      <c r="F86" s="199">
        <f>+F87</f>
        <v>8.9</v>
      </c>
      <c r="G86" s="4"/>
      <c r="H86" s="4"/>
    </row>
    <row r="87" spans="1:8" ht="12.6" customHeight="1" x14ac:dyDescent="0.2">
      <c r="A87" s="12">
        <v>76</v>
      </c>
      <c r="B87" s="1"/>
      <c r="C87" s="190" t="s">
        <v>3</v>
      </c>
      <c r="D87" s="1"/>
      <c r="E87" s="19">
        <v>9</v>
      </c>
      <c r="F87" s="19">
        <v>8.9</v>
      </c>
      <c r="G87" s="4"/>
      <c r="H87" s="4"/>
    </row>
    <row r="88" spans="1:8" ht="12.6" customHeight="1" x14ac:dyDescent="0.2">
      <c r="A88" s="12">
        <v>77</v>
      </c>
      <c r="B88" s="1" t="s">
        <v>258</v>
      </c>
      <c r="C88" s="161" t="s">
        <v>259</v>
      </c>
      <c r="D88" s="14" t="s">
        <v>260</v>
      </c>
      <c r="E88" s="201">
        <f>+E89</f>
        <v>32.6</v>
      </c>
      <c r="F88" s="201">
        <f>+F89</f>
        <v>28.7</v>
      </c>
      <c r="G88" s="4"/>
      <c r="H88" s="4"/>
    </row>
    <row r="89" spans="1:8" ht="12.6" customHeight="1" x14ac:dyDescent="0.2">
      <c r="A89" s="12">
        <v>78</v>
      </c>
      <c r="B89" s="1"/>
      <c r="C89" s="190" t="s">
        <v>3</v>
      </c>
      <c r="D89" s="1"/>
      <c r="E89" s="19">
        <v>32.6</v>
      </c>
      <c r="F89" s="19">
        <v>28.7</v>
      </c>
      <c r="G89" s="4"/>
      <c r="H89" s="4"/>
    </row>
    <row r="90" spans="1:8" ht="12.6" customHeight="1" x14ac:dyDescent="0.2">
      <c r="A90" s="12">
        <v>79</v>
      </c>
      <c r="B90" s="1" t="s">
        <v>423</v>
      </c>
      <c r="C90" s="202" t="s">
        <v>262</v>
      </c>
      <c r="D90" s="1" t="s">
        <v>38</v>
      </c>
      <c r="E90" s="201">
        <f>+E91</f>
        <v>19.5</v>
      </c>
      <c r="F90" s="201">
        <f>+F91</f>
        <v>19.2</v>
      </c>
      <c r="G90" s="4"/>
      <c r="H90" s="4"/>
    </row>
    <row r="91" spans="1:8" ht="12.6" customHeight="1" x14ac:dyDescent="0.2">
      <c r="A91" s="12">
        <v>80</v>
      </c>
      <c r="B91" s="1"/>
      <c r="C91" s="190" t="s">
        <v>3</v>
      </c>
      <c r="D91" s="1"/>
      <c r="E91" s="19">
        <v>19.5</v>
      </c>
      <c r="F91" s="19">
        <v>19.2</v>
      </c>
      <c r="G91" s="4"/>
      <c r="H91" s="4"/>
    </row>
    <row r="92" spans="1:8" ht="12.6" customHeight="1" x14ac:dyDescent="0.2">
      <c r="A92" s="12">
        <v>81</v>
      </c>
      <c r="B92" s="1" t="s">
        <v>261</v>
      </c>
      <c r="C92" s="161" t="s">
        <v>264</v>
      </c>
      <c r="D92" s="1" t="s">
        <v>38</v>
      </c>
      <c r="E92" s="201">
        <f>+E93</f>
        <v>12.2</v>
      </c>
      <c r="F92" s="201">
        <f>+F93</f>
        <v>11.5</v>
      </c>
      <c r="G92" s="4"/>
      <c r="H92" s="4"/>
    </row>
    <row r="93" spans="1:8" ht="12.6" customHeight="1" x14ac:dyDescent="0.2">
      <c r="A93" s="12">
        <v>82</v>
      </c>
      <c r="B93" s="1"/>
      <c r="C93" s="190" t="s">
        <v>3</v>
      </c>
      <c r="D93" s="1"/>
      <c r="E93" s="19">
        <v>12.2</v>
      </c>
      <c r="F93" s="19">
        <v>11.5</v>
      </c>
      <c r="G93" s="4"/>
      <c r="H93" s="4"/>
    </row>
    <row r="94" spans="1:8" ht="12.6" customHeight="1" x14ac:dyDescent="0.2">
      <c r="A94" s="12">
        <v>83</v>
      </c>
      <c r="B94" s="1" t="s">
        <v>263</v>
      </c>
      <c r="C94" s="202" t="s">
        <v>714</v>
      </c>
      <c r="D94" s="1" t="s">
        <v>251</v>
      </c>
      <c r="E94" s="201">
        <f>+E95</f>
        <v>1.2</v>
      </c>
      <c r="F94" s="201">
        <f>+F95</f>
        <v>1.2</v>
      </c>
      <c r="G94" s="4"/>
      <c r="H94" s="4"/>
    </row>
    <row r="95" spans="1:8" ht="12.6" customHeight="1" x14ac:dyDescent="0.2">
      <c r="A95" s="12">
        <v>84</v>
      </c>
      <c r="B95" s="1"/>
      <c r="C95" s="190" t="s">
        <v>3</v>
      </c>
      <c r="D95" s="1"/>
      <c r="E95" s="19">
        <v>1.2</v>
      </c>
      <c r="F95" s="19">
        <v>1.2</v>
      </c>
      <c r="G95" s="4"/>
      <c r="H95" s="4"/>
    </row>
    <row r="96" spans="1:8" ht="12.6" customHeight="1" x14ac:dyDescent="0.2">
      <c r="A96" s="12">
        <v>85</v>
      </c>
      <c r="B96" s="1" t="s">
        <v>265</v>
      </c>
      <c r="C96" s="202" t="s">
        <v>267</v>
      </c>
      <c r="D96" s="1" t="s">
        <v>38</v>
      </c>
      <c r="E96" s="201">
        <f>SUM(E97:E97)</f>
        <v>5</v>
      </c>
      <c r="F96" s="201">
        <f>SUM(F97:F97)</f>
        <v>4.9000000000000004</v>
      </c>
      <c r="G96" s="4"/>
      <c r="H96" s="4"/>
    </row>
    <row r="97" spans="1:8" ht="12.6" customHeight="1" x14ac:dyDescent="0.2">
      <c r="A97" s="12">
        <v>86</v>
      </c>
      <c r="B97" s="125"/>
      <c r="C97" s="15" t="s">
        <v>8</v>
      </c>
      <c r="D97" s="125"/>
      <c r="E97" s="19">
        <v>5</v>
      </c>
      <c r="F97" s="19">
        <v>4.9000000000000004</v>
      </c>
      <c r="G97" s="4"/>
      <c r="H97" s="4"/>
    </row>
    <row r="98" spans="1:8" ht="38.25" x14ac:dyDescent="0.2">
      <c r="A98" s="12">
        <v>87</v>
      </c>
      <c r="B98" s="1" t="s">
        <v>266</v>
      </c>
      <c r="C98" s="154" t="s">
        <v>297</v>
      </c>
      <c r="D98" s="153" t="s">
        <v>296</v>
      </c>
      <c r="E98" s="19">
        <f>+E99</f>
        <v>20.2</v>
      </c>
      <c r="F98" s="19">
        <f>+F99</f>
        <v>19.899999999999999</v>
      </c>
      <c r="G98" s="4"/>
      <c r="H98" s="4"/>
    </row>
    <row r="99" spans="1:8" ht="12.6" customHeight="1" x14ac:dyDescent="0.2">
      <c r="A99" s="12">
        <v>88</v>
      </c>
      <c r="B99" s="1"/>
      <c r="C99" s="60" t="s">
        <v>3</v>
      </c>
      <c r="D99" s="153"/>
      <c r="E99" s="19">
        <v>20.2</v>
      </c>
      <c r="F99" s="19">
        <v>19.899999999999999</v>
      </c>
      <c r="G99" s="4"/>
      <c r="H99" s="4"/>
    </row>
    <row r="100" spans="1:8" ht="12.6" customHeight="1" x14ac:dyDescent="0.2">
      <c r="A100" s="12">
        <v>89</v>
      </c>
      <c r="B100" s="1" t="s">
        <v>803</v>
      </c>
      <c r="C100" s="154" t="s">
        <v>248</v>
      </c>
      <c r="D100" s="1" t="s">
        <v>38</v>
      </c>
      <c r="E100" s="19">
        <f>+E101</f>
        <v>19.899999999999999</v>
      </c>
      <c r="F100" s="19">
        <f>+F101</f>
        <v>11</v>
      </c>
      <c r="G100" s="4"/>
      <c r="H100" s="4"/>
    </row>
    <row r="101" spans="1:8" ht="12.6" customHeight="1" x14ac:dyDescent="0.2">
      <c r="A101" s="12">
        <v>90</v>
      </c>
      <c r="B101" s="1"/>
      <c r="C101" s="15" t="s">
        <v>3</v>
      </c>
      <c r="D101" s="1"/>
      <c r="E101" s="19">
        <v>19.899999999999999</v>
      </c>
      <c r="F101" s="19">
        <v>11</v>
      </c>
      <c r="G101" s="4"/>
      <c r="H101" s="4"/>
    </row>
    <row r="102" spans="1:8" ht="12.6" customHeight="1" x14ac:dyDescent="0.2">
      <c r="A102" s="305">
        <v>91</v>
      </c>
      <c r="B102" s="307"/>
      <c r="C102" s="381" t="s">
        <v>20</v>
      </c>
      <c r="D102" s="307"/>
      <c r="E102" s="133">
        <v>5825</v>
      </c>
      <c r="F102" s="19"/>
      <c r="G102" s="4"/>
      <c r="H102" s="4"/>
    </row>
    <row r="103" spans="1:8" ht="12.6" customHeight="1" x14ac:dyDescent="0.2">
      <c r="A103" s="306"/>
      <c r="B103" s="308"/>
      <c r="C103" s="382"/>
      <c r="D103" s="308"/>
      <c r="E103" s="35">
        <f>+E9+E17+E59+E75</f>
        <v>5896.9</v>
      </c>
      <c r="F103" s="35">
        <f>+F9+F17+F59+F75</f>
        <v>3483.3000000000006</v>
      </c>
      <c r="G103" s="4">
        <f>SUM(G8:G101)</f>
        <v>71.900000000000006</v>
      </c>
      <c r="H103" s="4"/>
    </row>
    <row r="104" spans="1:8" ht="10.5" customHeight="1" x14ac:dyDescent="0.2">
      <c r="E104" s="20"/>
      <c r="F104" s="20"/>
    </row>
    <row r="105" spans="1:8" x14ac:dyDescent="0.2">
      <c r="C105" s="3" t="s">
        <v>268</v>
      </c>
      <c r="D105" s="177"/>
      <c r="E105" s="20"/>
      <c r="F105" s="20"/>
    </row>
    <row r="106" spans="1:8" x14ac:dyDescent="0.2">
      <c r="E106" s="37"/>
      <c r="F106" s="37"/>
    </row>
    <row r="107" spans="1:8" x14ac:dyDescent="0.2">
      <c r="E107" s="20"/>
      <c r="F107" s="20"/>
    </row>
    <row r="108" spans="1:8" x14ac:dyDescent="0.2">
      <c r="E108" s="20"/>
      <c r="F108" s="20"/>
    </row>
    <row r="110" spans="1:8" x14ac:dyDescent="0.2">
      <c r="C110" s="203"/>
    </row>
    <row r="111" spans="1:8" x14ac:dyDescent="0.2">
      <c r="C111" s="203"/>
    </row>
    <row r="112" spans="1:8" x14ac:dyDescent="0.2">
      <c r="C112" s="5"/>
    </row>
  </sheetData>
  <mergeCells count="18">
    <mergeCell ref="A16:A17"/>
    <mergeCell ref="B16:B17"/>
    <mergeCell ref="C16:C17"/>
    <mergeCell ref="D16:D17"/>
    <mergeCell ref="A23:A24"/>
    <mergeCell ref="B23:B24"/>
    <mergeCell ref="C23:C24"/>
    <mergeCell ref="D23:D24"/>
    <mergeCell ref="E2:F2"/>
    <mergeCell ref="A4:F4"/>
    <mergeCell ref="C1:F1"/>
    <mergeCell ref="A102:A103"/>
    <mergeCell ref="B102:B103"/>
    <mergeCell ref="C102:C103"/>
    <mergeCell ref="D102:D103"/>
    <mergeCell ref="A72:A73"/>
    <mergeCell ref="B72:B73"/>
    <mergeCell ref="D72:D73"/>
  </mergeCells>
  <pageMargins left="0.31496062992125984" right="0" top="0.39370078740157483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6"/>
  <sheetViews>
    <sheetView topLeftCell="A20" zoomScaleNormal="100" workbookViewId="0">
      <selection activeCell="C1" sqref="C1:F1"/>
    </sheetView>
  </sheetViews>
  <sheetFormatPr defaultColWidth="9.140625" defaultRowHeight="12.75" x14ac:dyDescent="0.2"/>
  <cols>
    <col min="1" max="1" width="4.140625" style="5" customWidth="1"/>
    <col min="2" max="2" width="5.5703125" style="7" customWidth="1"/>
    <col min="3" max="3" width="47.7109375" style="64" customWidth="1"/>
    <col min="4" max="4" width="10.7109375" style="6" customWidth="1"/>
    <col min="5" max="5" width="9.5703125" style="5" customWidth="1"/>
    <col min="6" max="6" width="11.140625" style="5" customWidth="1"/>
    <col min="7" max="7" width="5.85546875" style="5" customWidth="1"/>
    <col min="8" max="8" width="5.5703125" style="5" customWidth="1"/>
    <col min="9" max="9" width="11.140625" style="5" customWidth="1"/>
    <col min="10" max="16384" width="9.140625" style="2"/>
  </cols>
  <sheetData>
    <row r="1" spans="1:17" ht="15.75" x14ac:dyDescent="0.25">
      <c r="C1" s="290" t="s">
        <v>997</v>
      </c>
      <c r="D1" s="290"/>
      <c r="E1" s="290"/>
      <c r="F1" s="290"/>
      <c r="G1" s="120"/>
      <c r="H1" s="120"/>
      <c r="I1" s="120"/>
    </row>
    <row r="2" spans="1:17" ht="15.75" x14ac:dyDescent="0.25">
      <c r="C2" s="43"/>
      <c r="D2" s="43"/>
      <c r="E2" s="373" t="s">
        <v>357</v>
      </c>
      <c r="F2" s="373"/>
      <c r="G2" s="33"/>
      <c r="H2" s="33"/>
      <c r="I2" s="33"/>
    </row>
    <row r="3" spans="1:17" ht="15.75" x14ac:dyDescent="0.2">
      <c r="E3" s="33"/>
      <c r="F3" s="33"/>
      <c r="G3" s="33"/>
      <c r="H3" s="33"/>
      <c r="I3" s="33"/>
    </row>
    <row r="4" spans="1:17" ht="32.25" customHeight="1" x14ac:dyDescent="0.2">
      <c r="A4" s="383" t="s">
        <v>570</v>
      </c>
      <c r="B4" s="383"/>
      <c r="C4" s="383"/>
      <c r="D4" s="383"/>
      <c r="E4" s="383"/>
      <c r="F4" s="383"/>
      <c r="G4" s="204"/>
      <c r="H4" s="204"/>
      <c r="I4" s="204"/>
      <c r="L4" s="45"/>
    </row>
    <row r="5" spans="1:17" x14ac:dyDescent="0.2">
      <c r="A5" s="205"/>
      <c r="B5" s="204"/>
      <c r="C5" s="204"/>
      <c r="D5" s="204"/>
      <c r="E5" s="204"/>
      <c r="F5" s="204"/>
      <c r="G5" s="204"/>
      <c r="H5" s="204"/>
      <c r="I5" s="204"/>
    </row>
    <row r="6" spans="1:17" x14ac:dyDescent="0.2">
      <c r="A6" s="68"/>
      <c r="B6" s="65"/>
      <c r="C6" s="66"/>
      <c r="D6" s="67"/>
      <c r="E6" s="68"/>
      <c r="F6" s="42" t="s">
        <v>129</v>
      </c>
      <c r="G6" s="68"/>
      <c r="H6" s="68"/>
      <c r="I6" s="68"/>
    </row>
    <row r="7" spans="1:17" ht="39.75" customHeight="1" x14ac:dyDescent="0.2">
      <c r="A7" s="146" t="s">
        <v>118</v>
      </c>
      <c r="B7" s="9" t="s">
        <v>356</v>
      </c>
      <c r="C7" s="8" t="s">
        <v>16</v>
      </c>
      <c r="D7" s="9" t="s">
        <v>55</v>
      </c>
      <c r="E7" s="8" t="s">
        <v>17</v>
      </c>
      <c r="F7" s="8" t="s">
        <v>29</v>
      </c>
      <c r="G7" s="52"/>
      <c r="H7" s="52"/>
      <c r="I7" s="52"/>
    </row>
    <row r="8" spans="1:17" s="36" customFormat="1" ht="12.75" customHeight="1" x14ac:dyDescent="0.2">
      <c r="A8" s="82">
        <v>1</v>
      </c>
      <c r="B8" s="11" t="s">
        <v>18</v>
      </c>
      <c r="C8" s="8">
        <v>3</v>
      </c>
      <c r="D8" s="9">
        <v>4</v>
      </c>
      <c r="E8" s="8">
        <v>5</v>
      </c>
      <c r="F8" s="8">
        <v>6</v>
      </c>
      <c r="G8" s="52"/>
      <c r="H8" s="52"/>
      <c r="I8" s="52"/>
      <c r="J8" s="2"/>
      <c r="K8" s="2"/>
      <c r="L8" s="2"/>
      <c r="M8" s="2"/>
      <c r="N8" s="2"/>
    </row>
    <row r="9" spans="1:17" s="36" customFormat="1" ht="18" customHeight="1" x14ac:dyDescent="0.2">
      <c r="A9" s="12">
        <v>1</v>
      </c>
      <c r="B9" s="11" t="s">
        <v>56</v>
      </c>
      <c r="C9" s="13" t="s">
        <v>57</v>
      </c>
      <c r="D9" s="8"/>
      <c r="E9" s="53">
        <f>+E10+E46</f>
        <v>19365.100000000002</v>
      </c>
      <c r="F9" s="53">
        <f>+F10+F46</f>
        <v>18630.300000000003</v>
      </c>
      <c r="G9" s="147"/>
      <c r="H9" s="147"/>
      <c r="I9" s="147"/>
      <c r="J9" s="4"/>
      <c r="K9" s="4"/>
      <c r="L9" s="4"/>
      <c r="M9" s="4"/>
      <c r="N9" s="4"/>
      <c r="O9" s="197"/>
      <c r="P9" s="197"/>
      <c r="Q9" s="197"/>
    </row>
    <row r="10" spans="1:17" s="36" customFormat="1" ht="24.95" customHeight="1" x14ac:dyDescent="0.2">
      <c r="A10" s="12">
        <v>2</v>
      </c>
      <c r="B10" s="14" t="s">
        <v>293</v>
      </c>
      <c r="C10" s="206" t="s">
        <v>274</v>
      </c>
      <c r="D10" s="8"/>
      <c r="E10" s="207">
        <f>+E12+E15+E16+E17+E11+E13+E14+E18+E24+E20+E34+E19+E26+E27+E22+E23+E25+E28+E29+E30+E32+E33+E35+E36+E37+E38+E45+E44</f>
        <v>18676.7</v>
      </c>
      <c r="F10" s="207">
        <f>+F12+F15+F16+F17+F11+F13+F14+F18+F24+F20+F34+F19+F26+F27+F22+F23+F25+F28+F29+F30+F32+F33+F35+F36+F37+F38+F45+F44</f>
        <v>18040.300000000003</v>
      </c>
      <c r="G10" s="208"/>
      <c r="H10" s="208"/>
      <c r="I10" s="208"/>
      <c r="J10" s="4"/>
      <c r="K10" s="4"/>
      <c r="L10" s="4"/>
      <c r="M10" s="4"/>
      <c r="N10" s="4"/>
      <c r="O10" s="197"/>
      <c r="P10" s="197"/>
      <c r="Q10" s="197"/>
    </row>
    <row r="11" spans="1:17" ht="12.6" customHeight="1" x14ac:dyDescent="0.2">
      <c r="A11" s="12">
        <v>3</v>
      </c>
      <c r="B11" s="1"/>
      <c r="C11" s="21" t="s">
        <v>165</v>
      </c>
      <c r="D11" s="1" t="s">
        <v>58</v>
      </c>
      <c r="E11" s="19">
        <f>341.7+15.4</f>
        <v>357.09999999999997</v>
      </c>
      <c r="F11" s="19">
        <f>330.5+15.2</f>
        <v>345.7</v>
      </c>
      <c r="G11" s="41"/>
      <c r="H11" s="41"/>
      <c r="I11" s="41"/>
      <c r="J11" s="41"/>
      <c r="K11" s="41"/>
      <c r="L11" s="4"/>
      <c r="M11" s="4"/>
      <c r="N11" s="4"/>
      <c r="O11" s="4"/>
      <c r="P11" s="4"/>
      <c r="Q11" s="4"/>
    </row>
    <row r="12" spans="1:17" ht="12.6" customHeight="1" x14ac:dyDescent="0.2">
      <c r="A12" s="12">
        <v>4</v>
      </c>
      <c r="B12" s="1"/>
      <c r="C12" s="21" t="s">
        <v>156</v>
      </c>
      <c r="D12" s="1" t="s">
        <v>58</v>
      </c>
      <c r="E12" s="19">
        <f>342.2+4.7</f>
        <v>346.9</v>
      </c>
      <c r="F12" s="19">
        <f>331.1+4.6</f>
        <v>335.70000000000005</v>
      </c>
      <c r="G12" s="41"/>
      <c r="H12" s="41"/>
      <c r="I12" s="41"/>
      <c r="J12" s="41"/>
      <c r="K12" s="41"/>
      <c r="L12" s="4"/>
      <c r="M12" s="4"/>
      <c r="N12" s="4"/>
      <c r="O12" s="4"/>
      <c r="P12" s="4"/>
      <c r="Q12" s="4"/>
    </row>
    <row r="13" spans="1:17" ht="12.6" customHeight="1" x14ac:dyDescent="0.2">
      <c r="A13" s="12">
        <v>5</v>
      </c>
      <c r="B13" s="1"/>
      <c r="C13" s="21" t="s">
        <v>157</v>
      </c>
      <c r="D13" s="1" t="s">
        <v>58</v>
      </c>
      <c r="E13" s="19">
        <f>411.8+4.7</f>
        <v>416.5</v>
      </c>
      <c r="F13" s="19">
        <f>398.7+4.6</f>
        <v>403.3</v>
      </c>
      <c r="G13" s="41"/>
      <c r="H13" s="41"/>
      <c r="I13" s="41"/>
      <c r="J13" s="41"/>
      <c r="K13" s="41"/>
      <c r="L13" s="4"/>
      <c r="M13" s="4"/>
      <c r="N13" s="4"/>
      <c r="O13" s="4"/>
      <c r="P13" s="4"/>
      <c r="Q13" s="4"/>
    </row>
    <row r="14" spans="1:17" ht="12.6" customHeight="1" x14ac:dyDescent="0.2">
      <c r="A14" s="12">
        <v>6</v>
      </c>
      <c r="B14" s="1"/>
      <c r="C14" s="21" t="s">
        <v>161</v>
      </c>
      <c r="D14" s="1" t="s">
        <v>58</v>
      </c>
      <c r="E14" s="19">
        <v>457.2</v>
      </c>
      <c r="F14" s="19">
        <v>442</v>
      </c>
      <c r="G14" s="41"/>
      <c r="H14" s="41"/>
      <c r="I14" s="41"/>
      <c r="J14" s="41"/>
      <c r="K14" s="41"/>
      <c r="L14" s="4"/>
      <c r="M14" s="4"/>
      <c r="N14" s="4"/>
      <c r="O14" s="4"/>
      <c r="P14" s="4"/>
      <c r="Q14" s="4"/>
    </row>
    <row r="15" spans="1:17" ht="12.6" customHeight="1" x14ac:dyDescent="0.2">
      <c r="A15" s="12">
        <v>7</v>
      </c>
      <c r="B15" s="1"/>
      <c r="C15" s="21" t="s">
        <v>158</v>
      </c>
      <c r="D15" s="1" t="s">
        <v>58</v>
      </c>
      <c r="E15" s="19">
        <f>414.2+3.5</f>
        <v>417.7</v>
      </c>
      <c r="F15" s="19">
        <f>400.8+3.4</f>
        <v>404.2</v>
      </c>
      <c r="G15" s="41"/>
      <c r="H15" s="41"/>
      <c r="I15" s="41"/>
      <c r="J15" s="41"/>
      <c r="K15" s="41"/>
      <c r="L15" s="4"/>
      <c r="M15" s="4"/>
      <c r="N15" s="4"/>
      <c r="O15" s="4"/>
      <c r="P15" s="4"/>
      <c r="Q15" s="4"/>
    </row>
    <row r="16" spans="1:17" ht="12.6" customHeight="1" x14ac:dyDescent="0.2">
      <c r="A16" s="12">
        <v>8</v>
      </c>
      <c r="B16" s="1"/>
      <c r="C16" s="21" t="s">
        <v>159</v>
      </c>
      <c r="D16" s="1" t="s">
        <v>58</v>
      </c>
      <c r="E16" s="19">
        <f>442.4+4.7</f>
        <v>447.09999999999997</v>
      </c>
      <c r="F16" s="19">
        <f>429.8+4.6</f>
        <v>434.40000000000003</v>
      </c>
      <c r="G16" s="41"/>
      <c r="H16" s="41"/>
      <c r="I16" s="41"/>
      <c r="J16" s="41"/>
      <c r="K16" s="41"/>
      <c r="L16" s="4"/>
      <c r="M16" s="4"/>
      <c r="N16" s="4"/>
      <c r="P16" s="4"/>
      <c r="Q16" s="4"/>
    </row>
    <row r="17" spans="1:17" ht="12.6" customHeight="1" x14ac:dyDescent="0.2">
      <c r="A17" s="12">
        <v>9</v>
      </c>
      <c r="B17" s="1"/>
      <c r="C17" s="21" t="s">
        <v>160</v>
      </c>
      <c r="D17" s="1" t="s">
        <v>58</v>
      </c>
      <c r="E17" s="19">
        <f>430+4.7</f>
        <v>434.7</v>
      </c>
      <c r="F17" s="19">
        <f>415.2+4.6</f>
        <v>419.8</v>
      </c>
      <c r="G17" s="41"/>
      <c r="H17" s="41"/>
      <c r="I17" s="41"/>
      <c r="J17" s="41"/>
      <c r="K17" s="41"/>
      <c r="L17" s="4"/>
      <c r="M17" s="4"/>
      <c r="N17" s="32"/>
      <c r="P17" s="4"/>
      <c r="Q17" s="4"/>
    </row>
    <row r="18" spans="1:17" ht="12.6" customHeight="1" x14ac:dyDescent="0.2">
      <c r="A18" s="12">
        <v>10</v>
      </c>
      <c r="B18" s="125"/>
      <c r="C18" s="15" t="s">
        <v>184</v>
      </c>
      <c r="D18" s="125" t="s">
        <v>59</v>
      </c>
      <c r="E18" s="19">
        <f>481.8+2.5</f>
        <v>484.3</v>
      </c>
      <c r="F18" s="19">
        <f>465.8+2.5</f>
        <v>468.3</v>
      </c>
      <c r="G18" s="41"/>
      <c r="H18" s="41"/>
      <c r="I18" s="41"/>
      <c r="J18" s="41"/>
      <c r="K18" s="41"/>
      <c r="L18" s="4"/>
      <c r="M18" s="4"/>
      <c r="N18" s="4"/>
      <c r="P18" s="4"/>
      <c r="Q18" s="4"/>
    </row>
    <row r="19" spans="1:17" ht="12.6" customHeight="1" x14ac:dyDescent="0.2">
      <c r="A19" s="12">
        <v>11</v>
      </c>
      <c r="B19" s="125"/>
      <c r="C19" s="21" t="s">
        <v>164</v>
      </c>
      <c r="D19" s="125" t="s">
        <v>60</v>
      </c>
      <c r="E19" s="19">
        <f>1230.6+37.2</f>
        <v>1267.8</v>
      </c>
      <c r="F19" s="19">
        <f>1188.6+36.7</f>
        <v>1225.3</v>
      </c>
      <c r="G19" s="41"/>
      <c r="H19" s="41"/>
      <c r="I19" s="41"/>
      <c r="J19" s="41"/>
      <c r="K19" s="41"/>
      <c r="L19" s="4"/>
      <c r="M19" s="4"/>
      <c r="N19" s="4"/>
      <c r="O19" s="4"/>
      <c r="P19" s="4"/>
      <c r="Q19" s="4"/>
    </row>
    <row r="20" spans="1:17" ht="12.6" customHeight="1" x14ac:dyDescent="0.2">
      <c r="A20" s="12">
        <v>12</v>
      </c>
      <c r="B20" s="125"/>
      <c r="C20" s="21" t="s">
        <v>46</v>
      </c>
      <c r="D20" s="125" t="s">
        <v>60</v>
      </c>
      <c r="E20" s="19">
        <f>1300.5+2.5</f>
        <v>1303</v>
      </c>
      <c r="F20" s="19">
        <f>1256.4+2.5</f>
        <v>1258.9000000000001</v>
      </c>
      <c r="G20" s="41"/>
      <c r="H20" s="41"/>
      <c r="I20" s="41"/>
      <c r="J20" s="41"/>
      <c r="K20" s="41"/>
      <c r="L20" s="4"/>
      <c r="M20" s="4"/>
      <c r="N20" s="4"/>
      <c r="O20" s="4"/>
      <c r="P20" s="4"/>
      <c r="Q20" s="4"/>
    </row>
    <row r="21" spans="1:17" ht="12.6" customHeight="1" x14ac:dyDescent="0.2">
      <c r="A21" s="305">
        <v>13</v>
      </c>
      <c r="B21" s="307"/>
      <c r="C21" s="303" t="s">
        <v>134</v>
      </c>
      <c r="D21" s="307" t="s">
        <v>60</v>
      </c>
      <c r="E21" s="127">
        <v>1070.0999999999999</v>
      </c>
      <c r="F21" s="127">
        <v>1035.5</v>
      </c>
      <c r="G21" s="41"/>
      <c r="H21" s="41"/>
      <c r="I21" s="41"/>
      <c r="J21" s="41"/>
      <c r="K21" s="41"/>
      <c r="L21" s="4"/>
      <c r="M21" s="4"/>
      <c r="N21" s="4"/>
      <c r="O21" s="4"/>
      <c r="P21" s="4"/>
      <c r="Q21" s="4"/>
    </row>
    <row r="22" spans="1:17" ht="12.6" customHeight="1" x14ac:dyDescent="0.2">
      <c r="A22" s="306"/>
      <c r="B22" s="308"/>
      <c r="C22" s="304"/>
      <c r="D22" s="308"/>
      <c r="E22" s="128">
        <f>1046.6+23.5+100.4</f>
        <v>1170.5</v>
      </c>
      <c r="F22" s="128">
        <f>1012.4+23.1+98.3</f>
        <v>1133.8</v>
      </c>
      <c r="G22" s="41">
        <v>100.4</v>
      </c>
      <c r="H22" s="41">
        <v>98.3</v>
      </c>
      <c r="I22" s="41"/>
      <c r="J22" s="41"/>
      <c r="K22" s="41"/>
      <c r="L22" s="4"/>
      <c r="M22" s="4"/>
      <c r="N22" s="4"/>
      <c r="O22" s="4"/>
      <c r="P22" s="4"/>
      <c r="Q22" s="4"/>
    </row>
    <row r="23" spans="1:17" ht="12.6" customHeight="1" x14ac:dyDescent="0.2">
      <c r="A23" s="12">
        <v>14</v>
      </c>
      <c r="B23" s="125"/>
      <c r="C23" s="22" t="s">
        <v>135</v>
      </c>
      <c r="D23" s="125" t="s">
        <v>60</v>
      </c>
      <c r="E23" s="19">
        <f>787.9+3.7</f>
        <v>791.6</v>
      </c>
      <c r="F23" s="19">
        <f>761.6+3.6</f>
        <v>765.2</v>
      </c>
      <c r="G23" s="41"/>
      <c r="H23" s="41"/>
      <c r="I23" s="41"/>
      <c r="J23" s="41"/>
      <c r="K23" s="41"/>
      <c r="L23" s="4"/>
      <c r="M23" s="4"/>
      <c r="N23" s="4"/>
      <c r="O23" s="4"/>
      <c r="P23" s="4"/>
      <c r="Q23" s="4"/>
    </row>
    <row r="24" spans="1:17" ht="12.6" customHeight="1" x14ac:dyDescent="0.2">
      <c r="A24" s="12">
        <v>15</v>
      </c>
      <c r="B24" s="125"/>
      <c r="C24" s="22" t="s">
        <v>40</v>
      </c>
      <c r="D24" s="125" t="s">
        <v>60</v>
      </c>
      <c r="E24" s="19">
        <f>896.6+7.3</f>
        <v>903.9</v>
      </c>
      <c r="F24" s="19">
        <f>849.7+7.2</f>
        <v>856.90000000000009</v>
      </c>
      <c r="G24" s="41"/>
      <c r="H24" s="41"/>
      <c r="I24" s="41"/>
      <c r="J24" s="41"/>
      <c r="K24" s="41"/>
      <c r="L24" s="4"/>
      <c r="M24" s="4"/>
      <c r="N24" s="4"/>
      <c r="O24" s="4"/>
      <c r="P24" s="4"/>
      <c r="Q24" s="4"/>
    </row>
    <row r="25" spans="1:17" ht="12.6" customHeight="1" x14ac:dyDescent="0.2">
      <c r="A25" s="12">
        <v>16</v>
      </c>
      <c r="B25" s="125"/>
      <c r="C25" s="21" t="s">
        <v>137</v>
      </c>
      <c r="D25" s="125" t="s">
        <v>60</v>
      </c>
      <c r="E25" s="19">
        <f>855.9+8.6</f>
        <v>864.5</v>
      </c>
      <c r="F25" s="19">
        <f>828.9+8.5</f>
        <v>837.4</v>
      </c>
      <c r="G25" s="41"/>
      <c r="H25" s="41"/>
      <c r="I25" s="41"/>
      <c r="J25" s="41"/>
      <c r="K25" s="41"/>
      <c r="L25" s="4"/>
      <c r="M25" s="4"/>
      <c r="N25" s="4"/>
      <c r="O25" s="4"/>
      <c r="P25" s="4"/>
      <c r="Q25" s="4"/>
    </row>
    <row r="26" spans="1:17" ht="12.6" customHeight="1" x14ac:dyDescent="0.2">
      <c r="A26" s="12">
        <v>17</v>
      </c>
      <c r="B26" s="125"/>
      <c r="C26" s="22" t="s">
        <v>162</v>
      </c>
      <c r="D26" s="125" t="s">
        <v>61</v>
      </c>
      <c r="E26" s="19">
        <f>1773.7+37.2</f>
        <v>1810.9</v>
      </c>
      <c r="F26" s="19">
        <f>1705.9+36.7</f>
        <v>1742.6000000000001</v>
      </c>
      <c r="G26" s="41"/>
      <c r="H26" s="41"/>
      <c r="I26" s="41"/>
      <c r="J26" s="41"/>
      <c r="K26" s="41"/>
      <c r="L26" s="4"/>
      <c r="M26" s="4"/>
      <c r="N26" s="4"/>
      <c r="O26" s="4"/>
      <c r="P26" s="4"/>
      <c r="Q26" s="4"/>
    </row>
    <row r="27" spans="1:17" ht="12.6" customHeight="1" x14ac:dyDescent="0.2">
      <c r="A27" s="12">
        <v>18</v>
      </c>
      <c r="B27" s="125"/>
      <c r="C27" s="21" t="s">
        <v>163</v>
      </c>
      <c r="D27" s="121" t="s">
        <v>217</v>
      </c>
      <c r="E27" s="19">
        <f>1824.2+49.6</f>
        <v>1873.8</v>
      </c>
      <c r="F27" s="19">
        <f>1752+48.9</f>
        <v>1800.9</v>
      </c>
      <c r="G27" s="41"/>
      <c r="H27" s="41"/>
      <c r="I27" s="41"/>
      <c r="J27" s="41"/>
      <c r="K27" s="41"/>
      <c r="L27" s="4"/>
      <c r="M27" s="4"/>
      <c r="N27" s="4"/>
      <c r="O27" s="4"/>
      <c r="P27" s="4"/>
      <c r="Q27" s="4"/>
    </row>
    <row r="28" spans="1:17" ht="12.6" customHeight="1" x14ac:dyDescent="0.2">
      <c r="A28" s="12">
        <v>19</v>
      </c>
      <c r="B28" s="125"/>
      <c r="C28" s="22" t="s">
        <v>120</v>
      </c>
      <c r="D28" s="121" t="s">
        <v>217</v>
      </c>
      <c r="E28" s="19">
        <f>1228.1+76.6</f>
        <v>1304.6999999999998</v>
      </c>
      <c r="F28" s="19">
        <f>1180.7+75.5</f>
        <v>1256.2</v>
      </c>
      <c r="G28" s="41"/>
      <c r="H28" s="41"/>
      <c r="I28" s="41"/>
      <c r="J28" s="41"/>
      <c r="K28" s="41"/>
      <c r="L28" s="4"/>
      <c r="M28" s="4"/>
      <c r="N28" s="4"/>
      <c r="O28" s="4"/>
      <c r="P28" s="4"/>
      <c r="Q28" s="4"/>
    </row>
    <row r="29" spans="1:17" ht="12.6" customHeight="1" x14ac:dyDescent="0.2">
      <c r="A29" s="12">
        <v>20</v>
      </c>
      <c r="B29" s="125"/>
      <c r="C29" s="22" t="s">
        <v>41</v>
      </c>
      <c r="D29" s="125" t="s">
        <v>61</v>
      </c>
      <c r="E29" s="19">
        <v>457.7</v>
      </c>
      <c r="F29" s="19">
        <v>445.9</v>
      </c>
      <c r="G29" s="41"/>
      <c r="H29" s="41"/>
      <c r="I29" s="41"/>
      <c r="J29" s="41"/>
      <c r="K29" s="41"/>
      <c r="L29" s="4"/>
      <c r="M29" s="4"/>
      <c r="N29" s="4"/>
      <c r="O29" s="4"/>
      <c r="P29" s="4"/>
      <c r="Q29" s="4"/>
    </row>
    <row r="30" spans="1:17" ht="12.6" customHeight="1" x14ac:dyDescent="0.2">
      <c r="A30" s="12">
        <v>21</v>
      </c>
      <c r="B30" s="125"/>
      <c r="C30" s="22" t="s">
        <v>136</v>
      </c>
      <c r="D30" s="125" t="s">
        <v>61</v>
      </c>
      <c r="E30" s="19">
        <f>863.7+43</f>
        <v>906.7</v>
      </c>
      <c r="F30" s="19">
        <f>838.7+42.4</f>
        <v>881.1</v>
      </c>
      <c r="G30" s="41"/>
      <c r="H30" s="41"/>
      <c r="I30" s="41"/>
      <c r="J30" s="41"/>
      <c r="K30" s="41"/>
      <c r="L30" s="4"/>
      <c r="M30" s="4"/>
      <c r="N30" s="4"/>
      <c r="O30" s="4"/>
      <c r="P30" s="4"/>
      <c r="Q30" s="4"/>
    </row>
    <row r="31" spans="1:17" ht="12.6" customHeight="1" x14ac:dyDescent="0.2">
      <c r="A31" s="305">
        <v>22</v>
      </c>
      <c r="B31" s="307"/>
      <c r="C31" s="303" t="s">
        <v>210</v>
      </c>
      <c r="D31" s="307" t="s">
        <v>61</v>
      </c>
      <c r="E31" s="127">
        <v>346.1</v>
      </c>
      <c r="F31" s="127">
        <v>337.6</v>
      </c>
      <c r="G31" s="41"/>
      <c r="H31" s="41"/>
      <c r="I31" s="41"/>
      <c r="J31" s="41"/>
      <c r="K31" s="41"/>
      <c r="L31" s="4"/>
      <c r="M31" s="4"/>
      <c r="N31" s="4"/>
      <c r="O31" s="4"/>
      <c r="P31" s="4"/>
      <c r="Q31" s="4"/>
    </row>
    <row r="32" spans="1:17" ht="12.6" customHeight="1" x14ac:dyDescent="0.2">
      <c r="A32" s="306"/>
      <c r="B32" s="308"/>
      <c r="C32" s="304"/>
      <c r="D32" s="308"/>
      <c r="E32" s="128">
        <f>343.6+2.5-100.4</f>
        <v>245.70000000000002</v>
      </c>
      <c r="F32" s="128">
        <f>335.1+2.5-98.3</f>
        <v>239.3</v>
      </c>
      <c r="G32" s="41">
        <v>-100.4</v>
      </c>
      <c r="H32" s="41">
        <v>-98.3</v>
      </c>
      <c r="I32" s="41"/>
      <c r="J32" s="41"/>
      <c r="K32" s="41"/>
      <c r="L32" s="4"/>
      <c r="M32" s="4"/>
      <c r="N32" s="4"/>
      <c r="O32" s="4"/>
      <c r="P32" s="4"/>
      <c r="Q32" s="4"/>
    </row>
    <row r="33" spans="1:17" ht="12.6" customHeight="1" x14ac:dyDescent="0.2">
      <c r="A33" s="12">
        <v>23</v>
      </c>
      <c r="B33" s="194"/>
      <c r="C33" s="22" t="s">
        <v>42</v>
      </c>
      <c r="D33" s="125" t="s">
        <v>61</v>
      </c>
      <c r="E33" s="19">
        <v>382.6</v>
      </c>
      <c r="F33" s="19">
        <v>372.5</v>
      </c>
      <c r="G33" s="41"/>
      <c r="H33" s="41"/>
      <c r="I33" s="41"/>
      <c r="J33" s="41"/>
      <c r="K33" s="41"/>
      <c r="L33" s="4"/>
      <c r="M33" s="4"/>
      <c r="N33" s="4"/>
      <c r="O33" s="4"/>
      <c r="P33" s="4"/>
      <c r="Q33" s="4"/>
    </row>
    <row r="34" spans="1:17" ht="25.5" x14ac:dyDescent="0.2">
      <c r="A34" s="12">
        <v>24</v>
      </c>
      <c r="B34" s="125"/>
      <c r="C34" s="22" t="s">
        <v>111</v>
      </c>
      <c r="D34" s="121" t="s">
        <v>275</v>
      </c>
      <c r="E34" s="19">
        <v>261.3</v>
      </c>
      <c r="F34" s="19">
        <v>250.7</v>
      </c>
      <c r="G34" s="41"/>
      <c r="H34" s="41"/>
      <c r="I34" s="41"/>
      <c r="J34" s="41"/>
      <c r="K34" s="41"/>
      <c r="L34" s="4"/>
      <c r="M34" s="4"/>
      <c r="N34" s="4"/>
      <c r="O34" s="4"/>
      <c r="P34" s="4"/>
      <c r="Q34" s="4"/>
    </row>
    <row r="35" spans="1:17" ht="12.6" customHeight="1" x14ac:dyDescent="0.2">
      <c r="A35" s="12">
        <v>25</v>
      </c>
      <c r="B35" s="125"/>
      <c r="C35" s="21" t="s">
        <v>355</v>
      </c>
      <c r="D35" s="125" t="s">
        <v>61</v>
      </c>
      <c r="E35" s="19">
        <f>689.8+2.5</f>
        <v>692.3</v>
      </c>
      <c r="F35" s="19">
        <f>675.6+2.5</f>
        <v>678.1</v>
      </c>
      <c r="G35" s="41"/>
      <c r="H35" s="41"/>
      <c r="I35" s="41"/>
      <c r="J35" s="41"/>
      <c r="K35" s="41"/>
      <c r="L35" s="4"/>
      <c r="M35" s="4"/>
      <c r="N35" s="4"/>
      <c r="O35" s="4"/>
      <c r="P35" s="4"/>
      <c r="Q35" s="4"/>
    </row>
    <row r="36" spans="1:17" ht="12.6" customHeight="1" x14ac:dyDescent="0.2">
      <c r="A36" s="12">
        <v>26</v>
      </c>
      <c r="B36" s="1"/>
      <c r="C36" s="21" t="s">
        <v>54</v>
      </c>
      <c r="D36" s="1" t="s">
        <v>62</v>
      </c>
      <c r="E36" s="19">
        <v>26.6</v>
      </c>
      <c r="F36" s="19">
        <v>26.2</v>
      </c>
      <c r="G36" s="41"/>
      <c r="H36" s="41"/>
      <c r="I36" s="41"/>
      <c r="J36" s="41"/>
      <c r="K36" s="41"/>
      <c r="L36" s="4"/>
      <c r="M36" s="4"/>
      <c r="N36" s="4"/>
      <c r="O36" s="4"/>
      <c r="P36" s="4"/>
      <c r="Q36" s="4"/>
    </row>
    <row r="37" spans="1:17" ht="12.6" customHeight="1" x14ac:dyDescent="0.2">
      <c r="A37" s="12">
        <v>27</v>
      </c>
      <c r="B37" s="1"/>
      <c r="C37" s="21" t="s">
        <v>48</v>
      </c>
      <c r="D37" s="1" t="s">
        <v>62</v>
      </c>
      <c r="E37" s="19">
        <v>33</v>
      </c>
      <c r="F37" s="19">
        <v>32.5</v>
      </c>
      <c r="G37" s="41"/>
      <c r="H37" s="41"/>
      <c r="I37" s="41"/>
      <c r="J37" s="41"/>
      <c r="K37" s="41"/>
      <c r="L37" s="4"/>
      <c r="M37" s="4"/>
      <c r="N37" s="4"/>
      <c r="O37" s="4"/>
      <c r="P37" s="4"/>
      <c r="Q37" s="4"/>
    </row>
    <row r="38" spans="1:17" ht="12.6" customHeight="1" x14ac:dyDescent="0.2">
      <c r="A38" s="12">
        <v>28</v>
      </c>
      <c r="B38" s="1"/>
      <c r="C38" s="21" t="s">
        <v>276</v>
      </c>
      <c r="D38" s="1" t="s">
        <v>218</v>
      </c>
      <c r="E38" s="19">
        <f>+E39+E40+E41+E42+E43</f>
        <v>757.4</v>
      </c>
      <c r="F38" s="19">
        <f>+F39+F40+F41+F42+F43</f>
        <v>729.40000000000009</v>
      </c>
      <c r="G38" s="41"/>
      <c r="H38" s="41"/>
      <c r="I38" s="41"/>
      <c r="J38" s="41"/>
      <c r="K38" s="41"/>
      <c r="L38" s="4"/>
      <c r="M38" s="4"/>
      <c r="N38" s="4"/>
      <c r="O38" s="4"/>
      <c r="P38" s="4"/>
      <c r="Q38" s="4"/>
    </row>
    <row r="39" spans="1:17" ht="24.95" customHeight="1" x14ac:dyDescent="0.2">
      <c r="A39" s="209" t="s">
        <v>580</v>
      </c>
      <c r="B39" s="210"/>
      <c r="C39" s="22" t="s">
        <v>352</v>
      </c>
      <c r="D39" s="1"/>
      <c r="E39" s="19">
        <v>233.9</v>
      </c>
      <c r="F39" s="19">
        <v>215.8</v>
      </c>
      <c r="G39" s="41"/>
      <c r="H39" s="41"/>
      <c r="I39" s="41"/>
      <c r="J39" s="41"/>
      <c r="K39" s="41"/>
      <c r="L39" s="4"/>
      <c r="M39" s="4"/>
      <c r="N39" s="4"/>
      <c r="O39" s="4"/>
      <c r="P39" s="4"/>
      <c r="Q39" s="4"/>
    </row>
    <row r="40" spans="1:17" ht="12.6" customHeight="1" x14ac:dyDescent="0.2">
      <c r="A40" s="209" t="s">
        <v>581</v>
      </c>
      <c r="B40" s="210"/>
      <c r="C40" s="22" t="s">
        <v>351</v>
      </c>
      <c r="D40" s="1"/>
      <c r="E40" s="19">
        <v>9.6</v>
      </c>
      <c r="F40" s="19">
        <v>9.5</v>
      </c>
      <c r="G40" s="41"/>
      <c r="H40" s="41"/>
      <c r="I40" s="41"/>
      <c r="J40" s="41"/>
      <c r="K40" s="41"/>
      <c r="L40" s="4"/>
      <c r="M40" s="4"/>
      <c r="N40" s="4"/>
      <c r="O40" s="4"/>
      <c r="P40" s="4"/>
      <c r="Q40" s="4"/>
    </row>
    <row r="41" spans="1:17" ht="12.6" customHeight="1" x14ac:dyDescent="0.2">
      <c r="A41" s="209" t="s">
        <v>582</v>
      </c>
      <c r="B41" s="210"/>
      <c r="C41" s="22" t="s">
        <v>353</v>
      </c>
      <c r="D41" s="1"/>
      <c r="E41" s="19">
        <v>116.8</v>
      </c>
      <c r="F41" s="19">
        <v>113.3</v>
      </c>
      <c r="G41" s="41"/>
      <c r="H41" s="41"/>
      <c r="I41" s="41"/>
      <c r="J41" s="41"/>
      <c r="K41" s="41"/>
      <c r="L41" s="4"/>
      <c r="M41" s="4"/>
      <c r="N41" s="4"/>
      <c r="O41" s="4"/>
      <c r="P41" s="4"/>
      <c r="Q41" s="4"/>
    </row>
    <row r="42" spans="1:17" ht="12.6" customHeight="1" x14ac:dyDescent="0.2">
      <c r="A42" s="209" t="s">
        <v>583</v>
      </c>
      <c r="B42" s="211"/>
      <c r="C42" s="22" t="s">
        <v>354</v>
      </c>
      <c r="D42" s="1"/>
      <c r="E42" s="19">
        <v>65.099999999999994</v>
      </c>
      <c r="F42" s="19">
        <v>63.5</v>
      </c>
      <c r="G42" s="41"/>
      <c r="H42" s="41"/>
      <c r="I42" s="41"/>
      <c r="J42" s="41"/>
      <c r="K42" s="41"/>
      <c r="L42" s="4"/>
      <c r="M42" s="4"/>
      <c r="N42" s="4"/>
      <c r="O42" s="4"/>
      <c r="P42" s="4"/>
      <c r="Q42" s="4"/>
    </row>
    <row r="43" spans="1:17" ht="12.6" customHeight="1" x14ac:dyDescent="0.2">
      <c r="A43" s="209" t="s">
        <v>584</v>
      </c>
      <c r="B43" s="211"/>
      <c r="C43" s="22" t="s">
        <v>585</v>
      </c>
      <c r="D43" s="1"/>
      <c r="E43" s="19">
        <v>332</v>
      </c>
      <c r="F43" s="19">
        <v>327.3</v>
      </c>
      <c r="G43" s="41"/>
      <c r="H43" s="41"/>
      <c r="I43" s="41"/>
      <c r="J43" s="41"/>
      <c r="K43" s="41"/>
      <c r="L43" s="4"/>
      <c r="M43" s="4"/>
      <c r="N43" s="4"/>
      <c r="O43" s="4"/>
      <c r="P43" s="4"/>
      <c r="Q43" s="4"/>
    </row>
    <row r="44" spans="1:17" ht="12.6" customHeight="1" x14ac:dyDescent="0.2">
      <c r="A44" s="12">
        <v>29</v>
      </c>
      <c r="B44" s="1"/>
      <c r="C44" s="212" t="s">
        <v>15</v>
      </c>
      <c r="D44" s="1" t="s">
        <v>58</v>
      </c>
      <c r="E44" s="19">
        <f>157.6+2.4</f>
        <v>160</v>
      </c>
      <c r="F44" s="19">
        <f>153.3+2.4</f>
        <v>155.70000000000002</v>
      </c>
      <c r="G44" s="41"/>
      <c r="H44" s="41"/>
      <c r="I44" s="41"/>
      <c r="J44" s="41"/>
      <c r="K44" s="41"/>
      <c r="L44" s="4"/>
      <c r="M44" s="4"/>
      <c r="N44" s="4"/>
      <c r="O44" s="4"/>
      <c r="P44" s="4"/>
      <c r="Q44" s="4"/>
    </row>
    <row r="45" spans="1:17" ht="12.6" customHeight="1" x14ac:dyDescent="0.2">
      <c r="A45" s="12">
        <v>30</v>
      </c>
      <c r="B45" s="1"/>
      <c r="C45" s="212" t="s">
        <v>277</v>
      </c>
      <c r="D45" s="1" t="s">
        <v>58</v>
      </c>
      <c r="E45" s="19">
        <v>101.2</v>
      </c>
      <c r="F45" s="19">
        <v>98.3</v>
      </c>
      <c r="G45" s="41"/>
      <c r="H45" s="41"/>
      <c r="I45" s="41"/>
      <c r="J45" s="41"/>
      <c r="K45" s="41"/>
      <c r="L45" s="4"/>
      <c r="M45" s="4"/>
      <c r="N45" s="4"/>
      <c r="O45" s="4"/>
      <c r="P45" s="4"/>
      <c r="Q45" s="4"/>
    </row>
    <row r="46" spans="1:17" ht="25.5" x14ac:dyDescent="0.2">
      <c r="A46" s="12">
        <v>31</v>
      </c>
      <c r="B46" s="14" t="s">
        <v>294</v>
      </c>
      <c r="C46" s="206" t="s">
        <v>201</v>
      </c>
      <c r="D46" s="210"/>
      <c r="E46" s="201">
        <f>+E47</f>
        <v>688.4</v>
      </c>
      <c r="F46" s="201">
        <f>+F47</f>
        <v>590</v>
      </c>
      <c r="G46" s="183"/>
      <c r="H46" s="41"/>
      <c r="I46" s="41"/>
      <c r="J46" s="4"/>
      <c r="K46" s="4"/>
      <c r="L46" s="4"/>
      <c r="M46" s="4"/>
      <c r="N46" s="4"/>
      <c r="O46" s="4"/>
      <c r="P46" s="4"/>
      <c r="Q46" s="4"/>
    </row>
    <row r="47" spans="1:17" ht="12.6" customHeight="1" x14ac:dyDescent="0.2">
      <c r="A47" s="12">
        <v>32</v>
      </c>
      <c r="B47" s="1"/>
      <c r="C47" s="21" t="s">
        <v>355</v>
      </c>
      <c r="D47" s="125" t="s">
        <v>61</v>
      </c>
      <c r="E47" s="19">
        <v>688.4</v>
      </c>
      <c r="F47" s="19">
        <v>590</v>
      </c>
      <c r="G47" s="41"/>
      <c r="H47" s="41"/>
      <c r="I47" s="41"/>
      <c r="J47" s="41"/>
      <c r="K47" s="41"/>
      <c r="L47" s="4"/>
      <c r="M47" s="4"/>
      <c r="N47" s="4"/>
      <c r="O47" s="4"/>
      <c r="P47" s="4"/>
      <c r="Q47" s="4"/>
    </row>
    <row r="48" spans="1:17" ht="18" customHeight="1" x14ac:dyDescent="0.2">
      <c r="A48" s="12">
        <v>33</v>
      </c>
      <c r="B48" s="11" t="s">
        <v>76</v>
      </c>
      <c r="C48" s="17" t="s">
        <v>193</v>
      </c>
      <c r="D48" s="23"/>
      <c r="E48" s="27">
        <f>+E49</f>
        <v>57.9</v>
      </c>
      <c r="F48" s="27">
        <f>+F49</f>
        <v>57.1</v>
      </c>
      <c r="G48" s="213"/>
      <c r="H48" s="41"/>
      <c r="I48" s="41"/>
      <c r="J48" s="4"/>
      <c r="K48" s="4"/>
      <c r="L48" s="4"/>
      <c r="M48" s="4"/>
      <c r="N48" s="4"/>
      <c r="O48" s="4"/>
      <c r="P48" s="4"/>
      <c r="Q48" s="4"/>
    </row>
    <row r="49" spans="1:17" ht="12.6" customHeight="1" x14ac:dyDescent="0.2">
      <c r="A49" s="12">
        <v>34</v>
      </c>
      <c r="B49" s="14" t="s">
        <v>299</v>
      </c>
      <c r="C49" s="206" t="s">
        <v>274</v>
      </c>
      <c r="D49" s="23"/>
      <c r="E49" s="207">
        <f>+E50</f>
        <v>57.9</v>
      </c>
      <c r="F49" s="207">
        <f>+F50</f>
        <v>57.1</v>
      </c>
      <c r="G49" s="208"/>
      <c r="H49" s="41"/>
      <c r="I49" s="41"/>
      <c r="J49" s="4"/>
      <c r="K49" s="4"/>
      <c r="L49" s="4"/>
      <c r="M49" s="4"/>
      <c r="N49" s="4"/>
      <c r="O49" s="4"/>
      <c r="P49" s="4"/>
      <c r="Q49" s="4"/>
    </row>
    <row r="50" spans="1:17" ht="12.6" customHeight="1" x14ac:dyDescent="0.2">
      <c r="A50" s="12">
        <v>35</v>
      </c>
      <c r="B50" s="18"/>
      <c r="C50" s="21" t="s">
        <v>112</v>
      </c>
      <c r="D50" s="1" t="s">
        <v>62</v>
      </c>
      <c r="E50" s="19">
        <v>57.9</v>
      </c>
      <c r="F50" s="19">
        <v>57.1</v>
      </c>
      <c r="G50" s="41"/>
      <c r="H50" s="41"/>
      <c r="I50" s="41"/>
      <c r="J50" s="41"/>
      <c r="K50" s="41"/>
      <c r="L50" s="4"/>
      <c r="M50" s="4"/>
      <c r="N50" s="4"/>
      <c r="O50" s="4"/>
      <c r="P50" s="4"/>
      <c r="Q50" s="4"/>
    </row>
    <row r="51" spans="1:17" ht="12.75" customHeight="1" x14ac:dyDescent="0.2">
      <c r="A51" s="12">
        <v>36</v>
      </c>
      <c r="B51" s="11"/>
      <c r="C51" s="40" t="s">
        <v>20</v>
      </c>
      <c r="D51" s="1"/>
      <c r="E51" s="35">
        <f>+E9+E48</f>
        <v>19423.000000000004</v>
      </c>
      <c r="F51" s="35">
        <f>+F9+F48</f>
        <v>18687.400000000001</v>
      </c>
      <c r="G51" s="214"/>
      <c r="H51" s="214"/>
      <c r="I51" s="214"/>
      <c r="J51" s="4"/>
      <c r="K51" s="4"/>
      <c r="L51" s="4"/>
      <c r="M51" s="4"/>
      <c r="N51" s="4"/>
      <c r="O51" s="4"/>
      <c r="P51" s="4"/>
      <c r="Q51" s="4"/>
    </row>
    <row r="52" spans="1:17" ht="12.75" customHeight="1" x14ac:dyDescent="0.2">
      <c r="B52" s="215"/>
      <c r="C52" s="216"/>
      <c r="D52" s="7"/>
      <c r="E52" s="217"/>
      <c r="F52" s="217"/>
      <c r="G52" s="214"/>
      <c r="H52" s="214"/>
      <c r="I52" s="214"/>
      <c r="J52" s="4"/>
      <c r="K52" s="4"/>
      <c r="L52" s="4"/>
      <c r="M52" s="4"/>
      <c r="N52" s="4"/>
      <c r="O52" s="4"/>
      <c r="P52" s="4"/>
      <c r="Q52" s="4"/>
    </row>
    <row r="53" spans="1:17" x14ac:dyDescent="0.2">
      <c r="C53" s="64" t="s">
        <v>113</v>
      </c>
      <c r="D53" s="7"/>
      <c r="E53" s="20"/>
      <c r="F53" s="20"/>
      <c r="G53" s="20"/>
      <c r="H53" s="20"/>
      <c r="I53" s="20"/>
    </row>
    <row r="54" spans="1:17" x14ac:dyDescent="0.2">
      <c r="E54" s="20"/>
      <c r="F54" s="20"/>
      <c r="G54" s="20"/>
      <c r="H54" s="20"/>
      <c r="I54" s="20"/>
    </row>
    <row r="55" spans="1:17" x14ac:dyDescent="0.2">
      <c r="E55" s="56"/>
      <c r="F55" s="56"/>
      <c r="G55" s="37"/>
      <c r="H55" s="37"/>
      <c r="I55" s="37"/>
    </row>
    <row r="56" spans="1:17" x14ac:dyDescent="0.2">
      <c r="E56" s="37"/>
      <c r="F56" s="37"/>
      <c r="G56" s="37"/>
      <c r="H56" s="37"/>
      <c r="I56" s="37"/>
    </row>
    <row r="57" spans="1:17" x14ac:dyDescent="0.2">
      <c r="E57" s="37"/>
      <c r="F57" s="37"/>
      <c r="G57" s="37"/>
      <c r="H57" s="37"/>
      <c r="I57" s="37"/>
    </row>
    <row r="58" spans="1:17" x14ac:dyDescent="0.2">
      <c r="E58" s="37"/>
      <c r="F58" s="37"/>
      <c r="G58" s="37"/>
      <c r="H58" s="37"/>
      <c r="I58" s="37"/>
      <c r="J58" s="37"/>
      <c r="K58" s="37"/>
      <c r="L58" s="37"/>
      <c r="M58" s="37"/>
    </row>
    <row r="59" spans="1:17" x14ac:dyDescent="0.2">
      <c r="C59" s="3"/>
      <c r="E59" s="20"/>
      <c r="F59" s="20"/>
      <c r="G59" s="20"/>
      <c r="H59" s="20"/>
      <c r="I59" s="20"/>
    </row>
    <row r="60" spans="1:17" x14ac:dyDescent="0.2">
      <c r="E60" s="3"/>
      <c r="F60" s="3"/>
      <c r="G60" s="3"/>
      <c r="H60" s="3"/>
      <c r="I60" s="3"/>
    </row>
    <row r="61" spans="1:17" x14ac:dyDescent="0.2">
      <c r="C61" s="63"/>
      <c r="E61" s="37"/>
      <c r="F61" s="37"/>
      <c r="G61" s="37"/>
      <c r="H61" s="37"/>
      <c r="I61" s="37"/>
    </row>
    <row r="62" spans="1:17" x14ac:dyDescent="0.2">
      <c r="E62" s="37"/>
      <c r="F62" s="37"/>
      <c r="G62" s="37"/>
      <c r="H62" s="37"/>
      <c r="I62" s="37"/>
    </row>
    <row r="63" spans="1:17" x14ac:dyDescent="0.2">
      <c r="E63" s="3"/>
      <c r="F63" s="3"/>
      <c r="G63" s="3"/>
      <c r="H63" s="3"/>
      <c r="I63" s="3"/>
    </row>
    <row r="64" spans="1:17" x14ac:dyDescent="0.2">
      <c r="E64" s="37"/>
      <c r="F64" s="37"/>
      <c r="G64" s="37"/>
      <c r="H64" s="37"/>
      <c r="I64" s="37"/>
    </row>
    <row r="65" spans="5:9" x14ac:dyDescent="0.2">
      <c r="E65" s="3"/>
      <c r="F65" s="3"/>
      <c r="G65" s="3"/>
      <c r="H65" s="3"/>
      <c r="I65" s="3"/>
    </row>
    <row r="66" spans="5:9" x14ac:dyDescent="0.2">
      <c r="E66" s="3"/>
      <c r="F66" s="3"/>
      <c r="G66" s="3"/>
      <c r="H66" s="3"/>
      <c r="I66" s="3"/>
    </row>
  </sheetData>
  <mergeCells count="11">
    <mergeCell ref="C1:F1"/>
    <mergeCell ref="E2:F2"/>
    <mergeCell ref="A4:F4"/>
    <mergeCell ref="A21:A22"/>
    <mergeCell ref="B21:B22"/>
    <mergeCell ref="C21:C22"/>
    <mergeCell ref="D21:D22"/>
    <mergeCell ref="A31:A32"/>
    <mergeCell ref="B31:B32"/>
    <mergeCell ref="C31:C32"/>
    <mergeCell ref="D31:D32"/>
  </mergeCells>
  <phoneticPr fontId="17" type="noConversion"/>
  <pageMargins left="0.19685039370078741" right="0" top="0.39370078740157483" bottom="0.19685039370078741" header="0.31496062992125984" footer="0.31496062992125984"/>
  <pageSetup paperSize="9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0"/>
  <sheetViews>
    <sheetView zoomScaleNormal="100" workbookViewId="0">
      <selection activeCell="G84" sqref="G84"/>
    </sheetView>
  </sheetViews>
  <sheetFormatPr defaultColWidth="9.140625" defaultRowHeight="12.75" x14ac:dyDescent="0.2"/>
  <cols>
    <col min="1" max="1" width="4.7109375" style="3" customWidth="1"/>
    <col min="2" max="2" width="5.85546875" style="7" customWidth="1"/>
    <col min="3" max="3" width="47.7109375" style="64" customWidth="1"/>
    <col min="4" max="4" width="10.5703125" style="6" customWidth="1"/>
    <col min="5" max="5" width="8.42578125" style="5" customWidth="1"/>
    <col min="6" max="6" width="8.140625" style="5" customWidth="1"/>
    <col min="7" max="7" width="5" style="4" customWidth="1"/>
    <col min="8" max="8" width="4.85546875" style="4" customWidth="1"/>
    <col min="9" max="16384" width="9.140625" style="2"/>
  </cols>
  <sheetData>
    <row r="1" spans="1:8" ht="15" customHeight="1" x14ac:dyDescent="0.25">
      <c r="C1" s="290" t="s">
        <v>998</v>
      </c>
      <c r="D1" s="290"/>
      <c r="E1" s="290"/>
      <c r="F1" s="290"/>
    </row>
    <row r="2" spans="1:8" ht="15.75" x14ac:dyDescent="0.25">
      <c r="C2" s="43"/>
      <c r="D2" s="43"/>
      <c r="E2" s="373" t="s">
        <v>358</v>
      </c>
      <c r="F2" s="373"/>
    </row>
    <row r="3" spans="1:8" ht="15.75" x14ac:dyDescent="0.2">
      <c r="E3" s="33"/>
      <c r="F3" s="33"/>
    </row>
    <row r="4" spans="1:8" ht="35.25" customHeight="1" x14ac:dyDescent="0.2">
      <c r="A4" s="298" t="s">
        <v>569</v>
      </c>
      <c r="B4" s="298"/>
      <c r="C4" s="298"/>
      <c r="D4" s="298"/>
      <c r="E4" s="298"/>
      <c r="F4" s="298"/>
    </row>
    <row r="5" spans="1:8" x14ac:dyDescent="0.2">
      <c r="A5" s="218"/>
      <c r="B5" s="52"/>
      <c r="C5" s="52"/>
      <c r="D5" s="52"/>
      <c r="E5" s="52"/>
      <c r="F5" s="52"/>
    </row>
    <row r="6" spans="1:8" x14ac:dyDescent="0.2">
      <c r="A6" s="219"/>
      <c r="B6" s="65"/>
      <c r="C6" s="66"/>
      <c r="D6" s="67"/>
      <c r="E6" s="68"/>
      <c r="F6" s="42" t="s">
        <v>129</v>
      </c>
    </row>
    <row r="7" spans="1:8" ht="50.25" customHeight="1" x14ac:dyDescent="0.2">
      <c r="A7" s="220" t="s">
        <v>118</v>
      </c>
      <c r="B7" s="9" t="s">
        <v>356</v>
      </c>
      <c r="C7" s="8" t="s">
        <v>16</v>
      </c>
      <c r="D7" s="9" t="s">
        <v>55</v>
      </c>
      <c r="E7" s="8" t="s">
        <v>17</v>
      </c>
      <c r="F7" s="8" t="s">
        <v>29</v>
      </c>
    </row>
    <row r="8" spans="1:8" s="36" customFormat="1" ht="12.75" customHeight="1" x14ac:dyDescent="0.2">
      <c r="A8" s="221">
        <v>1</v>
      </c>
      <c r="B8" s="11" t="s">
        <v>18</v>
      </c>
      <c r="C8" s="8">
        <v>3</v>
      </c>
      <c r="D8" s="9">
        <v>4</v>
      </c>
      <c r="E8" s="8">
        <v>5</v>
      </c>
      <c r="F8" s="8">
        <v>6</v>
      </c>
      <c r="G8" s="197"/>
      <c r="H8" s="197"/>
    </row>
    <row r="9" spans="1:8" s="36" customFormat="1" ht="12.75" customHeight="1" x14ac:dyDescent="0.2">
      <c r="A9" s="189">
        <v>1</v>
      </c>
      <c r="B9" s="11" t="s">
        <v>56</v>
      </c>
      <c r="C9" s="13" t="s">
        <v>57</v>
      </c>
      <c r="D9" s="8"/>
      <c r="E9" s="53">
        <f>+E10+E12+E15+E33</f>
        <v>835.2</v>
      </c>
      <c r="F9" s="53">
        <f>+F10+F12+F94+F15+F33</f>
        <v>45</v>
      </c>
      <c r="G9" s="197"/>
      <c r="H9" s="197"/>
    </row>
    <row r="10" spans="1:8" s="36" customFormat="1" ht="12.75" customHeight="1" x14ac:dyDescent="0.2">
      <c r="A10" s="189">
        <v>2</v>
      </c>
      <c r="B10" s="14" t="s">
        <v>293</v>
      </c>
      <c r="C10" s="206" t="s">
        <v>799</v>
      </c>
      <c r="D10" s="18"/>
      <c r="E10" s="201">
        <f>+E11</f>
        <v>261.60000000000002</v>
      </c>
      <c r="F10" s="201">
        <f>+F11</f>
        <v>0</v>
      </c>
      <c r="G10" s="197"/>
      <c r="H10" s="4"/>
    </row>
    <row r="11" spans="1:8" s="36" customFormat="1" ht="12.75" customHeight="1" x14ac:dyDescent="0.2">
      <c r="A11" s="189">
        <v>3</v>
      </c>
      <c r="B11" s="1"/>
      <c r="C11" s="60" t="s">
        <v>211</v>
      </c>
      <c r="D11" s="14" t="s">
        <v>800</v>
      </c>
      <c r="E11" s="19">
        <f>253.8+7.8</f>
        <v>261.60000000000002</v>
      </c>
      <c r="F11" s="19"/>
      <c r="G11" s="197"/>
      <c r="H11" s="197"/>
    </row>
    <row r="12" spans="1:8" s="36" customFormat="1" ht="12.75" customHeight="1" x14ac:dyDescent="0.2">
      <c r="A12" s="189">
        <v>4</v>
      </c>
      <c r="B12" s="1" t="s">
        <v>294</v>
      </c>
      <c r="C12" s="206" t="s">
        <v>895</v>
      </c>
      <c r="D12" s="18"/>
      <c r="E12" s="201">
        <f>+E13</f>
        <v>484</v>
      </c>
      <c r="F12" s="201">
        <f>+F13</f>
        <v>0</v>
      </c>
      <c r="G12" s="197"/>
      <c r="H12" s="197"/>
    </row>
    <row r="13" spans="1:8" s="36" customFormat="1" ht="12.75" customHeight="1" x14ac:dyDescent="0.2">
      <c r="A13" s="189">
        <v>5</v>
      </c>
      <c r="B13" s="1"/>
      <c r="C13" s="15" t="s">
        <v>801</v>
      </c>
      <c r="D13" s="1"/>
      <c r="E13" s="19">
        <f>+E14</f>
        <v>484</v>
      </c>
      <c r="F13" s="19">
        <f>+F14</f>
        <v>0</v>
      </c>
      <c r="G13" s="197"/>
      <c r="H13" s="197"/>
    </row>
    <row r="14" spans="1:8" s="36" customFormat="1" ht="27" customHeight="1" x14ac:dyDescent="0.2">
      <c r="A14" s="189">
        <v>6</v>
      </c>
      <c r="B14" s="1"/>
      <c r="C14" s="60" t="s">
        <v>893</v>
      </c>
      <c r="D14" s="1" t="s">
        <v>60</v>
      </c>
      <c r="E14" s="19">
        <v>484</v>
      </c>
      <c r="F14" s="19"/>
      <c r="G14" s="197"/>
      <c r="H14" s="197"/>
    </row>
    <row r="15" spans="1:8" s="36" customFormat="1" ht="38.25" x14ac:dyDescent="0.2">
      <c r="A15" s="189">
        <v>7</v>
      </c>
      <c r="B15" s="1" t="s">
        <v>912</v>
      </c>
      <c r="C15" s="154" t="s">
        <v>911</v>
      </c>
      <c r="D15" s="1"/>
      <c r="E15" s="201">
        <f>SUM(E16:E32)</f>
        <v>75.999999999999986</v>
      </c>
      <c r="F15" s="201">
        <f>SUM(F16:F32)</f>
        <v>45</v>
      </c>
      <c r="G15" s="197"/>
      <c r="H15" s="197"/>
    </row>
    <row r="16" spans="1:8" s="36" customFormat="1" ht="12.75" customHeight="1" x14ac:dyDescent="0.2">
      <c r="A16" s="189">
        <v>8</v>
      </c>
      <c r="B16" s="1"/>
      <c r="C16" s="21" t="s">
        <v>165</v>
      </c>
      <c r="D16" s="1" t="s">
        <v>58</v>
      </c>
      <c r="E16" s="19">
        <f>1.9+1.8+3.2</f>
        <v>6.9</v>
      </c>
      <c r="F16" s="19">
        <f>0.3+0.2+0.5</f>
        <v>1</v>
      </c>
      <c r="G16" s="197"/>
      <c r="H16" s="197"/>
    </row>
    <row r="17" spans="1:10" s="36" customFormat="1" ht="12.75" customHeight="1" x14ac:dyDescent="0.2">
      <c r="A17" s="189">
        <v>9</v>
      </c>
      <c r="B17" s="1"/>
      <c r="C17" s="21" t="s">
        <v>156</v>
      </c>
      <c r="D17" s="1" t="s">
        <v>58</v>
      </c>
      <c r="E17" s="19">
        <f>0.7+0.7+1.4</f>
        <v>2.8</v>
      </c>
      <c r="F17" s="19">
        <f>0.1+0.1+0.2</f>
        <v>0.4</v>
      </c>
      <c r="G17" s="197"/>
      <c r="H17" s="197"/>
    </row>
    <row r="18" spans="1:10" s="36" customFormat="1" ht="12.75" customHeight="1" x14ac:dyDescent="0.2">
      <c r="A18" s="189">
        <v>10</v>
      </c>
      <c r="B18" s="1"/>
      <c r="C18" s="21" t="s">
        <v>157</v>
      </c>
      <c r="D18" s="1" t="s">
        <v>58</v>
      </c>
      <c r="E18" s="19">
        <f>0.7+0.5+3.3</f>
        <v>4.5</v>
      </c>
      <c r="F18" s="19">
        <f>0.1+0.1+1.5</f>
        <v>1.7</v>
      </c>
      <c r="G18" s="197"/>
      <c r="H18" s="197"/>
    </row>
    <row r="19" spans="1:10" s="36" customFormat="1" ht="12.75" customHeight="1" x14ac:dyDescent="0.2">
      <c r="A19" s="189">
        <v>11</v>
      </c>
      <c r="B19" s="1"/>
      <c r="C19" s="21" t="s">
        <v>158</v>
      </c>
      <c r="D19" s="1" t="s">
        <v>58</v>
      </c>
      <c r="E19" s="19">
        <f>1+1+2</f>
        <v>4</v>
      </c>
      <c r="F19" s="19">
        <f>0.4+0.4+0.8</f>
        <v>1.6</v>
      </c>
      <c r="G19" s="197"/>
      <c r="H19" s="197"/>
    </row>
    <row r="20" spans="1:10" s="36" customFormat="1" ht="12.75" customHeight="1" x14ac:dyDescent="0.2">
      <c r="A20" s="189">
        <v>12</v>
      </c>
      <c r="B20" s="1"/>
      <c r="C20" s="21" t="s">
        <v>159</v>
      </c>
      <c r="D20" s="1" t="s">
        <v>58</v>
      </c>
      <c r="E20" s="19">
        <f>2.6+2.6+5.2</f>
        <v>10.4</v>
      </c>
      <c r="F20" s="19">
        <f>1.4+1.3+2.8</f>
        <v>5.5</v>
      </c>
      <c r="G20" s="197"/>
      <c r="H20" s="197"/>
    </row>
    <row r="21" spans="1:10" s="36" customFormat="1" ht="12.75" customHeight="1" x14ac:dyDescent="0.2">
      <c r="A21" s="189">
        <v>13</v>
      </c>
      <c r="B21" s="1"/>
      <c r="C21" s="21" t="s">
        <v>160</v>
      </c>
      <c r="D21" s="1" t="s">
        <v>58</v>
      </c>
      <c r="E21" s="19">
        <f>0.7+1.2+3.3</f>
        <v>5.1999999999999993</v>
      </c>
      <c r="F21" s="19">
        <f>0.1+0.4+1.5</f>
        <v>2</v>
      </c>
      <c r="G21" s="197"/>
      <c r="H21" s="197"/>
    </row>
    <row r="22" spans="1:10" s="36" customFormat="1" ht="12.75" customHeight="1" x14ac:dyDescent="0.2">
      <c r="A22" s="189">
        <v>14</v>
      </c>
      <c r="B22" s="1"/>
      <c r="C22" s="21" t="s">
        <v>164</v>
      </c>
      <c r="D22" s="125" t="s">
        <v>60</v>
      </c>
      <c r="E22" s="19">
        <f>0.6+1.3+1.2</f>
        <v>3.0999999999999996</v>
      </c>
      <c r="F22" s="19">
        <f>0.6+1.2+1.2</f>
        <v>3</v>
      </c>
      <c r="G22" s="197"/>
      <c r="H22" s="197"/>
      <c r="J22" s="197"/>
    </row>
    <row r="23" spans="1:10" s="36" customFormat="1" ht="12.75" customHeight="1" x14ac:dyDescent="0.2">
      <c r="A23" s="189">
        <v>15</v>
      </c>
      <c r="B23" s="1"/>
      <c r="C23" s="22" t="s">
        <v>134</v>
      </c>
      <c r="D23" s="125" t="s">
        <v>60</v>
      </c>
      <c r="E23" s="19">
        <f>0.6+0.2+0.4</f>
        <v>1.2000000000000002</v>
      </c>
      <c r="F23" s="19">
        <f>0.3+0.1</f>
        <v>0.4</v>
      </c>
      <c r="G23" s="197"/>
      <c r="H23" s="197"/>
    </row>
    <row r="24" spans="1:10" s="36" customFormat="1" ht="12.75" customHeight="1" x14ac:dyDescent="0.2">
      <c r="A24" s="189">
        <v>16</v>
      </c>
      <c r="B24" s="1"/>
      <c r="C24" s="22" t="s">
        <v>135</v>
      </c>
      <c r="D24" s="125" t="s">
        <v>60</v>
      </c>
      <c r="E24" s="19">
        <f>0.2+0.1</f>
        <v>0.30000000000000004</v>
      </c>
      <c r="F24" s="19">
        <v>0.1</v>
      </c>
      <c r="G24" s="197"/>
      <c r="H24" s="197"/>
    </row>
    <row r="25" spans="1:10" s="36" customFormat="1" ht="12.75" customHeight="1" x14ac:dyDescent="0.2">
      <c r="A25" s="189">
        <v>17</v>
      </c>
      <c r="B25" s="1"/>
      <c r="C25" s="22" t="s">
        <v>40</v>
      </c>
      <c r="D25" s="125" t="s">
        <v>60</v>
      </c>
      <c r="E25" s="222">
        <f>0.4+0.3+1.7</f>
        <v>2.4</v>
      </c>
      <c r="F25" s="222">
        <f>0.1+0.7</f>
        <v>0.79999999999999993</v>
      </c>
      <c r="G25" s="197"/>
      <c r="H25" s="197"/>
    </row>
    <row r="26" spans="1:10" s="36" customFormat="1" ht="12.75" customHeight="1" x14ac:dyDescent="0.2">
      <c r="A26" s="189">
        <v>18</v>
      </c>
      <c r="B26" s="1"/>
      <c r="C26" s="21" t="s">
        <v>137</v>
      </c>
      <c r="D26" s="125" t="s">
        <v>60</v>
      </c>
      <c r="E26" s="222">
        <f>2.2+2.2+2.8</f>
        <v>7.2</v>
      </c>
      <c r="F26" s="222">
        <f>1.9+1.8+2.5</f>
        <v>6.2</v>
      </c>
      <c r="G26" s="197"/>
      <c r="H26" s="197"/>
    </row>
    <row r="27" spans="1:10" s="36" customFormat="1" ht="12.75" customHeight="1" x14ac:dyDescent="0.2">
      <c r="A27" s="189">
        <v>19</v>
      </c>
      <c r="B27" s="1"/>
      <c r="C27" s="22" t="s">
        <v>162</v>
      </c>
      <c r="D27" s="125" t="s">
        <v>61</v>
      </c>
      <c r="E27" s="222">
        <f>1.9+3.1+7.4</f>
        <v>12.4</v>
      </c>
      <c r="F27" s="222">
        <f>1.8+3.1+7.3</f>
        <v>12.2</v>
      </c>
      <c r="G27" s="197"/>
      <c r="H27" s="197"/>
    </row>
    <row r="28" spans="1:10" s="36" customFormat="1" ht="12.75" customHeight="1" x14ac:dyDescent="0.2">
      <c r="A28" s="189">
        <v>20</v>
      </c>
      <c r="B28" s="1"/>
      <c r="C28" s="21" t="s">
        <v>163</v>
      </c>
      <c r="D28" s="121" t="s">
        <v>217</v>
      </c>
      <c r="E28" s="222">
        <f>3.1+1.9+3.7</f>
        <v>8.6999999999999993</v>
      </c>
      <c r="F28" s="222">
        <f>3+1.9+3.7</f>
        <v>8.6000000000000014</v>
      </c>
      <c r="G28" s="197"/>
      <c r="H28" s="197"/>
    </row>
    <row r="29" spans="1:10" s="36" customFormat="1" ht="12.75" customHeight="1" x14ac:dyDescent="0.2">
      <c r="A29" s="189">
        <v>21</v>
      </c>
      <c r="B29" s="1"/>
      <c r="C29" s="22" t="s">
        <v>120</v>
      </c>
      <c r="D29" s="121" t="s">
        <v>217</v>
      </c>
      <c r="E29" s="222">
        <f>0.5+0.5+1.1</f>
        <v>2.1</v>
      </c>
      <c r="F29" s="222">
        <f>0.1+0.1+0.1</f>
        <v>0.30000000000000004</v>
      </c>
      <c r="G29" s="197"/>
      <c r="H29" s="197"/>
    </row>
    <row r="30" spans="1:10" s="36" customFormat="1" ht="12.75" customHeight="1" x14ac:dyDescent="0.2">
      <c r="A30" s="189">
        <v>22</v>
      </c>
      <c r="B30" s="1"/>
      <c r="C30" s="22" t="s">
        <v>136</v>
      </c>
      <c r="D30" s="125" t="s">
        <v>61</v>
      </c>
      <c r="E30" s="222">
        <f>0.7+0.7+1.4</f>
        <v>2.8</v>
      </c>
      <c r="F30" s="222">
        <f>0.1+0.1+0.2</f>
        <v>0.4</v>
      </c>
      <c r="G30" s="197"/>
      <c r="H30" s="197"/>
    </row>
    <row r="31" spans="1:10" s="36" customFormat="1" ht="12" customHeight="1" x14ac:dyDescent="0.2">
      <c r="A31" s="189">
        <v>23</v>
      </c>
      <c r="B31" s="1"/>
      <c r="C31" s="212" t="s">
        <v>15</v>
      </c>
      <c r="D31" s="1" t="s">
        <v>58</v>
      </c>
      <c r="E31" s="222">
        <f>0.4+0.3+0.7</f>
        <v>1.4</v>
      </c>
      <c r="F31" s="222">
        <f>0.1+0.1</f>
        <v>0.2</v>
      </c>
      <c r="G31" s="197"/>
      <c r="H31" s="197"/>
    </row>
    <row r="32" spans="1:10" s="36" customFormat="1" ht="12" customHeight="1" x14ac:dyDescent="0.2">
      <c r="A32" s="189">
        <v>24</v>
      </c>
      <c r="B32" s="1"/>
      <c r="C32" s="212" t="s">
        <v>277</v>
      </c>
      <c r="D32" s="1" t="s">
        <v>58</v>
      </c>
      <c r="E32" s="222">
        <f>0.3+0.3</f>
        <v>0.6</v>
      </c>
      <c r="F32" s="222">
        <f>0.3+0.3</f>
        <v>0.6</v>
      </c>
      <c r="G32" s="197"/>
      <c r="H32" s="197"/>
    </row>
    <row r="33" spans="1:8" s="36" customFormat="1" ht="38.25" x14ac:dyDescent="0.2">
      <c r="A33" s="189">
        <v>25</v>
      </c>
      <c r="B33" s="1" t="s">
        <v>916</v>
      </c>
      <c r="C33" s="223" t="s">
        <v>923</v>
      </c>
      <c r="D33" s="1"/>
      <c r="E33" s="224">
        <f>SUM(E34:E39)</f>
        <v>13.600000000000001</v>
      </c>
      <c r="F33" s="224">
        <f>SUM(F34:F39)</f>
        <v>0</v>
      </c>
      <c r="G33" s="197"/>
      <c r="H33" s="197"/>
    </row>
    <row r="34" spans="1:8" s="36" customFormat="1" ht="12" customHeight="1" x14ac:dyDescent="0.2">
      <c r="A34" s="189">
        <v>26</v>
      </c>
      <c r="B34" s="1"/>
      <c r="C34" s="15" t="s">
        <v>134</v>
      </c>
      <c r="D34" s="1" t="s">
        <v>60</v>
      </c>
      <c r="E34" s="222">
        <v>0.9</v>
      </c>
      <c r="F34" s="225">
        <f>0.9-0.9</f>
        <v>0</v>
      </c>
      <c r="G34" s="197"/>
      <c r="H34" s="197"/>
    </row>
    <row r="35" spans="1:8" s="36" customFormat="1" ht="12" customHeight="1" x14ac:dyDescent="0.2">
      <c r="A35" s="189">
        <v>27</v>
      </c>
      <c r="B35" s="1"/>
      <c r="C35" s="15" t="s">
        <v>40</v>
      </c>
      <c r="D35" s="1" t="s">
        <v>60</v>
      </c>
      <c r="E35" s="222">
        <v>1.8</v>
      </c>
      <c r="F35" s="225">
        <f>1.8-1.8</f>
        <v>0</v>
      </c>
      <c r="G35" s="197"/>
      <c r="H35" s="197"/>
    </row>
    <row r="36" spans="1:8" s="36" customFormat="1" ht="12" customHeight="1" x14ac:dyDescent="0.2">
      <c r="A36" s="189">
        <v>28</v>
      </c>
      <c r="B36" s="1"/>
      <c r="C36" s="24" t="s">
        <v>163</v>
      </c>
      <c r="D36" s="1" t="s">
        <v>61</v>
      </c>
      <c r="E36" s="222">
        <v>3.2</v>
      </c>
      <c r="F36" s="225">
        <f>3.1-3.1</f>
        <v>0</v>
      </c>
      <c r="G36" s="197"/>
      <c r="H36" s="197"/>
    </row>
    <row r="37" spans="1:8" x14ac:dyDescent="0.2">
      <c r="A37" s="189">
        <v>29</v>
      </c>
      <c r="C37" s="15" t="s">
        <v>41</v>
      </c>
      <c r="D37" s="1" t="s">
        <v>61</v>
      </c>
      <c r="E37" s="12">
        <v>2.1</v>
      </c>
      <c r="F37" s="226">
        <f>2.1-2.1</f>
        <v>0</v>
      </c>
      <c r="G37" s="197"/>
      <c r="H37" s="197"/>
    </row>
    <row r="38" spans="1:8" s="36" customFormat="1" ht="12" customHeight="1" x14ac:dyDescent="0.2">
      <c r="A38" s="189">
        <v>30</v>
      </c>
      <c r="B38" s="1"/>
      <c r="C38" s="15" t="s">
        <v>42</v>
      </c>
      <c r="D38" s="1" t="s">
        <v>61</v>
      </c>
      <c r="E38" s="222">
        <v>1.8</v>
      </c>
      <c r="F38" s="225">
        <f>1.7-1.7</f>
        <v>0</v>
      </c>
      <c r="G38" s="197"/>
      <c r="H38" s="197"/>
    </row>
    <row r="39" spans="1:8" s="36" customFormat="1" ht="56.25" customHeight="1" x14ac:dyDescent="0.2">
      <c r="A39" s="189">
        <v>31</v>
      </c>
      <c r="B39" s="1"/>
      <c r="C39" s="15" t="s">
        <v>111</v>
      </c>
      <c r="D39" s="14" t="s">
        <v>349</v>
      </c>
      <c r="E39" s="222">
        <v>3.8</v>
      </c>
      <c r="F39" s="225">
        <f>3.7-3.7</f>
        <v>0</v>
      </c>
      <c r="G39" s="197"/>
      <c r="H39" s="197"/>
    </row>
    <row r="40" spans="1:8" s="36" customFormat="1" ht="18.75" customHeight="1" x14ac:dyDescent="0.2">
      <c r="A40" s="375">
        <v>32</v>
      </c>
      <c r="B40" s="314" t="s">
        <v>21</v>
      </c>
      <c r="C40" s="320" t="s">
        <v>22</v>
      </c>
      <c r="D40" s="316"/>
      <c r="E40" s="403">
        <v>2380.6999999999998</v>
      </c>
      <c r="F40" s="404">
        <v>195</v>
      </c>
      <c r="G40" s="197"/>
      <c r="H40" s="197"/>
    </row>
    <row r="41" spans="1:8" ht="18" customHeight="1" x14ac:dyDescent="0.2">
      <c r="A41" s="376"/>
      <c r="B41" s="315"/>
      <c r="C41" s="321"/>
      <c r="D41" s="317"/>
      <c r="E41" s="35">
        <f>+E42+E44+E47+E50+E52+E54+E57+E60+E62+E64+E69+E71+E78+E82+E86+E90</f>
        <v>2499.2999999999997</v>
      </c>
      <c r="F41" s="35">
        <f>+F42+F44+F47+F50+F52+F54+F57+F60+F62+F64+F69+F71+F78+F82+F86+F90</f>
        <v>196.10000000000002</v>
      </c>
    </row>
    <row r="42" spans="1:8" ht="25.5" x14ac:dyDescent="0.2">
      <c r="A42" s="189">
        <v>33</v>
      </c>
      <c r="B42" s="1" t="s">
        <v>231</v>
      </c>
      <c r="C42" s="206" t="s">
        <v>624</v>
      </c>
      <c r="D42" s="14"/>
      <c r="E42" s="201">
        <f>+E43</f>
        <v>24.7</v>
      </c>
      <c r="F42" s="201">
        <f>+F43</f>
        <v>21.400000000000002</v>
      </c>
    </row>
    <row r="43" spans="1:8" x14ac:dyDescent="0.2">
      <c r="A43" s="189">
        <v>34</v>
      </c>
      <c r="B43" s="1"/>
      <c r="C43" s="190" t="s">
        <v>147</v>
      </c>
      <c r="D43" s="14" t="s">
        <v>23</v>
      </c>
      <c r="E43" s="19">
        <v>24.7</v>
      </c>
      <c r="F43" s="19">
        <f>24.3-2.9</f>
        <v>21.400000000000002</v>
      </c>
    </row>
    <row r="44" spans="1:8" ht="25.5" x14ac:dyDescent="0.2">
      <c r="A44" s="189">
        <v>35</v>
      </c>
      <c r="B44" s="1" t="s">
        <v>233</v>
      </c>
      <c r="C44" s="206" t="s">
        <v>728</v>
      </c>
      <c r="D44" s="14"/>
      <c r="E44" s="201">
        <f>+E45</f>
        <v>160.69999999999999</v>
      </c>
      <c r="F44" s="201">
        <f>+F45</f>
        <v>3.1</v>
      </c>
    </row>
    <row r="45" spans="1:8" x14ac:dyDescent="0.2">
      <c r="A45" s="189">
        <v>36</v>
      </c>
      <c r="B45" s="1"/>
      <c r="C45" s="190" t="s">
        <v>3</v>
      </c>
      <c r="D45" s="14" t="s">
        <v>23</v>
      </c>
      <c r="E45" s="19">
        <v>160.69999999999999</v>
      </c>
      <c r="F45" s="19">
        <v>3.1</v>
      </c>
    </row>
    <row r="46" spans="1:8" x14ac:dyDescent="0.2">
      <c r="A46" s="375">
        <v>37</v>
      </c>
      <c r="B46" s="307" t="s">
        <v>235</v>
      </c>
      <c r="C46" s="384" t="s">
        <v>727</v>
      </c>
      <c r="D46" s="316"/>
      <c r="E46" s="227">
        <v>102.6</v>
      </c>
      <c r="F46" s="227">
        <v>3</v>
      </c>
    </row>
    <row r="47" spans="1:8" ht="34.5" customHeight="1" x14ac:dyDescent="0.2">
      <c r="A47" s="376"/>
      <c r="B47" s="308"/>
      <c r="C47" s="385"/>
      <c r="D47" s="317"/>
      <c r="E47" s="269">
        <f>+E49</f>
        <v>93.699999999999989</v>
      </c>
      <c r="F47" s="269">
        <f>+F49</f>
        <v>2.7</v>
      </c>
    </row>
    <row r="48" spans="1:8" ht="18.75" customHeight="1" x14ac:dyDescent="0.2">
      <c r="A48" s="375">
        <v>38</v>
      </c>
      <c r="B48" s="307"/>
      <c r="C48" s="347" t="s">
        <v>3</v>
      </c>
      <c r="D48" s="316" t="s">
        <v>705</v>
      </c>
      <c r="E48" s="127">
        <v>102.6</v>
      </c>
      <c r="F48" s="127">
        <v>3</v>
      </c>
    </row>
    <row r="49" spans="1:9" ht="18.75" customHeight="1" x14ac:dyDescent="0.2">
      <c r="A49" s="376"/>
      <c r="B49" s="308"/>
      <c r="C49" s="348"/>
      <c r="D49" s="317"/>
      <c r="E49" s="128">
        <f>102.6-8.9</f>
        <v>93.699999999999989</v>
      </c>
      <c r="F49" s="128">
        <f>3-0.3</f>
        <v>2.7</v>
      </c>
      <c r="G49" s="4">
        <v>-8.9</v>
      </c>
      <c r="H49" s="4">
        <v>-0.3</v>
      </c>
    </row>
    <row r="50" spans="1:9" ht="25.5" x14ac:dyDescent="0.2">
      <c r="A50" s="189">
        <v>39</v>
      </c>
      <c r="B50" s="1" t="s">
        <v>238</v>
      </c>
      <c r="C50" s="154" t="s">
        <v>757</v>
      </c>
      <c r="D50" s="228"/>
      <c r="E50" s="201">
        <f>+E51</f>
        <v>67.700000000000017</v>
      </c>
      <c r="F50" s="201">
        <f>+F51</f>
        <v>1.3</v>
      </c>
    </row>
    <row r="51" spans="1:9" x14ac:dyDescent="0.2">
      <c r="A51" s="189">
        <v>40</v>
      </c>
      <c r="B51" s="1"/>
      <c r="C51" s="15" t="s">
        <v>3</v>
      </c>
      <c r="D51" s="14" t="s">
        <v>705</v>
      </c>
      <c r="E51" s="19">
        <f>132.8-65.1</f>
        <v>67.700000000000017</v>
      </c>
      <c r="F51" s="19">
        <f>2.6-1.3</f>
        <v>1.3</v>
      </c>
    </row>
    <row r="52" spans="1:9" ht="25.5" x14ac:dyDescent="0.2">
      <c r="A52" s="189">
        <v>41</v>
      </c>
      <c r="B52" s="1" t="s">
        <v>240</v>
      </c>
      <c r="C52" s="154" t="s">
        <v>758</v>
      </c>
      <c r="D52" s="228"/>
      <c r="E52" s="201">
        <f>+E53</f>
        <v>0.7</v>
      </c>
      <c r="F52" s="201">
        <f>+F53</f>
        <v>0</v>
      </c>
    </row>
    <row r="53" spans="1:9" x14ac:dyDescent="0.2">
      <c r="A53" s="189">
        <v>42</v>
      </c>
      <c r="B53" s="1"/>
      <c r="C53" s="15" t="s">
        <v>3</v>
      </c>
      <c r="D53" s="14" t="s">
        <v>705</v>
      </c>
      <c r="E53" s="19">
        <v>0.7</v>
      </c>
      <c r="F53" s="19"/>
    </row>
    <row r="54" spans="1:9" ht="63.75" x14ac:dyDescent="0.2">
      <c r="A54" s="189">
        <v>43</v>
      </c>
      <c r="B54" s="1" t="s">
        <v>429</v>
      </c>
      <c r="C54" s="154" t="s">
        <v>775</v>
      </c>
      <c r="D54" s="228"/>
      <c r="E54" s="201">
        <f>+E55</f>
        <v>2.6</v>
      </c>
      <c r="F54" s="201">
        <f>+F55</f>
        <v>0</v>
      </c>
    </row>
    <row r="55" spans="1:9" x14ac:dyDescent="0.2">
      <c r="A55" s="189">
        <v>44</v>
      </c>
      <c r="B55" s="1"/>
      <c r="C55" s="15" t="s">
        <v>3</v>
      </c>
      <c r="D55" s="14" t="s">
        <v>705</v>
      </c>
      <c r="E55" s="19">
        <f>0.6+1+1</f>
        <v>2.6</v>
      </c>
      <c r="F55" s="19"/>
      <c r="I55" s="4"/>
    </row>
    <row r="56" spans="1:9" x14ac:dyDescent="0.2">
      <c r="A56" s="375">
        <v>45</v>
      </c>
      <c r="B56" s="307" t="s">
        <v>719</v>
      </c>
      <c r="C56" s="384" t="s">
        <v>794</v>
      </c>
      <c r="D56" s="316"/>
      <c r="E56" s="227">
        <v>130</v>
      </c>
      <c r="F56" s="227">
        <v>2.4</v>
      </c>
      <c r="I56" s="4"/>
    </row>
    <row r="57" spans="1:9" ht="27" customHeight="1" x14ac:dyDescent="0.2">
      <c r="A57" s="376"/>
      <c r="B57" s="308"/>
      <c r="C57" s="385"/>
      <c r="D57" s="317"/>
      <c r="E57" s="269">
        <f>+E59</f>
        <v>200.4</v>
      </c>
      <c r="F57" s="269">
        <f>+F59</f>
        <v>3.8000000000000003</v>
      </c>
      <c r="G57" s="2"/>
      <c r="H57" s="2"/>
    </row>
    <row r="58" spans="1:9" ht="13.5" customHeight="1" x14ac:dyDescent="0.2">
      <c r="A58" s="375">
        <v>46</v>
      </c>
      <c r="B58" s="307"/>
      <c r="C58" s="303" t="s">
        <v>3</v>
      </c>
      <c r="D58" s="316" t="s">
        <v>705</v>
      </c>
      <c r="E58" s="127">
        <v>130</v>
      </c>
      <c r="F58" s="127">
        <v>2.4</v>
      </c>
      <c r="G58" s="2"/>
      <c r="H58" s="2"/>
    </row>
    <row r="59" spans="1:9" x14ac:dyDescent="0.2">
      <c r="A59" s="376"/>
      <c r="B59" s="308"/>
      <c r="C59" s="304"/>
      <c r="D59" s="317"/>
      <c r="E59" s="128">
        <f>24.9+22.6+16.5+19+23.3+23.7+20.6+23.9+25.9</f>
        <v>200.4</v>
      </c>
      <c r="F59" s="128">
        <f>0.5+0.3+0.3+0.3+0.5+0.5+0.4+0.5+0.5</f>
        <v>3.8000000000000003</v>
      </c>
      <c r="G59" s="4">
        <f>20.6+23.9+25.9</f>
        <v>70.400000000000006</v>
      </c>
      <c r="H59" s="4">
        <f>0.4+0.5+0.5</f>
        <v>1.4</v>
      </c>
    </row>
    <row r="60" spans="1:9" ht="25.5" x14ac:dyDescent="0.2">
      <c r="A60" s="189">
        <v>47</v>
      </c>
      <c r="B60" s="1" t="s">
        <v>887</v>
      </c>
      <c r="C60" s="154" t="s">
        <v>884</v>
      </c>
      <c r="D60" s="14"/>
      <c r="E60" s="19">
        <f>+E61</f>
        <v>0.1</v>
      </c>
      <c r="F60" s="19">
        <f>+F61</f>
        <v>0</v>
      </c>
    </row>
    <row r="61" spans="1:9" x14ac:dyDescent="0.2">
      <c r="A61" s="189">
        <v>48</v>
      </c>
      <c r="B61" s="1"/>
      <c r="C61" s="15" t="s">
        <v>3</v>
      </c>
      <c r="D61" s="14" t="s">
        <v>705</v>
      </c>
      <c r="E61" s="19">
        <v>0.1</v>
      </c>
      <c r="F61" s="19"/>
    </row>
    <row r="62" spans="1:9" ht="25.5" x14ac:dyDescent="0.2">
      <c r="A62" s="189">
        <v>49</v>
      </c>
      <c r="B62" s="1" t="s">
        <v>888</v>
      </c>
      <c r="C62" s="154" t="s">
        <v>886</v>
      </c>
      <c r="D62" s="14"/>
      <c r="E62" s="19">
        <f>+E63</f>
        <v>28.7</v>
      </c>
      <c r="F62" s="19">
        <f>+F63</f>
        <v>1.1000000000000001</v>
      </c>
    </row>
    <row r="63" spans="1:9" x14ac:dyDescent="0.2">
      <c r="A63" s="189">
        <v>50</v>
      </c>
      <c r="B63" s="1"/>
      <c r="C63" s="15" t="s">
        <v>801</v>
      </c>
      <c r="D63" s="14" t="s">
        <v>705</v>
      </c>
      <c r="E63" s="19">
        <v>28.7</v>
      </c>
      <c r="F63" s="19">
        <v>1.1000000000000001</v>
      </c>
    </row>
    <row r="64" spans="1:9" ht="25.5" x14ac:dyDescent="0.2">
      <c r="A64" s="189">
        <v>51</v>
      </c>
      <c r="B64" s="1" t="s">
        <v>891</v>
      </c>
      <c r="C64" s="206" t="s">
        <v>892</v>
      </c>
      <c r="D64" s="228"/>
      <c r="E64" s="201">
        <f>SUM(E65:E68)</f>
        <v>18</v>
      </c>
      <c r="F64" s="201">
        <f>SUM(F65:F68)</f>
        <v>17.600000000000001</v>
      </c>
    </row>
    <row r="65" spans="1:11" ht="38.25" x14ac:dyDescent="0.2">
      <c r="A65" s="189">
        <v>52</v>
      </c>
      <c r="B65" s="1"/>
      <c r="C65" s="16" t="s">
        <v>1</v>
      </c>
      <c r="D65" s="14" t="s">
        <v>70</v>
      </c>
      <c r="E65" s="19">
        <v>5.2</v>
      </c>
      <c r="F65" s="19">
        <v>5</v>
      </c>
    </row>
    <row r="66" spans="1:11" x14ac:dyDescent="0.2">
      <c r="A66" s="189">
        <v>53</v>
      </c>
      <c r="B66" s="1"/>
      <c r="C66" s="163" t="s">
        <v>2</v>
      </c>
      <c r="D66" s="164" t="s">
        <v>71</v>
      </c>
      <c r="E66" s="19">
        <v>4.5</v>
      </c>
      <c r="F66" s="19">
        <v>4.4000000000000004</v>
      </c>
    </row>
    <row r="67" spans="1:11" x14ac:dyDescent="0.2">
      <c r="A67" s="189">
        <v>54</v>
      </c>
      <c r="B67" s="1"/>
      <c r="C67" s="134" t="s">
        <v>15</v>
      </c>
      <c r="D67" s="14" t="s">
        <v>103</v>
      </c>
      <c r="E67" s="19">
        <v>2.1</v>
      </c>
      <c r="F67" s="19">
        <v>2.1</v>
      </c>
    </row>
    <row r="68" spans="1:11" x14ac:dyDescent="0.2">
      <c r="A68" s="189">
        <v>55</v>
      </c>
      <c r="B68" s="1"/>
      <c r="C68" s="163" t="s">
        <v>147</v>
      </c>
      <c r="D68" s="14" t="s">
        <v>23</v>
      </c>
      <c r="E68" s="19">
        <v>6.2</v>
      </c>
      <c r="F68" s="19">
        <v>6.1</v>
      </c>
    </row>
    <row r="69" spans="1:11" ht="38.25" x14ac:dyDescent="0.2">
      <c r="A69" s="189">
        <v>56</v>
      </c>
      <c r="B69" s="1" t="s">
        <v>932</v>
      </c>
      <c r="C69" s="202" t="s">
        <v>918</v>
      </c>
      <c r="D69" s="14"/>
      <c r="E69" s="201">
        <f>+E70</f>
        <v>1639.3</v>
      </c>
      <c r="F69" s="201">
        <f>+F70</f>
        <v>0</v>
      </c>
      <c r="G69" s="2"/>
      <c r="J69" s="4"/>
    </row>
    <row r="70" spans="1:11" x14ac:dyDescent="0.2">
      <c r="A70" s="189">
        <v>57</v>
      </c>
      <c r="B70" s="1"/>
      <c r="C70" s="15" t="s">
        <v>3</v>
      </c>
      <c r="D70" s="14" t="s">
        <v>705</v>
      </c>
      <c r="E70" s="19">
        <v>1639.3</v>
      </c>
      <c r="F70" s="19"/>
      <c r="G70" s="2"/>
      <c r="J70" s="4"/>
    </row>
    <row r="71" spans="1:11" ht="38.25" x14ac:dyDescent="0.2">
      <c r="A71" s="189">
        <v>58</v>
      </c>
      <c r="B71" s="1" t="s">
        <v>952</v>
      </c>
      <c r="C71" s="154" t="s">
        <v>955</v>
      </c>
      <c r="D71" s="228"/>
      <c r="E71" s="19">
        <f>SUM(E72:E76)</f>
        <v>147.20000000000002</v>
      </c>
      <c r="F71" s="19">
        <f>SUM(F72:F76)</f>
        <v>145.10000000000002</v>
      </c>
      <c r="G71" s="2"/>
      <c r="J71" s="4"/>
      <c r="K71" s="81"/>
    </row>
    <row r="72" spans="1:11" ht="38.25" x14ac:dyDescent="0.2">
      <c r="A72" s="189">
        <v>59</v>
      </c>
      <c r="B72" s="1"/>
      <c r="C72" s="24" t="s">
        <v>1</v>
      </c>
      <c r="D72" s="14" t="s">
        <v>70</v>
      </c>
      <c r="E72" s="19">
        <v>60.9</v>
      </c>
      <c r="F72" s="19">
        <v>60</v>
      </c>
      <c r="G72" s="2"/>
      <c r="J72" s="4"/>
    </row>
    <row r="73" spans="1:11" x14ac:dyDescent="0.2">
      <c r="A73" s="189">
        <v>60</v>
      </c>
      <c r="B73" s="1"/>
      <c r="C73" s="166" t="s">
        <v>2</v>
      </c>
      <c r="D73" s="14" t="s">
        <v>71</v>
      </c>
      <c r="E73" s="19">
        <v>7</v>
      </c>
      <c r="F73" s="19">
        <v>6.9</v>
      </c>
      <c r="J73" s="4"/>
    </row>
    <row r="74" spans="1:11" x14ac:dyDescent="0.2">
      <c r="A74" s="189">
        <v>61</v>
      </c>
      <c r="B74" s="1"/>
      <c r="C74" s="134" t="s">
        <v>15</v>
      </c>
      <c r="D74" s="14" t="s">
        <v>103</v>
      </c>
      <c r="E74" s="19">
        <v>12.7</v>
      </c>
      <c r="F74" s="19">
        <v>12.5</v>
      </c>
      <c r="G74" s="2"/>
      <c r="J74" s="4"/>
    </row>
    <row r="75" spans="1:11" x14ac:dyDescent="0.2">
      <c r="A75" s="189">
        <v>62</v>
      </c>
      <c r="B75" s="1"/>
      <c r="C75" s="134" t="s">
        <v>19</v>
      </c>
      <c r="D75" s="14" t="s">
        <v>71</v>
      </c>
      <c r="E75" s="19">
        <v>9.5</v>
      </c>
      <c r="F75" s="19">
        <v>9.4</v>
      </c>
      <c r="G75" s="2"/>
      <c r="J75" s="4"/>
    </row>
    <row r="76" spans="1:11" x14ac:dyDescent="0.2">
      <c r="A76" s="189">
        <v>63</v>
      </c>
      <c r="B76" s="1"/>
      <c r="C76" s="24" t="s">
        <v>147</v>
      </c>
      <c r="D76" s="14" t="s">
        <v>23</v>
      </c>
      <c r="E76" s="19">
        <v>57.1</v>
      </c>
      <c r="F76" s="19">
        <v>56.3</v>
      </c>
      <c r="G76" s="2"/>
      <c r="J76" s="4"/>
    </row>
    <row r="77" spans="1:11" x14ac:dyDescent="0.2">
      <c r="A77" s="375">
        <v>64</v>
      </c>
      <c r="B77" s="307" t="s">
        <v>962</v>
      </c>
      <c r="C77" s="384" t="s">
        <v>972</v>
      </c>
      <c r="D77" s="316"/>
      <c r="E77" s="127">
        <v>5.8</v>
      </c>
      <c r="F77" s="19"/>
      <c r="G77" s="2"/>
      <c r="J77" s="4"/>
    </row>
    <row r="78" spans="1:11" ht="39.75" customHeight="1" x14ac:dyDescent="0.2">
      <c r="A78" s="376"/>
      <c r="B78" s="308"/>
      <c r="C78" s="385"/>
      <c r="D78" s="317"/>
      <c r="E78" s="128">
        <f>+E80</f>
        <v>16</v>
      </c>
      <c r="F78" s="19">
        <f>+F80</f>
        <v>0</v>
      </c>
      <c r="G78" s="2"/>
      <c r="J78" s="4"/>
    </row>
    <row r="79" spans="1:11" x14ac:dyDescent="0.2">
      <c r="A79" s="375">
        <v>65</v>
      </c>
      <c r="B79" s="307"/>
      <c r="C79" s="347" t="s">
        <v>3</v>
      </c>
      <c r="D79" s="316" t="s">
        <v>31</v>
      </c>
      <c r="E79" s="127">
        <v>5.8</v>
      </c>
      <c r="F79" s="19"/>
      <c r="G79" s="2"/>
      <c r="J79" s="4"/>
    </row>
    <row r="80" spans="1:11" x14ac:dyDescent="0.2">
      <c r="A80" s="376"/>
      <c r="B80" s="308"/>
      <c r="C80" s="348"/>
      <c r="D80" s="317"/>
      <c r="E80" s="128">
        <f>5.8+10.2</f>
        <v>16</v>
      </c>
      <c r="F80" s="19"/>
      <c r="G80" s="2">
        <v>10.199999999999999</v>
      </c>
      <c r="J80" s="4"/>
    </row>
    <row r="81" spans="1:10" x14ac:dyDescent="0.2">
      <c r="A81" s="375">
        <v>66</v>
      </c>
      <c r="B81" s="307" t="s">
        <v>963</v>
      </c>
      <c r="C81" s="384" t="s">
        <v>973</v>
      </c>
      <c r="D81" s="316"/>
      <c r="E81" s="127">
        <v>51.7</v>
      </c>
      <c r="F81" s="19"/>
      <c r="G81" s="2"/>
      <c r="J81" s="4"/>
    </row>
    <row r="82" spans="1:10" ht="52.5" customHeight="1" x14ac:dyDescent="0.2">
      <c r="A82" s="376"/>
      <c r="B82" s="308"/>
      <c r="C82" s="385"/>
      <c r="D82" s="317"/>
      <c r="E82" s="19">
        <f>+E84</f>
        <v>97.7</v>
      </c>
      <c r="F82" s="19">
        <f>+F84</f>
        <v>0</v>
      </c>
      <c r="G82" s="2"/>
      <c r="J82" s="4"/>
    </row>
    <row r="83" spans="1:10" x14ac:dyDescent="0.2">
      <c r="A83" s="375">
        <v>67</v>
      </c>
      <c r="B83" s="307"/>
      <c r="C83" s="303" t="s">
        <v>3</v>
      </c>
      <c r="D83" s="316" t="s">
        <v>705</v>
      </c>
      <c r="E83" s="127">
        <v>51.7</v>
      </c>
      <c r="F83" s="19"/>
      <c r="G83" s="2"/>
      <c r="J83" s="4"/>
    </row>
    <row r="84" spans="1:10" ht="20.25" customHeight="1" x14ac:dyDescent="0.2">
      <c r="A84" s="376"/>
      <c r="B84" s="308"/>
      <c r="C84" s="304"/>
      <c r="D84" s="317"/>
      <c r="E84" s="128">
        <f>51.7+46</f>
        <v>97.7</v>
      </c>
      <c r="F84" s="19"/>
      <c r="G84" s="4">
        <v>46</v>
      </c>
      <c r="J84" s="4"/>
    </row>
    <row r="85" spans="1:10" ht="20.25" customHeight="1" x14ac:dyDescent="0.2">
      <c r="A85" s="375">
        <v>68</v>
      </c>
      <c r="B85" s="307" t="s">
        <v>964</v>
      </c>
      <c r="C85" s="384" t="s">
        <v>974</v>
      </c>
      <c r="D85" s="316"/>
      <c r="E85" s="127">
        <v>0.4</v>
      </c>
      <c r="F85" s="19"/>
      <c r="G85" s="2"/>
      <c r="J85" s="4"/>
    </row>
    <row r="86" spans="1:10" ht="46.5" customHeight="1" x14ac:dyDescent="0.2">
      <c r="A86" s="376"/>
      <c r="B86" s="308"/>
      <c r="C86" s="385"/>
      <c r="D86" s="317"/>
      <c r="E86" s="128">
        <f>+E88</f>
        <v>1</v>
      </c>
      <c r="F86" s="19">
        <f>+F88</f>
        <v>0</v>
      </c>
      <c r="G86" s="2"/>
      <c r="J86" s="4"/>
    </row>
    <row r="87" spans="1:10" x14ac:dyDescent="0.2">
      <c r="A87" s="375">
        <v>69</v>
      </c>
      <c r="B87" s="307"/>
      <c r="C87" s="303" t="s">
        <v>3</v>
      </c>
      <c r="D87" s="316" t="s">
        <v>705</v>
      </c>
      <c r="E87" s="127">
        <v>0.4</v>
      </c>
      <c r="F87" s="19"/>
      <c r="G87" s="2"/>
      <c r="J87" s="4"/>
    </row>
    <row r="88" spans="1:10" x14ac:dyDescent="0.2">
      <c r="A88" s="376"/>
      <c r="B88" s="308"/>
      <c r="C88" s="304"/>
      <c r="D88" s="317"/>
      <c r="E88" s="128">
        <f>0.4+0.6</f>
        <v>1</v>
      </c>
      <c r="F88" s="19"/>
      <c r="G88" s="2">
        <v>0.6</v>
      </c>
      <c r="J88" s="4"/>
    </row>
    <row r="89" spans="1:10" x14ac:dyDescent="0.2">
      <c r="A89" s="375">
        <v>70</v>
      </c>
      <c r="B89" s="307" t="s">
        <v>978</v>
      </c>
      <c r="C89" s="384" t="s">
        <v>979</v>
      </c>
      <c r="D89" s="316"/>
      <c r="E89" s="127">
        <v>0.5</v>
      </c>
      <c r="F89" s="19"/>
      <c r="G89" s="2"/>
      <c r="J89" s="4"/>
    </row>
    <row r="90" spans="1:10" x14ac:dyDescent="0.2">
      <c r="A90" s="376"/>
      <c r="B90" s="308"/>
      <c r="C90" s="385"/>
      <c r="D90" s="317"/>
      <c r="E90" s="128">
        <f>+E92</f>
        <v>0.8</v>
      </c>
      <c r="F90" s="19">
        <f>+F92</f>
        <v>0</v>
      </c>
      <c r="G90" s="2"/>
      <c r="J90" s="4"/>
    </row>
    <row r="91" spans="1:10" x14ac:dyDescent="0.2">
      <c r="A91" s="375">
        <v>71</v>
      </c>
      <c r="B91" s="307"/>
      <c r="C91" s="303" t="s">
        <v>3</v>
      </c>
      <c r="D91" s="316" t="s">
        <v>705</v>
      </c>
      <c r="E91" s="127">
        <v>0.5</v>
      </c>
      <c r="F91" s="19"/>
      <c r="G91" s="2"/>
      <c r="J91" s="4"/>
    </row>
    <row r="92" spans="1:10" x14ac:dyDescent="0.2">
      <c r="A92" s="376"/>
      <c r="B92" s="308"/>
      <c r="C92" s="304"/>
      <c r="D92" s="317"/>
      <c r="E92" s="128">
        <f>0.5+0.3</f>
        <v>0.8</v>
      </c>
      <c r="F92" s="19"/>
      <c r="G92" s="2">
        <v>0.3</v>
      </c>
      <c r="J92" s="4"/>
    </row>
    <row r="93" spans="1:10" x14ac:dyDescent="0.2">
      <c r="A93" s="189">
        <v>72</v>
      </c>
      <c r="B93" s="11" t="s">
        <v>76</v>
      </c>
      <c r="C93" s="17" t="s">
        <v>193</v>
      </c>
      <c r="D93" s="14"/>
      <c r="E93" s="35">
        <f t="shared" ref="E93:F95" si="0">+E94</f>
        <v>232</v>
      </c>
      <c r="F93" s="35">
        <f t="shared" si="0"/>
        <v>0</v>
      </c>
      <c r="G93" s="2"/>
      <c r="J93" s="4"/>
    </row>
    <row r="94" spans="1:10" s="36" customFormat="1" ht="27" customHeight="1" x14ac:dyDescent="0.2">
      <c r="A94" s="189">
        <v>73</v>
      </c>
      <c r="B94" s="1" t="s">
        <v>299</v>
      </c>
      <c r="C94" s="206" t="s">
        <v>980</v>
      </c>
      <c r="D94" s="1"/>
      <c r="E94" s="201">
        <f t="shared" si="0"/>
        <v>232</v>
      </c>
      <c r="F94" s="201">
        <f t="shared" si="0"/>
        <v>0</v>
      </c>
      <c r="G94" s="197"/>
      <c r="H94" s="197"/>
    </row>
    <row r="95" spans="1:10" s="36" customFormat="1" ht="14.25" customHeight="1" x14ac:dyDescent="0.2">
      <c r="A95" s="189">
        <v>74</v>
      </c>
      <c r="B95" s="1"/>
      <c r="C95" s="15" t="s">
        <v>801</v>
      </c>
      <c r="D95" s="1"/>
      <c r="E95" s="19">
        <f t="shared" si="0"/>
        <v>232</v>
      </c>
      <c r="F95" s="19">
        <f t="shared" si="0"/>
        <v>0</v>
      </c>
      <c r="G95" s="197"/>
      <c r="H95" s="197"/>
    </row>
    <row r="96" spans="1:10" s="36" customFormat="1" ht="27" customHeight="1" x14ac:dyDescent="0.2">
      <c r="A96" s="189">
        <v>75</v>
      </c>
      <c r="B96" s="1"/>
      <c r="C96" s="60" t="s">
        <v>914</v>
      </c>
      <c r="D96" s="1" t="s">
        <v>217</v>
      </c>
      <c r="E96" s="19">
        <v>232</v>
      </c>
      <c r="F96" s="19"/>
      <c r="G96" s="197"/>
      <c r="H96" s="197"/>
    </row>
    <row r="97" spans="1:10" x14ac:dyDescent="0.2">
      <c r="A97" s="189">
        <v>76</v>
      </c>
      <c r="B97" s="11" t="s">
        <v>78</v>
      </c>
      <c r="C97" s="17" t="s">
        <v>79</v>
      </c>
      <c r="D97" s="18"/>
      <c r="E97" s="229">
        <f>+E98+E100+E103</f>
        <v>386.6</v>
      </c>
      <c r="F97" s="229">
        <f>+F98+F100+F103</f>
        <v>0.6</v>
      </c>
    </row>
    <row r="98" spans="1:10" ht="25.5" x14ac:dyDescent="0.2">
      <c r="A98" s="189">
        <v>77</v>
      </c>
      <c r="B98" s="1" t="s">
        <v>745</v>
      </c>
      <c r="C98" s="206" t="s">
        <v>746</v>
      </c>
      <c r="D98" s="18"/>
      <c r="E98" s="19">
        <f>+E99</f>
        <v>54.6</v>
      </c>
      <c r="F98" s="19">
        <f>+F99</f>
        <v>0</v>
      </c>
    </row>
    <row r="99" spans="1:10" ht="25.5" x14ac:dyDescent="0.2">
      <c r="A99" s="189">
        <v>78</v>
      </c>
      <c r="B99" s="1"/>
      <c r="C99" s="15" t="s">
        <v>53</v>
      </c>
      <c r="D99" s="1" t="s">
        <v>81</v>
      </c>
      <c r="E99" s="19">
        <v>54.6</v>
      </c>
      <c r="F99" s="19"/>
    </row>
    <row r="100" spans="1:10" ht="25.5" x14ac:dyDescent="0.2">
      <c r="A100" s="189">
        <v>79</v>
      </c>
      <c r="B100" s="1" t="s">
        <v>896</v>
      </c>
      <c r="C100" s="206" t="s">
        <v>895</v>
      </c>
      <c r="D100" s="18"/>
      <c r="E100" s="201">
        <f>+E101</f>
        <v>300</v>
      </c>
      <c r="F100" s="201">
        <f>+F101</f>
        <v>0</v>
      </c>
    </row>
    <row r="101" spans="1:10" x14ac:dyDescent="0.2">
      <c r="A101" s="189">
        <v>80</v>
      </c>
      <c r="B101" s="1"/>
      <c r="C101" s="15" t="s">
        <v>3</v>
      </c>
      <c r="D101" s="18"/>
      <c r="E101" s="19">
        <f>+E102</f>
        <v>300</v>
      </c>
      <c r="F101" s="19">
        <f>+F102</f>
        <v>0</v>
      </c>
    </row>
    <row r="102" spans="1:10" ht="25.5" x14ac:dyDescent="0.2">
      <c r="A102" s="189">
        <v>81</v>
      </c>
      <c r="B102" s="1"/>
      <c r="C102" s="60" t="s">
        <v>894</v>
      </c>
      <c r="D102" s="18" t="s">
        <v>80</v>
      </c>
      <c r="E102" s="19">
        <v>300</v>
      </c>
      <c r="F102" s="19"/>
    </row>
    <row r="103" spans="1:10" ht="25.5" x14ac:dyDescent="0.2">
      <c r="A103" s="189">
        <v>82</v>
      </c>
      <c r="B103" s="1" t="s">
        <v>943</v>
      </c>
      <c r="C103" s="206" t="s">
        <v>944</v>
      </c>
      <c r="D103" s="18"/>
      <c r="E103" s="19">
        <f>+E104</f>
        <v>32</v>
      </c>
      <c r="F103" s="19">
        <f>+F104</f>
        <v>0.6</v>
      </c>
    </row>
    <row r="104" spans="1:10" x14ac:dyDescent="0.2">
      <c r="A104" s="189">
        <v>83</v>
      </c>
      <c r="B104" s="1"/>
      <c r="C104" s="60" t="s">
        <v>3</v>
      </c>
      <c r="D104" s="18" t="s">
        <v>945</v>
      </c>
      <c r="E104" s="19">
        <v>32</v>
      </c>
      <c r="F104" s="19">
        <v>0.6</v>
      </c>
    </row>
    <row r="105" spans="1:10" ht="21" customHeight="1" x14ac:dyDescent="0.2">
      <c r="A105" s="189">
        <v>84</v>
      </c>
      <c r="B105" s="11" t="s">
        <v>84</v>
      </c>
      <c r="C105" s="55" t="s">
        <v>85</v>
      </c>
      <c r="D105" s="1"/>
      <c r="E105" s="35">
        <f>+E106</f>
        <v>2995.6</v>
      </c>
      <c r="F105" s="35">
        <f>+F106</f>
        <v>0</v>
      </c>
    </row>
    <row r="106" spans="1:10" ht="25.5" x14ac:dyDescent="0.2">
      <c r="A106" s="189">
        <v>85</v>
      </c>
      <c r="B106" s="1" t="s">
        <v>909</v>
      </c>
      <c r="C106" s="154" t="s">
        <v>910</v>
      </c>
      <c r="D106" s="1"/>
      <c r="E106" s="19">
        <f>+E107</f>
        <v>2995.6</v>
      </c>
      <c r="F106" s="19">
        <f>+F107</f>
        <v>0</v>
      </c>
    </row>
    <row r="107" spans="1:10" x14ac:dyDescent="0.2">
      <c r="A107" s="189">
        <v>86</v>
      </c>
      <c r="B107" s="11"/>
      <c r="C107" s="15" t="s">
        <v>3</v>
      </c>
      <c r="D107" s="1" t="s">
        <v>734</v>
      </c>
      <c r="E107" s="19">
        <f>2878.6+117</f>
        <v>2995.6</v>
      </c>
      <c r="F107" s="19"/>
    </row>
    <row r="108" spans="1:10" x14ac:dyDescent="0.2">
      <c r="A108" s="189">
        <v>87</v>
      </c>
      <c r="B108" s="11" t="s">
        <v>89</v>
      </c>
      <c r="C108" s="17" t="s">
        <v>90</v>
      </c>
      <c r="D108" s="1"/>
      <c r="E108" s="35">
        <f>+E109+E111+E113+E115</f>
        <v>100.19999999999999</v>
      </c>
      <c r="F108" s="35">
        <f>+F109+F111+F113+F115</f>
        <v>0</v>
      </c>
    </row>
    <row r="109" spans="1:10" ht="38.25" x14ac:dyDescent="0.2">
      <c r="A109" s="189">
        <v>88</v>
      </c>
      <c r="B109" s="1" t="s">
        <v>755</v>
      </c>
      <c r="C109" s="230" t="s">
        <v>913</v>
      </c>
      <c r="D109" s="1"/>
      <c r="E109" s="201">
        <f>+E110</f>
        <v>14.1</v>
      </c>
      <c r="F109" s="201">
        <f>+F110</f>
        <v>0</v>
      </c>
      <c r="J109" s="70"/>
    </row>
    <row r="110" spans="1:10" x14ac:dyDescent="0.2">
      <c r="A110" s="189">
        <v>89</v>
      </c>
      <c r="B110" s="11"/>
      <c r="C110" s="190" t="s">
        <v>3</v>
      </c>
      <c r="D110" s="1" t="s">
        <v>143</v>
      </c>
      <c r="E110" s="19">
        <v>14.1</v>
      </c>
      <c r="F110" s="19"/>
    </row>
    <row r="111" spans="1:10" ht="25.5" x14ac:dyDescent="0.2">
      <c r="A111" s="189">
        <v>90</v>
      </c>
      <c r="B111" s="1" t="s">
        <v>928</v>
      </c>
      <c r="C111" s="230" t="s">
        <v>925</v>
      </c>
      <c r="D111" s="1"/>
      <c r="E111" s="19">
        <f>+E112</f>
        <v>15.4</v>
      </c>
      <c r="F111" s="19"/>
    </row>
    <row r="112" spans="1:10" x14ac:dyDescent="0.2">
      <c r="A112" s="189">
        <v>91</v>
      </c>
      <c r="B112" s="1"/>
      <c r="C112" s="190" t="s">
        <v>3</v>
      </c>
      <c r="D112" s="174" t="s">
        <v>92</v>
      </c>
      <c r="E112" s="19">
        <v>15.4</v>
      </c>
      <c r="F112" s="19"/>
    </row>
    <row r="113" spans="1:6" ht="25.5" x14ac:dyDescent="0.2">
      <c r="A113" s="189">
        <v>92</v>
      </c>
      <c r="B113" s="1" t="s">
        <v>929</v>
      </c>
      <c r="C113" s="230" t="s">
        <v>927</v>
      </c>
      <c r="D113" s="1"/>
      <c r="E113" s="19">
        <f>+E114</f>
        <v>27.8</v>
      </c>
      <c r="F113" s="19"/>
    </row>
    <row r="114" spans="1:6" x14ac:dyDescent="0.2">
      <c r="A114" s="189">
        <v>93</v>
      </c>
      <c r="B114" s="11"/>
      <c r="C114" s="190" t="s">
        <v>3</v>
      </c>
      <c r="D114" s="174" t="s">
        <v>92</v>
      </c>
      <c r="E114" s="19">
        <v>27.8</v>
      </c>
      <c r="F114" s="19"/>
    </row>
    <row r="115" spans="1:6" x14ac:dyDescent="0.2">
      <c r="A115" s="189">
        <v>94</v>
      </c>
      <c r="B115" s="1" t="s">
        <v>931</v>
      </c>
      <c r="C115" s="231" t="s">
        <v>930</v>
      </c>
      <c r="D115" s="174"/>
      <c r="E115" s="19">
        <f>+E116</f>
        <v>42.9</v>
      </c>
      <c r="F115" s="19"/>
    </row>
    <row r="116" spans="1:6" x14ac:dyDescent="0.2">
      <c r="A116" s="189">
        <v>95</v>
      </c>
      <c r="B116" s="11"/>
      <c r="C116" s="190" t="s">
        <v>3</v>
      </c>
      <c r="D116" s="174" t="s">
        <v>92</v>
      </c>
      <c r="E116" s="19">
        <f>12.9+30</f>
        <v>42.9</v>
      </c>
      <c r="F116" s="19"/>
    </row>
    <row r="117" spans="1:6" x14ac:dyDescent="0.2">
      <c r="A117" s="189">
        <v>96</v>
      </c>
      <c r="B117" s="11" t="s">
        <v>32</v>
      </c>
      <c r="C117" s="17" t="s">
        <v>33</v>
      </c>
      <c r="D117" s="1"/>
      <c r="E117" s="35">
        <f>+E118+E120</f>
        <v>582</v>
      </c>
      <c r="F117" s="35">
        <f>+F118+F120</f>
        <v>0</v>
      </c>
    </row>
    <row r="118" spans="1:6" ht="38.25" x14ac:dyDescent="0.2">
      <c r="A118" s="189">
        <v>97</v>
      </c>
      <c r="B118" s="1" t="s">
        <v>242</v>
      </c>
      <c r="C118" s="230" t="s">
        <v>756</v>
      </c>
      <c r="D118" s="14"/>
      <c r="E118" s="19">
        <f>+E119</f>
        <v>282</v>
      </c>
      <c r="F118" s="19">
        <f>+F119</f>
        <v>0</v>
      </c>
    </row>
    <row r="119" spans="1:6" x14ac:dyDescent="0.2">
      <c r="A119" s="189">
        <v>98</v>
      </c>
      <c r="B119" s="1"/>
      <c r="C119" s="190" t="s">
        <v>3</v>
      </c>
      <c r="D119" s="14" t="s">
        <v>143</v>
      </c>
      <c r="E119" s="19">
        <v>282</v>
      </c>
      <c r="F119" s="19"/>
    </row>
    <row r="120" spans="1:6" ht="51" x14ac:dyDescent="0.2">
      <c r="A120" s="189">
        <v>99</v>
      </c>
      <c r="B120" s="1" t="s">
        <v>245</v>
      </c>
      <c r="C120" s="230" t="s">
        <v>919</v>
      </c>
      <c r="D120" s="14"/>
      <c r="E120" s="19">
        <f>+E121</f>
        <v>300</v>
      </c>
      <c r="F120" s="19">
        <f>+F121</f>
        <v>0</v>
      </c>
    </row>
    <row r="121" spans="1:6" x14ac:dyDescent="0.2">
      <c r="A121" s="189">
        <v>100</v>
      </c>
      <c r="B121" s="1"/>
      <c r="C121" s="190" t="s">
        <v>3</v>
      </c>
      <c r="D121" s="1" t="s">
        <v>247</v>
      </c>
      <c r="E121" s="19">
        <v>300</v>
      </c>
      <c r="F121" s="19"/>
    </row>
    <row r="122" spans="1:6" x14ac:dyDescent="0.2">
      <c r="A122" s="189">
        <v>101</v>
      </c>
      <c r="B122" s="11" t="s">
        <v>95</v>
      </c>
      <c r="C122" s="17" t="s">
        <v>96</v>
      </c>
      <c r="D122" s="1"/>
      <c r="E122" s="35">
        <f>+E123+E125</f>
        <v>3978.9</v>
      </c>
      <c r="F122" s="35">
        <f>+F123+F125</f>
        <v>0</v>
      </c>
    </row>
    <row r="123" spans="1:6" ht="74.25" customHeight="1" x14ac:dyDescent="0.2">
      <c r="A123" s="189">
        <v>102</v>
      </c>
      <c r="B123" s="1" t="s">
        <v>700</v>
      </c>
      <c r="C123" s="230" t="s">
        <v>960</v>
      </c>
      <c r="D123" s="1"/>
      <c r="E123" s="19">
        <f>+E124</f>
        <v>1482.4</v>
      </c>
      <c r="F123" s="19">
        <f>+F124</f>
        <v>0</v>
      </c>
    </row>
    <row r="124" spans="1:6" ht="21" customHeight="1" x14ac:dyDescent="0.2">
      <c r="A124" s="189">
        <v>103</v>
      </c>
      <c r="B124" s="1"/>
      <c r="C124" s="190" t="s">
        <v>3</v>
      </c>
      <c r="D124" s="1" t="s">
        <v>247</v>
      </c>
      <c r="E124" s="19">
        <v>1482.4</v>
      </c>
      <c r="F124" s="19"/>
    </row>
    <row r="125" spans="1:6" ht="38.25" x14ac:dyDescent="0.2">
      <c r="A125" s="189">
        <v>104</v>
      </c>
      <c r="B125" s="1" t="s">
        <v>768</v>
      </c>
      <c r="C125" s="230" t="s">
        <v>959</v>
      </c>
      <c r="D125" s="1"/>
      <c r="E125" s="19">
        <f>+E126</f>
        <v>2496.5</v>
      </c>
      <c r="F125" s="19">
        <f>+F126</f>
        <v>0</v>
      </c>
    </row>
    <row r="126" spans="1:6" x14ac:dyDescent="0.2">
      <c r="A126" s="189">
        <v>105</v>
      </c>
      <c r="B126" s="1"/>
      <c r="C126" s="190" t="s">
        <v>3</v>
      </c>
      <c r="D126" s="1" t="s">
        <v>734</v>
      </c>
      <c r="E126" s="19">
        <v>2496.5</v>
      </c>
      <c r="F126" s="19"/>
    </row>
    <row r="127" spans="1:6" x14ac:dyDescent="0.2">
      <c r="A127" s="375">
        <v>106</v>
      </c>
      <c r="B127" s="314" t="s">
        <v>25</v>
      </c>
      <c r="C127" s="320" t="s">
        <v>26</v>
      </c>
      <c r="D127" s="307"/>
      <c r="E127" s="133">
        <v>19.100000000000001</v>
      </c>
      <c r="F127" s="133">
        <v>0</v>
      </c>
    </row>
    <row r="128" spans="1:6" x14ac:dyDescent="0.2">
      <c r="A128" s="376"/>
      <c r="B128" s="315"/>
      <c r="C128" s="321"/>
      <c r="D128" s="308"/>
      <c r="E128" s="35">
        <f>+E129+E131</f>
        <v>25.400000000000002</v>
      </c>
      <c r="F128" s="35">
        <f>+F129+F131</f>
        <v>6.2</v>
      </c>
    </row>
    <row r="129" spans="1:10" ht="51" x14ac:dyDescent="0.2">
      <c r="A129" s="189">
        <v>107</v>
      </c>
      <c r="B129" s="1"/>
      <c r="C129" s="206" t="s">
        <v>921</v>
      </c>
      <c r="D129" s="18"/>
      <c r="E129" s="19">
        <f>+E130</f>
        <v>19.100000000000001</v>
      </c>
      <c r="F129" s="19">
        <f>+F130</f>
        <v>0</v>
      </c>
    </row>
    <row r="130" spans="1:10" x14ac:dyDescent="0.2">
      <c r="A130" s="189">
        <v>108</v>
      </c>
      <c r="B130" s="1"/>
      <c r="C130" s="60" t="s">
        <v>3</v>
      </c>
      <c r="D130" s="18">
        <v>10</v>
      </c>
      <c r="E130" s="19">
        <f>8.6+10.5</f>
        <v>19.100000000000001</v>
      </c>
      <c r="F130" s="19"/>
    </row>
    <row r="131" spans="1:10" ht="13.5" x14ac:dyDescent="0.2">
      <c r="A131" s="221">
        <v>109</v>
      </c>
      <c r="B131" s="11"/>
      <c r="C131" s="270" t="s">
        <v>984</v>
      </c>
      <c r="D131" s="10"/>
      <c r="E131" s="128">
        <f>+E132</f>
        <v>6.3</v>
      </c>
      <c r="F131" s="128">
        <f>+F132</f>
        <v>6.2</v>
      </c>
      <c r="G131" s="4" t="s">
        <v>991</v>
      </c>
    </row>
    <row r="132" spans="1:10" x14ac:dyDescent="0.2">
      <c r="A132" s="189">
        <v>110</v>
      </c>
      <c r="B132" s="1"/>
      <c r="C132" s="60" t="s">
        <v>3</v>
      </c>
      <c r="D132" s="1" t="s">
        <v>56</v>
      </c>
      <c r="E132" s="19">
        <v>6.3</v>
      </c>
      <c r="F132" s="19">
        <v>6.2</v>
      </c>
      <c r="G132" s="4">
        <v>6.3</v>
      </c>
      <c r="H132" s="4">
        <v>6.2</v>
      </c>
    </row>
    <row r="133" spans="1:10" x14ac:dyDescent="0.2">
      <c r="A133" s="375">
        <v>111</v>
      </c>
      <c r="B133" s="307"/>
      <c r="C133" s="377" t="s">
        <v>20</v>
      </c>
      <c r="D133" s="307"/>
      <c r="E133" s="133">
        <v>11510.3</v>
      </c>
      <c r="F133" s="133">
        <v>240.6</v>
      </c>
    </row>
    <row r="134" spans="1:10" x14ac:dyDescent="0.2">
      <c r="A134" s="376"/>
      <c r="B134" s="308"/>
      <c r="C134" s="378"/>
      <c r="D134" s="308"/>
      <c r="E134" s="35">
        <f>+E9+E41+E93+E97+E105+E108+E117+E122+E128</f>
        <v>11635.199999999999</v>
      </c>
      <c r="F134" s="35">
        <f>+F9+F41+F93+F97+F105+F108+F117+F122+F128</f>
        <v>247.9</v>
      </c>
      <c r="G134" s="4">
        <f>SUM(G8:G132)</f>
        <v>124.89999999999999</v>
      </c>
      <c r="H134" s="4">
        <f>SUM(H8:H132)</f>
        <v>7.3</v>
      </c>
      <c r="I134" s="4"/>
      <c r="J134" s="4"/>
    </row>
    <row r="135" spans="1:10" x14ac:dyDescent="0.2">
      <c r="C135" s="64" t="s">
        <v>113</v>
      </c>
      <c r="D135" s="7"/>
      <c r="E135" s="20"/>
      <c r="F135" s="20"/>
      <c r="G135" s="71"/>
      <c r="H135" s="71"/>
    </row>
    <row r="136" spans="1:10" ht="13.5" customHeight="1" x14ac:dyDescent="0.2">
      <c r="C136" s="232"/>
      <c r="E136" s="20"/>
      <c r="F136" s="20"/>
    </row>
    <row r="137" spans="1:10" x14ac:dyDescent="0.2">
      <c r="C137" s="232"/>
      <c r="D137" s="2"/>
      <c r="E137" s="41"/>
      <c r="F137" s="41"/>
    </row>
    <row r="138" spans="1:10" x14ac:dyDescent="0.2">
      <c r="D138" s="5"/>
      <c r="E138" s="41"/>
      <c r="F138" s="41"/>
    </row>
    <row r="139" spans="1:10" x14ac:dyDescent="0.2">
      <c r="C139" s="233"/>
      <c r="E139" s="41"/>
      <c r="F139" s="41"/>
    </row>
    <row r="140" spans="1:10" x14ac:dyDescent="0.2">
      <c r="C140" s="234"/>
      <c r="E140" s="41"/>
      <c r="F140" s="41"/>
    </row>
    <row r="141" spans="1:10" x14ac:dyDescent="0.2">
      <c r="C141" s="235"/>
      <c r="E141" s="20"/>
    </row>
    <row r="142" spans="1:10" x14ac:dyDescent="0.2">
      <c r="C142" s="233"/>
    </row>
    <row r="143" spans="1:10" x14ac:dyDescent="0.2">
      <c r="C143" s="69"/>
      <c r="E143" s="41"/>
    </row>
    <row r="147" spans="5:5" x14ac:dyDescent="0.2">
      <c r="E147" s="41"/>
    </row>
    <row r="148" spans="5:5" x14ac:dyDescent="0.2">
      <c r="E148" s="41"/>
    </row>
    <row r="150" spans="5:5" x14ac:dyDescent="0.2">
      <c r="E150" s="41"/>
    </row>
  </sheetData>
  <mergeCells count="63">
    <mergeCell ref="A4:F4"/>
    <mergeCell ref="E2:F2"/>
    <mergeCell ref="C1:F1"/>
    <mergeCell ref="A40:A41"/>
    <mergeCell ref="B40:B41"/>
    <mergeCell ref="C40:C41"/>
    <mergeCell ref="D40:D41"/>
    <mergeCell ref="A46:A47"/>
    <mergeCell ref="B46:B47"/>
    <mergeCell ref="C46:C47"/>
    <mergeCell ref="D46:D47"/>
    <mergeCell ref="A48:A49"/>
    <mergeCell ref="B48:B49"/>
    <mergeCell ref="C48:C49"/>
    <mergeCell ref="D48:D49"/>
    <mergeCell ref="A56:A57"/>
    <mergeCell ref="B56:B57"/>
    <mergeCell ref="C56:C57"/>
    <mergeCell ref="D56:D57"/>
    <mergeCell ref="A58:A59"/>
    <mergeCell ref="B58:B59"/>
    <mergeCell ref="C58:C59"/>
    <mergeCell ref="D58:D59"/>
    <mergeCell ref="A77:A78"/>
    <mergeCell ref="B77:B78"/>
    <mergeCell ref="C77:C78"/>
    <mergeCell ref="D77:D78"/>
    <mergeCell ref="A79:A80"/>
    <mergeCell ref="B79:B80"/>
    <mergeCell ref="C79:C80"/>
    <mergeCell ref="D79:D80"/>
    <mergeCell ref="A81:A82"/>
    <mergeCell ref="B81:B82"/>
    <mergeCell ref="C81:C82"/>
    <mergeCell ref="D81:D82"/>
    <mergeCell ref="A83:A84"/>
    <mergeCell ref="B83:B84"/>
    <mergeCell ref="C83:C84"/>
    <mergeCell ref="D83:D84"/>
    <mergeCell ref="A85:A86"/>
    <mergeCell ref="B85:B86"/>
    <mergeCell ref="C85:C86"/>
    <mergeCell ref="D85:D86"/>
    <mergeCell ref="A87:A88"/>
    <mergeCell ref="B87:B88"/>
    <mergeCell ref="C87:C88"/>
    <mergeCell ref="D87:D88"/>
    <mergeCell ref="A89:A90"/>
    <mergeCell ref="B89:B90"/>
    <mergeCell ref="C89:C90"/>
    <mergeCell ref="D89:D90"/>
    <mergeCell ref="A133:A134"/>
    <mergeCell ref="B133:B134"/>
    <mergeCell ref="C133:C134"/>
    <mergeCell ref="D133:D134"/>
    <mergeCell ref="A91:A92"/>
    <mergeCell ref="B91:B92"/>
    <mergeCell ref="C91:C92"/>
    <mergeCell ref="D91:D92"/>
    <mergeCell ref="A127:A128"/>
    <mergeCell ref="B127:B128"/>
    <mergeCell ref="C127:C128"/>
    <mergeCell ref="D127:D128"/>
  </mergeCells>
  <pageMargins left="0.70866141732283472" right="0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11</vt:i4>
      </vt:variant>
      <vt:variant>
        <vt:lpstr>Įvardytieji diapazonai</vt:lpstr>
      </vt:variant>
      <vt:variant>
        <vt:i4>20</vt:i4>
      </vt:variant>
    </vt:vector>
  </HeadingPairs>
  <TitlesOfParts>
    <vt:vector size="31" baseType="lpstr">
      <vt:lpstr>1 pr</vt:lpstr>
      <vt:lpstr>2 pr</vt:lpstr>
      <vt:lpstr>3 pr</vt:lpstr>
      <vt:lpstr>4 pr</vt:lpstr>
      <vt:lpstr>5 pr</vt:lpstr>
      <vt:lpstr>7 pr</vt:lpstr>
      <vt:lpstr>8 pr</vt:lpstr>
      <vt:lpstr>9 pr</vt:lpstr>
      <vt:lpstr>10 pr</vt:lpstr>
      <vt:lpstr>12 pr</vt:lpstr>
      <vt:lpstr>13 pr</vt:lpstr>
      <vt:lpstr>'1 pr'!Print_Area</vt:lpstr>
      <vt:lpstr>'10 pr'!Print_Area</vt:lpstr>
      <vt:lpstr>'12 pr'!Print_Area</vt:lpstr>
      <vt:lpstr>'13 pr'!Print_Area</vt:lpstr>
      <vt:lpstr>'2 pr'!Print_Area</vt:lpstr>
      <vt:lpstr>'3 pr'!Print_Area</vt:lpstr>
      <vt:lpstr>'4 pr'!Print_Area</vt:lpstr>
      <vt:lpstr>'5 pr'!Print_Area</vt:lpstr>
      <vt:lpstr>'7 pr'!Print_Area</vt:lpstr>
      <vt:lpstr>'8 pr'!Print_Area</vt:lpstr>
      <vt:lpstr>'9 pr'!Print_Area</vt:lpstr>
      <vt:lpstr>'1 pr'!Print_Titles</vt:lpstr>
      <vt:lpstr>'10 pr'!Print_Titles</vt:lpstr>
      <vt:lpstr>'2 pr'!Print_Titles</vt:lpstr>
      <vt:lpstr>'3 pr'!Print_Titles</vt:lpstr>
      <vt:lpstr>'4 pr'!Print_Titles</vt:lpstr>
      <vt:lpstr>'5 pr'!Print_Titles</vt:lpstr>
      <vt:lpstr>'7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Jolanta Sakavičienė</cp:lastModifiedBy>
  <cp:lastPrinted>2023-09-18T11:41:02Z</cp:lastPrinted>
  <dcterms:created xsi:type="dcterms:W3CDTF">1996-10-14T23:33:28Z</dcterms:created>
  <dcterms:modified xsi:type="dcterms:W3CDTF">2023-09-18T11:41:26Z</dcterms:modified>
</cp:coreProperties>
</file>