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09- Tarybos posėdiis/Ataskaita/2022 m ATASKAITA/"/>
    </mc:Choice>
  </mc:AlternateContent>
  <xr:revisionPtr revIDLastSave="106" documentId="13_ncr:1_{0AFF905F-E4FA-4885-B902-63796AFCA7B7}" xr6:coauthVersionLast="47" xr6:coauthVersionMax="47" xr10:uidLastSave="{C1F4A86F-8633-415A-A009-C92C05176940}"/>
  <bookViews>
    <workbookView xWindow="-120" yWindow="-120" windowWidth="29040" windowHeight="15840" xr2:uid="{441EDD1E-4153-4008-AFE7-A1A1008AB96B}"/>
  </bookViews>
  <sheets>
    <sheet name="Nr. 1" sheetId="1" r:id="rId1"/>
    <sheet name="Nr.2" sheetId="2" r:id="rId2"/>
    <sheet name="Nr. 3" sheetId="4" r:id="rId3"/>
    <sheet name="Nr.4" sheetId="3" r:id="rId4"/>
  </sheets>
  <externalReferences>
    <externalReference r:id="rId5"/>
    <externalReference r:id="rId6"/>
  </externalReferences>
  <definedNames>
    <definedName name="_xlnm.Print_Area" localSheetId="0">'Nr. 1'!$A$1:$I$34</definedName>
    <definedName name="_xlnm.Print_Area" localSheetId="2">'Nr. 3'!$A$1:$S$38</definedName>
    <definedName name="_xlnm.Print_Area" localSheetId="1">Nr.2!$A$1:$BK$141</definedName>
    <definedName name="_xlnm.Print_Area" localSheetId="3">Nr.4!$A$1:$J$51</definedName>
    <definedName name="_xlnm.Print_Titles" localSheetId="1">Nr.2!$8:$8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4" i="2" l="1"/>
  <c r="H148" i="2"/>
  <c r="G148" i="2"/>
  <c r="I148" i="2" s="1"/>
  <c r="E148" i="2"/>
  <c r="F148" i="2" s="1"/>
  <c r="I147" i="2"/>
  <c r="H147" i="2"/>
  <c r="G147" i="2"/>
  <c r="E147" i="2"/>
  <c r="F147" i="2" s="1"/>
  <c r="I146" i="2"/>
  <c r="G146" i="2"/>
  <c r="E146" i="2"/>
  <c r="H145" i="2"/>
  <c r="G145" i="2"/>
  <c r="I145" i="2" s="1"/>
  <c r="F145" i="2"/>
  <c r="E145" i="2"/>
  <c r="I144" i="2"/>
  <c r="G144" i="2"/>
  <c r="E144" i="2"/>
  <c r="H143" i="2"/>
  <c r="G143" i="2"/>
  <c r="I143" i="2" s="1"/>
  <c r="E143" i="2"/>
  <c r="F143" i="2" s="1"/>
  <c r="C143" i="2"/>
  <c r="B143" i="2"/>
  <c r="G142" i="2"/>
  <c r="I142" i="2" s="1"/>
  <c r="E142" i="2"/>
  <c r="BL140" i="2"/>
  <c r="U140" i="2"/>
  <c r="T140" i="2"/>
  <c r="M140" i="2"/>
  <c r="J140" i="2"/>
  <c r="G140" i="2"/>
  <c r="H140" i="2" s="1"/>
  <c r="E140" i="2"/>
  <c r="F140" i="2" s="1"/>
  <c r="C140" i="2"/>
  <c r="L140" i="2" s="1"/>
  <c r="BL139" i="2"/>
  <c r="U139" i="2"/>
  <c r="T139" i="2"/>
  <c r="M139" i="2"/>
  <c r="L139" i="2"/>
  <c r="J139" i="2"/>
  <c r="G139" i="2"/>
  <c r="H139" i="2" s="1"/>
  <c r="F139" i="2"/>
  <c r="E139" i="2"/>
  <c r="C139" i="2"/>
  <c r="BL138" i="2"/>
  <c r="U138" i="2"/>
  <c r="J138" i="2"/>
  <c r="C138" i="2"/>
  <c r="M138" i="2" s="1"/>
  <c r="BL137" i="2"/>
  <c r="AK137" i="2"/>
  <c r="U137" i="2"/>
  <c r="J137" i="2"/>
  <c r="M137" i="2" s="1"/>
  <c r="C137" i="2"/>
  <c r="BL136" i="2"/>
  <c r="AK136" i="2"/>
  <c r="U136" i="2"/>
  <c r="J136" i="2"/>
  <c r="C136" i="2"/>
  <c r="M136" i="2" s="1"/>
  <c r="BL135" i="2"/>
  <c r="AK135" i="2"/>
  <c r="U135" i="2"/>
  <c r="M135" i="2"/>
  <c r="L135" i="2"/>
  <c r="J135" i="2"/>
  <c r="C135" i="2"/>
  <c r="BL134" i="2"/>
  <c r="AK134" i="2"/>
  <c r="U134" i="2"/>
  <c r="J134" i="2"/>
  <c r="C134" i="2"/>
  <c r="M134" i="2" s="1"/>
  <c r="BL133" i="2"/>
  <c r="U133" i="2"/>
  <c r="T133" i="2"/>
  <c r="M133" i="2"/>
  <c r="J133" i="2"/>
  <c r="G133" i="2"/>
  <c r="H133" i="2" s="1"/>
  <c r="E133" i="2"/>
  <c r="C133" i="2"/>
  <c r="L133" i="2" s="1"/>
  <c r="BL132" i="2"/>
  <c r="U132" i="2"/>
  <c r="T132" i="2"/>
  <c r="M132" i="2"/>
  <c r="L132" i="2"/>
  <c r="J132" i="2"/>
  <c r="G132" i="2"/>
  <c r="H132" i="2" s="1"/>
  <c r="F132" i="2"/>
  <c r="E132" i="2"/>
  <c r="C132" i="2"/>
  <c r="BL131" i="2"/>
  <c r="U131" i="2"/>
  <c r="T131" i="2"/>
  <c r="J131" i="2"/>
  <c r="L131" i="2" s="1"/>
  <c r="H131" i="2"/>
  <c r="G131" i="2"/>
  <c r="E131" i="2"/>
  <c r="F131" i="2" s="1"/>
  <c r="C131" i="2"/>
  <c r="M131" i="2" s="1"/>
  <c r="BL130" i="2"/>
  <c r="U130" i="2"/>
  <c r="T130" i="2"/>
  <c r="R130" i="2"/>
  <c r="J130" i="2"/>
  <c r="L130" i="2" s="1"/>
  <c r="H130" i="2"/>
  <c r="G130" i="2"/>
  <c r="E130" i="2"/>
  <c r="F130" i="2" s="1"/>
  <c r="C130" i="2"/>
  <c r="M130" i="2" s="1"/>
  <c r="BL129" i="2"/>
  <c r="U129" i="2"/>
  <c r="T129" i="2"/>
  <c r="J129" i="2"/>
  <c r="H129" i="2"/>
  <c r="G129" i="2"/>
  <c r="E129" i="2"/>
  <c r="F129" i="2" s="1"/>
  <c r="C129" i="2"/>
  <c r="BL128" i="2"/>
  <c r="U128" i="2"/>
  <c r="C128" i="2"/>
  <c r="M128" i="2" s="1"/>
  <c r="BL127" i="2"/>
  <c r="AK127" i="2"/>
  <c r="AJ127" i="2"/>
  <c r="U127" i="2"/>
  <c r="J127" i="2"/>
  <c r="H127" i="2"/>
  <c r="G127" i="2"/>
  <c r="E127" i="2"/>
  <c r="F127" i="2" s="1"/>
  <c r="C127" i="2"/>
  <c r="BL126" i="2"/>
  <c r="U126" i="2"/>
  <c r="T126" i="2"/>
  <c r="M126" i="2"/>
  <c r="J126" i="2"/>
  <c r="G126" i="2"/>
  <c r="H126" i="2" s="1"/>
  <c r="E126" i="2"/>
  <c r="C126" i="2"/>
  <c r="L126" i="2" s="1"/>
  <c r="BL125" i="2"/>
  <c r="U125" i="2"/>
  <c r="J125" i="2"/>
  <c r="C125" i="2"/>
  <c r="BL124" i="2"/>
  <c r="AK124" i="2"/>
  <c r="U124" i="2"/>
  <c r="M124" i="2"/>
  <c r="J124" i="2"/>
  <c r="C124" i="2"/>
  <c r="BL123" i="2"/>
  <c r="U123" i="2"/>
  <c r="T123" i="2"/>
  <c r="L123" i="2"/>
  <c r="J123" i="2"/>
  <c r="H123" i="2"/>
  <c r="G123" i="2"/>
  <c r="F123" i="2"/>
  <c r="E123" i="2"/>
  <c r="C123" i="2"/>
  <c r="BL122" i="2"/>
  <c r="U122" i="2"/>
  <c r="T122" i="2"/>
  <c r="R122" i="2"/>
  <c r="J122" i="2"/>
  <c r="L122" i="2" s="1"/>
  <c r="H122" i="2"/>
  <c r="G122" i="2"/>
  <c r="E122" i="2"/>
  <c r="F122" i="2" s="1"/>
  <c r="C122" i="2"/>
  <c r="BL121" i="2"/>
  <c r="AK121" i="2"/>
  <c r="AJ121" i="2"/>
  <c r="U121" i="2"/>
  <c r="L121" i="2"/>
  <c r="J121" i="2"/>
  <c r="H121" i="2"/>
  <c r="G121" i="2"/>
  <c r="F121" i="2"/>
  <c r="E121" i="2"/>
  <c r="C121" i="2"/>
  <c r="M121" i="2" s="1"/>
  <c r="BL120" i="2"/>
  <c r="AK120" i="2"/>
  <c r="U120" i="2"/>
  <c r="M120" i="2"/>
  <c r="C120" i="2"/>
  <c r="BL119" i="2"/>
  <c r="AK119" i="2"/>
  <c r="AJ119" i="2"/>
  <c r="U119" i="2"/>
  <c r="M119" i="2"/>
  <c r="L119" i="2"/>
  <c r="J119" i="2"/>
  <c r="G119" i="2"/>
  <c r="H119" i="2" s="1"/>
  <c r="F119" i="2"/>
  <c r="E119" i="2"/>
  <c r="C119" i="2"/>
  <c r="BL118" i="2"/>
  <c r="AK118" i="2"/>
  <c r="AJ118" i="2"/>
  <c r="U118" i="2"/>
  <c r="M118" i="2"/>
  <c r="L118" i="2"/>
  <c r="J118" i="2"/>
  <c r="G118" i="2"/>
  <c r="H118" i="2" s="1"/>
  <c r="F118" i="2"/>
  <c r="E118" i="2"/>
  <c r="C118" i="2"/>
  <c r="BL117" i="2"/>
  <c r="AK117" i="2"/>
  <c r="AJ117" i="2"/>
  <c r="U117" i="2"/>
  <c r="M117" i="2"/>
  <c r="L117" i="2"/>
  <c r="J117" i="2"/>
  <c r="G117" i="2"/>
  <c r="H117" i="2" s="1"/>
  <c r="F117" i="2"/>
  <c r="E117" i="2"/>
  <c r="C117" i="2"/>
  <c r="BL116" i="2"/>
  <c r="U116" i="2"/>
  <c r="T116" i="2"/>
  <c r="L116" i="2"/>
  <c r="J116" i="2"/>
  <c r="C116" i="2"/>
  <c r="M116" i="2" s="1"/>
  <c r="BL115" i="2"/>
  <c r="U115" i="2"/>
  <c r="T115" i="2"/>
  <c r="J115" i="2"/>
  <c r="H115" i="2"/>
  <c r="G115" i="2"/>
  <c r="E115" i="2"/>
  <c r="C115" i="2"/>
  <c r="BL114" i="2"/>
  <c r="U114" i="2"/>
  <c r="J114" i="2"/>
  <c r="M114" i="2" s="1"/>
  <c r="H114" i="2"/>
  <c r="G114" i="2"/>
  <c r="E114" i="2"/>
  <c r="F114" i="2" s="1"/>
  <c r="C114" i="2"/>
  <c r="BL113" i="2"/>
  <c r="U113" i="2"/>
  <c r="T113" i="2"/>
  <c r="J113" i="2"/>
  <c r="H113" i="2"/>
  <c r="G113" i="2"/>
  <c r="E113" i="2"/>
  <c r="F113" i="2" s="1"/>
  <c r="C113" i="2"/>
  <c r="BL112" i="2"/>
  <c r="U112" i="2"/>
  <c r="M112" i="2"/>
  <c r="C112" i="2"/>
  <c r="BL111" i="2"/>
  <c r="U111" i="2"/>
  <c r="M111" i="2"/>
  <c r="C111" i="2"/>
  <c r="BL110" i="2"/>
  <c r="U110" i="2"/>
  <c r="M110" i="2"/>
  <c r="C110" i="2"/>
  <c r="BL109" i="2"/>
  <c r="U109" i="2"/>
  <c r="M109" i="2"/>
  <c r="J109" i="2"/>
  <c r="H109" i="2"/>
  <c r="G109" i="2"/>
  <c r="F109" i="2"/>
  <c r="E109" i="2"/>
  <c r="C109" i="2"/>
  <c r="BL108" i="2"/>
  <c r="U108" i="2"/>
  <c r="T108" i="2"/>
  <c r="J108" i="2"/>
  <c r="H108" i="2"/>
  <c r="G108" i="2"/>
  <c r="E108" i="2"/>
  <c r="F108" i="2" s="1"/>
  <c r="C108" i="2"/>
  <c r="BL107" i="2"/>
  <c r="U107" i="2"/>
  <c r="M107" i="2"/>
  <c r="C107" i="2"/>
  <c r="BL106" i="2"/>
  <c r="U106" i="2"/>
  <c r="M106" i="2"/>
  <c r="C106" i="2"/>
  <c r="BL105" i="2"/>
  <c r="U105" i="2"/>
  <c r="T105" i="2"/>
  <c r="M105" i="2"/>
  <c r="J105" i="2"/>
  <c r="H105" i="2"/>
  <c r="G105" i="2"/>
  <c r="E105" i="2"/>
  <c r="C105" i="2"/>
  <c r="BL104" i="2"/>
  <c r="U104" i="2"/>
  <c r="T104" i="2"/>
  <c r="M104" i="2"/>
  <c r="L104" i="2"/>
  <c r="J104" i="2"/>
  <c r="G104" i="2"/>
  <c r="H104" i="2" s="1"/>
  <c r="F104" i="2"/>
  <c r="E104" i="2"/>
  <c r="C104" i="2"/>
  <c r="BL103" i="2"/>
  <c r="AK103" i="2"/>
  <c r="AJ103" i="2"/>
  <c r="U103" i="2"/>
  <c r="M103" i="2"/>
  <c r="L103" i="2"/>
  <c r="J103" i="2"/>
  <c r="G103" i="2"/>
  <c r="H103" i="2" s="1"/>
  <c r="F103" i="2"/>
  <c r="E103" i="2"/>
  <c r="C103" i="2"/>
  <c r="BL102" i="2"/>
  <c r="AK102" i="2"/>
  <c r="AJ102" i="2"/>
  <c r="U102" i="2"/>
  <c r="M102" i="2"/>
  <c r="L102" i="2"/>
  <c r="J102" i="2"/>
  <c r="G102" i="2"/>
  <c r="H102" i="2" s="1"/>
  <c r="F102" i="2"/>
  <c r="E102" i="2"/>
  <c r="C102" i="2"/>
  <c r="BL101" i="2"/>
  <c r="U101" i="2"/>
  <c r="M101" i="2"/>
  <c r="C101" i="2"/>
  <c r="BL100" i="2"/>
  <c r="U100" i="2"/>
  <c r="T100" i="2"/>
  <c r="J100" i="2"/>
  <c r="C100" i="2"/>
  <c r="M100" i="2" s="1"/>
  <c r="BL99" i="2"/>
  <c r="U99" i="2"/>
  <c r="T99" i="2"/>
  <c r="M99" i="2"/>
  <c r="J99" i="2"/>
  <c r="C99" i="2"/>
  <c r="L99" i="2" s="1"/>
  <c r="BL98" i="2"/>
  <c r="U98" i="2"/>
  <c r="J98" i="2"/>
  <c r="C98" i="2"/>
  <c r="BL97" i="2"/>
  <c r="U97" i="2"/>
  <c r="T97" i="2"/>
  <c r="M97" i="2"/>
  <c r="J97" i="2"/>
  <c r="H97" i="2"/>
  <c r="G97" i="2"/>
  <c r="E97" i="2"/>
  <c r="C97" i="2"/>
  <c r="BL96" i="2"/>
  <c r="U96" i="2"/>
  <c r="T96" i="2"/>
  <c r="M96" i="2"/>
  <c r="L96" i="2"/>
  <c r="J96" i="2"/>
  <c r="G96" i="2"/>
  <c r="H96" i="2" s="1"/>
  <c r="F96" i="2"/>
  <c r="E96" i="2"/>
  <c r="C96" i="2"/>
  <c r="BL95" i="2"/>
  <c r="U95" i="2"/>
  <c r="T95" i="2"/>
  <c r="L95" i="2"/>
  <c r="J95" i="2"/>
  <c r="H95" i="2"/>
  <c r="G95" i="2"/>
  <c r="F95" i="2"/>
  <c r="E95" i="2"/>
  <c r="C95" i="2"/>
  <c r="BL94" i="2"/>
  <c r="U94" i="2"/>
  <c r="T94" i="2"/>
  <c r="J94" i="2"/>
  <c r="H94" i="2"/>
  <c r="G94" i="2"/>
  <c r="E94" i="2"/>
  <c r="F94" i="2" s="1"/>
  <c r="C94" i="2"/>
  <c r="BL93" i="2"/>
  <c r="U93" i="2"/>
  <c r="T93" i="2"/>
  <c r="L93" i="2"/>
  <c r="J93" i="2"/>
  <c r="H93" i="2"/>
  <c r="G93" i="2"/>
  <c r="F93" i="2"/>
  <c r="E93" i="2"/>
  <c r="C93" i="2"/>
  <c r="M93" i="2" s="1"/>
  <c r="BL92" i="2"/>
  <c r="U92" i="2"/>
  <c r="T92" i="2"/>
  <c r="J92" i="2"/>
  <c r="G92" i="2"/>
  <c r="H92" i="2" s="1"/>
  <c r="F92" i="2"/>
  <c r="E92" i="2"/>
  <c r="C92" i="2"/>
  <c r="BL91" i="2"/>
  <c r="U91" i="2"/>
  <c r="T91" i="2"/>
  <c r="L91" i="2"/>
  <c r="J91" i="2"/>
  <c r="H91" i="2"/>
  <c r="G91" i="2"/>
  <c r="F91" i="2"/>
  <c r="E91" i="2"/>
  <c r="C91" i="2"/>
  <c r="BL90" i="2"/>
  <c r="U90" i="2"/>
  <c r="T90" i="2"/>
  <c r="M90" i="2"/>
  <c r="J90" i="2"/>
  <c r="H90" i="2"/>
  <c r="G90" i="2"/>
  <c r="E90" i="2"/>
  <c r="F90" i="2" s="1"/>
  <c r="C90" i="2"/>
  <c r="L90" i="2" s="1"/>
  <c r="BL89" i="2"/>
  <c r="U89" i="2"/>
  <c r="M89" i="2"/>
  <c r="C89" i="2"/>
  <c r="BL88" i="2"/>
  <c r="U88" i="2"/>
  <c r="M88" i="2"/>
  <c r="C88" i="2"/>
  <c r="BL87" i="2"/>
  <c r="U87" i="2"/>
  <c r="M87" i="2"/>
  <c r="C87" i="2"/>
  <c r="BL86" i="2"/>
  <c r="U86" i="2"/>
  <c r="M86" i="2"/>
  <c r="C86" i="2"/>
  <c r="BL85" i="2"/>
  <c r="U85" i="2"/>
  <c r="J85" i="2"/>
  <c r="H85" i="2"/>
  <c r="G85" i="2"/>
  <c r="E85" i="2"/>
  <c r="C85" i="2"/>
  <c r="BL84" i="2"/>
  <c r="U84" i="2"/>
  <c r="T84" i="2"/>
  <c r="M84" i="2"/>
  <c r="J84" i="2"/>
  <c r="C84" i="2"/>
  <c r="BL83" i="2"/>
  <c r="U83" i="2"/>
  <c r="T83" i="2"/>
  <c r="J83" i="2"/>
  <c r="C83" i="2"/>
  <c r="M83" i="2" s="1"/>
  <c r="BL82" i="2"/>
  <c r="U82" i="2"/>
  <c r="T82" i="2"/>
  <c r="M82" i="2"/>
  <c r="L82" i="2"/>
  <c r="J82" i="2"/>
  <c r="C82" i="2"/>
  <c r="BL81" i="2"/>
  <c r="U81" i="2"/>
  <c r="T81" i="2"/>
  <c r="L81" i="2"/>
  <c r="J81" i="2"/>
  <c r="H81" i="2"/>
  <c r="G81" i="2"/>
  <c r="F81" i="2"/>
  <c r="E81" i="2"/>
  <c r="C81" i="2"/>
  <c r="BL80" i="2"/>
  <c r="U80" i="2"/>
  <c r="M80" i="2"/>
  <c r="J80" i="2"/>
  <c r="G80" i="2"/>
  <c r="H80" i="2" s="1"/>
  <c r="F80" i="2"/>
  <c r="E80" i="2"/>
  <c r="C80" i="2"/>
  <c r="BL79" i="2"/>
  <c r="U79" i="2"/>
  <c r="T79" i="2"/>
  <c r="J79" i="2"/>
  <c r="H79" i="2"/>
  <c r="G79" i="2"/>
  <c r="E79" i="2"/>
  <c r="C79" i="2"/>
  <c r="BL78" i="2"/>
  <c r="R78" i="2"/>
  <c r="H78" i="2"/>
  <c r="G78" i="2"/>
  <c r="E78" i="2"/>
  <c r="F78" i="2" s="1"/>
  <c r="C78" i="2"/>
  <c r="BL77" i="2"/>
  <c r="U77" i="2"/>
  <c r="T77" i="2"/>
  <c r="J77" i="2"/>
  <c r="G77" i="2"/>
  <c r="H77" i="2" s="1"/>
  <c r="E77" i="2"/>
  <c r="C77" i="2"/>
  <c r="BL76" i="2"/>
  <c r="U76" i="2"/>
  <c r="J76" i="2"/>
  <c r="H76" i="2"/>
  <c r="G76" i="2"/>
  <c r="E76" i="2"/>
  <c r="F76" i="2" s="1"/>
  <c r="C76" i="2"/>
  <c r="M76" i="2" s="1"/>
  <c r="BL75" i="2"/>
  <c r="U75" i="2"/>
  <c r="T75" i="2"/>
  <c r="M75" i="2"/>
  <c r="J75" i="2"/>
  <c r="G75" i="2"/>
  <c r="H75" i="2" s="1"/>
  <c r="E75" i="2"/>
  <c r="F75" i="2" s="1"/>
  <c r="C75" i="2"/>
  <c r="L75" i="2" s="1"/>
  <c r="BL74" i="2"/>
  <c r="U74" i="2"/>
  <c r="T74" i="2"/>
  <c r="J74" i="2"/>
  <c r="H74" i="2"/>
  <c r="G74" i="2"/>
  <c r="E74" i="2"/>
  <c r="C74" i="2"/>
  <c r="M74" i="2" s="1"/>
  <c r="BL73" i="2"/>
  <c r="U73" i="2"/>
  <c r="J73" i="2"/>
  <c r="C73" i="2"/>
  <c r="BL72" i="2"/>
  <c r="U72" i="2"/>
  <c r="T72" i="2"/>
  <c r="M72" i="2"/>
  <c r="J72" i="2"/>
  <c r="C72" i="2"/>
  <c r="Z71" i="2"/>
  <c r="Z141" i="2" s="1"/>
  <c r="BA70" i="2"/>
  <c r="AN70" i="2"/>
  <c r="AH70" i="2"/>
  <c r="AG70" i="2"/>
  <c r="AM70" i="2" s="1"/>
  <c r="AF70" i="2"/>
  <c r="W70" i="2"/>
  <c r="V70" i="2"/>
  <c r="U70" i="2"/>
  <c r="R70" i="2"/>
  <c r="P70" i="2"/>
  <c r="K70" i="2"/>
  <c r="O70" i="2" s="1"/>
  <c r="G70" i="2"/>
  <c r="E70" i="2"/>
  <c r="D70" i="2"/>
  <c r="N70" i="2" s="1"/>
  <c r="W69" i="2"/>
  <c r="V69" i="2"/>
  <c r="U69" i="2"/>
  <c r="T69" i="2"/>
  <c r="K69" i="2"/>
  <c r="J69" i="2"/>
  <c r="M69" i="2" s="1"/>
  <c r="G69" i="2"/>
  <c r="F69" i="2"/>
  <c r="E69" i="2"/>
  <c r="D69" i="2"/>
  <c r="H69" i="2" s="1"/>
  <c r="C69" i="2"/>
  <c r="L69" i="2" s="1"/>
  <c r="BA68" i="2"/>
  <c r="AM68" i="2"/>
  <c r="AL68" i="2"/>
  <c r="AK68" i="2"/>
  <c r="AJ68" i="2"/>
  <c r="W68" i="2"/>
  <c r="V68" i="2"/>
  <c r="U68" i="2"/>
  <c r="K68" i="2"/>
  <c r="J68" i="2"/>
  <c r="M68" i="2" s="1"/>
  <c r="G68" i="2"/>
  <c r="F68" i="2"/>
  <c r="E68" i="2"/>
  <c r="D68" i="2"/>
  <c r="H68" i="2" s="1"/>
  <c r="C68" i="2"/>
  <c r="L68" i="2" s="1"/>
  <c r="AX67" i="2"/>
  <c r="AP67" i="2"/>
  <c r="AR67" i="2" s="1"/>
  <c r="AN67" i="2"/>
  <c r="AM67" i="2"/>
  <c r="AI67" i="2"/>
  <c r="AG67" i="2"/>
  <c r="AL67" i="2" s="1"/>
  <c r="AE67" i="2"/>
  <c r="AD67" i="2"/>
  <c r="AC67" i="2"/>
  <c r="AB67" i="2"/>
  <c r="AA67" i="2"/>
  <c r="Z67" i="2"/>
  <c r="Y67" i="2"/>
  <c r="X67" i="2"/>
  <c r="S67" i="2"/>
  <c r="R67" i="2"/>
  <c r="Q67" i="2"/>
  <c r="V67" i="2" s="1"/>
  <c r="P67" i="2"/>
  <c r="T67" i="2" s="1"/>
  <c r="G67" i="2"/>
  <c r="AS66" i="2"/>
  <c r="AM66" i="2"/>
  <c r="AL66" i="2"/>
  <c r="AK66" i="2"/>
  <c r="AJ66" i="2"/>
  <c r="AH66" i="2"/>
  <c r="W66" i="2"/>
  <c r="V66" i="2"/>
  <c r="U66" i="2"/>
  <c r="T66" i="2"/>
  <c r="N66" i="2"/>
  <c r="K66" i="2"/>
  <c r="J66" i="2"/>
  <c r="G66" i="2"/>
  <c r="E66" i="2"/>
  <c r="F66" i="2" s="1"/>
  <c r="D66" i="2"/>
  <c r="H66" i="2" s="1"/>
  <c r="C66" i="2"/>
  <c r="BA65" i="2"/>
  <c r="AS65" i="2"/>
  <c r="AR65" i="2"/>
  <c r="AM65" i="2"/>
  <c r="AL65" i="2"/>
  <c r="AK65" i="2"/>
  <c r="AJ65" i="2"/>
  <c r="AF65" i="2"/>
  <c r="W65" i="2"/>
  <c r="V65" i="2"/>
  <c r="U65" i="2"/>
  <c r="T65" i="2"/>
  <c r="N65" i="2"/>
  <c r="K65" i="2"/>
  <c r="J65" i="2"/>
  <c r="M65" i="2" s="1"/>
  <c r="G65" i="2"/>
  <c r="E65" i="2"/>
  <c r="F65" i="2" s="1"/>
  <c r="D65" i="2"/>
  <c r="H65" i="2" s="1"/>
  <c r="C65" i="2"/>
  <c r="L65" i="2" s="1"/>
  <c r="BA64" i="2"/>
  <c r="AZ64" i="2"/>
  <c r="AS64" i="2"/>
  <c r="AR64" i="2"/>
  <c r="AM64" i="2"/>
  <c r="AL64" i="2"/>
  <c r="AK64" i="2"/>
  <c r="AJ64" i="2"/>
  <c r="W64" i="2"/>
  <c r="V64" i="2"/>
  <c r="U64" i="2"/>
  <c r="T64" i="2"/>
  <c r="N64" i="2"/>
  <c r="K64" i="2"/>
  <c r="J64" i="2"/>
  <c r="M64" i="2" s="1"/>
  <c r="G64" i="2"/>
  <c r="E64" i="2"/>
  <c r="F64" i="2" s="1"/>
  <c r="D64" i="2"/>
  <c r="H64" i="2" s="1"/>
  <c r="C64" i="2"/>
  <c r="L64" i="2" s="1"/>
  <c r="BA63" i="2"/>
  <c r="AS63" i="2"/>
  <c r="AR63" i="2"/>
  <c r="AM63" i="2"/>
  <c r="AL63" i="2"/>
  <c r="AK63" i="2"/>
  <c r="AJ63" i="2"/>
  <c r="W63" i="2"/>
  <c r="V63" i="2"/>
  <c r="U63" i="2"/>
  <c r="T63" i="2"/>
  <c r="M63" i="2"/>
  <c r="K63" i="2"/>
  <c r="J63" i="2"/>
  <c r="G63" i="2"/>
  <c r="E63" i="2"/>
  <c r="D63" i="2"/>
  <c r="C63" i="2"/>
  <c r="L63" i="2" s="1"/>
  <c r="AS62" i="2"/>
  <c r="AM62" i="2"/>
  <c r="AL62" i="2"/>
  <c r="AK62" i="2"/>
  <c r="W62" i="2"/>
  <c r="V62" i="2"/>
  <c r="U62" i="2"/>
  <c r="T62" i="2"/>
  <c r="M62" i="2"/>
  <c r="K62" i="2"/>
  <c r="J62" i="2"/>
  <c r="G62" i="2"/>
  <c r="E62" i="2"/>
  <c r="D62" i="2"/>
  <c r="C62" i="2"/>
  <c r="L62" i="2" s="1"/>
  <c r="AV61" i="2"/>
  <c r="AS61" i="2"/>
  <c r="AR61" i="2"/>
  <c r="AM61" i="2"/>
  <c r="AL61" i="2"/>
  <c r="AK61" i="2"/>
  <c r="AJ61" i="2"/>
  <c r="W61" i="2"/>
  <c r="V61" i="2"/>
  <c r="U61" i="2"/>
  <c r="T61" i="2"/>
  <c r="N61" i="2"/>
  <c r="K61" i="2"/>
  <c r="J61" i="2"/>
  <c r="G61" i="2"/>
  <c r="E61" i="2"/>
  <c r="D61" i="2"/>
  <c r="H61" i="2" s="1"/>
  <c r="BA60" i="2"/>
  <c r="AZ60" i="2"/>
  <c r="AS60" i="2"/>
  <c r="AR60" i="2"/>
  <c r="AM60" i="2"/>
  <c r="AL60" i="2"/>
  <c r="AK60" i="2"/>
  <c r="AJ60" i="2"/>
  <c r="AH60" i="2"/>
  <c r="W60" i="2"/>
  <c r="W67" i="2" s="1"/>
  <c r="V60" i="2"/>
  <c r="U60" i="2"/>
  <c r="T60" i="2"/>
  <c r="O60" i="2"/>
  <c r="K60" i="2"/>
  <c r="N60" i="2" s="1"/>
  <c r="J60" i="2"/>
  <c r="M60" i="2" s="1"/>
  <c r="G60" i="2"/>
  <c r="F60" i="2"/>
  <c r="E60" i="2"/>
  <c r="D60" i="2"/>
  <c r="H60" i="2" s="1"/>
  <c r="C60" i="2"/>
  <c r="L60" i="2" s="1"/>
  <c r="BA59" i="2"/>
  <c r="AS59" i="2"/>
  <c r="AM59" i="2"/>
  <c r="AL59" i="2"/>
  <c r="AK59" i="2"/>
  <c r="AJ59" i="2"/>
  <c r="W59" i="2"/>
  <c r="V59" i="2"/>
  <c r="U59" i="2"/>
  <c r="T59" i="2"/>
  <c r="M59" i="2"/>
  <c r="K59" i="2"/>
  <c r="J59" i="2"/>
  <c r="G59" i="2"/>
  <c r="E59" i="2"/>
  <c r="D59" i="2"/>
  <c r="C59" i="2"/>
  <c r="L59" i="2" s="1"/>
  <c r="BA58" i="2"/>
  <c r="AZ58" i="2"/>
  <c r="AS58" i="2"/>
  <c r="AR58" i="2"/>
  <c r="AM58" i="2"/>
  <c r="AL58" i="2"/>
  <c r="AK58" i="2"/>
  <c r="AH58" i="2"/>
  <c r="AH67" i="2" s="1"/>
  <c r="W58" i="2"/>
  <c r="V58" i="2"/>
  <c r="U58" i="2"/>
  <c r="T58" i="2"/>
  <c r="K58" i="2"/>
  <c r="H58" i="2"/>
  <c r="G58" i="2"/>
  <c r="E58" i="2"/>
  <c r="D58" i="2"/>
  <c r="C58" i="2"/>
  <c r="BA57" i="2"/>
  <c r="AZ57" i="2"/>
  <c r="AS57" i="2"/>
  <c r="AS67" i="2" s="1"/>
  <c r="AR57" i="2"/>
  <c r="AM57" i="2"/>
  <c r="AL57" i="2"/>
  <c r="AK57" i="2"/>
  <c r="AJ57" i="2"/>
  <c r="AF57" i="2"/>
  <c r="AF67" i="2" s="1"/>
  <c r="AJ67" i="2" s="1"/>
  <c r="W57" i="2"/>
  <c r="V57" i="2"/>
  <c r="U57" i="2"/>
  <c r="T57" i="2"/>
  <c r="N57" i="2"/>
  <c r="K57" i="2"/>
  <c r="J57" i="2"/>
  <c r="M57" i="2" s="1"/>
  <c r="G57" i="2"/>
  <c r="E57" i="2"/>
  <c r="F57" i="2" s="1"/>
  <c r="D57" i="2"/>
  <c r="H57" i="2" s="1"/>
  <c r="C57" i="2"/>
  <c r="L57" i="2" s="1"/>
  <c r="BA56" i="2"/>
  <c r="AZ56" i="2"/>
  <c r="AS56" i="2"/>
  <c r="AM56" i="2"/>
  <c r="AL56" i="2"/>
  <c r="AK56" i="2"/>
  <c r="AJ56" i="2"/>
  <c r="W56" i="2"/>
  <c r="V56" i="2"/>
  <c r="U56" i="2"/>
  <c r="T56" i="2"/>
  <c r="M56" i="2"/>
  <c r="K56" i="2"/>
  <c r="J56" i="2"/>
  <c r="G56" i="2"/>
  <c r="E56" i="2"/>
  <c r="D56" i="2"/>
  <c r="C56" i="2"/>
  <c r="L56" i="2" s="1"/>
  <c r="BG55" i="2"/>
  <c r="BF55" i="2"/>
  <c r="BE55" i="2"/>
  <c r="BJ55" i="2" s="1"/>
  <c r="AY55" i="2"/>
  <c r="AX55" i="2"/>
  <c r="AW55" i="2"/>
  <c r="BB55" i="2" s="1"/>
  <c r="AP55" i="2"/>
  <c r="AN55" i="2"/>
  <c r="AI55" i="2"/>
  <c r="AL55" i="2" s="1"/>
  <c r="AG55" i="2"/>
  <c r="AA55" i="2"/>
  <c r="AD55" i="2" s="1"/>
  <c r="Z55" i="2"/>
  <c r="Y55" i="2"/>
  <c r="X55" i="2"/>
  <c r="AB55" i="2" s="1"/>
  <c r="S55" i="2"/>
  <c r="V55" i="2" s="1"/>
  <c r="Q55" i="2"/>
  <c r="P55" i="2"/>
  <c r="T55" i="2" s="1"/>
  <c r="I55" i="2"/>
  <c r="D55" i="2"/>
  <c r="BC54" i="2"/>
  <c r="BC55" i="2" s="1"/>
  <c r="BB54" i="2"/>
  <c r="BA54" i="2"/>
  <c r="AZ54" i="2"/>
  <c r="AM54" i="2"/>
  <c r="AL54" i="2"/>
  <c r="AK54" i="2"/>
  <c r="AJ54" i="2"/>
  <c r="W54" i="2"/>
  <c r="V54" i="2"/>
  <c r="U54" i="2"/>
  <c r="T54" i="2"/>
  <c r="R54" i="2"/>
  <c r="R55" i="2" s="1"/>
  <c r="N54" i="2"/>
  <c r="K54" i="2"/>
  <c r="J54" i="2"/>
  <c r="M54" i="2" s="1"/>
  <c r="G54" i="2"/>
  <c r="E54" i="2"/>
  <c r="F54" i="2" s="1"/>
  <c r="D54" i="2"/>
  <c r="H54" i="2" s="1"/>
  <c r="C54" i="2"/>
  <c r="L54" i="2" s="1"/>
  <c r="BI53" i="2"/>
  <c r="BH53" i="2"/>
  <c r="AM53" i="2"/>
  <c r="AL53" i="2"/>
  <c r="AJ53" i="2"/>
  <c r="AH53" i="2"/>
  <c r="AH55" i="2" s="1"/>
  <c r="W53" i="2"/>
  <c r="V53" i="2"/>
  <c r="U53" i="2"/>
  <c r="T53" i="2"/>
  <c r="K53" i="2"/>
  <c r="G53" i="2"/>
  <c r="E53" i="2"/>
  <c r="D53" i="2"/>
  <c r="C53" i="2"/>
  <c r="BK52" i="2"/>
  <c r="BJ52" i="2"/>
  <c r="BI52" i="2"/>
  <c r="BI55" i="2" s="1"/>
  <c r="BH52" i="2"/>
  <c r="AM52" i="2"/>
  <c r="AL52" i="2"/>
  <c r="AK52" i="2"/>
  <c r="AJ52" i="2"/>
  <c r="AE52" i="2"/>
  <c r="AD52" i="2"/>
  <c r="AC52" i="2"/>
  <c r="AB52" i="2"/>
  <c r="W52" i="2"/>
  <c r="V52" i="2"/>
  <c r="U52" i="2"/>
  <c r="T52" i="2"/>
  <c r="K52" i="2"/>
  <c r="J52" i="2"/>
  <c r="H52" i="2"/>
  <c r="G52" i="2"/>
  <c r="E52" i="2"/>
  <c r="D52" i="2"/>
  <c r="C52" i="2"/>
  <c r="M52" i="2" s="1"/>
  <c r="BK51" i="2"/>
  <c r="BJ51" i="2"/>
  <c r="BI51" i="2"/>
  <c r="BH51" i="2"/>
  <c r="AS51" i="2"/>
  <c r="AS55" i="2" s="1"/>
  <c r="AM51" i="2"/>
  <c r="AL51" i="2"/>
  <c r="AK51" i="2"/>
  <c r="AJ51" i="2"/>
  <c r="AF51" i="2"/>
  <c r="AE51" i="2"/>
  <c r="AE55" i="2" s="1"/>
  <c r="AD51" i="2"/>
  <c r="AC51" i="2"/>
  <c r="AB51" i="2"/>
  <c r="W51" i="2"/>
  <c r="V51" i="2"/>
  <c r="U51" i="2"/>
  <c r="T51" i="2"/>
  <c r="N51" i="2"/>
  <c r="K51" i="2"/>
  <c r="J51" i="2"/>
  <c r="M51" i="2" s="1"/>
  <c r="G51" i="2"/>
  <c r="F51" i="2"/>
  <c r="E51" i="2"/>
  <c r="D51" i="2"/>
  <c r="O51" i="2" s="1"/>
  <c r="C51" i="2"/>
  <c r="BK50" i="2"/>
  <c r="BK55" i="2" s="1"/>
  <c r="BJ50" i="2"/>
  <c r="BI50" i="2"/>
  <c r="BD50" i="2"/>
  <c r="AM50" i="2"/>
  <c r="AL50" i="2"/>
  <c r="AK50" i="2"/>
  <c r="AJ50" i="2"/>
  <c r="W50" i="2"/>
  <c r="V50" i="2"/>
  <c r="T50" i="2"/>
  <c r="P50" i="2"/>
  <c r="U50" i="2" s="1"/>
  <c r="O50" i="2"/>
  <c r="K50" i="2"/>
  <c r="J50" i="2"/>
  <c r="G50" i="2"/>
  <c r="H50" i="2" s="1"/>
  <c r="E50" i="2"/>
  <c r="D50" i="2"/>
  <c r="N50" i="2" s="1"/>
  <c r="C50" i="2"/>
  <c r="M50" i="2" s="1"/>
  <c r="AZ49" i="2"/>
  <c r="AV49" i="2"/>
  <c r="AV55" i="2" s="1"/>
  <c r="AZ55" i="2" s="1"/>
  <c r="AM49" i="2"/>
  <c r="AM55" i="2" s="1"/>
  <c r="AL49" i="2"/>
  <c r="AK49" i="2"/>
  <c r="AF49" i="2"/>
  <c r="W49" i="2"/>
  <c r="V49" i="2"/>
  <c r="U49" i="2"/>
  <c r="T49" i="2"/>
  <c r="N49" i="2"/>
  <c r="L49" i="2"/>
  <c r="K49" i="2"/>
  <c r="J49" i="2"/>
  <c r="G49" i="2"/>
  <c r="E49" i="2"/>
  <c r="D49" i="2"/>
  <c r="O49" i="2" s="1"/>
  <c r="C49" i="2"/>
  <c r="AY48" i="2"/>
  <c r="AX48" i="2"/>
  <c r="AW48" i="2"/>
  <c r="AV48" i="2"/>
  <c r="AZ48" i="2" s="1"/>
  <c r="AR48" i="2"/>
  <c r="AN48" i="2"/>
  <c r="AL48" i="2"/>
  <c r="AI48" i="2"/>
  <c r="AM48" i="2" s="1"/>
  <c r="AH48" i="2"/>
  <c r="AG48" i="2"/>
  <c r="AF48" i="2"/>
  <c r="AK48" i="2" s="1"/>
  <c r="AE48" i="2"/>
  <c r="AD48" i="2"/>
  <c r="AC48" i="2"/>
  <c r="AB48" i="2"/>
  <c r="AA48" i="2"/>
  <c r="Z48" i="2"/>
  <c r="Y48" i="2"/>
  <c r="X48" i="2"/>
  <c r="V48" i="2"/>
  <c r="S48" i="2"/>
  <c r="R48" i="2"/>
  <c r="Q48" i="2"/>
  <c r="P48" i="2"/>
  <c r="T48" i="2" s="1"/>
  <c r="I48" i="2"/>
  <c r="D48" i="2"/>
  <c r="BA47" i="2"/>
  <c r="AZ47" i="2"/>
  <c r="AS47" i="2"/>
  <c r="AM47" i="2"/>
  <c r="AL47" i="2"/>
  <c r="AK47" i="2"/>
  <c r="AJ47" i="2"/>
  <c r="W47" i="2"/>
  <c r="V47" i="2"/>
  <c r="T47" i="2"/>
  <c r="P47" i="2"/>
  <c r="U47" i="2" s="1"/>
  <c r="M47" i="2"/>
  <c r="K47" i="2"/>
  <c r="J47" i="2"/>
  <c r="G47" i="2"/>
  <c r="F47" i="2"/>
  <c r="E47" i="2"/>
  <c r="D47" i="2"/>
  <c r="N47" i="2" s="1"/>
  <c r="C47" i="2"/>
  <c r="L47" i="2" s="1"/>
  <c r="BA46" i="2"/>
  <c r="AZ46" i="2"/>
  <c r="AS46" i="2"/>
  <c r="AR46" i="2"/>
  <c r="AK46" i="2"/>
  <c r="W46" i="2"/>
  <c r="V46" i="2"/>
  <c r="U46" i="2"/>
  <c r="T46" i="2"/>
  <c r="N46" i="2"/>
  <c r="L46" i="2"/>
  <c r="K46" i="2"/>
  <c r="J46" i="2"/>
  <c r="G46" i="2"/>
  <c r="H46" i="2" s="1"/>
  <c r="E46" i="2"/>
  <c r="F46" i="2" s="1"/>
  <c r="D46" i="2"/>
  <c r="O46" i="2" s="1"/>
  <c r="C46" i="2"/>
  <c r="M46" i="2" s="1"/>
  <c r="BA45" i="2"/>
  <c r="AZ45" i="2"/>
  <c r="AS45" i="2"/>
  <c r="AK45" i="2"/>
  <c r="W45" i="2"/>
  <c r="V45" i="2"/>
  <c r="U45" i="2"/>
  <c r="T45" i="2"/>
  <c r="N45" i="2"/>
  <c r="L45" i="2"/>
  <c r="K45" i="2"/>
  <c r="J45" i="2"/>
  <c r="G45" i="2"/>
  <c r="H45" i="2" s="1"/>
  <c r="E45" i="2"/>
  <c r="F45" i="2" s="1"/>
  <c r="D45" i="2"/>
  <c r="O45" i="2" s="1"/>
  <c r="C45" i="2"/>
  <c r="M45" i="2" s="1"/>
  <c r="BA44" i="2"/>
  <c r="AK44" i="2"/>
  <c r="W44" i="2"/>
  <c r="V44" i="2"/>
  <c r="U44" i="2"/>
  <c r="T44" i="2"/>
  <c r="N44" i="2"/>
  <c r="K44" i="2"/>
  <c r="O44" i="2" s="1"/>
  <c r="J44" i="2"/>
  <c r="G44" i="2"/>
  <c r="H44" i="2" s="1"/>
  <c r="E44" i="2"/>
  <c r="D44" i="2"/>
  <c r="C44" i="2"/>
  <c r="M44" i="2" s="1"/>
  <c r="BA43" i="2"/>
  <c r="AS43" i="2"/>
  <c r="AK43" i="2"/>
  <c r="W43" i="2"/>
  <c r="V43" i="2"/>
  <c r="U43" i="2"/>
  <c r="T43" i="2"/>
  <c r="M43" i="2"/>
  <c r="K43" i="2"/>
  <c r="J43" i="2"/>
  <c r="G43" i="2"/>
  <c r="F43" i="2"/>
  <c r="E43" i="2"/>
  <c r="D43" i="2"/>
  <c r="N43" i="2" s="1"/>
  <c r="C43" i="2"/>
  <c r="L43" i="2" s="1"/>
  <c r="BA42" i="2"/>
  <c r="AS42" i="2"/>
  <c r="AR42" i="2"/>
  <c r="AK42" i="2"/>
  <c r="W42" i="2"/>
  <c r="V42" i="2"/>
  <c r="U42" i="2"/>
  <c r="T42" i="2"/>
  <c r="M42" i="2"/>
  <c r="K42" i="2"/>
  <c r="J42" i="2"/>
  <c r="G42" i="2"/>
  <c r="F42" i="2"/>
  <c r="E42" i="2"/>
  <c r="D42" i="2"/>
  <c r="C42" i="2"/>
  <c r="L42" i="2" s="1"/>
  <c r="BA41" i="2"/>
  <c r="AZ41" i="2"/>
  <c r="AS41" i="2"/>
  <c r="AK41" i="2"/>
  <c r="W41" i="2"/>
  <c r="W48" i="2" s="1"/>
  <c r="V41" i="2"/>
  <c r="U41" i="2"/>
  <c r="T41" i="2"/>
  <c r="M41" i="2"/>
  <c r="K41" i="2"/>
  <c r="J41" i="2"/>
  <c r="G41" i="2"/>
  <c r="F41" i="2"/>
  <c r="E41" i="2"/>
  <c r="D41" i="2"/>
  <c r="N41" i="2" s="1"/>
  <c r="C41" i="2"/>
  <c r="L41" i="2" s="1"/>
  <c r="BA40" i="2"/>
  <c r="AZ40" i="2"/>
  <c r="AS40" i="2"/>
  <c r="AS48" i="2" s="1"/>
  <c r="AP40" i="2"/>
  <c r="AP48" i="2" s="1"/>
  <c r="AM40" i="2"/>
  <c r="AK40" i="2"/>
  <c r="AJ40" i="2"/>
  <c r="W40" i="2"/>
  <c r="V40" i="2"/>
  <c r="U40" i="2"/>
  <c r="T40" i="2"/>
  <c r="N40" i="2"/>
  <c r="K40" i="2"/>
  <c r="J40" i="2"/>
  <c r="J48" i="2" s="1"/>
  <c r="G40" i="2"/>
  <c r="E40" i="2"/>
  <c r="D40" i="2"/>
  <c r="O40" i="2" s="1"/>
  <c r="C40" i="2"/>
  <c r="L40" i="2" s="1"/>
  <c r="BJ39" i="2"/>
  <c r="BG39" i="2"/>
  <c r="BF39" i="2"/>
  <c r="BE39" i="2"/>
  <c r="BB39" i="2"/>
  <c r="AY39" i="2"/>
  <c r="AX39" i="2"/>
  <c r="AW39" i="2"/>
  <c r="AV39" i="2"/>
  <c r="AZ39" i="2" s="1"/>
  <c r="AQ39" i="2"/>
  <c r="AQ71" i="2" s="1"/>
  <c r="AQ141" i="2" s="1"/>
  <c r="AP39" i="2"/>
  <c r="AO39" i="2"/>
  <c r="AO71" i="2" s="1"/>
  <c r="AI39" i="2"/>
  <c r="AG39" i="2"/>
  <c r="AL39" i="2" s="1"/>
  <c r="AA39" i="2"/>
  <c r="Z39" i="2"/>
  <c r="Y39" i="2"/>
  <c r="S39" i="2"/>
  <c r="R39" i="2"/>
  <c r="Q39" i="2"/>
  <c r="I39" i="2"/>
  <c r="BC38" i="2"/>
  <c r="BB38" i="2"/>
  <c r="BA38" i="2"/>
  <c r="AZ38" i="2"/>
  <c r="AS38" i="2"/>
  <c r="AM38" i="2"/>
  <c r="AK38" i="2"/>
  <c r="AJ38" i="2"/>
  <c r="AE38" i="2"/>
  <c r="AD38" i="2"/>
  <c r="AC38" i="2"/>
  <c r="AB38" i="2"/>
  <c r="W38" i="2"/>
  <c r="V38" i="2"/>
  <c r="U38" i="2"/>
  <c r="T38" i="2"/>
  <c r="N38" i="2"/>
  <c r="L38" i="2"/>
  <c r="K38" i="2"/>
  <c r="J38" i="2"/>
  <c r="G38" i="2"/>
  <c r="H38" i="2" s="1"/>
  <c r="E38" i="2"/>
  <c r="F38" i="2" s="1"/>
  <c r="D38" i="2"/>
  <c r="O38" i="2" s="1"/>
  <c r="C38" i="2"/>
  <c r="M38" i="2" s="1"/>
  <c r="BI37" i="2"/>
  <c r="BH37" i="2"/>
  <c r="BA37" i="2"/>
  <c r="AZ37" i="2"/>
  <c r="AU37" i="2"/>
  <c r="AU39" i="2" s="1"/>
  <c r="AU71" i="2" s="1"/>
  <c r="AU141" i="2" s="1"/>
  <c r="AT37" i="2"/>
  <c r="AN37" i="2"/>
  <c r="AM37" i="2"/>
  <c r="AK37" i="2"/>
  <c r="AF37" i="2"/>
  <c r="AF39" i="2" s="1"/>
  <c r="AE37" i="2"/>
  <c r="AD37" i="2"/>
  <c r="AC37" i="2"/>
  <c r="AB37" i="2"/>
  <c r="W37" i="2"/>
  <c r="V37" i="2"/>
  <c r="P37" i="2"/>
  <c r="T37" i="2" s="1"/>
  <c r="N37" i="2"/>
  <c r="K37" i="2"/>
  <c r="J37" i="2"/>
  <c r="G37" i="2"/>
  <c r="H37" i="2" s="1"/>
  <c r="E37" i="2"/>
  <c r="D37" i="2"/>
  <c r="O37" i="2" s="1"/>
  <c r="BK36" i="2"/>
  <c r="BI36" i="2"/>
  <c r="BH36" i="2"/>
  <c r="BA36" i="2"/>
  <c r="AS36" i="2"/>
  <c r="AM36" i="2"/>
  <c r="AK36" i="2"/>
  <c r="AE36" i="2"/>
  <c r="AD36" i="2"/>
  <c r="AC36" i="2"/>
  <c r="AB36" i="2"/>
  <c r="W36" i="2"/>
  <c r="V36" i="2"/>
  <c r="U36" i="2"/>
  <c r="T36" i="2"/>
  <c r="M36" i="2"/>
  <c r="K36" i="2"/>
  <c r="J36" i="2"/>
  <c r="G36" i="2"/>
  <c r="F36" i="2"/>
  <c r="E36" i="2"/>
  <c r="D36" i="2"/>
  <c r="N36" i="2" s="1"/>
  <c r="C36" i="2"/>
  <c r="L36" i="2" s="1"/>
  <c r="BI35" i="2"/>
  <c r="BH35" i="2"/>
  <c r="BA35" i="2"/>
  <c r="AZ35" i="2"/>
  <c r="AS35" i="2"/>
  <c r="AR35" i="2"/>
  <c r="AM35" i="2"/>
  <c r="AK35" i="2"/>
  <c r="AE35" i="2"/>
  <c r="AC35" i="2"/>
  <c r="W35" i="2"/>
  <c r="V35" i="2"/>
  <c r="U35" i="2"/>
  <c r="T35" i="2"/>
  <c r="M35" i="2"/>
  <c r="K35" i="2"/>
  <c r="J35" i="2"/>
  <c r="G35" i="2"/>
  <c r="F35" i="2"/>
  <c r="E35" i="2"/>
  <c r="D35" i="2"/>
  <c r="N35" i="2" s="1"/>
  <c r="C35" i="2"/>
  <c r="L35" i="2" s="1"/>
  <c r="BK34" i="2"/>
  <c r="BJ34" i="2"/>
  <c r="BD34" i="2"/>
  <c r="BD39" i="2" s="1"/>
  <c r="BH39" i="2" s="1"/>
  <c r="AM34" i="2"/>
  <c r="AK34" i="2"/>
  <c r="AE34" i="2"/>
  <c r="AD34" i="2"/>
  <c r="AC34" i="2"/>
  <c r="AB34" i="2"/>
  <c r="X34" i="2"/>
  <c r="W34" i="2"/>
  <c r="V34" i="2"/>
  <c r="U34" i="2"/>
  <c r="T34" i="2"/>
  <c r="K34" i="2"/>
  <c r="J34" i="2"/>
  <c r="G34" i="2"/>
  <c r="E34" i="2"/>
  <c r="D34" i="2"/>
  <c r="N34" i="2" s="1"/>
  <c r="BI33" i="2"/>
  <c r="BH33" i="2"/>
  <c r="BA33" i="2"/>
  <c r="AM33" i="2"/>
  <c r="AL33" i="2"/>
  <c r="AK33" i="2"/>
  <c r="AJ33" i="2"/>
  <c r="AE33" i="2"/>
  <c r="AD33" i="2"/>
  <c r="AC33" i="2"/>
  <c r="AB33" i="2"/>
  <c r="W33" i="2"/>
  <c r="U33" i="2"/>
  <c r="N33" i="2"/>
  <c r="L33" i="2"/>
  <c r="K33" i="2"/>
  <c r="O33" i="2" s="1"/>
  <c r="J33" i="2"/>
  <c r="G33" i="2"/>
  <c r="H33" i="2" s="1"/>
  <c r="E33" i="2"/>
  <c r="F33" i="2" s="1"/>
  <c r="D33" i="2"/>
  <c r="C33" i="2"/>
  <c r="M33" i="2" s="1"/>
  <c r="BK32" i="2"/>
  <c r="BJ32" i="2"/>
  <c r="BI32" i="2"/>
  <c r="BH32" i="2"/>
  <c r="BC32" i="2"/>
  <c r="BB32" i="2"/>
  <c r="AZ32" i="2"/>
  <c r="AV32" i="2"/>
  <c r="BA32" i="2" s="1"/>
  <c r="AM32" i="2"/>
  <c r="AL32" i="2"/>
  <c r="AK32" i="2"/>
  <c r="AJ32" i="2"/>
  <c r="AE32" i="2"/>
  <c r="AD32" i="2"/>
  <c r="AC32" i="2"/>
  <c r="AB32" i="2"/>
  <c r="W32" i="2"/>
  <c r="V32" i="2"/>
  <c r="U32" i="2"/>
  <c r="T32" i="2"/>
  <c r="M32" i="2"/>
  <c r="K32" i="2"/>
  <c r="J32" i="2"/>
  <c r="G32" i="2"/>
  <c r="F32" i="2"/>
  <c r="E32" i="2"/>
  <c r="D32" i="2"/>
  <c r="C32" i="2"/>
  <c r="L32" i="2" s="1"/>
  <c r="BA31" i="2"/>
  <c r="AZ31" i="2"/>
  <c r="AM31" i="2"/>
  <c r="AL31" i="2"/>
  <c r="AK31" i="2"/>
  <c r="AF31" i="2"/>
  <c r="AE31" i="2"/>
  <c r="AD31" i="2"/>
  <c r="AC31" i="2"/>
  <c r="AB31" i="2"/>
  <c r="W31" i="2"/>
  <c r="V31" i="2"/>
  <c r="U31" i="2"/>
  <c r="T31" i="2"/>
  <c r="M31" i="2"/>
  <c r="K31" i="2"/>
  <c r="J31" i="2"/>
  <c r="G31" i="2"/>
  <c r="F31" i="2"/>
  <c r="E31" i="2"/>
  <c r="D31" i="2"/>
  <c r="C31" i="2"/>
  <c r="L31" i="2" s="1"/>
  <c r="BI30" i="2"/>
  <c r="BA30" i="2"/>
  <c r="AZ30" i="2"/>
  <c r="AS30" i="2"/>
  <c r="AM30" i="2"/>
  <c r="AL30" i="2"/>
  <c r="AK30" i="2"/>
  <c r="AJ30" i="2"/>
  <c r="AE30" i="2"/>
  <c r="AD30" i="2"/>
  <c r="AC30" i="2"/>
  <c r="AB30" i="2"/>
  <c r="W30" i="2"/>
  <c r="V30" i="2"/>
  <c r="U30" i="2"/>
  <c r="T30" i="2"/>
  <c r="M30" i="2"/>
  <c r="K30" i="2"/>
  <c r="J30" i="2"/>
  <c r="G30" i="2"/>
  <c r="F30" i="2"/>
  <c r="E30" i="2"/>
  <c r="D30" i="2"/>
  <c r="N30" i="2" s="1"/>
  <c r="C30" i="2"/>
  <c r="L30" i="2" s="1"/>
  <c r="BA29" i="2"/>
  <c r="AZ29" i="2"/>
  <c r="AS29" i="2"/>
  <c r="AM29" i="2"/>
  <c r="AL29" i="2"/>
  <c r="AK29" i="2"/>
  <c r="AJ29" i="2"/>
  <c r="AE29" i="2"/>
  <c r="AD29" i="2"/>
  <c r="AC29" i="2"/>
  <c r="AB29" i="2"/>
  <c r="W29" i="2"/>
  <c r="V29" i="2"/>
  <c r="U29" i="2"/>
  <c r="T29" i="2"/>
  <c r="P29" i="2"/>
  <c r="M29" i="2"/>
  <c r="K29" i="2"/>
  <c r="J29" i="2"/>
  <c r="G29" i="2"/>
  <c r="F29" i="2"/>
  <c r="E29" i="2"/>
  <c r="D29" i="2"/>
  <c r="C29" i="2"/>
  <c r="L29" i="2" s="1"/>
  <c r="BI28" i="2"/>
  <c r="BH28" i="2"/>
  <c r="AS28" i="2"/>
  <c r="AM28" i="2"/>
  <c r="AL28" i="2"/>
  <c r="AK28" i="2"/>
  <c r="AJ28" i="2"/>
  <c r="AE28" i="2"/>
  <c r="AD28" i="2"/>
  <c r="AC28" i="2"/>
  <c r="AB28" i="2"/>
  <c r="W28" i="2"/>
  <c r="V28" i="2"/>
  <c r="U28" i="2"/>
  <c r="T28" i="2"/>
  <c r="N28" i="2"/>
  <c r="L28" i="2"/>
  <c r="K28" i="2"/>
  <c r="J28" i="2"/>
  <c r="G28" i="2"/>
  <c r="H28" i="2" s="1"/>
  <c r="E28" i="2"/>
  <c r="F28" i="2" s="1"/>
  <c r="D28" i="2"/>
  <c r="O28" i="2" s="1"/>
  <c r="C28" i="2"/>
  <c r="M28" i="2" s="1"/>
  <c r="BI27" i="2"/>
  <c r="BH27" i="2"/>
  <c r="BA27" i="2"/>
  <c r="AZ27" i="2"/>
  <c r="AS27" i="2"/>
  <c r="AM27" i="2"/>
  <c r="AL27" i="2"/>
  <c r="AK27" i="2"/>
  <c r="AJ27" i="2"/>
  <c r="AE27" i="2"/>
  <c r="AD27" i="2"/>
  <c r="AC27" i="2"/>
  <c r="AB27" i="2"/>
  <c r="W27" i="2"/>
  <c r="V27" i="2"/>
  <c r="U27" i="2"/>
  <c r="T27" i="2"/>
  <c r="M27" i="2"/>
  <c r="K27" i="2"/>
  <c r="J27" i="2"/>
  <c r="G27" i="2"/>
  <c r="F27" i="2"/>
  <c r="E27" i="2"/>
  <c r="D27" i="2"/>
  <c r="N27" i="2" s="1"/>
  <c r="C27" i="2"/>
  <c r="L27" i="2" s="1"/>
  <c r="BI26" i="2"/>
  <c r="BH26" i="2"/>
  <c r="AS26" i="2"/>
  <c r="AM26" i="2"/>
  <c r="AL26" i="2"/>
  <c r="AK26" i="2"/>
  <c r="AE26" i="2"/>
  <c r="AD26" i="2"/>
  <c r="AC26" i="2"/>
  <c r="AB26" i="2"/>
  <c r="W26" i="2"/>
  <c r="V26" i="2"/>
  <c r="U26" i="2"/>
  <c r="T26" i="2"/>
  <c r="M26" i="2"/>
  <c r="K26" i="2"/>
  <c r="J26" i="2"/>
  <c r="G26" i="2"/>
  <c r="F26" i="2"/>
  <c r="E26" i="2"/>
  <c r="D26" i="2"/>
  <c r="N26" i="2" s="1"/>
  <c r="C26" i="2"/>
  <c r="L26" i="2" s="1"/>
  <c r="BF25" i="2"/>
  <c r="BH25" i="2" s="1"/>
  <c r="BA25" i="2"/>
  <c r="AM25" i="2"/>
  <c r="AL25" i="2"/>
  <c r="AK25" i="2"/>
  <c r="AJ25" i="2"/>
  <c r="AE25" i="2"/>
  <c r="AD25" i="2"/>
  <c r="X25" i="2"/>
  <c r="W25" i="2"/>
  <c r="V25" i="2"/>
  <c r="U25" i="2"/>
  <c r="T25" i="2"/>
  <c r="N25" i="2"/>
  <c r="K25" i="2"/>
  <c r="J25" i="2"/>
  <c r="G25" i="2"/>
  <c r="H25" i="2" s="1"/>
  <c r="E25" i="2"/>
  <c r="D25" i="2"/>
  <c r="O25" i="2" s="1"/>
  <c r="C25" i="2"/>
  <c r="M25" i="2" s="1"/>
  <c r="BI24" i="2"/>
  <c r="BA24" i="2"/>
  <c r="AS24" i="2"/>
  <c r="AR24" i="2"/>
  <c r="AM24" i="2"/>
  <c r="AL24" i="2"/>
  <c r="AK24" i="2"/>
  <c r="AJ24" i="2"/>
  <c r="AE24" i="2"/>
  <c r="AD24" i="2"/>
  <c r="AC24" i="2"/>
  <c r="AB24" i="2"/>
  <c r="W24" i="2"/>
  <c r="V24" i="2"/>
  <c r="U24" i="2"/>
  <c r="T24" i="2"/>
  <c r="N24" i="2"/>
  <c r="K24" i="2"/>
  <c r="J24" i="2"/>
  <c r="G24" i="2"/>
  <c r="H24" i="2" s="1"/>
  <c r="E24" i="2"/>
  <c r="D24" i="2"/>
  <c r="O24" i="2" s="1"/>
  <c r="C24" i="2"/>
  <c r="M24" i="2" s="1"/>
  <c r="BI23" i="2"/>
  <c r="BA23" i="2"/>
  <c r="AS23" i="2"/>
  <c r="AM23" i="2"/>
  <c r="AL23" i="2"/>
  <c r="AK23" i="2"/>
  <c r="AE23" i="2"/>
  <c r="AD23" i="2"/>
  <c r="AC23" i="2"/>
  <c r="AB23" i="2"/>
  <c r="W23" i="2"/>
  <c r="V23" i="2"/>
  <c r="U23" i="2"/>
  <c r="T23" i="2"/>
  <c r="N23" i="2"/>
  <c r="L23" i="2"/>
  <c r="K23" i="2"/>
  <c r="O23" i="2" s="1"/>
  <c r="J23" i="2"/>
  <c r="G23" i="2"/>
  <c r="H23" i="2" s="1"/>
  <c r="E23" i="2"/>
  <c r="F23" i="2" s="1"/>
  <c r="D23" i="2"/>
  <c r="C23" i="2"/>
  <c r="M23" i="2" s="1"/>
  <c r="BI22" i="2"/>
  <c r="BH22" i="2"/>
  <c r="BA22" i="2"/>
  <c r="AZ22" i="2"/>
  <c r="AS22" i="2"/>
  <c r="AM22" i="2"/>
  <c r="AL22" i="2"/>
  <c r="AK22" i="2"/>
  <c r="AJ22" i="2"/>
  <c r="AE22" i="2"/>
  <c r="AD22" i="2"/>
  <c r="AC22" i="2"/>
  <c r="AB22" i="2"/>
  <c r="W22" i="2"/>
  <c r="V22" i="2"/>
  <c r="U22" i="2"/>
  <c r="T22" i="2"/>
  <c r="M22" i="2"/>
  <c r="K22" i="2"/>
  <c r="J22" i="2"/>
  <c r="G22" i="2"/>
  <c r="F22" i="2"/>
  <c r="E22" i="2"/>
  <c r="D22" i="2"/>
  <c r="N22" i="2" s="1"/>
  <c r="C22" i="2"/>
  <c r="L22" i="2" s="1"/>
  <c r="BI21" i="2"/>
  <c r="BH21" i="2"/>
  <c r="BA21" i="2"/>
  <c r="AS21" i="2"/>
  <c r="AM21" i="2"/>
  <c r="AL21" i="2"/>
  <c r="AK21" i="2"/>
  <c r="AJ21" i="2"/>
  <c r="AE21" i="2"/>
  <c r="AD21" i="2"/>
  <c r="AC21" i="2"/>
  <c r="AB21" i="2"/>
  <c r="W21" i="2"/>
  <c r="V21" i="2"/>
  <c r="U21" i="2"/>
  <c r="T21" i="2"/>
  <c r="M21" i="2"/>
  <c r="K21" i="2"/>
  <c r="J21" i="2"/>
  <c r="G21" i="2"/>
  <c r="F21" i="2"/>
  <c r="E21" i="2"/>
  <c r="D21" i="2"/>
  <c r="C21" i="2"/>
  <c r="L21" i="2" s="1"/>
  <c r="BI20" i="2"/>
  <c r="BH20" i="2"/>
  <c r="BC20" i="2"/>
  <c r="BC39" i="2" s="1"/>
  <c r="BC71" i="2" s="1"/>
  <c r="BC141" i="2" s="1"/>
  <c r="BA20" i="2"/>
  <c r="AS20" i="2"/>
  <c r="AR20" i="2"/>
  <c r="AM20" i="2"/>
  <c r="AL20" i="2"/>
  <c r="AK20" i="2"/>
  <c r="AJ20" i="2"/>
  <c r="AE20" i="2"/>
  <c r="AD20" i="2"/>
  <c r="AC20" i="2"/>
  <c r="AB20" i="2"/>
  <c r="W20" i="2"/>
  <c r="V20" i="2"/>
  <c r="U20" i="2"/>
  <c r="T20" i="2"/>
  <c r="M20" i="2"/>
  <c r="K20" i="2"/>
  <c r="J20" i="2"/>
  <c r="G20" i="2"/>
  <c r="F20" i="2"/>
  <c r="E20" i="2"/>
  <c r="D20" i="2"/>
  <c r="C20" i="2"/>
  <c r="L20" i="2" s="1"/>
  <c r="BI19" i="2"/>
  <c r="BH19" i="2"/>
  <c r="BA19" i="2"/>
  <c r="AZ19" i="2"/>
  <c r="AS19" i="2"/>
  <c r="AM19" i="2"/>
  <c r="AL19" i="2"/>
  <c r="AJ19" i="2"/>
  <c r="AH19" i="2"/>
  <c r="AH39" i="2" s="1"/>
  <c r="AE19" i="2"/>
  <c r="AD19" i="2"/>
  <c r="AC19" i="2"/>
  <c r="AB19" i="2"/>
  <c r="W19" i="2"/>
  <c r="V19" i="2"/>
  <c r="P19" i="2"/>
  <c r="K19" i="2"/>
  <c r="J19" i="2"/>
  <c r="G19" i="2"/>
  <c r="H19" i="2" s="1"/>
  <c r="E19" i="2"/>
  <c r="D19" i="2"/>
  <c r="O19" i="2" s="1"/>
  <c r="BA18" i="2"/>
  <c r="AS18" i="2"/>
  <c r="AR18" i="2"/>
  <c r="AM18" i="2"/>
  <c r="AM39" i="2" s="1"/>
  <c r="AL18" i="2"/>
  <c r="AK18" i="2"/>
  <c r="AJ18" i="2"/>
  <c r="AE18" i="2"/>
  <c r="AE39" i="2" s="1"/>
  <c r="AD18" i="2"/>
  <c r="AC18" i="2"/>
  <c r="AB18" i="2"/>
  <c r="W18" i="2"/>
  <c r="W39" i="2" s="1"/>
  <c r="V18" i="2"/>
  <c r="U18" i="2"/>
  <c r="T18" i="2"/>
  <c r="K18" i="2"/>
  <c r="K39" i="2" s="1"/>
  <c r="J18" i="2"/>
  <c r="G18" i="2"/>
  <c r="G39" i="2" s="1"/>
  <c r="E18" i="2"/>
  <c r="D18" i="2"/>
  <c r="N18" i="2" s="1"/>
  <c r="C18" i="2"/>
  <c r="BG17" i="2"/>
  <c r="BG71" i="2" s="1"/>
  <c r="BG141" i="2" s="1"/>
  <c r="BE17" i="2"/>
  <c r="BE71" i="2" s="1"/>
  <c r="AY17" i="2"/>
  <c r="AY71" i="2" s="1"/>
  <c r="AY141" i="2" s="1"/>
  <c r="AX17" i="2"/>
  <c r="AW17" i="2"/>
  <c r="AW71" i="2" s="1"/>
  <c r="AV17" i="2"/>
  <c r="AP17" i="2"/>
  <c r="AP71" i="2" s="1"/>
  <c r="AP141" i="2" s="1"/>
  <c r="AN17" i="2"/>
  <c r="AL17" i="2"/>
  <c r="AI17" i="2"/>
  <c r="AH17" i="2"/>
  <c r="AG17" i="2"/>
  <c r="AA17" i="2"/>
  <c r="AA71" i="2" s="1"/>
  <c r="AA141" i="2" s="1"/>
  <c r="Z17" i="2"/>
  <c r="Y17" i="2"/>
  <c r="X17" i="2"/>
  <c r="S17" i="2"/>
  <c r="V17" i="2" s="1"/>
  <c r="Q17" i="2"/>
  <c r="P17" i="2"/>
  <c r="I17" i="2"/>
  <c r="D17" i="2"/>
  <c r="BD16" i="2"/>
  <c r="BI16" i="2" s="1"/>
  <c r="AS16" i="2"/>
  <c r="AM16" i="2"/>
  <c r="AK16" i="2"/>
  <c r="AJ16" i="2"/>
  <c r="AE16" i="2"/>
  <c r="AD16" i="2"/>
  <c r="AC16" i="2"/>
  <c r="AB16" i="2"/>
  <c r="W16" i="2"/>
  <c r="V16" i="2"/>
  <c r="U16" i="2"/>
  <c r="T16" i="2"/>
  <c r="O16" i="2"/>
  <c r="K16" i="2"/>
  <c r="N16" i="2" s="1"/>
  <c r="J16" i="2"/>
  <c r="G16" i="2"/>
  <c r="H16" i="2" s="1"/>
  <c r="E16" i="2"/>
  <c r="D16" i="2"/>
  <c r="BI15" i="2"/>
  <c r="BH15" i="2"/>
  <c r="AS15" i="2"/>
  <c r="AM15" i="2"/>
  <c r="AK15" i="2"/>
  <c r="AJ15" i="2"/>
  <c r="AE15" i="2"/>
  <c r="AD15" i="2"/>
  <c r="AC15" i="2"/>
  <c r="AB15" i="2"/>
  <c r="W15" i="2"/>
  <c r="V15" i="2"/>
  <c r="U15" i="2"/>
  <c r="T15" i="2"/>
  <c r="K15" i="2"/>
  <c r="J15" i="2"/>
  <c r="L15" i="2" s="1"/>
  <c r="G15" i="2"/>
  <c r="H15" i="2" s="1"/>
  <c r="E15" i="2"/>
  <c r="F15" i="2" s="1"/>
  <c r="D15" i="2"/>
  <c r="O15" i="2" s="1"/>
  <c r="C15" i="2"/>
  <c r="M15" i="2" s="1"/>
  <c r="BI14" i="2"/>
  <c r="BH14" i="2"/>
  <c r="AS14" i="2"/>
  <c r="AM14" i="2"/>
  <c r="AK14" i="2"/>
  <c r="AE14" i="2"/>
  <c r="AD14" i="2"/>
  <c r="AC14" i="2"/>
  <c r="AB14" i="2"/>
  <c r="W14" i="2"/>
  <c r="V14" i="2"/>
  <c r="U14" i="2"/>
  <c r="T14" i="2"/>
  <c r="K14" i="2"/>
  <c r="J14" i="2"/>
  <c r="M14" i="2" s="1"/>
  <c r="G14" i="2"/>
  <c r="E14" i="2"/>
  <c r="F14" i="2" s="1"/>
  <c r="D14" i="2"/>
  <c r="N14" i="2" s="1"/>
  <c r="C14" i="2"/>
  <c r="BI13" i="2"/>
  <c r="BH13" i="2"/>
  <c r="AS13" i="2"/>
  <c r="AM13" i="2"/>
  <c r="AK13" i="2"/>
  <c r="AE13" i="2"/>
  <c r="AD13" i="2"/>
  <c r="AC13" i="2"/>
  <c r="AB13" i="2"/>
  <c r="W13" i="2"/>
  <c r="V13" i="2"/>
  <c r="R13" i="2"/>
  <c r="K13" i="2"/>
  <c r="G13" i="2"/>
  <c r="H13" i="2" s="1"/>
  <c r="E13" i="2"/>
  <c r="D13" i="2"/>
  <c r="N13" i="2" s="1"/>
  <c r="C13" i="2"/>
  <c r="BI12" i="2"/>
  <c r="BH12" i="2"/>
  <c r="BA12" i="2"/>
  <c r="BA17" i="2" s="1"/>
  <c r="AZ12" i="2"/>
  <c r="AS12" i="2"/>
  <c r="AM12" i="2"/>
  <c r="AK12" i="2"/>
  <c r="AE12" i="2"/>
  <c r="AD12" i="2"/>
  <c r="AC12" i="2"/>
  <c r="AB12" i="2"/>
  <c r="W12" i="2"/>
  <c r="V12" i="2"/>
  <c r="U12" i="2"/>
  <c r="T12" i="2"/>
  <c r="O12" i="2"/>
  <c r="K12" i="2"/>
  <c r="N12" i="2" s="1"/>
  <c r="J12" i="2"/>
  <c r="G12" i="2"/>
  <c r="H12" i="2" s="1"/>
  <c r="E12" i="2"/>
  <c r="F12" i="2" s="1"/>
  <c r="D12" i="2"/>
  <c r="C12" i="2"/>
  <c r="L12" i="2" s="1"/>
  <c r="BF11" i="2"/>
  <c r="BF17" i="2" s="1"/>
  <c r="BF71" i="2" s="1"/>
  <c r="BF141" i="2" s="1"/>
  <c r="AS11" i="2"/>
  <c r="AM11" i="2"/>
  <c r="AF11" i="2"/>
  <c r="AF17" i="2" s="1"/>
  <c r="AE11" i="2"/>
  <c r="AD11" i="2"/>
  <c r="AC11" i="2"/>
  <c r="AB11" i="2"/>
  <c r="W11" i="2"/>
  <c r="V11" i="2"/>
  <c r="U11" i="2"/>
  <c r="T11" i="2"/>
  <c r="K11" i="2"/>
  <c r="G11" i="2"/>
  <c r="H11" i="2" s="1"/>
  <c r="E11" i="2"/>
  <c r="D11" i="2"/>
  <c r="O11" i="2" s="1"/>
  <c r="C11" i="2"/>
  <c r="F11" i="2" s="1"/>
  <c r="BI10" i="2"/>
  <c r="BH10" i="2"/>
  <c r="AS10" i="2"/>
  <c r="AM10" i="2"/>
  <c r="AL10" i="2"/>
  <c r="AK10" i="2"/>
  <c r="AJ10" i="2"/>
  <c r="AE10" i="2"/>
  <c r="AD10" i="2"/>
  <c r="AC10" i="2"/>
  <c r="AB10" i="2"/>
  <c r="W10" i="2"/>
  <c r="W17" i="2" s="1"/>
  <c r="V10" i="2"/>
  <c r="R10" i="2"/>
  <c r="U10" i="2" s="1"/>
  <c r="K10" i="2"/>
  <c r="G10" i="2"/>
  <c r="H10" i="2" s="1"/>
  <c r="E10" i="2"/>
  <c r="D10" i="2"/>
  <c r="O10" i="2" s="1"/>
  <c r="C10" i="2"/>
  <c r="F10" i="2" s="1"/>
  <c r="BI9" i="2"/>
  <c r="BH9" i="2"/>
  <c r="AS9" i="2"/>
  <c r="AS17" i="2" s="1"/>
  <c r="AM9" i="2"/>
  <c r="AM17" i="2" s="1"/>
  <c r="AK9" i="2"/>
  <c r="AE9" i="2"/>
  <c r="AE17" i="2" s="1"/>
  <c r="AD9" i="2"/>
  <c r="AC9" i="2"/>
  <c r="AC17" i="2" s="1"/>
  <c r="AB9" i="2"/>
  <c r="W9" i="2"/>
  <c r="V9" i="2"/>
  <c r="U9" i="2"/>
  <c r="T9" i="2"/>
  <c r="M9" i="2"/>
  <c r="K9" i="2"/>
  <c r="K17" i="2" s="1"/>
  <c r="J9" i="2"/>
  <c r="G9" i="2"/>
  <c r="G17" i="2" s="1"/>
  <c r="E9" i="2"/>
  <c r="E17" i="2" s="1"/>
  <c r="D9" i="2"/>
  <c r="O9" i="2" s="1"/>
  <c r="C9" i="2"/>
  <c r="N48" i="2" l="1"/>
  <c r="AM71" i="2"/>
  <c r="AM141" i="2" s="1"/>
  <c r="AJ17" i="2"/>
  <c r="BI17" i="2"/>
  <c r="K71" i="2"/>
  <c r="K141" i="2" s="1"/>
  <c r="N17" i="2"/>
  <c r="AE71" i="2"/>
  <c r="AE141" i="2" s="1"/>
  <c r="BE141" i="2"/>
  <c r="BJ141" i="2" s="1"/>
  <c r="BJ71" i="2"/>
  <c r="O26" i="2"/>
  <c r="H27" i="2"/>
  <c r="H30" i="2"/>
  <c r="H9" i="2"/>
  <c r="H17" i="2" s="1"/>
  <c r="L10" i="2"/>
  <c r="H14" i="2"/>
  <c r="N15" i="2"/>
  <c r="R17" i="2"/>
  <c r="R71" i="2" s="1"/>
  <c r="L18" i="2"/>
  <c r="P39" i="2"/>
  <c r="T39" i="2" s="1"/>
  <c r="T19" i="2"/>
  <c r="H22" i="2"/>
  <c r="X39" i="2"/>
  <c r="AB39" i="2" s="1"/>
  <c r="AB25" i="2"/>
  <c r="O27" i="2"/>
  <c r="AN39" i="2"/>
  <c r="AT39" i="2" s="1"/>
  <c r="AS37" i="2"/>
  <c r="E39" i="2"/>
  <c r="E71" i="2" s="1"/>
  <c r="E141" i="2" s="1"/>
  <c r="AO141" i="2"/>
  <c r="AT141" i="2" s="1"/>
  <c r="AT71" i="2"/>
  <c r="O43" i="2"/>
  <c r="E55" i="2"/>
  <c r="F49" i="2"/>
  <c r="O53" i="2"/>
  <c r="O55" i="2" s="1"/>
  <c r="N53" i="2"/>
  <c r="H53" i="2"/>
  <c r="BA61" i="2"/>
  <c r="BA67" i="2" s="1"/>
  <c r="C61" i="2"/>
  <c r="AV67" i="2"/>
  <c r="AZ67" i="2" s="1"/>
  <c r="AZ61" i="2"/>
  <c r="AR70" i="2"/>
  <c r="AS70" i="2"/>
  <c r="C70" i="2"/>
  <c r="U78" i="2"/>
  <c r="J78" i="2"/>
  <c r="L78" i="2" s="1"/>
  <c r="T78" i="2"/>
  <c r="M92" i="2"/>
  <c r="L92" i="2"/>
  <c r="N9" i="2"/>
  <c r="T10" i="2"/>
  <c r="AK11" i="2"/>
  <c r="O13" i="2"/>
  <c r="O14" i="2"/>
  <c r="O17" i="2" s="1"/>
  <c r="X71" i="2"/>
  <c r="AB17" i="2"/>
  <c r="H18" i="2"/>
  <c r="H39" i="2" s="1"/>
  <c r="BA39" i="2"/>
  <c r="BA71" i="2" s="1"/>
  <c r="BA141" i="2" s="1"/>
  <c r="AC25" i="2"/>
  <c r="AC39" i="2" s="1"/>
  <c r="AC71" i="2" s="1"/>
  <c r="AC141" i="2" s="1"/>
  <c r="BI34" i="2"/>
  <c r="H35" i="2"/>
  <c r="O36" i="2"/>
  <c r="AJ39" i="2"/>
  <c r="U48" i="2"/>
  <c r="AJ48" i="2"/>
  <c r="H51" i="2"/>
  <c r="J67" i="2"/>
  <c r="AK67" i="2"/>
  <c r="O63" i="2"/>
  <c r="N63" i="2"/>
  <c r="H63" i="2"/>
  <c r="F9" i="2"/>
  <c r="J10" i="2"/>
  <c r="N10" i="2"/>
  <c r="J11" i="2"/>
  <c r="J17" i="2" s="1"/>
  <c r="N11" i="2"/>
  <c r="BI11" i="2"/>
  <c r="U13" i="2"/>
  <c r="U17" i="2" s="1"/>
  <c r="U71" i="2" s="1"/>
  <c r="J13" i="2"/>
  <c r="L13" i="2" s="1"/>
  <c r="P71" i="2"/>
  <c r="AD17" i="2"/>
  <c r="AH71" i="2"/>
  <c r="AH141" i="2" s="1"/>
  <c r="AV71" i="2"/>
  <c r="AZ17" i="2"/>
  <c r="J39" i="2"/>
  <c r="O18" i="2"/>
  <c r="C19" i="2"/>
  <c r="N20" i="2"/>
  <c r="H20" i="2"/>
  <c r="O20" i="2"/>
  <c r="N21" i="2"/>
  <c r="H21" i="2"/>
  <c r="O21" i="2"/>
  <c r="F24" i="2"/>
  <c r="L24" i="2"/>
  <c r="F25" i="2"/>
  <c r="L25" i="2"/>
  <c r="BI25" i="2"/>
  <c r="BI39" i="2" s="1"/>
  <c r="N29" i="2"/>
  <c r="H29" i="2"/>
  <c r="O29" i="2"/>
  <c r="N31" i="2"/>
  <c r="H31" i="2"/>
  <c r="O31" i="2"/>
  <c r="N32" i="2"/>
  <c r="H32" i="2"/>
  <c r="O32" i="2"/>
  <c r="BK39" i="2"/>
  <c r="BK71" i="2" s="1"/>
  <c r="BK141" i="2" s="1"/>
  <c r="U37" i="2"/>
  <c r="U39" i="2" s="1"/>
  <c r="D39" i="2"/>
  <c r="N39" i="2" s="1"/>
  <c r="V39" i="2"/>
  <c r="E48" i="2"/>
  <c r="F40" i="2"/>
  <c r="F48" i="2" s="1"/>
  <c r="BA48" i="2"/>
  <c r="K48" i="2"/>
  <c r="N42" i="2"/>
  <c r="H42" i="2"/>
  <c r="O42" i="2"/>
  <c r="F44" i="2"/>
  <c r="L44" i="2"/>
  <c r="C55" i="2"/>
  <c r="M49" i="2"/>
  <c r="M55" i="2" s="1"/>
  <c r="AJ49" i="2"/>
  <c r="AF55" i="2"/>
  <c r="AJ55" i="2" s="1"/>
  <c r="F50" i="2"/>
  <c r="L50" i="2"/>
  <c r="O56" i="2"/>
  <c r="N56" i="2"/>
  <c r="H56" i="2"/>
  <c r="O62" i="2"/>
  <c r="N62" i="2"/>
  <c r="H62" i="2"/>
  <c r="S71" i="2"/>
  <c r="N69" i="2"/>
  <c r="O69" i="2"/>
  <c r="M79" i="2"/>
  <c r="L79" i="2"/>
  <c r="F79" i="2"/>
  <c r="M85" i="2"/>
  <c r="F85" i="2"/>
  <c r="AS39" i="2"/>
  <c r="AS71" i="2" s="1"/>
  <c r="AS141" i="2" s="1"/>
  <c r="O22" i="2"/>
  <c r="H26" i="2"/>
  <c r="O30" i="2"/>
  <c r="H34" i="2"/>
  <c r="O34" i="2"/>
  <c r="BH34" i="2"/>
  <c r="C34" i="2"/>
  <c r="C48" i="2"/>
  <c r="L48" i="2" s="1"/>
  <c r="M40" i="2"/>
  <c r="M48" i="2" s="1"/>
  <c r="H41" i="2"/>
  <c r="O41" i="2"/>
  <c r="O48" i="2" s="1"/>
  <c r="H43" i="2"/>
  <c r="H47" i="2"/>
  <c r="O47" i="2"/>
  <c r="M66" i="2"/>
  <c r="M10" i="2"/>
  <c r="BH11" i="2"/>
  <c r="BD17" i="2"/>
  <c r="BH16" i="2"/>
  <c r="M18" i="2"/>
  <c r="U19" i="2"/>
  <c r="O35" i="2"/>
  <c r="H36" i="2"/>
  <c r="C37" i="2"/>
  <c r="G55" i="2"/>
  <c r="H49" i="2"/>
  <c r="H55" i="2" s="1"/>
  <c r="U67" i="2"/>
  <c r="I67" i="2" s="1"/>
  <c r="L9" i="2"/>
  <c r="AK17" i="2"/>
  <c r="M12" i="2"/>
  <c r="F13" i="2"/>
  <c r="T13" i="2"/>
  <c r="L14" i="2"/>
  <c r="C16" i="2"/>
  <c r="AI71" i="2"/>
  <c r="AI141" i="2" s="1"/>
  <c r="AW141" i="2"/>
  <c r="BB141" i="2" s="1"/>
  <c r="BB71" i="2"/>
  <c r="F18" i="2"/>
  <c r="N19" i="2"/>
  <c r="F37" i="2"/>
  <c r="AD39" i="2"/>
  <c r="G48" i="2"/>
  <c r="H40" i="2"/>
  <c r="H48" i="2" s="1"/>
  <c r="AK55" i="2"/>
  <c r="F52" i="2"/>
  <c r="L52" i="2"/>
  <c r="L58" i="2"/>
  <c r="O59" i="2"/>
  <c r="N59" i="2"/>
  <c r="H59" i="2"/>
  <c r="N68" i="2"/>
  <c r="O68" i="2"/>
  <c r="Y71" i="2"/>
  <c r="AG71" i="2"/>
  <c r="AX71" i="2"/>
  <c r="AX141" i="2" s="1"/>
  <c r="AK19" i="2"/>
  <c r="AK39" i="2" s="1"/>
  <c r="K55" i="2"/>
  <c r="N55" i="2" s="1"/>
  <c r="W55" i="2"/>
  <c r="W71" i="2" s="1"/>
  <c r="W141" i="2" s="1"/>
  <c r="BA49" i="2"/>
  <c r="BA55" i="2" s="1"/>
  <c r="BD55" i="2"/>
  <c r="BH55" i="2" s="1"/>
  <c r="BH50" i="2"/>
  <c r="L51" i="2"/>
  <c r="AC55" i="2"/>
  <c r="E67" i="2"/>
  <c r="K67" i="2"/>
  <c r="J70" i="2"/>
  <c r="AJ70" i="2"/>
  <c r="L77" i="2"/>
  <c r="M77" i="2"/>
  <c r="U55" i="2"/>
  <c r="O52" i="2"/>
  <c r="N52" i="2"/>
  <c r="L53" i="2"/>
  <c r="O58" i="2"/>
  <c r="N58" i="2"/>
  <c r="H67" i="2"/>
  <c r="M115" i="2"/>
  <c r="L115" i="2"/>
  <c r="J53" i="2"/>
  <c r="M53" i="2" s="1"/>
  <c r="AK53" i="2"/>
  <c r="O54" i="2"/>
  <c r="O57" i="2"/>
  <c r="J58" i="2"/>
  <c r="M58" i="2" s="1"/>
  <c r="O61" i="2"/>
  <c r="O64" i="2"/>
  <c r="O65" i="2"/>
  <c r="O66" i="2"/>
  <c r="D67" i="2"/>
  <c r="T70" i="2"/>
  <c r="Q71" i="2"/>
  <c r="F74" i="2"/>
  <c r="L74" i="2"/>
  <c r="F77" i="2"/>
  <c r="M78" i="2"/>
  <c r="L83" i="2"/>
  <c r="M94" i="2"/>
  <c r="L94" i="2"/>
  <c r="M95" i="2"/>
  <c r="L97" i="2"/>
  <c r="F97" i="2"/>
  <c r="L105" i="2"/>
  <c r="F105" i="2"/>
  <c r="F115" i="2"/>
  <c r="H146" i="2"/>
  <c r="F146" i="2"/>
  <c r="F53" i="2"/>
  <c r="F56" i="2"/>
  <c r="F58" i="2"/>
  <c r="F59" i="2"/>
  <c r="F62" i="2"/>
  <c r="F63" i="2"/>
  <c r="L66" i="2"/>
  <c r="H70" i="2"/>
  <c r="AK70" i="2"/>
  <c r="AL70" i="2"/>
  <c r="M81" i="2"/>
  <c r="L84" i="2"/>
  <c r="M91" i="2"/>
  <c r="M98" i="2"/>
  <c r="M108" i="2"/>
  <c r="L108" i="2"/>
  <c r="M123" i="2"/>
  <c r="M125" i="2"/>
  <c r="M127" i="2"/>
  <c r="L127" i="2"/>
  <c r="M129" i="2"/>
  <c r="L129" i="2"/>
  <c r="M73" i="2"/>
  <c r="M113" i="2"/>
  <c r="L113" i="2"/>
  <c r="M122" i="2"/>
  <c r="F126" i="2"/>
  <c r="F133" i="2"/>
  <c r="U141" i="2" l="1"/>
  <c r="M17" i="2"/>
  <c r="M71" i="2" s="1"/>
  <c r="M141" i="2" s="1"/>
  <c r="Q141" i="2"/>
  <c r="D71" i="2"/>
  <c r="V71" i="2"/>
  <c r="M16" i="2"/>
  <c r="L16" i="2"/>
  <c r="O39" i="2"/>
  <c r="O71" i="2" s="1"/>
  <c r="O141" i="2" s="1"/>
  <c r="AB71" i="2"/>
  <c r="X141" i="2"/>
  <c r="AB141" i="2" s="1"/>
  <c r="M61" i="2"/>
  <c r="M67" i="2" s="1"/>
  <c r="L61" i="2"/>
  <c r="C67" i="2"/>
  <c r="L67" i="2" s="1"/>
  <c r="M13" i="2"/>
  <c r="C17" i="2"/>
  <c r="L17" i="2" s="1"/>
  <c r="BD71" i="2"/>
  <c r="BH17" i="2"/>
  <c r="L34" i="2"/>
  <c r="M34" i="2"/>
  <c r="F34" i="2"/>
  <c r="O67" i="2"/>
  <c r="F55" i="2"/>
  <c r="R141" i="2"/>
  <c r="J142" i="2" s="1"/>
  <c r="H142" i="2" s="1"/>
  <c r="F71" i="2"/>
  <c r="F141" i="2" s="1"/>
  <c r="AF71" i="2"/>
  <c r="N67" i="2"/>
  <c r="F61" i="2"/>
  <c r="Y141" i="2"/>
  <c r="AD141" i="2" s="1"/>
  <c r="AD71" i="2"/>
  <c r="AN71" i="2"/>
  <c r="G71" i="2"/>
  <c r="G141" i="2" s="1"/>
  <c r="S141" i="2"/>
  <c r="T17" i="2"/>
  <c r="F16" i="2"/>
  <c r="AG141" i="2"/>
  <c r="AL141" i="2" s="1"/>
  <c r="AL71" i="2"/>
  <c r="AK71" i="2"/>
  <c r="AK141" i="2" s="1"/>
  <c r="L11" i="2"/>
  <c r="F39" i="2"/>
  <c r="M37" i="2"/>
  <c r="L37" i="2"/>
  <c r="M39" i="2"/>
  <c r="M11" i="2"/>
  <c r="J55" i="2"/>
  <c r="J71" i="2" s="1"/>
  <c r="J141" i="2" s="1"/>
  <c r="J144" i="2" s="1"/>
  <c r="H144" i="2" s="1"/>
  <c r="M19" i="2"/>
  <c r="L19" i="2"/>
  <c r="AZ71" i="2"/>
  <c r="AV141" i="2"/>
  <c r="AZ141" i="2" s="1"/>
  <c r="T71" i="2"/>
  <c r="P141" i="2"/>
  <c r="C71" i="2"/>
  <c r="F17" i="2"/>
  <c r="M70" i="2"/>
  <c r="L70" i="2"/>
  <c r="F70" i="2"/>
  <c r="F19" i="2"/>
  <c r="C39" i="2"/>
  <c r="L39" i="2" s="1"/>
  <c r="BI71" i="2"/>
  <c r="BI141" i="2" s="1"/>
  <c r="T141" i="2" l="1"/>
  <c r="F67" i="2"/>
  <c r="BH71" i="2"/>
  <c r="BD141" i="2"/>
  <c r="BH141" i="2" s="1"/>
  <c r="D141" i="2"/>
  <c r="N141" i="2" s="1"/>
  <c r="N71" i="2"/>
  <c r="AR71" i="2"/>
  <c r="H71" i="2" s="1"/>
  <c r="H141" i="2" s="1"/>
  <c r="AN141" i="2"/>
  <c r="AR141" i="2" s="1"/>
  <c r="V141" i="2"/>
  <c r="I71" i="2"/>
  <c r="I141" i="2" s="1"/>
  <c r="L71" i="2"/>
  <c r="C141" i="2"/>
  <c r="AJ71" i="2"/>
  <c r="AF141" i="2"/>
  <c r="AJ141" i="2" s="1"/>
  <c r="L55" i="2"/>
  <c r="C142" i="2" l="1"/>
  <c r="F142" i="2" s="1"/>
  <c r="B144" i="2"/>
  <c r="L141" i="2"/>
  <c r="C144" i="2"/>
  <c r="F144" i="2" s="1"/>
  <c r="M38" i="4" l="1"/>
  <c r="L38" i="4"/>
  <c r="I38" i="4"/>
  <c r="E38" i="4"/>
  <c r="O36" i="4"/>
  <c r="N36" i="4"/>
  <c r="K36" i="4"/>
  <c r="G36" i="4"/>
  <c r="F36" i="4"/>
  <c r="O34" i="4"/>
  <c r="N34" i="4"/>
  <c r="H34" i="4"/>
  <c r="O32" i="4"/>
  <c r="N32" i="4"/>
  <c r="H32" i="4"/>
  <c r="J32" i="4" s="1"/>
  <c r="D32" i="4"/>
  <c r="O31" i="4"/>
  <c r="N31" i="4"/>
  <c r="K31" i="4"/>
  <c r="J31" i="4"/>
  <c r="G31" i="4"/>
  <c r="F31" i="4"/>
  <c r="D18" i="4"/>
  <c r="C18" i="4"/>
  <c r="I17" i="4"/>
  <c r="M16" i="4"/>
  <c r="M18" i="4" s="1"/>
  <c r="I18" i="4" s="1"/>
  <c r="S15" i="4"/>
  <c r="R15" i="4"/>
  <c r="E15" i="4"/>
  <c r="D15" i="4"/>
  <c r="G15" i="4" s="1"/>
  <c r="Q14" i="4"/>
  <c r="E14" i="4" s="1"/>
  <c r="P14" i="4"/>
  <c r="O14" i="4"/>
  <c r="N14" i="4"/>
  <c r="H14" i="4"/>
  <c r="P13" i="4"/>
  <c r="S13" i="4" s="1"/>
  <c r="H13" i="4"/>
  <c r="E13" i="4"/>
  <c r="S12" i="4"/>
  <c r="L12" i="4"/>
  <c r="K12" i="4"/>
  <c r="J12" i="4"/>
  <c r="E12" i="4"/>
  <c r="Q11" i="4"/>
  <c r="Q16" i="4" s="1"/>
  <c r="P11" i="4"/>
  <c r="S11" i="4" s="1"/>
  <c r="K11" i="4"/>
  <c r="J11" i="4"/>
  <c r="E11" i="4"/>
  <c r="D11" i="4"/>
  <c r="G11" i="4" s="1"/>
  <c r="P10" i="4"/>
  <c r="O10" i="4"/>
  <c r="N10" i="4"/>
  <c r="I10" i="4"/>
  <c r="I16" i="4" s="1"/>
  <c r="H10" i="4"/>
  <c r="S9" i="4"/>
  <c r="R9" i="4"/>
  <c r="O9" i="4"/>
  <c r="N9" i="4"/>
  <c r="K9" i="4"/>
  <c r="J9" i="4"/>
  <c r="E9" i="4"/>
  <c r="D9" i="4"/>
  <c r="H16" i="4" l="1"/>
  <c r="J10" i="4"/>
  <c r="L16" i="4"/>
  <c r="N16" i="4" s="1"/>
  <c r="O12" i="4"/>
  <c r="J13" i="4"/>
  <c r="K13" i="4"/>
  <c r="K14" i="4"/>
  <c r="J14" i="4"/>
  <c r="D38" i="4"/>
  <c r="F38" i="4" s="1"/>
  <c r="G32" i="4"/>
  <c r="F32" i="4"/>
  <c r="D12" i="4"/>
  <c r="G12" i="4" s="1"/>
  <c r="H38" i="4"/>
  <c r="J38" i="4" s="1"/>
  <c r="G9" i="4"/>
  <c r="E10" i="4"/>
  <c r="E16" i="4" s="1"/>
  <c r="E19" i="4" s="1"/>
  <c r="K32" i="4"/>
  <c r="J34" i="4"/>
  <c r="O38" i="4"/>
  <c r="O16" i="4"/>
  <c r="K34" i="4"/>
  <c r="N38" i="4"/>
  <c r="E17" i="4"/>
  <c r="P16" i="4"/>
  <c r="R16" i="4" s="1"/>
  <c r="S14" i="4"/>
  <c r="G38" i="4"/>
  <c r="J16" i="4"/>
  <c r="K10" i="4"/>
  <c r="K16" i="4" s="1"/>
  <c r="R10" i="4"/>
  <c r="F11" i="4"/>
  <c r="D13" i="4"/>
  <c r="R13" i="4"/>
  <c r="F9" i="4"/>
  <c r="D10" i="4"/>
  <c r="S10" i="4"/>
  <c r="S16" i="4" s="1"/>
  <c r="F12" i="4"/>
  <c r="R14" i="4"/>
  <c r="F15" i="4"/>
  <c r="D14" i="4"/>
  <c r="D16" i="4" s="1"/>
  <c r="J50" i="3"/>
  <c r="I50" i="3"/>
  <c r="H50" i="3"/>
  <c r="G50" i="3"/>
  <c r="F50" i="3"/>
  <c r="E50" i="3"/>
  <c r="D50" i="3"/>
  <c r="C50" i="3"/>
  <c r="J49" i="3"/>
  <c r="J51" i="3" s="1"/>
  <c r="I49" i="3"/>
  <c r="I51" i="3" s="1"/>
  <c r="H49" i="3"/>
  <c r="H51" i="3" s="1"/>
  <c r="G49" i="3"/>
  <c r="F49" i="3"/>
  <c r="F51" i="3" s="1"/>
  <c r="E49" i="3"/>
  <c r="D49" i="3"/>
  <c r="D51" i="3" s="1"/>
  <c r="C49" i="3"/>
  <c r="G47" i="3"/>
  <c r="F47" i="3"/>
  <c r="D47" i="3"/>
  <c r="C47" i="3"/>
  <c r="B46" i="3"/>
  <c r="B45" i="3"/>
  <c r="J43" i="3"/>
  <c r="F43" i="3"/>
  <c r="D43" i="3"/>
  <c r="C43" i="3"/>
  <c r="B42" i="3"/>
  <c r="B41" i="3"/>
  <c r="B43" i="3" s="1"/>
  <c r="J39" i="3"/>
  <c r="G39" i="3"/>
  <c r="F39" i="3"/>
  <c r="D39" i="3"/>
  <c r="C39" i="3"/>
  <c r="B38" i="3"/>
  <c r="B37" i="3"/>
  <c r="J35" i="3"/>
  <c r="G35" i="3"/>
  <c r="C35" i="3"/>
  <c r="B34" i="3"/>
  <c r="B33" i="3"/>
  <c r="B35" i="3" s="1"/>
  <c r="D31" i="3"/>
  <c r="C31" i="3"/>
  <c r="B30" i="3"/>
  <c r="B29" i="3"/>
  <c r="B31" i="3" s="1"/>
  <c r="J27" i="3"/>
  <c r="G27" i="3"/>
  <c r="D27" i="3"/>
  <c r="C27" i="3"/>
  <c r="B26" i="3"/>
  <c r="B25" i="3"/>
  <c r="B27" i="3" s="1"/>
  <c r="J23" i="3"/>
  <c r="G23" i="3"/>
  <c r="D23" i="3"/>
  <c r="C23" i="3"/>
  <c r="B22" i="3"/>
  <c r="B21" i="3"/>
  <c r="G19" i="3"/>
  <c r="F19" i="3"/>
  <c r="D19" i="3"/>
  <c r="C19" i="3"/>
  <c r="B18" i="3"/>
  <c r="B17" i="3"/>
  <c r="B19" i="3" s="1"/>
  <c r="F15" i="3"/>
  <c r="D15" i="3"/>
  <c r="C15" i="3"/>
  <c r="B14" i="3"/>
  <c r="B13" i="3"/>
  <c r="J11" i="3"/>
  <c r="I11" i="3"/>
  <c r="H11" i="3"/>
  <c r="G11" i="3"/>
  <c r="F11" i="3"/>
  <c r="D11" i="3"/>
  <c r="C11" i="3"/>
  <c r="B10" i="3"/>
  <c r="B9" i="3"/>
  <c r="B11" i="3" s="1"/>
  <c r="B50" i="3" l="1"/>
  <c r="B15" i="3"/>
  <c r="B23" i="3"/>
  <c r="B49" i="3"/>
  <c r="B51" i="3" s="1"/>
  <c r="B47" i="3"/>
  <c r="C51" i="3"/>
  <c r="G51" i="3"/>
  <c r="K38" i="4"/>
  <c r="D17" i="4"/>
  <c r="G10" i="4"/>
  <c r="F10" i="4"/>
  <c r="G14" i="4"/>
  <c r="F14" i="4"/>
  <c r="D19" i="4"/>
  <c r="C19" i="4"/>
  <c r="F16" i="4"/>
  <c r="F13" i="4"/>
  <c r="G13" i="4"/>
  <c r="B39" i="3"/>
  <c r="G42" i="1"/>
  <c r="D42" i="1"/>
  <c r="D34" i="1" s="1"/>
  <c r="C42" i="1"/>
  <c r="C34" i="1" s="1"/>
  <c r="G41" i="1"/>
  <c r="G35" i="1"/>
  <c r="G34" i="1" s="1"/>
  <c r="G32" i="1"/>
  <c r="D32" i="1"/>
  <c r="H32" i="1" s="1"/>
  <c r="C32" i="1"/>
  <c r="I31" i="1"/>
  <c r="H31" i="1"/>
  <c r="F31" i="1"/>
  <c r="E31" i="1"/>
  <c r="I30" i="1"/>
  <c r="H30" i="1"/>
  <c r="F30" i="1"/>
  <c r="E30" i="1"/>
  <c r="I29" i="1"/>
  <c r="H29" i="1"/>
  <c r="F29" i="1"/>
  <c r="E29" i="1"/>
  <c r="I28" i="1"/>
  <c r="G28" i="1"/>
  <c r="D28" i="1"/>
  <c r="C28" i="1"/>
  <c r="I27" i="1"/>
  <c r="H27" i="1"/>
  <c r="F27" i="1"/>
  <c r="E27" i="1"/>
  <c r="I26" i="1"/>
  <c r="H26" i="1"/>
  <c r="F26" i="1"/>
  <c r="E26" i="1"/>
  <c r="G25" i="1"/>
  <c r="D25" i="1"/>
  <c r="I25" i="1" s="1"/>
  <c r="C25" i="1"/>
  <c r="C23" i="1" s="1"/>
  <c r="I24" i="1"/>
  <c r="H24" i="1"/>
  <c r="F24" i="1"/>
  <c r="E24" i="1"/>
  <c r="G22" i="1"/>
  <c r="D22" i="1"/>
  <c r="H22" i="1" s="1"/>
  <c r="C22" i="1"/>
  <c r="G21" i="1"/>
  <c r="D21" i="1"/>
  <c r="I21" i="1" s="1"/>
  <c r="C21" i="1"/>
  <c r="G20" i="1"/>
  <c r="D20" i="1"/>
  <c r="C20" i="1"/>
  <c r="C17" i="1" s="1"/>
  <c r="I19" i="1"/>
  <c r="H19" i="1"/>
  <c r="F19" i="1"/>
  <c r="E19" i="1"/>
  <c r="G18" i="1"/>
  <c r="I18" i="1" s="1"/>
  <c r="F18" i="1"/>
  <c r="E18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I11" i="1" s="1"/>
  <c r="H12" i="1"/>
  <c r="F12" i="1"/>
  <c r="E12" i="1"/>
  <c r="G11" i="1"/>
  <c r="G9" i="1" s="1"/>
  <c r="D11" i="1"/>
  <c r="C11" i="1"/>
  <c r="I10" i="1"/>
  <c r="H10" i="1"/>
  <c r="F10" i="1"/>
  <c r="E10" i="1"/>
  <c r="C9" i="1"/>
  <c r="H20" i="1" l="1"/>
  <c r="E28" i="1"/>
  <c r="G16" i="4"/>
  <c r="F28" i="1"/>
  <c r="I32" i="1"/>
  <c r="G17" i="1"/>
  <c r="G16" i="1" s="1"/>
  <c r="C16" i="1"/>
  <c r="F25" i="1"/>
  <c r="H28" i="1"/>
  <c r="E32" i="1"/>
  <c r="I20" i="1"/>
  <c r="I17" i="1" s="1"/>
  <c r="H25" i="1"/>
  <c r="H11" i="1"/>
  <c r="F20" i="1"/>
  <c r="H21" i="1"/>
  <c r="F32" i="1"/>
  <c r="C33" i="1"/>
  <c r="C45" i="1" s="1"/>
  <c r="H34" i="1"/>
  <c r="E11" i="1"/>
  <c r="E22" i="1"/>
  <c r="F11" i="1"/>
  <c r="I22" i="1"/>
  <c r="D17" i="1"/>
  <c r="E21" i="1"/>
  <c r="F21" i="1"/>
  <c r="D23" i="1"/>
  <c r="E25" i="1"/>
  <c r="G23" i="1"/>
  <c r="G33" i="1" s="1"/>
  <c r="G45" i="1" s="1"/>
  <c r="E20" i="1"/>
  <c r="D9" i="1"/>
  <c r="F22" i="1"/>
  <c r="H18" i="1"/>
  <c r="I16" i="1" l="1"/>
  <c r="I23" i="1"/>
  <c r="E23" i="1"/>
  <c r="H23" i="1"/>
  <c r="F23" i="1"/>
  <c r="F17" i="1"/>
  <c r="D16" i="1"/>
  <c r="H17" i="1"/>
  <c r="E17" i="1"/>
  <c r="I9" i="1"/>
  <c r="F9" i="1"/>
  <c r="E9" i="1"/>
  <c r="H9" i="1"/>
  <c r="H16" i="1" l="1"/>
  <c r="F16" i="1"/>
  <c r="E16" i="1"/>
  <c r="D33" i="1"/>
  <c r="I33" i="1" l="1"/>
  <c r="H33" i="1"/>
  <c r="D45" i="1"/>
  <c r="F33" i="1"/>
  <c r="E33" i="1"/>
</calcChain>
</file>

<file path=xl/sharedStrings.xml><?xml version="1.0" encoding="utf-8"?>
<sst xmlns="http://schemas.openxmlformats.org/spreadsheetml/2006/main" count="427" uniqueCount="261">
  <si>
    <t>Aiškinamojo rašto 1 priedas</t>
  </si>
  <si>
    <t>2022-2021 M. KĖDAINIŲ RAJONO SAVIVALDYBĖS BIUDŽETO PAJAMŲ PALYGINIMAS</t>
  </si>
  <si>
    <t>Eil. Nr.</t>
  </si>
  <si>
    <t>Pajamų pavadinimas</t>
  </si>
  <si>
    <t>2022 m.</t>
  </si>
  <si>
    <t xml:space="preserve">      palyginimas (3 stp su 2 stp)</t>
  </si>
  <si>
    <r>
      <t>2021 m. įvykdyta</t>
    </r>
    <r>
      <rPr>
        <i/>
        <sz val="10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 (tūkst. Eur)</t>
    </r>
  </si>
  <si>
    <t xml:space="preserve">      palyginimas (3 stp su 6 stp)</t>
  </si>
  <si>
    <t>planas        (tūkst. Eur)</t>
  </si>
  <si>
    <t>įvykdyta (tūkst. Eur)</t>
  </si>
  <si>
    <t>proc.</t>
  </si>
  <si>
    <t>suma           (tūkst. Eur)</t>
  </si>
  <si>
    <t>suma             (tūkst. Eur)</t>
  </si>
  <si>
    <t>MOKESČIAI (3+4+8)</t>
  </si>
  <si>
    <t xml:space="preserve">Gyventojų  pajamų mokestis </t>
  </si>
  <si>
    <t>Turto mokesčiai (5+6+7)</t>
  </si>
  <si>
    <t xml:space="preserve">    žemės mokestis</t>
  </si>
  <si>
    <t xml:space="preserve">    nekilnojamojo turto mokestis</t>
  </si>
  <si>
    <t xml:space="preserve">   paveldimo turto mokestis</t>
  </si>
  <si>
    <t>Mokestis už aplinkos teršimą</t>
  </si>
  <si>
    <t>DOTACIJOS (10+14+15)</t>
  </si>
  <si>
    <t>`</t>
  </si>
  <si>
    <t>Specialioji tikslinė dotacija (11+12+13)</t>
  </si>
  <si>
    <t xml:space="preserve">   Mokymo reikmėms finansuoti</t>
  </si>
  <si>
    <t xml:space="preserve"> Valstybinėms (perduotoms savivaldybėms) funkcijoms atlikti</t>
  </si>
  <si>
    <t xml:space="preserve">   Kita tikslinė dotacija (Kėdainių spindulio mokykla)</t>
  </si>
  <si>
    <t>Dotacija savivaldybėms iš Europos Sąjungos, kitos tarptautinės finansinės paramos ir bendrojo finansavimo lėšų</t>
  </si>
  <si>
    <t>Kitos dotacijos</t>
  </si>
  <si>
    <t>KITOS PAJAMOS (17+18+19+20+21+25)</t>
  </si>
  <si>
    <t>Valstybinės žemės nuomos mokestis</t>
  </si>
  <si>
    <t>Mokestis už valstybinius gamtos išteklius</t>
  </si>
  <si>
    <t>Vietinė rinkliava už atliekų tvarkymą</t>
  </si>
  <si>
    <t>Dividendai</t>
  </si>
  <si>
    <t>Biudžetinių įstaigų gautos pajamos (22+23+34)</t>
  </si>
  <si>
    <t xml:space="preserve">   Pajamos už ilgalaikio ir trumpalaikio materialiojo turto nuomą</t>
  </si>
  <si>
    <t xml:space="preserve">   Pajamos už prekes ir paslaugas</t>
  </si>
  <si>
    <t xml:space="preserve">   Pajamos iš  įmokų už išlaikymą</t>
  </si>
  <si>
    <t>Kitos pajamos ir rinkliavos</t>
  </si>
  <si>
    <t xml:space="preserve">                                                   Iš viso pajamų:</t>
  </si>
  <si>
    <t>2021 metų nepanaudotos biudžeto pajamos:</t>
  </si>
  <si>
    <t>Lėšų likutis 2020-12-31</t>
  </si>
  <si>
    <t>Biudžeto apyvartos lėšos</t>
  </si>
  <si>
    <t>Prekių ir paslaugų</t>
  </si>
  <si>
    <t>Ilgalaikio ir trumpalaikio materialiojo turto nuomos</t>
  </si>
  <si>
    <t>Įmokų už išlaikymą švietimo, socialinės apsaugos ir kitose įstaigose</t>
  </si>
  <si>
    <t>Aplinkos apsaugos rėmimo programos apyvartos lėšos</t>
  </si>
  <si>
    <t>Pajamų už vietinę rinkliavą</t>
  </si>
  <si>
    <t>Pajamų už parduotą turtą</t>
  </si>
  <si>
    <t>Europos sąjungos finansinės paramos lėšos</t>
  </si>
  <si>
    <t>Valstybės biudžeto lėšos (ES projektams)</t>
  </si>
  <si>
    <t xml:space="preserve">Skolintos lėšos </t>
  </si>
  <si>
    <t>Iš viso pajamos su likučiu ir skolintomis lėšomis:</t>
  </si>
  <si>
    <t>2022 -2021 METŲ  KĖDAINIŲ RAJONO SAVIVALDYBĖS KASINIŲ IŠLAIDŲ  PALYGINIMAS</t>
  </si>
  <si>
    <t>Aiškinamojo rašto 2 priedas</t>
  </si>
  <si>
    <t>Tūkst. Eur</t>
  </si>
  <si>
    <t>Iš viso asignavimai</t>
  </si>
  <si>
    <t>savarankiškom funkcijom</t>
  </si>
  <si>
    <t>spec. dotacija (ugdymo reikmėms finansuoti)</t>
  </si>
  <si>
    <t>ES lėšos, speciali tikslinė dotacija ( valstybės deleguotos f-jos,  iš apskrities  perduotai įstaigai išlaikyti)</t>
  </si>
  <si>
    <t>spec. ( nuoma)</t>
  </si>
  <si>
    <t>spec. (atsitiktinės)</t>
  </si>
  <si>
    <t>spec. (įmokos)</t>
  </si>
  <si>
    <t xml:space="preserve">Iš viso </t>
  </si>
  <si>
    <t>iš jų darb. užm.</t>
  </si>
  <si>
    <t>palyginimas</t>
  </si>
  <si>
    <t>%</t>
  </si>
  <si>
    <t>(+,-)</t>
  </si>
  <si>
    <t>Kėdainių lopšelis-darželis „Aviliukas“</t>
  </si>
  <si>
    <t>2 kart</t>
  </si>
  <si>
    <t>Kėdainių lopšelis-darželis „Pasaka“</t>
  </si>
  <si>
    <t>6 kart</t>
  </si>
  <si>
    <t>Kėdainių lopšelis-darželis „Puriena“</t>
  </si>
  <si>
    <t>2,7 kart</t>
  </si>
  <si>
    <t>Kėdainių lopšelis-darželis „Vaikystė“</t>
  </si>
  <si>
    <t>4,6 kart</t>
  </si>
  <si>
    <t>Kėdainių lopšelis-darželis „Varpelis“</t>
  </si>
  <si>
    <t>8,3 kart</t>
  </si>
  <si>
    <t>Kėdainių lopšelis-darželis „Vyturėlis“</t>
  </si>
  <si>
    <t>3,5 kart</t>
  </si>
  <si>
    <t>Kėdainių lopšelis-darželis „Žilvitis“</t>
  </si>
  <si>
    <t>3 kart</t>
  </si>
  <si>
    <t>Kėdainių r. Vilainių mokykla-darželis „Obelėlė“</t>
  </si>
  <si>
    <t xml:space="preserve">                  viso darželiai</t>
  </si>
  <si>
    <t>Kėdainių „Atžalyno“ gimnazija</t>
  </si>
  <si>
    <t>2,6 kart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</si>
  <si>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</si>
  <si>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</si>
  <si>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</si>
  <si>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</si>
  <si>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 gimnazija</t>
  </si>
  <si>
    <t>4,1 kart</t>
  </si>
  <si>
    <t>5,7 kart</t>
  </si>
  <si>
    <t>Lietuvos sporto universiteto Kėdainių „Aušros“ progimnazija</t>
  </si>
  <si>
    <t>8 kart</t>
  </si>
  <si>
    <t>Kėdainių „Ryto“ progimnazija</t>
  </si>
  <si>
    <t>2,2 kart</t>
  </si>
  <si>
    <t>Kėdainių Juozo Paukštelio progimnazija</t>
  </si>
  <si>
    <t>6,6 kart</t>
  </si>
  <si>
    <t>2,3 kart</t>
  </si>
  <si>
    <t>Kėdainių r. Dotnuvos pagrindinė mokykla</t>
  </si>
  <si>
    <t>Kėdainių r. Labūnavos pagrindinė mokykla</t>
  </si>
  <si>
    <t>4 kart</t>
  </si>
  <si>
    <t>Kėdainių r. Miegenų pagrindinė mokykla</t>
  </si>
  <si>
    <t>Kėdainių r. Surviliškio Vinco Svirskio pagrindinė mokykla</t>
  </si>
  <si>
    <t>Kėdainių r. Truskavos pagrindinė mokykla</t>
  </si>
  <si>
    <t>Kėdainių suaugusiųjų ir jaunimo mokymo centras</t>
  </si>
  <si>
    <t>Kėdainių "Spindulio" mokykla</t>
  </si>
  <si>
    <t>2,4 kart</t>
  </si>
  <si>
    <t>7 kart</t>
  </si>
  <si>
    <t>Kėdainių dailės mokykla</t>
  </si>
  <si>
    <t>Kėdainių kalbų mokykla</t>
  </si>
  <si>
    <t>Kėdainių muzikos  mokykla</t>
  </si>
  <si>
    <t>Kėdainių sporto centras</t>
  </si>
  <si>
    <t>Kėdainių švietimo pagalbos tarnyba</t>
  </si>
  <si>
    <t xml:space="preserve">               viso mokyklos</t>
  </si>
  <si>
    <t>Kėdainių kultūros centras</t>
  </si>
  <si>
    <t>Akademijos kultūros centras</t>
  </si>
  <si>
    <t>4,3 kart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</si>
  <si>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</si>
  <si>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</si>
  <si>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</si>
  <si>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</si>
  <si>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</si>
  <si>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</si>
  <si>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 xml:space="preserve">        viso kultūros įstaigos</t>
  </si>
  <si>
    <t>Kėdainių bendruomenės socialinis centras</t>
  </si>
  <si>
    <t>Dotnuvos slaugos namai</t>
  </si>
  <si>
    <t>Josvainių socialinis ir ugdymo centras</t>
  </si>
  <si>
    <t>Šėtos socialinis ir ugdymo  centras</t>
  </si>
  <si>
    <t>Kėdainių pagalbos šeimai centras</t>
  </si>
  <si>
    <t>Kėdainių rajono savivaldybės visuomenės sveikatos biuras</t>
  </si>
  <si>
    <t xml:space="preserve">        viso socialinės  įstaigos</t>
  </si>
  <si>
    <t>Gudžiūnų sen</t>
  </si>
  <si>
    <t>Josvainių sen</t>
  </si>
  <si>
    <t>3,4 kart</t>
  </si>
  <si>
    <t>Krakių sen</t>
  </si>
  <si>
    <t>Pelėdnagių sen</t>
  </si>
  <si>
    <t>Pernaravos sen</t>
  </si>
  <si>
    <t>Surviliškio sen</t>
  </si>
  <si>
    <t>Šėtos sen</t>
  </si>
  <si>
    <t>Truskavos sen</t>
  </si>
  <si>
    <t>Vilainių sen.</t>
  </si>
  <si>
    <t xml:space="preserve">        viso seniūnijos</t>
  </si>
  <si>
    <t>Priešgaisrinė tarnyba</t>
  </si>
  <si>
    <t>4,8 kart</t>
  </si>
  <si>
    <t>5 kart</t>
  </si>
  <si>
    <t xml:space="preserve"> Kontrolės ir audito tarnyba</t>
  </si>
  <si>
    <t>Savivaldybės administracija</t>
  </si>
  <si>
    <t xml:space="preserve">Iš viso įstaigos </t>
  </si>
  <si>
    <t>Įgyvendinti mokytojų ir pagalbos mokiniui specialistų motyvacijos programą</t>
  </si>
  <si>
    <t>Finansuoti vaikų vasaros stovyklų ir kitų neformaliojo vaikų švietimo veiklų programas</t>
  </si>
  <si>
    <t>Skatinti savivaldybės gabius mokinius</t>
  </si>
  <si>
    <t>Vykdyti VšĮ Kėdainių ligoninės dantų protezavimo programą</t>
  </si>
  <si>
    <t>Vykdyti  E sveikatos informacinės sistemos diegimo, palaikymo ir tobulinimo VšĮ Kėdainių PSPC ir VšĮ Kėdainių ligoninėje 2022-2026 m. programą</t>
  </si>
  <si>
    <t>Vykdyti traumatologinės  pagalbos kokybės gerinimo Kėdainių rajono savivaldybės gyventojams 2016-2021 m. programą</t>
  </si>
  <si>
    <t xml:space="preserve">Vykdyti Kėdainių rajono tuberkuliozės prevencijos, ankstyvosios diagnostikos, gydymo ir kontrolės 2017-2022 m. programą </t>
  </si>
  <si>
    <t>Vykdyti ultragarsinių diagnostinių paslaugų teikimo efektyvumo gerinimo Kėdainių rajono savivaldybėje 2017-2022 m. programą</t>
  </si>
  <si>
    <t>Vykdyti pirminės asmens sveikatos priežiūros paslaugų prieinamumo ir kokybės užtikrinimo Kėdainių rajono kaimiškųjų vietovių gyventojams 2017-2023 m. programą</t>
  </si>
  <si>
    <t xml:space="preserve">Vykdyti ambulatorinės akušerinės ir ginekologinės pagalbos kokybės gerinimo Kėdainių rajono savivaldybės moterims 2019-2024 m. programą </t>
  </si>
  <si>
    <t xml:space="preserve">Vykdyti akušerinės pagalbos kokybės gerinimo Kėdainių rajono savivaldybės moterims 2020-2021 m. programą </t>
  </si>
  <si>
    <t>Vykdyti endoskopinių paslaugų prieinamumo ir kokybės gerinimo Kėdainių rajono savivaldybėje 2020-2025 m. programą</t>
  </si>
  <si>
    <t>Vykdyti mamografijos paslaugų tęstinumo, kokybės gerinimo Kėdainių rajono savivaldybėje 2020-2025 m. programą</t>
  </si>
  <si>
    <t>Vykdyti pirminės asmens sveikatos priežiūros prieinamumo užtikrinimo Kėdainių raj. Pernaravos seniūnijos Langakių kaimo gyventojams programą</t>
  </si>
  <si>
    <t>Diegti pacientų eilių valdymo sistemą Kėdainių rajono asmens sveikatos priežiūros įstaigose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</si>
  <si>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</si>
  <si>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</si>
  <si>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 xml:space="preserve">Vykdyti tinkamų ir saugių darbo sąlygų užtikrinimo, įrengiant vėdinimo bei kondicionavimo sistemas VšĮ PSPC 2022-2026 m. programą  </t>
  </si>
  <si>
    <t>Organizuoti nemokamą socialiai remtinų vaikų maitinimą ikimokyklinėse įstaigose</t>
  </si>
  <si>
    <t xml:space="preserve">Kompensuoti nemokamo mokinių maitinimo kainą bendrojo lavinimo mokyklose </t>
  </si>
  <si>
    <t>Organizuoti socialinės reabilitacijos paslaugų neįgaliesiems bendruomenėje projektų konkursus</t>
  </si>
  <si>
    <t xml:space="preserve">Dengti kainų skirtumą gyventojams už šildymą </t>
  </si>
  <si>
    <t>Kompensuoti karšto ir šalto vandens pardavimo kainą socialiai remtiniems asmenims</t>
  </si>
  <si>
    <t>Kompensacijos  už šildymą ir vandenį</t>
  </si>
  <si>
    <t xml:space="preserve">Kompensuoti kelionės išlaidas už lengvatinį keleivių vežimą </t>
  </si>
  <si>
    <t>Įgyvendinti savarankiško gyvenimo namų paslaugų asmenims su sutrikusiu intelektu teikimo programą</t>
  </si>
  <si>
    <t>Finansuoti dienos socialinės globos paslaugų teikimo  Kėdainių socialinės globos namuose programą</t>
  </si>
  <si>
    <t>Finansuoti vaikų dienos centrų veiklos programas</t>
  </si>
  <si>
    <t>Teikti vienkartinę išmoką gimus vaikui Lietuvos respublikos teritorijoje ir gyvenančiam Kėdainių rajono savivaldybėje</t>
  </si>
  <si>
    <t xml:space="preserve">Teikti pagalbą į krizines situacijas patekusiems, smurtą artimoje aplinkoje patyrusiems asmenims ir jų šeimų nariams </t>
  </si>
  <si>
    <t>Socialinė parama mokiniams išlaidoms už įsigytus produktus</t>
  </si>
  <si>
    <t>Socialinė parama mokiniams išlaidoms už įsigytus mokinio reikmenis</t>
  </si>
  <si>
    <t>Finansuoti strateginių sporto šakų programas</t>
  </si>
  <si>
    <t>Finansuoti fizinio aktyvumoir sporto veiklos projektus</t>
  </si>
  <si>
    <t xml:space="preserve">Finansuoti vaikų mokymo plaukti veiklos programą, dalyvaujant projekte „Mokėk plaukti ir saugiau elgtis vandenyje“ </t>
  </si>
  <si>
    <t xml:space="preserve">Teikti apdovanojimus aukšto meistriškumo sportininkams ir jų treneriams už sporto pasiekimus 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</si>
  <si>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</si>
  <si>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 xml:space="preserve">Sudaryti sąlygas bendruomeninių organizacijų veiklai </t>
  </si>
  <si>
    <t>Skatinti nevyriausybinių organizacijų, bendruomeninių organizacijų plėtrą rajone</t>
  </si>
  <si>
    <t>Finansuoti Kėdainių rajono vietos veiklos grupės teritorijos vietos plėtros 2015-2023 m. strategijos įgyvendinimą</t>
  </si>
  <si>
    <t>Finansuoti Kėdainių miesto vietos veiklos grupės 2016–2022 m. vietos plėtros strategijos įgyvendinimą</t>
  </si>
  <si>
    <t>Finansuoti VšĮ Kėdainių turizmo ir verslo informacijos centro turizmo veiklos programą</t>
  </si>
  <si>
    <t>Įgyvendinti Kėdainių rajono savivaldybės bažnyčių rėmimo programą</t>
  </si>
  <si>
    <t>Kėdainių rajono savivaldybės kapitalo investicijų programai</t>
  </si>
  <si>
    <t>Kėdainių rajono savivaldybės investicijų programa (skolintos lėšos)</t>
  </si>
  <si>
    <t xml:space="preserve">Kėdainių rajono valstybės  investicijų programa </t>
  </si>
  <si>
    <t>Biudžeto asignavimai projektams finansuoti ES lėšomis</t>
  </si>
  <si>
    <t>Biudžeto asignavimai  projektams finansuoti VB lėšomis</t>
  </si>
  <si>
    <t xml:space="preserve">Kitos dotacijos ir lėšos iš kitų valdymo lygių </t>
  </si>
  <si>
    <t>Kita dotacija  savivaldybės institucijos valdomiems vietinės reikšmės keliams</t>
  </si>
  <si>
    <t>Vykdyti atliekų tvarkymo sistemos organizavimo funkciją</t>
  </si>
  <si>
    <t>Vykdyti savivaldybės viešųjų teritorijų tvarkymą</t>
  </si>
  <si>
    <t>Kita dotacija „Sosnovskio barsčio naikinimas Kėdainių rajone“</t>
  </si>
  <si>
    <t>Aplinkos apsaugos rėmimo specialiajai programai</t>
  </si>
  <si>
    <t>Melioracijos statinių priežiūrai ir remonto darbams įskaitant priešprojektinius tyrinėjimus, techninės sąmatinės dokumentacijos sudarymą, ekspertizę, darbų techninę priežiūrą bei kitus susijusius darbus</t>
  </si>
  <si>
    <t>Teikti finansinę paramą verslą pradedantiems ar sunkumų patiriantiems SVV subjektams Kėdainių rajone per Savivaldybės smulkiojo verslo rėmimo fondą</t>
  </si>
  <si>
    <t>Įgyvendinti priemones, finansuojamas iš Savivaldybės administracijos direktoriaus rezervo</t>
  </si>
  <si>
    <t>Įgyvendinti priemones, finansuojamas iš Savivaldybės mero fondo</t>
  </si>
  <si>
    <t xml:space="preserve">Kompensuoti UAB "Kėdbusas“ nuostolingus maršrutus </t>
  </si>
  <si>
    <t>Dalyvauti Kauno regiono plėtros agentūros veikloje</t>
  </si>
  <si>
    <t xml:space="preserve">Finansuoti prevencinę programą „Saugios aplinkos kūrimas ir bendruomenės teisėtvarkos kūrimas" </t>
  </si>
  <si>
    <t xml:space="preserve"> </t>
  </si>
  <si>
    <t>Kita dotacija kompensuoti patirtas išlaidas už skiepijimo nuo COVID-19 ligos (koronaviruso infekcijos) paslaugas</t>
  </si>
  <si>
    <t xml:space="preserve"> Kita dotacija kompensuoti savivaldybės patirtas išlaidas, esant valstybės lygio ekstremaliajai situacijai, siekiant šalinti COVID-19 ligos (koronaviruso infekcijos) padarinius</t>
  </si>
  <si>
    <t>Kita dotacija  stumbrų daromos žalos apskaičiavimui, naudojant pažangius dirbtinio intelekto pagrindu sukurtus algoritmus ir palydovinių vaizdų informaciją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</si>
  <si>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</si>
  <si>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>Dotacijos</t>
  </si>
  <si>
    <t>Palūkanos bankui</t>
  </si>
  <si>
    <t>Paskolos  grąžinimui</t>
  </si>
  <si>
    <t>iš viso</t>
  </si>
  <si>
    <t>Aiškinamojo rašto 3 priedas</t>
  </si>
  <si>
    <t xml:space="preserve">2022 -2021 M  KĖDAINIŲ RAJONO SAVIVALDYBĖS KASINIŲ IŠLAIDŲ PALYGINIMAS </t>
  </si>
  <si>
    <t>Iš viso kasinės</t>
  </si>
  <si>
    <t>spec. dotacija (mokinio krepšelis)</t>
  </si>
  <si>
    <t>Darbo užmokestis ir socialinis draudimas</t>
  </si>
  <si>
    <t>Prekių ir paslaugų naudojimo išlaidos</t>
  </si>
  <si>
    <t>Pašalpos</t>
  </si>
  <si>
    <t>Darbdavių socialinė parama</t>
  </si>
  <si>
    <t>2,1 kart</t>
  </si>
  <si>
    <t>Programoms vykdyti</t>
  </si>
  <si>
    <t>Pagrindinės  priemonės</t>
  </si>
  <si>
    <t>Valstybės investicijų programa</t>
  </si>
  <si>
    <t>Iš viso</t>
  </si>
  <si>
    <t>spec. (patalpų nuoma)</t>
  </si>
  <si>
    <t xml:space="preserve">KĖDAINIŲ  RAJONO  SAVIVALDYBĖS </t>
  </si>
  <si>
    <t>2022 -   2021 M  KASINIŲ  IŠLAIDŲ  PALYINIMAS   PAGAL VALSTYBĖS  FUNKCIJAS</t>
  </si>
  <si>
    <t>Tūkst.Eur</t>
  </si>
  <si>
    <t xml:space="preserve"> Valstybės funkcija</t>
  </si>
  <si>
    <t>VISO</t>
  </si>
  <si>
    <t>Pašalpos ir darbdavių socialinė parama</t>
  </si>
  <si>
    <t>Programų vykdymui</t>
  </si>
  <si>
    <t>Palūkanos</t>
  </si>
  <si>
    <t>Paskolos</t>
  </si>
  <si>
    <t>Pagrin- dinės priemonės</t>
  </si>
  <si>
    <t>Bendrosios valstybės paslaugos (1)</t>
  </si>
  <si>
    <t xml:space="preserve"> Palyginimo  %</t>
  </si>
  <si>
    <t>Gynyba (2)</t>
  </si>
  <si>
    <t>Viešoji tvarka ir visuomenės apsauga (3)</t>
  </si>
  <si>
    <t>Ekonomika (4)</t>
  </si>
  <si>
    <t>20 kart</t>
  </si>
  <si>
    <t>Aplinkos apsauga (5)</t>
  </si>
  <si>
    <t>Būstas ir komunalinis ūkis (6)</t>
  </si>
  <si>
    <t>2,8 kart</t>
  </si>
  <si>
    <t>Sveikatos apsauga (7)</t>
  </si>
  <si>
    <t>Poilsis kultūra ir religija (8)</t>
  </si>
  <si>
    <t>Švietimas (9)</t>
  </si>
  <si>
    <t>Socialinė apsauga (10)</t>
  </si>
  <si>
    <t>IŠ VISO IŠLAIDŲ</t>
  </si>
  <si>
    <t>Aiškinamojo rašto 4 priedas</t>
  </si>
  <si>
    <t>Kėdainių miesto seniūnija</t>
  </si>
  <si>
    <t>Dotnuvos seniūnija</t>
  </si>
  <si>
    <t>Vystyti piligriminį/religinį turizmą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</si>
</sst>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0;\-0.00;;"/>
    <numFmt numFmtId="167" formatCode="0.0;\-0.0;;"/>
    <numFmt numFmtId="168" formatCode="[$-10427]#,##0.0;\-#,##0.0"/>
  </numFmts>
  <fonts count="2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8"/>
      <color indexed="17"/>
      <name val="Times New Roman"/>
      <family val="1"/>
      <charset val="186"/>
    </font>
    <font>
      <sz val="8"/>
      <color indexed="10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  <charset val="186"/>
    </font>
    <font>
      <sz val="8"/>
      <color theme="5" tint="-0.249977111117893"/>
      <name val="Times New Roman"/>
      <family val="1"/>
      <charset val="186"/>
    </font>
    <font>
      <b/>
      <sz val="8"/>
      <color indexed="17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indexed="6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164" fontId="8" fillId="0" borderId="2" xfId="0" applyNumberFormat="1" applyFont="1" applyBorder="1"/>
    <xf numFmtId="164" fontId="4" fillId="0" borderId="2" xfId="0" applyNumberFormat="1" applyFont="1" applyBorder="1"/>
    <xf numFmtId="164" fontId="1" fillId="0" borderId="0" xfId="0" applyNumberFormat="1" applyFont="1"/>
    <xf numFmtId="0" fontId="9" fillId="0" borderId="2" xfId="0" applyFont="1" applyBorder="1"/>
    <xf numFmtId="164" fontId="4" fillId="2" borderId="2" xfId="0" applyNumberFormat="1" applyFont="1" applyFill="1" applyBorder="1"/>
    <xf numFmtId="0" fontId="9" fillId="0" borderId="2" xfId="0" applyFont="1" applyBorder="1" applyAlignment="1">
      <alignment vertical="center"/>
    </xf>
    <xf numFmtId="164" fontId="5" fillId="2" borderId="2" xfId="0" applyNumberFormat="1" applyFont="1" applyFill="1" applyBorder="1"/>
    <xf numFmtId="164" fontId="5" fillId="0" borderId="2" xfId="0" applyNumberFormat="1" applyFont="1" applyBorder="1"/>
    <xf numFmtId="0" fontId="1" fillId="0" borderId="0" xfId="0" applyFont="1" applyAlignment="1">
      <alignment horizontal="left"/>
    </xf>
    <xf numFmtId="0" fontId="1" fillId="2" borderId="2" xfId="0" applyFont="1" applyFill="1" applyBorder="1"/>
    <xf numFmtId="0" fontId="9" fillId="0" borderId="0" xfId="0" applyFont="1"/>
    <xf numFmtId="0" fontId="9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164" fontId="5" fillId="2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wrapText="1"/>
    </xf>
    <xf numFmtId="164" fontId="5" fillId="0" borderId="0" xfId="0" applyNumberFormat="1" applyFont="1"/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11" fillId="0" borderId="2" xfId="0" applyFont="1" applyBorder="1"/>
    <xf numFmtId="165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right"/>
    </xf>
    <xf numFmtId="164" fontId="11" fillId="0" borderId="2" xfId="0" applyNumberFormat="1" applyFont="1" applyBorder="1"/>
    <xf numFmtId="164" fontId="5" fillId="0" borderId="2" xfId="0" quotePrefix="1" applyNumberFormat="1" applyFont="1" applyBorder="1"/>
    <xf numFmtId="0" fontId="5" fillId="0" borderId="2" xfId="0" applyFont="1" applyBorder="1"/>
    <xf numFmtId="164" fontId="9" fillId="0" borderId="0" xfId="0" applyNumberFormat="1" applyFont="1"/>
    <xf numFmtId="0" fontId="9" fillId="0" borderId="2" xfId="0" applyFont="1" applyBorder="1" applyAlignment="1">
      <alignment horizontal="right"/>
    </xf>
    <xf numFmtId="0" fontId="12" fillId="0" borderId="0" xfId="0" applyFont="1"/>
    <xf numFmtId="0" fontId="10" fillId="0" borderId="0" xfId="0" applyFont="1"/>
    <xf numFmtId="0" fontId="13" fillId="0" borderId="0" xfId="0" applyFont="1"/>
    <xf numFmtId="164" fontId="10" fillId="0" borderId="0" xfId="0" applyNumberFormat="1" applyFont="1"/>
    <xf numFmtId="164" fontId="12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2" fillId="0" borderId="2" xfId="0" applyNumberFormat="1" applyFont="1" applyBorder="1"/>
    <xf numFmtId="164" fontId="13" fillId="0" borderId="0" xfId="0" applyNumberFormat="1" applyFont="1"/>
    <xf numFmtId="0" fontId="12" fillId="0" borderId="2" xfId="0" applyFont="1" applyBorder="1" applyAlignment="1">
      <alignment vertical="center" wrapText="1"/>
    </xf>
    <xf numFmtId="164" fontId="12" fillId="0" borderId="0" xfId="0" applyNumberFormat="1" applyFont="1"/>
    <xf numFmtId="2" fontId="12" fillId="0" borderId="2" xfId="0" applyNumberFormat="1" applyFont="1" applyBorder="1" applyAlignment="1">
      <alignment horizontal="right"/>
    </xf>
    <xf numFmtId="2" fontId="12" fillId="0" borderId="0" xfId="0" applyNumberFormat="1" applyFont="1"/>
    <xf numFmtId="0" fontId="16" fillId="0" borderId="0" xfId="0" applyFont="1"/>
    <xf numFmtId="164" fontId="13" fillId="0" borderId="0" xfId="0" applyNumberFormat="1" applyFont="1" applyAlignment="1">
      <alignment horizontal="right"/>
    </xf>
    <xf numFmtId="164" fontId="17" fillId="0" borderId="0" xfId="0" applyNumberFormat="1" applyFont="1"/>
    <xf numFmtId="164" fontId="18" fillId="0" borderId="2" xfId="0" applyNumberFormat="1" applyFont="1" applyBorder="1" applyAlignment="1">
      <alignment horizontal="right"/>
    </xf>
    <xf numFmtId="164" fontId="19" fillId="0" borderId="0" xfId="0" applyNumberFormat="1" applyFont="1"/>
    <xf numFmtId="2" fontId="13" fillId="0" borderId="0" xfId="0" applyNumberFormat="1" applyFont="1" applyAlignment="1">
      <alignment horizontal="right"/>
    </xf>
    <xf numFmtId="2" fontId="20" fillId="0" borderId="0" xfId="0" applyNumberFormat="1" applyFont="1"/>
    <xf numFmtId="0" fontId="13" fillId="0" borderId="0" xfId="0" applyFont="1" applyAlignment="1">
      <alignment horizontal="left"/>
    </xf>
    <xf numFmtId="164" fontId="20" fillId="0" borderId="15" xfId="8" applyNumberFormat="1" applyFont="1" applyBorder="1" applyAlignment="1" applyProtection="1">
      <alignment horizontal="center" vertical="center"/>
      <protection hidden="1"/>
    </xf>
    <xf numFmtId="164" fontId="20" fillId="0" borderId="0" xfId="8" applyNumberFormat="1" applyFont="1" applyAlignment="1" applyProtection="1">
      <alignment horizontal="center" vertical="center"/>
      <protection hidden="1"/>
    </xf>
    <xf numFmtId="164" fontId="14" fillId="0" borderId="15" xfId="8" applyNumberFormat="1" applyFont="1" applyBorder="1" applyAlignment="1" applyProtection="1">
      <alignment horizontal="center" vertical="center"/>
      <protection hidden="1"/>
    </xf>
    <xf numFmtId="0" fontId="19" fillId="0" borderId="0" xfId="0" applyFont="1"/>
    <xf numFmtId="2" fontId="20" fillId="0" borderId="0" xfId="0" applyNumberFormat="1" applyFont="1" applyAlignment="1">
      <alignment horizontal="right"/>
    </xf>
    <xf numFmtId="0" fontId="21" fillId="0" borderId="0" xfId="0" applyFont="1"/>
    <xf numFmtId="0" fontId="10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2" fillId="0" borderId="2" xfId="0" applyFont="1" applyBorder="1" applyAlignment="1">
      <alignment wrapText="1"/>
    </xf>
    <xf numFmtId="0" fontId="12" fillId="0" borderId="2" xfId="0" applyFont="1" applyBorder="1"/>
    <xf numFmtId="0" fontId="22" fillId="0" borderId="2" xfId="0" applyFont="1" applyBorder="1"/>
    <xf numFmtId="2" fontId="12" fillId="0" borderId="2" xfId="0" applyNumberFormat="1" applyFont="1" applyBorder="1" applyAlignment="1">
      <alignment horizontal="right" wrapText="1"/>
    </xf>
    <xf numFmtId="0" fontId="12" fillId="0" borderId="0" xfId="0" applyFont="1" applyAlignment="1">
      <alignment wrapText="1"/>
    </xf>
    <xf numFmtId="2" fontId="10" fillId="0" borderId="2" xfId="0" applyNumberFormat="1" applyFont="1" applyBorder="1" applyAlignment="1">
      <alignment horizontal="right"/>
    </xf>
    <xf numFmtId="0" fontId="10" fillId="0" borderId="2" xfId="0" applyFont="1" applyBorder="1"/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left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13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1" fontId="20" fillId="0" borderId="27" xfId="0" applyNumberFormat="1" applyFont="1" applyBorder="1" applyAlignment="1">
      <alignment horizontal="center"/>
    </xf>
    <xf numFmtId="0" fontId="12" fillId="0" borderId="32" xfId="1" applyFont="1" applyBorder="1"/>
    <xf numFmtId="0" fontId="12" fillId="0" borderId="27" xfId="0" applyFont="1" applyBorder="1"/>
    <xf numFmtId="164" fontId="12" fillId="0" borderId="32" xfId="0" applyNumberFormat="1" applyFont="1" applyBorder="1"/>
    <xf numFmtId="164" fontId="12" fillId="0" borderId="27" xfId="0" applyNumberFormat="1" applyFont="1" applyBorder="1"/>
    <xf numFmtId="164" fontId="12" fillId="0" borderId="34" xfId="0" applyNumberFormat="1" applyFont="1" applyBorder="1"/>
    <xf numFmtId="2" fontId="13" fillId="0" borderId="0" xfId="0" applyNumberFormat="1" applyFont="1"/>
    <xf numFmtId="0" fontId="23" fillId="0" borderId="0" xfId="0" applyFont="1"/>
    <xf numFmtId="164" fontId="23" fillId="0" borderId="0" xfId="0" applyNumberFormat="1" applyFont="1"/>
    <xf numFmtId="0" fontId="12" fillId="0" borderId="35" xfId="1" applyFont="1" applyBorder="1"/>
    <xf numFmtId="0" fontId="10" fillId="0" borderId="36" xfId="4" applyFont="1" applyBorder="1" applyAlignment="1">
      <alignment horizontal="right"/>
    </xf>
    <xf numFmtId="164" fontId="10" fillId="0" borderId="35" xfId="0" applyNumberFormat="1" applyFont="1" applyBorder="1"/>
    <xf numFmtId="164" fontId="10" fillId="0" borderId="37" xfId="0" applyNumberFormat="1" applyFont="1" applyBorder="1"/>
    <xf numFmtId="164" fontId="10" fillId="0" borderId="36" xfId="0" applyNumberFormat="1" applyFont="1" applyBorder="1"/>
    <xf numFmtId="164" fontId="10" fillId="0" borderId="38" xfId="0" applyNumberFormat="1" applyFont="1" applyBorder="1"/>
    <xf numFmtId="2" fontId="10" fillId="0" borderId="0" xfId="0" applyNumberFormat="1" applyFont="1"/>
    <xf numFmtId="164" fontId="20" fillId="0" borderId="14" xfId="6" applyNumberFormat="1" applyFont="1" applyBorder="1" applyAlignment="1" applyProtection="1">
      <alignment horizontal="center" vertical="center"/>
      <protection hidden="1"/>
    </xf>
    <xf numFmtId="0" fontId="25" fillId="0" borderId="0" xfId="0" applyFont="1"/>
    <xf numFmtId="164" fontId="12" fillId="0" borderId="30" xfId="0" applyNumberFormat="1" applyFont="1" applyBorder="1"/>
    <xf numFmtId="0" fontId="13" fillId="0" borderId="39" xfId="0" applyFont="1" applyBorder="1"/>
    <xf numFmtId="0" fontId="13" fillId="0" borderId="40" xfId="0" applyFont="1" applyBorder="1"/>
    <xf numFmtId="164" fontId="16" fillId="0" borderId="0" xfId="0" applyNumberFormat="1" applyFont="1"/>
    <xf numFmtId="2" fontId="16" fillId="0" borderId="0" xfId="0" applyNumberFormat="1" applyFont="1"/>
    <xf numFmtId="164" fontId="16" fillId="0" borderId="39" xfId="0" applyNumberFormat="1" applyFont="1" applyBorder="1"/>
    <xf numFmtId="164" fontId="26" fillId="0" borderId="41" xfId="7" applyNumberFormat="1" applyFont="1" applyBorder="1" applyAlignment="1" applyProtection="1">
      <alignment horizontal="center" vertical="center"/>
      <protection hidden="1"/>
    </xf>
    <xf numFmtId="164" fontId="26" fillId="0" borderId="15" xfId="7" applyNumberFormat="1" applyFont="1" applyBorder="1" applyAlignment="1" applyProtection="1">
      <alignment horizontal="center" vertical="center"/>
      <protection hidden="1"/>
    </xf>
    <xf numFmtId="164" fontId="26" fillId="0" borderId="42" xfId="7" applyNumberFormat="1" applyFont="1" applyBorder="1" applyAlignment="1" applyProtection="1">
      <alignment horizontal="center" vertical="center"/>
      <protection hidden="1"/>
    </xf>
    <xf numFmtId="164" fontId="26" fillId="0" borderId="43" xfId="7" applyNumberFormat="1" applyFont="1" applyBorder="1" applyAlignment="1" applyProtection="1">
      <alignment horizontal="center" vertical="center"/>
      <protection hidden="1"/>
    </xf>
    <xf numFmtId="2" fontId="17" fillId="0" borderId="0" xfId="0" applyNumberFormat="1" applyFont="1"/>
    <xf numFmtId="164" fontId="17" fillId="0" borderId="44" xfId="0" applyNumberFormat="1" applyFont="1" applyBorder="1"/>
    <xf numFmtId="164" fontId="17" fillId="0" borderId="45" xfId="0" applyNumberFormat="1" applyFont="1" applyBorder="1"/>
    <xf numFmtId="164" fontId="17" fillId="0" borderId="39" xfId="0" applyNumberFormat="1" applyFont="1" applyBorder="1"/>
    <xf numFmtId="164" fontId="17" fillId="0" borderId="40" xfId="0" applyNumberFormat="1" applyFont="1" applyBorder="1"/>
    <xf numFmtId="164" fontId="17" fillId="0" borderId="46" xfId="0" applyNumberFormat="1" applyFont="1" applyBorder="1"/>
    <xf numFmtId="2" fontId="20" fillId="0" borderId="27" xfId="0" applyNumberFormat="1" applyFont="1" applyBorder="1" applyAlignment="1">
      <alignment horizontal="center"/>
    </xf>
    <xf numFmtId="164" fontId="12" fillId="0" borderId="33" xfId="0" applyNumberFormat="1" applyFont="1" applyBorder="1"/>
    <xf numFmtId="164" fontId="12" fillId="0" borderId="1" xfId="0" applyNumberFormat="1" applyFont="1" applyBorder="1"/>
    <xf numFmtId="164" fontId="12" fillId="0" borderId="11" xfId="0" applyNumberFormat="1" applyFont="1" applyBorder="1"/>
    <xf numFmtId="164" fontId="24" fillId="0" borderId="0" xfId="0" applyNumberFormat="1" applyFont="1" applyAlignment="1">
      <alignment horizontal="right"/>
    </xf>
    <xf numFmtId="164" fontId="10" fillId="0" borderId="47" xfId="0" applyNumberFormat="1" applyFont="1" applyBorder="1"/>
    <xf numFmtId="164" fontId="12" fillId="0" borderId="12" xfId="0" applyNumberFormat="1" applyFont="1" applyBorder="1"/>
    <xf numFmtId="0" fontId="20" fillId="0" borderId="31" xfId="0" applyFont="1" applyBorder="1" applyAlignment="1">
      <alignment horizontal="center"/>
    </xf>
    <xf numFmtId="164" fontId="12" fillId="0" borderId="5" xfId="0" applyNumberFormat="1" applyFont="1" applyBorder="1"/>
    <xf numFmtId="164" fontId="12" fillId="0" borderId="48" xfId="0" applyNumberFormat="1" applyFont="1" applyBorder="1"/>
    <xf numFmtId="0" fontId="20" fillId="0" borderId="0" xfId="0" applyFont="1"/>
    <xf numFmtId="0" fontId="14" fillId="0" borderId="0" xfId="0" applyFont="1"/>
    <xf numFmtId="164" fontId="20" fillId="0" borderId="0" xfId="0" applyNumberFormat="1" applyFont="1"/>
    <xf numFmtId="0" fontId="14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vertical="center" wrapText="1"/>
    </xf>
    <xf numFmtId="164" fontId="20" fillId="0" borderId="2" xfId="0" applyNumberFormat="1" applyFont="1" applyBorder="1" applyAlignment="1">
      <alignment horizontal="right"/>
    </xf>
    <xf numFmtId="164" fontId="20" fillId="0" borderId="2" xfId="0" applyNumberFormat="1" applyFont="1" applyBorder="1"/>
    <xf numFmtId="167" fontId="20" fillId="0" borderId="2" xfId="0" applyNumberFormat="1" applyFont="1" applyBorder="1"/>
    <xf numFmtId="164" fontId="13" fillId="0" borderId="12" xfId="0" applyNumberFormat="1" applyFont="1" applyBorder="1" applyAlignment="1">
      <alignment vertical="center" wrapText="1"/>
    </xf>
    <xf numFmtId="164" fontId="13" fillId="0" borderId="2" xfId="0" applyNumberFormat="1" applyFont="1" applyBorder="1"/>
    <xf numFmtId="168" fontId="27" fillId="0" borderId="13" xfId="2" applyNumberFormat="1" applyFont="1" applyBorder="1" applyAlignment="1">
      <alignment horizontal="right" vertical="top" wrapText="1" readingOrder="1"/>
    </xf>
    <xf numFmtId="167" fontId="13" fillId="0" borderId="0" xfId="0" applyNumberFormat="1" applyFont="1" applyAlignment="1">
      <alignment horizontal="right"/>
    </xf>
    <xf numFmtId="164" fontId="13" fillId="0" borderId="2" xfId="3" applyNumberFormat="1" applyFont="1" applyBorder="1" applyAlignment="1">
      <alignment horizontal="left" vertical="center" wrapText="1"/>
    </xf>
    <xf numFmtId="0" fontId="13" fillId="0" borderId="2" xfId="5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2" fontId="13" fillId="0" borderId="2" xfId="0" applyNumberFormat="1" applyFont="1" applyBorder="1" applyAlignment="1">
      <alignment horizontal="right"/>
    </xf>
    <xf numFmtId="0" fontId="28" fillId="0" borderId="0" xfId="0" applyFont="1"/>
    <xf numFmtId="2" fontId="28" fillId="0" borderId="0" xfId="0" applyNumberFormat="1" applyFont="1"/>
    <xf numFmtId="2" fontId="19" fillId="0" borderId="0" xfId="0" applyNumberFormat="1" applyFont="1"/>
    <xf numFmtId="2" fontId="26" fillId="0" borderId="15" xfId="7" applyNumberFormat="1" applyFont="1" applyBorder="1" applyAlignment="1" applyProtection="1">
      <alignment horizontal="center" vertical="center"/>
      <protection hidden="1"/>
    </xf>
    <xf numFmtId="2" fontId="13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13" fillId="0" borderId="2" xfId="1" applyFont="1" applyBorder="1" applyAlignment="1">
      <alignment vertical="center"/>
    </xf>
    <xf numFmtId="164" fontId="20" fillId="0" borderId="2" xfId="0" applyNumberFormat="1" applyFont="1" applyBorder="1" applyAlignment="1">
      <alignment horizontal="right" vertical="center"/>
    </xf>
    <xf numFmtId="164" fontId="13" fillId="0" borderId="2" xfId="1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164" fontId="13" fillId="0" borderId="2" xfId="1" applyNumberFormat="1" applyFont="1" applyBorder="1" applyAlignment="1">
      <alignment horizontal="left" vertical="center" wrapText="1"/>
    </xf>
    <xf numFmtId="0" fontId="13" fillId="0" borderId="2" xfId="4" applyFont="1" applyBorder="1" applyAlignment="1">
      <alignment horizontal="left" vertical="center" wrapText="1"/>
    </xf>
    <xf numFmtId="0" fontId="13" fillId="0" borderId="11" xfId="4" applyFont="1" applyBorder="1" applyAlignment="1">
      <alignment horizontal="left" vertical="center" wrapText="1"/>
    </xf>
    <xf numFmtId="0" fontId="13" fillId="0" borderId="2" xfId="4" applyFont="1" applyBorder="1" applyAlignment="1">
      <alignment vertical="center" wrapText="1"/>
    </xf>
    <xf numFmtId="0" fontId="13" fillId="0" borderId="11" xfId="4" applyFont="1" applyBorder="1" applyAlignment="1">
      <alignment vertical="center" wrapText="1"/>
    </xf>
    <xf numFmtId="0" fontId="13" fillId="0" borderId="11" xfId="4" applyFont="1" applyBorder="1" applyAlignment="1">
      <alignment horizontal="left" vertical="center"/>
    </xf>
    <xf numFmtId="0" fontId="20" fillId="0" borderId="2" xfId="4" applyFont="1" applyBorder="1" applyAlignment="1">
      <alignment horizontal="left"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0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9">
    <cellStyle name="Įprastas" xfId="0" builtinId="0"/>
    <cellStyle name="Normal" xfId="2" xr:uid="{64F0EF29-E7F5-4C18-9EF2-510B2F85BAA5}"/>
    <cellStyle name="Normal 4" xfId="6" xr:uid="{35E6C299-6A4A-4651-8AF4-0D9055E9A01D}"/>
    <cellStyle name="Normal 5" xfId="8" xr:uid="{769C91D2-512D-4FA6-A66C-3212DB191D09}"/>
    <cellStyle name="Normal_biudžetas 6" xfId="4" xr:uid="{4DC69D35-6129-41B5-AC45-174254200AED}"/>
    <cellStyle name="Normal_biudžetas 6_2009 m 02 men biudzetas." xfId="5" xr:uid="{65CF0855-B834-4086-A4F8-BA20A2ACF388}"/>
    <cellStyle name="Normal_Sheet1" xfId="1" xr:uid="{B44EBEE9-132A-445F-84D3-13E1CDDE8A34}"/>
    <cellStyle name="Normal_Sheet1_2009 m 02 men biudzetas." xfId="3" xr:uid="{CC47F05E-7E42-4DB4-BB77-4F5D07B0E6D3}"/>
    <cellStyle name="Paprastas_2008 m biudžetas" xfId="7" xr:uid="{F45A7254-E97D-4647-AC2A-CFCDD3B2B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tkurtas%20i&#353;orinis%20saitas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_2/My%20Documents/Valstybes%20deleguotos%20funkcijos/2008%20m%20biudzeto%20projek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6 Eur"/>
      <sheetName val="2018-2017 Eur"/>
      <sheetName val="Lapas1"/>
      <sheetName val="2019-2018 Eur"/>
      <sheetName val="2019-2018"/>
      <sheetName val="2018-2017"/>
      <sheetName val="2020-2019 pagal funk"/>
      <sheetName val="Lapas2"/>
      <sheetName val="Lapas3"/>
      <sheetName val="Lapas4"/>
    </sheetNames>
    <sheetDataSet>
      <sheetData sheetId="0" refreshError="1"/>
      <sheetData sheetId="1" refreshError="1">
        <row r="122">
          <cell r="J122">
            <v>53744.800000000003</v>
          </cell>
          <cell r="M122">
            <v>20293.599999999999</v>
          </cell>
        </row>
        <row r="123">
          <cell r="J123">
            <v>53744.800000000003</v>
          </cell>
          <cell r="M123">
            <v>20293.599999999999</v>
          </cell>
        </row>
        <row r="126">
          <cell r="J126">
            <v>140107.49999999997</v>
          </cell>
          <cell r="M126">
            <v>45987.8</v>
          </cell>
        </row>
        <row r="127">
          <cell r="J127">
            <v>0</v>
          </cell>
        </row>
        <row r="128">
          <cell r="J128">
            <v>-47284.9</v>
          </cell>
        </row>
      </sheetData>
      <sheetData sheetId="2" refreshError="1"/>
      <sheetData sheetId="3" refreshError="1"/>
      <sheetData sheetId="4" refreshError="1">
        <row r="5">
          <cell r="J5">
            <v>537</v>
          </cell>
          <cell r="M5">
            <v>444.7</v>
          </cell>
        </row>
        <row r="6">
          <cell r="J6">
            <v>585.79999999999995</v>
          </cell>
          <cell r="M6">
            <v>491.4</v>
          </cell>
        </row>
        <row r="7">
          <cell r="J7">
            <v>565.19999999999993</v>
          </cell>
          <cell r="M7">
            <v>455.9</v>
          </cell>
        </row>
        <row r="8">
          <cell r="J8">
            <v>608.70000000000005</v>
          </cell>
          <cell r="M8">
            <v>488.6</v>
          </cell>
        </row>
        <row r="9">
          <cell r="J9">
            <v>617.9</v>
          </cell>
          <cell r="M9">
            <v>493.3</v>
          </cell>
        </row>
        <row r="10">
          <cell r="J10">
            <v>557.5</v>
          </cell>
          <cell r="M10">
            <v>481.3</v>
          </cell>
        </row>
        <row r="11">
          <cell r="J11">
            <v>600.29999999999995</v>
          </cell>
          <cell r="M11">
            <v>477.5</v>
          </cell>
        </row>
        <row r="12">
          <cell r="J12">
            <v>561.20000000000005</v>
          </cell>
          <cell r="M12">
            <v>473</v>
          </cell>
        </row>
        <row r="14">
          <cell r="J14">
            <v>1119.0999999999999</v>
          </cell>
          <cell r="M14">
            <v>1021.9</v>
          </cell>
        </row>
        <row r="15">
          <cell r="J15">
            <v>1022.5000000000001</v>
          </cell>
          <cell r="M15">
            <v>929.6</v>
          </cell>
        </row>
        <row r="16">
          <cell r="J16">
            <v>1316.7</v>
          </cell>
          <cell r="M16">
            <v>1160</v>
          </cell>
        </row>
        <row r="17">
          <cell r="J17">
            <v>1016.3000000000001</v>
          </cell>
          <cell r="M17">
            <v>921.1</v>
          </cell>
        </row>
        <row r="18">
          <cell r="J18">
            <v>1162.8999999999999</v>
          </cell>
          <cell r="M18">
            <v>1026.0999999999999</v>
          </cell>
        </row>
        <row r="19">
          <cell r="J19">
            <v>793.8</v>
          </cell>
          <cell r="M19">
            <v>704</v>
          </cell>
        </row>
        <row r="20">
          <cell r="J20">
            <v>1554.7999999999997</v>
          </cell>
          <cell r="M20">
            <v>1372.3</v>
          </cell>
        </row>
        <row r="21">
          <cell r="J21">
            <v>1533.1999999999998</v>
          </cell>
          <cell r="M21">
            <v>1419.1</v>
          </cell>
        </row>
        <row r="22">
          <cell r="J22">
            <v>1093</v>
          </cell>
          <cell r="M22">
            <v>986.9</v>
          </cell>
        </row>
        <row r="23">
          <cell r="J23">
            <v>491.4</v>
          </cell>
          <cell r="M23">
            <v>436.2</v>
          </cell>
        </row>
        <row r="24">
          <cell r="J24">
            <v>1120.5999999999999</v>
          </cell>
          <cell r="M24">
            <v>940.9</v>
          </cell>
        </row>
        <row r="25">
          <cell r="J25">
            <v>387.9</v>
          </cell>
          <cell r="M25">
            <v>352.7</v>
          </cell>
        </row>
        <row r="26">
          <cell r="J26">
            <v>427.8</v>
          </cell>
          <cell r="M26">
            <v>396.7</v>
          </cell>
        </row>
        <row r="27">
          <cell r="J27">
            <v>406.5</v>
          </cell>
          <cell r="M27">
            <v>368.8</v>
          </cell>
        </row>
        <row r="28">
          <cell r="J28">
            <v>714.1</v>
          </cell>
          <cell r="M28">
            <v>609.70000000000005</v>
          </cell>
        </row>
        <row r="29">
          <cell r="J29">
            <v>1045.0999999999999</v>
          </cell>
          <cell r="M29">
            <v>907</v>
          </cell>
        </row>
        <row r="30">
          <cell r="J30">
            <v>215.59999999999997</v>
          </cell>
          <cell r="M30">
            <v>185.7</v>
          </cell>
        </row>
        <row r="31">
          <cell r="J31">
            <v>296</v>
          </cell>
          <cell r="M31">
            <v>243.6</v>
          </cell>
        </row>
        <row r="32">
          <cell r="J32">
            <v>779.4</v>
          </cell>
          <cell r="M32">
            <v>725.6</v>
          </cell>
        </row>
        <row r="33">
          <cell r="J33">
            <v>686.10000000000014</v>
          </cell>
          <cell r="M33">
            <v>433.6</v>
          </cell>
        </row>
        <row r="34">
          <cell r="J34">
            <v>482.30000000000007</v>
          </cell>
          <cell r="M34">
            <v>260.10000000000002</v>
          </cell>
        </row>
        <row r="36">
          <cell r="J36">
            <v>615.79999999999984</v>
          </cell>
          <cell r="M36">
            <v>465.9</v>
          </cell>
        </row>
        <row r="37">
          <cell r="J37">
            <v>192.39999999999998</v>
          </cell>
          <cell r="M37">
            <v>153.19999999999999</v>
          </cell>
        </row>
        <row r="38">
          <cell r="J38">
            <v>132.89999999999998</v>
          </cell>
          <cell r="M38">
            <v>101</v>
          </cell>
        </row>
        <row r="39">
          <cell r="J39">
            <v>129.29999999999998</v>
          </cell>
          <cell r="M39">
            <v>94.5</v>
          </cell>
        </row>
        <row r="40">
          <cell r="J40">
            <v>84.6</v>
          </cell>
          <cell r="M40">
            <v>64.599999999999994</v>
          </cell>
        </row>
        <row r="41">
          <cell r="J41">
            <v>79.7</v>
          </cell>
          <cell r="M41">
            <v>64</v>
          </cell>
        </row>
        <row r="42">
          <cell r="J42">
            <v>810.8</v>
          </cell>
          <cell r="M42">
            <v>684.4</v>
          </cell>
        </row>
        <row r="43">
          <cell r="J43">
            <v>517.29999999999995</v>
          </cell>
          <cell r="M43">
            <v>340.5</v>
          </cell>
        </row>
        <row r="45">
          <cell r="J45">
            <v>910.80000000000007</v>
          </cell>
          <cell r="M45">
            <v>698.4</v>
          </cell>
        </row>
        <row r="46">
          <cell r="J46">
            <v>517.90000000000009</v>
          </cell>
          <cell r="M46">
            <v>373</v>
          </cell>
        </row>
        <row r="47">
          <cell r="J47">
            <v>556.4</v>
          </cell>
          <cell r="M47">
            <v>389.4</v>
          </cell>
        </row>
        <row r="48">
          <cell r="J48">
            <v>634.60000000000014</v>
          </cell>
          <cell r="M48">
            <v>422.1</v>
          </cell>
        </row>
        <row r="49">
          <cell r="J49">
            <v>948.30000000000007</v>
          </cell>
          <cell r="M49">
            <v>821.4</v>
          </cell>
        </row>
        <row r="50">
          <cell r="J50">
            <v>614.4</v>
          </cell>
          <cell r="M50">
            <v>388</v>
          </cell>
        </row>
        <row r="52">
          <cell r="J52">
            <v>2066.1999999999998</v>
          </cell>
          <cell r="M52">
            <v>375.4</v>
          </cell>
        </row>
        <row r="53">
          <cell r="J53">
            <v>441.8</v>
          </cell>
          <cell r="M53">
            <v>194</v>
          </cell>
        </row>
        <row r="54">
          <cell r="J54">
            <v>374.8</v>
          </cell>
          <cell r="M54">
            <v>190.2</v>
          </cell>
        </row>
        <row r="55">
          <cell r="J55">
            <v>275.69999999999993</v>
          </cell>
          <cell r="M55">
            <v>149.19999999999999</v>
          </cell>
        </row>
        <row r="56">
          <cell r="J56">
            <v>387.90000000000009</v>
          </cell>
          <cell r="M56">
            <v>178.4</v>
          </cell>
        </row>
        <row r="57">
          <cell r="J57">
            <v>279.10000000000002</v>
          </cell>
          <cell r="M57">
            <v>151</v>
          </cell>
        </row>
        <row r="58">
          <cell r="J58">
            <v>227.70000000000002</v>
          </cell>
          <cell r="M58">
            <v>118.7</v>
          </cell>
        </row>
        <row r="59">
          <cell r="J59">
            <v>305.89999999999998</v>
          </cell>
          <cell r="M59">
            <v>156.69999999999999</v>
          </cell>
        </row>
        <row r="60">
          <cell r="J60">
            <v>297.2</v>
          </cell>
          <cell r="M60">
            <v>160.30000000000001</v>
          </cell>
        </row>
        <row r="61">
          <cell r="J61">
            <v>246.39999999999998</v>
          </cell>
          <cell r="M61">
            <v>150.6</v>
          </cell>
        </row>
        <row r="62">
          <cell r="J62">
            <v>423.5</v>
          </cell>
          <cell r="M62">
            <v>253.7</v>
          </cell>
        </row>
        <row r="64">
          <cell r="J64">
            <v>843.1</v>
          </cell>
          <cell r="M64">
            <v>726.1</v>
          </cell>
        </row>
        <row r="65">
          <cell r="J65">
            <v>117.89999999999999</v>
          </cell>
          <cell r="M65">
            <v>110.5</v>
          </cell>
        </row>
        <row r="66">
          <cell r="J66">
            <v>4199.7000000000007</v>
          </cell>
          <cell r="M66">
            <v>2410.4</v>
          </cell>
        </row>
        <row r="69">
          <cell r="J69">
            <v>11.3</v>
          </cell>
        </row>
        <row r="70">
          <cell r="J70">
            <v>40</v>
          </cell>
        </row>
        <row r="72">
          <cell r="J72">
            <v>30</v>
          </cell>
        </row>
        <row r="73">
          <cell r="J73">
            <v>17.899999999999999</v>
          </cell>
        </row>
        <row r="74">
          <cell r="J74">
            <v>0</v>
          </cell>
        </row>
        <row r="79">
          <cell r="J79">
            <v>41.9</v>
          </cell>
        </row>
        <row r="80">
          <cell r="J80">
            <v>10.3</v>
          </cell>
        </row>
        <row r="81">
          <cell r="J81">
            <v>50</v>
          </cell>
        </row>
        <row r="85">
          <cell r="J85">
            <v>13.5</v>
          </cell>
        </row>
        <row r="86">
          <cell r="J86">
            <v>43.2</v>
          </cell>
        </row>
        <row r="87">
          <cell r="J87">
            <v>66.3</v>
          </cell>
        </row>
        <row r="88">
          <cell r="J88">
            <v>267</v>
          </cell>
        </row>
        <row r="89">
          <cell r="J89">
            <v>95.3</v>
          </cell>
        </row>
        <row r="90">
          <cell r="J90">
            <v>52</v>
          </cell>
        </row>
        <row r="91">
          <cell r="J91">
            <v>124.89999999999999</v>
          </cell>
        </row>
        <row r="92">
          <cell r="J92">
            <v>344.2</v>
          </cell>
        </row>
        <row r="93">
          <cell r="J93">
            <v>558.5</v>
          </cell>
        </row>
        <row r="94">
          <cell r="J94">
            <v>44</v>
          </cell>
        </row>
        <row r="95">
          <cell r="J95">
            <v>14.9</v>
          </cell>
        </row>
        <row r="97">
          <cell r="J97">
            <v>400</v>
          </cell>
        </row>
        <row r="98">
          <cell r="J98">
            <v>25</v>
          </cell>
        </row>
        <row r="100">
          <cell r="J100">
            <v>16</v>
          </cell>
        </row>
        <row r="101">
          <cell r="J101">
            <v>19</v>
          </cell>
        </row>
        <row r="104">
          <cell r="J104">
            <v>68</v>
          </cell>
        </row>
        <row r="105">
          <cell r="J105">
            <v>4161.6000000000004</v>
          </cell>
        </row>
        <row r="106">
          <cell r="J106">
            <v>724.3</v>
          </cell>
        </row>
        <row r="107">
          <cell r="J107">
            <v>2108.1999999999998</v>
          </cell>
        </row>
        <row r="108">
          <cell r="J108">
            <v>6262</v>
          </cell>
        </row>
        <row r="109">
          <cell r="J109">
            <v>672</v>
          </cell>
        </row>
        <row r="110">
          <cell r="J110">
            <v>40</v>
          </cell>
        </row>
        <row r="114">
          <cell r="J114">
            <v>248.89999999999998</v>
          </cell>
        </row>
        <row r="115">
          <cell r="J115">
            <v>1450.6</v>
          </cell>
        </row>
        <row r="116">
          <cell r="J116">
            <v>35.700000000000003</v>
          </cell>
        </row>
        <row r="118">
          <cell r="J118">
            <v>358</v>
          </cell>
        </row>
        <row r="119">
          <cell r="J119">
            <v>10.5</v>
          </cell>
        </row>
        <row r="120">
          <cell r="J120">
            <v>0</v>
          </cell>
        </row>
        <row r="121">
          <cell r="J121">
            <v>19.2</v>
          </cell>
        </row>
        <row r="122">
          <cell r="J122">
            <v>250</v>
          </cell>
        </row>
        <row r="123">
          <cell r="J123">
            <v>21.5</v>
          </cell>
        </row>
        <row r="124">
          <cell r="J124">
            <v>42.3</v>
          </cell>
        </row>
        <row r="125">
          <cell r="J125">
            <v>894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jamos 1pr"/>
      <sheetName val="Paj_nuoma 2pr"/>
      <sheetName val="Paj_atsitikt.3pr"/>
      <sheetName val="Paj_inasai 4pr"/>
      <sheetName val="Savar_5pr"/>
      <sheetName val="Isl_nuoma 6pr"/>
      <sheetName val="Isl_Atsitiktines 7pr"/>
      <sheetName val="isl_Inasa 8pr"/>
      <sheetName val="Deleg.9pr"/>
      <sheetName val="Dotac 10p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9">
          <cell r="E259">
            <v>144689.29999999999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287B-7652-43A2-B19E-BAE829403D7D}">
  <dimension ref="A1:IV54"/>
  <sheetViews>
    <sheetView tabSelected="1" workbookViewId="0">
      <selection activeCell="S17" sqref="S17"/>
    </sheetView>
  </sheetViews>
  <sheetFormatPr defaultColWidth="9.140625" defaultRowHeight="12.75" x14ac:dyDescent="0.2"/>
  <cols>
    <col min="1" max="1" width="4.28515625" style="1" customWidth="1"/>
    <col min="2" max="2" width="42" style="1" customWidth="1"/>
    <col min="3" max="3" width="11" style="1" customWidth="1"/>
    <col min="4" max="4" width="9.7109375" style="1" customWidth="1"/>
    <col min="5" max="5" width="11.7109375" style="1" customWidth="1"/>
    <col min="6" max="6" width="11.42578125" style="1" customWidth="1"/>
    <col min="7" max="7" width="13" style="1" customWidth="1"/>
    <col min="8" max="8" width="9.85546875" style="1" customWidth="1"/>
    <col min="9" max="9" width="14.28515625" style="1" customWidth="1"/>
    <col min="10" max="10" width="9.140625" style="1"/>
    <col min="11" max="11" width="12.7109375" style="1" customWidth="1"/>
    <col min="12" max="12" width="11.7109375" style="1" customWidth="1"/>
    <col min="13" max="16384" width="9.140625" style="1"/>
  </cols>
  <sheetData>
    <row r="1" spans="1:14" ht="12.75" customHeight="1" x14ac:dyDescent="0.25">
      <c r="H1" s="187" t="s">
        <v>0</v>
      </c>
      <c r="I1" s="188"/>
    </row>
    <row r="2" spans="1:14" ht="12.75" customHeight="1" x14ac:dyDescent="0.25">
      <c r="H2" s="2"/>
      <c r="I2" s="3"/>
    </row>
    <row r="3" spans="1:14" ht="14.25" customHeight="1" x14ac:dyDescent="0.25">
      <c r="B3" s="189" t="s">
        <v>1</v>
      </c>
      <c r="C3" s="189"/>
      <c r="D3" s="189"/>
      <c r="E3" s="189"/>
      <c r="F3" s="189"/>
      <c r="G3" s="189"/>
      <c r="H3" s="189"/>
      <c r="I3" s="189"/>
    </row>
    <row r="4" spans="1:14" ht="14.25" customHeight="1" x14ac:dyDescent="0.25">
      <c r="B4" s="4"/>
      <c r="C4" s="4"/>
      <c r="D4" s="4"/>
      <c r="E4" s="4"/>
      <c r="F4" s="4"/>
      <c r="G4" s="4"/>
      <c r="H4" s="4"/>
      <c r="I4" s="4"/>
    </row>
    <row r="5" spans="1:14" ht="9" customHeight="1" x14ac:dyDescent="0.2">
      <c r="B5" s="5"/>
      <c r="C5" s="5"/>
      <c r="D5" s="5"/>
      <c r="F5" s="6"/>
    </row>
    <row r="6" spans="1:14" ht="12.75" customHeight="1" x14ac:dyDescent="0.2">
      <c r="A6" s="190" t="s">
        <v>2</v>
      </c>
      <c r="B6" s="192" t="s">
        <v>3</v>
      </c>
      <c r="C6" s="193" t="s">
        <v>4</v>
      </c>
      <c r="D6" s="193"/>
      <c r="E6" s="194" t="s">
        <v>5</v>
      </c>
      <c r="F6" s="194"/>
      <c r="G6" s="195" t="s">
        <v>6</v>
      </c>
      <c r="H6" s="194" t="s">
        <v>7</v>
      </c>
      <c r="I6" s="194"/>
    </row>
    <row r="7" spans="1:14" ht="25.9" customHeight="1" x14ac:dyDescent="0.2">
      <c r="A7" s="191"/>
      <c r="B7" s="192"/>
      <c r="C7" s="9" t="s">
        <v>8</v>
      </c>
      <c r="D7" s="9" t="s">
        <v>9</v>
      </c>
      <c r="E7" s="7" t="s">
        <v>10</v>
      </c>
      <c r="F7" s="9" t="s">
        <v>11</v>
      </c>
      <c r="G7" s="195"/>
      <c r="H7" s="7" t="s">
        <v>10</v>
      </c>
      <c r="I7" s="9" t="s">
        <v>12</v>
      </c>
    </row>
    <row r="8" spans="1:14" ht="12" customHeight="1" x14ac:dyDescent="0.2">
      <c r="A8" s="10"/>
      <c r="B8" s="8">
        <v>1</v>
      </c>
      <c r="C8" s="11">
        <v>2</v>
      </c>
      <c r="D8" s="11">
        <v>3</v>
      </c>
      <c r="E8" s="8">
        <v>4</v>
      </c>
      <c r="F8" s="11">
        <v>5</v>
      </c>
      <c r="G8" s="11">
        <v>6</v>
      </c>
      <c r="H8" s="8">
        <v>7</v>
      </c>
      <c r="I8" s="11">
        <v>8</v>
      </c>
    </row>
    <row r="9" spans="1:14" x14ac:dyDescent="0.2">
      <c r="A9" s="10">
        <v>1</v>
      </c>
      <c r="B9" s="16" t="s">
        <v>13</v>
      </c>
      <c r="C9" s="17">
        <f>C10+C11+C15</f>
        <v>37302.300000000003</v>
      </c>
      <c r="D9" s="17">
        <f>D10+D11+D15</f>
        <v>41180.499999999993</v>
      </c>
      <c r="E9" s="14">
        <f>+D9/C9*100-100</f>
        <v>10.396677952833983</v>
      </c>
      <c r="F9" s="14">
        <f t="shared" ref="F9:F20" si="0">+D9-C9</f>
        <v>3878.1999999999898</v>
      </c>
      <c r="G9" s="17">
        <f>G10+G11+G15</f>
        <v>34028.200000000004</v>
      </c>
      <c r="H9" s="14">
        <f>+D9*100/G9-100</f>
        <v>21.018743277634385</v>
      </c>
      <c r="I9" s="14">
        <f>+D9-G9</f>
        <v>7152.2999999999884</v>
      </c>
      <c r="J9" s="15"/>
    </row>
    <row r="10" spans="1:14" x14ac:dyDescent="0.2">
      <c r="A10" s="10">
        <v>2</v>
      </c>
      <c r="B10" s="18" t="s">
        <v>14</v>
      </c>
      <c r="C10" s="19">
        <v>34375</v>
      </c>
      <c r="D10" s="19">
        <v>37884.199999999997</v>
      </c>
      <c r="E10" s="20">
        <f>+D10/C10*100-100</f>
        <v>10.208581818181813</v>
      </c>
      <c r="F10" s="20">
        <f t="shared" si="0"/>
        <v>3509.1999999999971</v>
      </c>
      <c r="G10" s="19">
        <v>31028.2</v>
      </c>
      <c r="H10" s="20">
        <f>+D10*100/G10-100</f>
        <v>22.096028773825083</v>
      </c>
      <c r="I10" s="20">
        <f>+D10-G10</f>
        <v>6855.9999999999964</v>
      </c>
      <c r="J10" s="15"/>
      <c r="K10" s="21"/>
    </row>
    <row r="11" spans="1:14" x14ac:dyDescent="0.2">
      <c r="A11" s="10">
        <v>3</v>
      </c>
      <c r="B11" s="16" t="s">
        <v>15</v>
      </c>
      <c r="C11" s="19">
        <f>+C12+C13+C14</f>
        <v>2732.3</v>
      </c>
      <c r="D11" s="19">
        <f>+D12+D13+D14</f>
        <v>2891.6</v>
      </c>
      <c r="E11" s="20">
        <f t="shared" ref="E11:E31" si="1">+D11/C11*100-100</f>
        <v>5.8302529004867552</v>
      </c>
      <c r="F11" s="20">
        <f t="shared" si="0"/>
        <v>159.29999999999973</v>
      </c>
      <c r="G11" s="19">
        <f>+G12+G13+G14</f>
        <v>2771.7000000000003</v>
      </c>
      <c r="H11" s="20">
        <f t="shared" ref="H11:H34" si="2">+D11*100/G11-100</f>
        <v>4.3258649926038117</v>
      </c>
      <c r="I11" s="20">
        <f>+I12+I13+I14</f>
        <v>119.90000000000006</v>
      </c>
      <c r="J11" s="15"/>
    </row>
    <row r="12" spans="1:14" x14ac:dyDescent="0.2">
      <c r="A12" s="10">
        <v>4</v>
      </c>
      <c r="B12" s="10" t="s">
        <v>16</v>
      </c>
      <c r="C12" s="19">
        <v>900</v>
      </c>
      <c r="D12" s="19">
        <v>1017.6</v>
      </c>
      <c r="E12" s="20">
        <f t="shared" si="1"/>
        <v>13.066666666666677</v>
      </c>
      <c r="F12" s="20">
        <f t="shared" si="0"/>
        <v>117.60000000000002</v>
      </c>
      <c r="G12" s="19">
        <v>1033.2</v>
      </c>
      <c r="H12" s="20">
        <f t="shared" si="2"/>
        <v>-1.5098722415795578</v>
      </c>
      <c r="I12" s="20">
        <f>+D12-G12</f>
        <v>-15.600000000000023</v>
      </c>
      <c r="J12" s="15"/>
    </row>
    <row r="13" spans="1:14" x14ac:dyDescent="0.2">
      <c r="A13" s="10">
        <v>5</v>
      </c>
      <c r="B13" s="22" t="s">
        <v>17</v>
      </c>
      <c r="C13" s="19">
        <v>1817.3</v>
      </c>
      <c r="D13" s="19">
        <v>1837</v>
      </c>
      <c r="E13" s="20">
        <f t="shared" si="1"/>
        <v>1.0840257524899641</v>
      </c>
      <c r="F13" s="20">
        <f t="shared" si="0"/>
        <v>19.700000000000045</v>
      </c>
      <c r="G13" s="19">
        <v>1710.6</v>
      </c>
      <c r="H13" s="20">
        <f t="shared" si="2"/>
        <v>7.3892201566701772</v>
      </c>
      <c r="I13" s="20">
        <f t="shared" ref="I13:I33" si="3">+D13-G13</f>
        <v>126.40000000000009</v>
      </c>
      <c r="J13" s="15"/>
    </row>
    <row r="14" spans="1:14" x14ac:dyDescent="0.2">
      <c r="A14" s="10">
        <v>6</v>
      </c>
      <c r="B14" s="10" t="s">
        <v>18</v>
      </c>
      <c r="C14" s="19">
        <v>15</v>
      </c>
      <c r="D14" s="19">
        <v>37</v>
      </c>
      <c r="E14" s="20">
        <f t="shared" si="1"/>
        <v>146.66666666666669</v>
      </c>
      <c r="F14" s="20">
        <f t="shared" si="0"/>
        <v>22</v>
      </c>
      <c r="G14" s="19">
        <v>27.9</v>
      </c>
      <c r="H14" s="20">
        <f t="shared" si="2"/>
        <v>32.616487455197131</v>
      </c>
      <c r="I14" s="20">
        <f t="shared" si="3"/>
        <v>9.1000000000000014</v>
      </c>
      <c r="J14" s="15"/>
      <c r="K14" s="15"/>
      <c r="L14" s="23"/>
    </row>
    <row r="15" spans="1:14" x14ac:dyDescent="0.2">
      <c r="A15" s="10">
        <v>7</v>
      </c>
      <c r="B15" s="16" t="s">
        <v>19</v>
      </c>
      <c r="C15" s="19">
        <v>195</v>
      </c>
      <c r="D15" s="19">
        <v>404.7</v>
      </c>
      <c r="E15" s="20">
        <f>+D15/C15*100-100</f>
        <v>107.53846153846155</v>
      </c>
      <c r="F15" s="20">
        <f t="shared" si="0"/>
        <v>209.7</v>
      </c>
      <c r="G15" s="19">
        <v>228.3</v>
      </c>
      <c r="H15" s="20">
        <f>+D15*100/G15-100</f>
        <v>77.266754270696453</v>
      </c>
      <c r="I15" s="20">
        <f>+D15-G15</f>
        <v>176.39999999999998</v>
      </c>
      <c r="J15" s="15"/>
      <c r="K15" s="15"/>
      <c r="L15" s="23"/>
    </row>
    <row r="16" spans="1:14" x14ac:dyDescent="0.2">
      <c r="A16" s="10">
        <v>8</v>
      </c>
      <c r="B16" s="24" t="s">
        <v>20</v>
      </c>
      <c r="C16" s="17">
        <f>C17+C21+C22</f>
        <v>32845.5</v>
      </c>
      <c r="D16" s="17">
        <f>D17+D21+D22</f>
        <v>32866.9</v>
      </c>
      <c r="E16" s="14">
        <f>+D16/C16*100-100</f>
        <v>6.5153521791415869E-2</v>
      </c>
      <c r="F16" s="20">
        <f t="shared" si="0"/>
        <v>21.400000000001455</v>
      </c>
      <c r="G16" s="17">
        <f>G17+G21+G22</f>
        <v>29537.200000000004</v>
      </c>
      <c r="H16" s="14">
        <f>+D16*100/G16-100</f>
        <v>11.272903321912693</v>
      </c>
      <c r="I16" s="14">
        <f>+I17+I21+I22</f>
        <v>3329.7000000000025</v>
      </c>
      <c r="J16" s="15"/>
      <c r="N16" s="1" t="s">
        <v>21</v>
      </c>
    </row>
    <row r="17" spans="1:256" x14ac:dyDescent="0.2">
      <c r="A17" s="10">
        <v>9</v>
      </c>
      <c r="B17" s="12" t="s">
        <v>22</v>
      </c>
      <c r="C17" s="19">
        <f>+C18+C19+C20</f>
        <v>23743.7</v>
      </c>
      <c r="D17" s="19">
        <f>+D18+D19+D20</f>
        <v>23645.600000000002</v>
      </c>
      <c r="E17" s="20">
        <f t="shared" si="1"/>
        <v>-0.41316222829634341</v>
      </c>
      <c r="F17" s="20">
        <f t="shared" si="0"/>
        <v>-98.099999999998545</v>
      </c>
      <c r="G17" s="19">
        <f>+G18+G19+G20</f>
        <v>20335.600000000002</v>
      </c>
      <c r="H17" s="20">
        <f t="shared" si="2"/>
        <v>16.276874053384205</v>
      </c>
      <c r="I17" s="20">
        <f>+I18+I19+I20</f>
        <v>3310.0000000000018</v>
      </c>
      <c r="J17" s="1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</row>
    <row r="18" spans="1:256" x14ac:dyDescent="0.2">
      <c r="A18" s="10">
        <v>10</v>
      </c>
      <c r="B18" s="10" t="s">
        <v>23</v>
      </c>
      <c r="C18" s="19">
        <v>17011.900000000001</v>
      </c>
      <c r="D18" s="19">
        <v>17004.400000000001</v>
      </c>
      <c r="E18" s="20">
        <f t="shared" si="1"/>
        <v>-4.4086786308412229E-2</v>
      </c>
      <c r="F18" s="20">
        <f t="shared" si="0"/>
        <v>-7.5</v>
      </c>
      <c r="G18" s="19">
        <f>14460.8+156.1</f>
        <v>14616.9</v>
      </c>
      <c r="H18" s="20">
        <f t="shared" si="2"/>
        <v>16.333832755235392</v>
      </c>
      <c r="I18" s="20">
        <f t="shared" si="3"/>
        <v>2387.5000000000018</v>
      </c>
      <c r="J18" s="15"/>
    </row>
    <row r="19" spans="1:256" ht="26.45" customHeight="1" x14ac:dyDescent="0.2">
      <c r="A19" s="10">
        <v>11</v>
      </c>
      <c r="B19" s="25" t="s">
        <v>24</v>
      </c>
      <c r="C19" s="19">
        <v>6173.1</v>
      </c>
      <c r="D19" s="19">
        <v>6082.5</v>
      </c>
      <c r="E19" s="20">
        <f t="shared" si="1"/>
        <v>-1.4676580648296635</v>
      </c>
      <c r="F19" s="20">
        <f t="shared" si="0"/>
        <v>-90.600000000000364</v>
      </c>
      <c r="G19" s="19">
        <v>5164.3</v>
      </c>
      <c r="H19" s="20">
        <f t="shared" si="2"/>
        <v>17.779757179094929</v>
      </c>
      <c r="I19" s="20">
        <f t="shared" si="3"/>
        <v>918.19999999999982</v>
      </c>
      <c r="J19" s="15"/>
    </row>
    <row r="20" spans="1:256" x14ac:dyDescent="0.2">
      <c r="A20" s="10">
        <v>12</v>
      </c>
      <c r="B20" s="10" t="s">
        <v>25</v>
      </c>
      <c r="C20" s="19">
        <f>558.7</f>
        <v>558.70000000000005</v>
      </c>
      <c r="D20" s="19">
        <f>558.7</f>
        <v>558.70000000000005</v>
      </c>
      <c r="E20" s="20">
        <f t="shared" si="1"/>
        <v>0</v>
      </c>
      <c r="F20" s="20">
        <f t="shared" si="0"/>
        <v>0</v>
      </c>
      <c r="G20" s="19">
        <f>554.4+0</f>
        <v>554.4</v>
      </c>
      <c r="H20" s="20">
        <f t="shared" si="2"/>
        <v>0.77561327561329563</v>
      </c>
      <c r="I20" s="20">
        <f t="shared" si="3"/>
        <v>4.3000000000000682</v>
      </c>
      <c r="J20" s="15"/>
    </row>
    <row r="21" spans="1:256" ht="40.15" customHeight="1" x14ac:dyDescent="0.2">
      <c r="A21" s="10">
        <v>13</v>
      </c>
      <c r="B21" s="26" t="s">
        <v>26</v>
      </c>
      <c r="C21" s="27">
        <f>1843.6+51.2</f>
        <v>1894.8</v>
      </c>
      <c r="D21" s="27">
        <f>1506+532</f>
        <v>2038</v>
      </c>
      <c r="E21" s="28">
        <f>+D21/C21*100-100</f>
        <v>7.5575258602491147</v>
      </c>
      <c r="F21" s="28">
        <f>+D21-C21</f>
        <v>143.20000000000005</v>
      </c>
      <c r="G21" s="27">
        <f>2163.6+305.1</f>
        <v>2468.6999999999998</v>
      </c>
      <c r="H21" s="28">
        <f>+D21*100/G21-100</f>
        <v>-17.446429294770525</v>
      </c>
      <c r="I21" s="28">
        <f>+D21-G21</f>
        <v>-430.69999999999982</v>
      </c>
      <c r="J21" s="15"/>
    </row>
    <row r="22" spans="1:256" x14ac:dyDescent="0.2">
      <c r="A22" s="10">
        <v>14</v>
      </c>
      <c r="B22" s="29" t="s">
        <v>27</v>
      </c>
      <c r="C22" s="19">
        <f>3675.6+3531.4</f>
        <v>7207</v>
      </c>
      <c r="D22" s="19">
        <f>3553.5+3629.8</f>
        <v>7183.3</v>
      </c>
      <c r="E22" s="20">
        <f>+D22/C22*100-100</f>
        <v>-0.32884695434994171</v>
      </c>
      <c r="F22" s="20">
        <f t="shared" ref="F22:F27" si="4">+D22-C22</f>
        <v>-23.699999999999818</v>
      </c>
      <c r="G22" s="19">
        <f>3051.2+3681.7</f>
        <v>6732.9</v>
      </c>
      <c r="H22" s="28">
        <f>+D22*100/G22-100</f>
        <v>6.6895394258046394</v>
      </c>
      <c r="I22" s="20">
        <f>+D22-G22</f>
        <v>450.40000000000055</v>
      </c>
      <c r="J22" s="15"/>
      <c r="K22" s="3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x14ac:dyDescent="0.2">
      <c r="A23" s="10">
        <v>15</v>
      </c>
      <c r="B23" s="29" t="s">
        <v>28</v>
      </c>
      <c r="C23" s="17">
        <f>C24+C25+C26+C27+C28+C32</f>
        <v>4143.1000000000004</v>
      </c>
      <c r="D23" s="17">
        <f>D24+D25+D26+D27+D28+D32</f>
        <v>4956</v>
      </c>
      <c r="E23" s="14">
        <f>+D23/C23*100-100</f>
        <v>19.620573966353689</v>
      </c>
      <c r="F23" s="14">
        <f t="shared" si="4"/>
        <v>812.89999999999964</v>
      </c>
      <c r="G23" s="17">
        <f>G24+G25+G26+G27+G28+G32</f>
        <v>4375.8</v>
      </c>
      <c r="H23" s="14">
        <f t="shared" si="2"/>
        <v>13.259289729877963</v>
      </c>
      <c r="I23" s="14">
        <f>+D23-G23</f>
        <v>580.19999999999982</v>
      </c>
      <c r="J23" s="1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x14ac:dyDescent="0.2">
      <c r="A24" s="10">
        <v>16</v>
      </c>
      <c r="B24" s="24" t="s">
        <v>29</v>
      </c>
      <c r="C24" s="19">
        <v>500</v>
      </c>
      <c r="D24" s="19">
        <v>750.3</v>
      </c>
      <c r="E24" s="20">
        <f>+D24/C24*100-100</f>
        <v>50.06</v>
      </c>
      <c r="F24" s="20">
        <f t="shared" si="4"/>
        <v>250.29999999999995</v>
      </c>
      <c r="G24" s="19">
        <v>690.1</v>
      </c>
      <c r="H24" s="20">
        <f>+D24*100/G24-100</f>
        <v>8.7233734241414282</v>
      </c>
      <c r="I24" s="20">
        <f>+D24-G24</f>
        <v>60.199999999999932</v>
      </c>
      <c r="J24" s="15"/>
    </row>
    <row r="25" spans="1:256" x14ac:dyDescent="0.2">
      <c r="A25" s="10">
        <v>17</v>
      </c>
      <c r="B25" s="16" t="s">
        <v>30</v>
      </c>
      <c r="C25" s="19">
        <f>35+35</f>
        <v>70</v>
      </c>
      <c r="D25" s="19">
        <f>65.7+58.9</f>
        <v>124.6</v>
      </c>
      <c r="E25" s="20">
        <f t="shared" si="1"/>
        <v>78</v>
      </c>
      <c r="F25" s="20">
        <f t="shared" si="4"/>
        <v>54.599999999999994</v>
      </c>
      <c r="G25" s="19">
        <f>58.4+59.1</f>
        <v>117.5</v>
      </c>
      <c r="H25" s="20">
        <f t="shared" si="2"/>
        <v>6.0425531914893611</v>
      </c>
      <c r="I25" s="20">
        <f t="shared" si="3"/>
        <v>7.0999999999999943</v>
      </c>
      <c r="J25" s="15"/>
    </row>
    <row r="26" spans="1:256" x14ac:dyDescent="0.2">
      <c r="A26" s="10">
        <v>18</v>
      </c>
      <c r="B26" s="16" t="s">
        <v>31</v>
      </c>
      <c r="C26" s="19">
        <v>1600</v>
      </c>
      <c r="D26" s="19">
        <v>1637.8</v>
      </c>
      <c r="E26" s="20">
        <f t="shared" si="1"/>
        <v>2.3624999999999972</v>
      </c>
      <c r="F26" s="20">
        <f t="shared" si="4"/>
        <v>37.799999999999955</v>
      </c>
      <c r="G26" s="19">
        <v>1652.8</v>
      </c>
      <c r="H26" s="20">
        <f t="shared" si="2"/>
        <v>-0.90755082284607624</v>
      </c>
      <c r="I26" s="20">
        <f t="shared" si="3"/>
        <v>-15</v>
      </c>
      <c r="J26" s="15"/>
    </row>
    <row r="27" spans="1:256" x14ac:dyDescent="0.2">
      <c r="A27" s="10">
        <v>19</v>
      </c>
      <c r="B27" s="16" t="s">
        <v>32</v>
      </c>
      <c r="C27" s="19">
        <v>30</v>
      </c>
      <c r="D27" s="19">
        <v>16.2</v>
      </c>
      <c r="E27" s="20">
        <f t="shared" si="1"/>
        <v>-46.000000000000007</v>
      </c>
      <c r="F27" s="20">
        <f t="shared" si="4"/>
        <v>-13.8</v>
      </c>
      <c r="G27" s="19">
        <v>69.900000000000006</v>
      </c>
      <c r="H27" s="20">
        <f t="shared" si="2"/>
        <v>-76.824034334763951</v>
      </c>
      <c r="I27" s="20">
        <f t="shared" si="3"/>
        <v>-53.7</v>
      </c>
      <c r="J27" s="15"/>
    </row>
    <row r="28" spans="1:256" x14ac:dyDescent="0.2">
      <c r="A28" s="10">
        <v>20</v>
      </c>
      <c r="B28" s="12" t="s">
        <v>33</v>
      </c>
      <c r="C28" s="19">
        <f>+C29+C30+C31</f>
        <v>1765.1</v>
      </c>
      <c r="D28" s="19">
        <f>+D29+D30+D31</f>
        <v>1888.6</v>
      </c>
      <c r="E28" s="20">
        <f t="shared" si="1"/>
        <v>6.9967707212055927</v>
      </c>
      <c r="F28" s="20">
        <f>+F29+F30+F31</f>
        <v>123.50000000000014</v>
      </c>
      <c r="G28" s="19">
        <f>+G29+G30+G31</f>
        <v>1511.4</v>
      </c>
      <c r="H28" s="20">
        <f t="shared" si="2"/>
        <v>24.95699351594547</v>
      </c>
      <c r="I28" s="20">
        <f>+I29+I30+I31</f>
        <v>377.20000000000005</v>
      </c>
      <c r="J28" s="15"/>
      <c r="K28" s="6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25.5" x14ac:dyDescent="0.2">
      <c r="A29" s="10">
        <v>21</v>
      </c>
      <c r="B29" s="31" t="s">
        <v>34</v>
      </c>
      <c r="C29" s="19">
        <v>115.9</v>
      </c>
      <c r="D29" s="19">
        <v>222</v>
      </c>
      <c r="E29" s="20">
        <f t="shared" si="1"/>
        <v>91.544434857635878</v>
      </c>
      <c r="F29" s="20">
        <f>+D29-C29</f>
        <v>106.1</v>
      </c>
      <c r="G29" s="19">
        <v>194.6</v>
      </c>
      <c r="H29" s="20">
        <f t="shared" si="2"/>
        <v>14.080164439876668</v>
      </c>
      <c r="I29" s="20">
        <f t="shared" si="3"/>
        <v>27.400000000000006</v>
      </c>
      <c r="J29" s="15"/>
    </row>
    <row r="30" spans="1:256" x14ac:dyDescent="0.2">
      <c r="A30" s="10">
        <v>22</v>
      </c>
      <c r="B30" s="10" t="s">
        <v>35</v>
      </c>
      <c r="C30" s="19">
        <v>213.6</v>
      </c>
      <c r="D30" s="19">
        <v>242.9</v>
      </c>
      <c r="E30" s="20">
        <f t="shared" si="1"/>
        <v>13.717228464419478</v>
      </c>
      <c r="F30" s="20">
        <f>+D30-C30</f>
        <v>29.300000000000011</v>
      </c>
      <c r="G30" s="19">
        <v>139.30000000000001</v>
      </c>
      <c r="H30" s="20">
        <f t="shared" si="2"/>
        <v>74.371859296482398</v>
      </c>
      <c r="I30" s="20">
        <f t="shared" si="3"/>
        <v>103.6</v>
      </c>
      <c r="J30" s="15"/>
    </row>
    <row r="31" spans="1:256" x14ac:dyDescent="0.2">
      <c r="A31" s="10">
        <v>23</v>
      </c>
      <c r="B31" s="10" t="s">
        <v>36</v>
      </c>
      <c r="C31" s="19">
        <v>1435.6</v>
      </c>
      <c r="D31" s="19">
        <v>1423.7</v>
      </c>
      <c r="E31" s="20">
        <f t="shared" si="1"/>
        <v>-0.82892170521034814</v>
      </c>
      <c r="F31" s="20">
        <f>+D31-C31</f>
        <v>-11.899999999999864</v>
      </c>
      <c r="G31" s="19">
        <v>1177.5</v>
      </c>
      <c r="H31" s="20">
        <f t="shared" si="2"/>
        <v>20.908704883227173</v>
      </c>
      <c r="I31" s="20">
        <f t="shared" si="3"/>
        <v>246.20000000000005</v>
      </c>
      <c r="J31" s="15"/>
    </row>
    <row r="32" spans="1:256" x14ac:dyDescent="0.2">
      <c r="A32" s="10">
        <v>24</v>
      </c>
      <c r="B32" s="12" t="s">
        <v>37</v>
      </c>
      <c r="C32" s="19">
        <f>40+50+10+78</f>
        <v>178</v>
      </c>
      <c r="D32" s="19">
        <f>4.6+48.7+63.2+6.3+415.7</f>
        <v>538.5</v>
      </c>
      <c r="E32" s="20">
        <f>+D32/C32*100-100</f>
        <v>202.52808988764042</v>
      </c>
      <c r="F32" s="20">
        <f>+D32-C32</f>
        <v>360.5</v>
      </c>
      <c r="G32" s="19">
        <f>1+73.1+51.9+5.6+202.5</f>
        <v>334.1</v>
      </c>
      <c r="H32" s="20">
        <f>+D32*100/G32-100</f>
        <v>61.179287638431589</v>
      </c>
      <c r="I32" s="20">
        <f>+D32-G32</f>
        <v>204.39999999999998</v>
      </c>
      <c r="J32" s="15"/>
    </row>
    <row r="33" spans="1:256" x14ac:dyDescent="0.2">
      <c r="A33" s="10">
        <v>25</v>
      </c>
      <c r="B33" s="32" t="s">
        <v>38</v>
      </c>
      <c r="C33" s="33">
        <f>+C9+C16+C23</f>
        <v>74290.900000000009</v>
      </c>
      <c r="D33" s="33">
        <f>+D9+D16+D23</f>
        <v>79003.399999999994</v>
      </c>
      <c r="E33" s="14">
        <f>+D33/C33*100-100</f>
        <v>6.3433071883635535</v>
      </c>
      <c r="F33" s="14">
        <f>+D33-C33</f>
        <v>4712.4999999999854</v>
      </c>
      <c r="G33" s="33">
        <f>+G9+G16+G23</f>
        <v>67941.200000000012</v>
      </c>
      <c r="H33" s="14">
        <f t="shared" si="2"/>
        <v>16.282020335231024</v>
      </c>
      <c r="I33" s="20">
        <f t="shared" si="3"/>
        <v>11062.199999999983</v>
      </c>
      <c r="J33" s="15"/>
      <c r="K33" s="30"/>
      <c r="L33" s="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x14ac:dyDescent="0.2">
      <c r="A34" s="10">
        <v>26</v>
      </c>
      <c r="B34" s="16" t="s">
        <v>39</v>
      </c>
      <c r="C34" s="14">
        <f>+C35+C36+C37+C38+C39+C40+C41+C42+C43</f>
        <v>4572</v>
      </c>
      <c r="D34" s="14">
        <f>+D35+D36+D37+D38+D39+D40+D41+D42+D43</f>
        <v>6262.5</v>
      </c>
      <c r="E34" s="186" t="s">
        <v>40</v>
      </c>
      <c r="F34" s="186"/>
      <c r="G34" s="14">
        <f>+G35+G36+G37+G38+G39+G40+G41+G42+G43</f>
        <v>4562.5</v>
      </c>
      <c r="H34" s="14">
        <f t="shared" si="2"/>
        <v>37.260273972602732</v>
      </c>
      <c r="I34" s="34"/>
      <c r="K34" s="15"/>
      <c r="L34" s="15"/>
    </row>
    <row r="35" spans="1:256" x14ac:dyDescent="0.2">
      <c r="A35" s="10">
        <v>27</v>
      </c>
      <c r="B35" s="10" t="s">
        <v>41</v>
      </c>
      <c r="C35" s="20">
        <v>3118.2</v>
      </c>
      <c r="D35" s="35">
        <v>4778.7</v>
      </c>
      <c r="E35" s="13"/>
      <c r="F35" s="36"/>
      <c r="G35" s="35">
        <f>2859.7-709-130+733.3+105.7</f>
        <v>2859.7</v>
      </c>
      <c r="H35" s="37"/>
      <c r="I35" s="37"/>
      <c r="L35" s="30"/>
    </row>
    <row r="36" spans="1:256" x14ac:dyDescent="0.2">
      <c r="A36" s="10">
        <v>28</v>
      </c>
      <c r="B36" s="10" t="s">
        <v>42</v>
      </c>
      <c r="C36" s="38">
        <v>48.7</v>
      </c>
      <c r="D36" s="35">
        <v>48.7</v>
      </c>
      <c r="E36" s="13"/>
      <c r="F36" s="36"/>
      <c r="G36" s="35">
        <v>46.3</v>
      </c>
      <c r="H36" s="37"/>
      <c r="I36" s="37"/>
      <c r="L36" s="30"/>
    </row>
    <row r="37" spans="1:256" x14ac:dyDescent="0.2">
      <c r="A37" s="10">
        <v>29</v>
      </c>
      <c r="B37" s="10" t="s">
        <v>43</v>
      </c>
      <c r="C37" s="20">
        <v>54.3</v>
      </c>
      <c r="D37" s="35">
        <v>54.3</v>
      </c>
      <c r="E37" s="13"/>
      <c r="F37" s="36"/>
      <c r="G37" s="35">
        <v>20.2</v>
      </c>
      <c r="H37" s="37"/>
      <c r="I37" s="37"/>
      <c r="L37" s="30"/>
    </row>
    <row r="38" spans="1:256" ht="25.5" x14ac:dyDescent="0.2">
      <c r="A38" s="10">
        <v>30</v>
      </c>
      <c r="B38" s="31" t="s">
        <v>44</v>
      </c>
      <c r="C38" s="20">
        <v>116.3</v>
      </c>
      <c r="D38" s="35">
        <v>116.3</v>
      </c>
      <c r="E38" s="13"/>
      <c r="F38" s="36"/>
      <c r="G38" s="35">
        <v>95.7</v>
      </c>
      <c r="H38" s="37"/>
      <c r="I38" s="37"/>
      <c r="L38" s="30"/>
    </row>
    <row r="39" spans="1:256" x14ac:dyDescent="0.2">
      <c r="A39" s="10">
        <v>31</v>
      </c>
      <c r="B39" s="39" t="s">
        <v>45</v>
      </c>
      <c r="C39" s="20">
        <v>190.5</v>
      </c>
      <c r="D39" s="35">
        <v>190.5</v>
      </c>
      <c r="E39" s="13"/>
      <c r="F39" s="36"/>
      <c r="G39" s="35">
        <v>129.69999999999999</v>
      </c>
      <c r="H39" s="37"/>
      <c r="I39" s="37"/>
      <c r="L39" s="30"/>
    </row>
    <row r="40" spans="1:256" x14ac:dyDescent="0.2">
      <c r="A40" s="10">
        <v>32</v>
      </c>
      <c r="B40" s="39" t="s">
        <v>46</v>
      </c>
      <c r="C40" s="20">
        <v>120</v>
      </c>
      <c r="D40" s="35">
        <v>120</v>
      </c>
      <c r="E40" s="13"/>
      <c r="F40" s="36"/>
      <c r="G40" s="35">
        <v>110.8</v>
      </c>
      <c r="H40" s="37"/>
      <c r="I40" s="37"/>
      <c r="L40" s="30"/>
    </row>
    <row r="41" spans="1:256" x14ac:dyDescent="0.2">
      <c r="A41" s="10">
        <v>33</v>
      </c>
      <c r="B41" s="39" t="s">
        <v>47</v>
      </c>
      <c r="C41" s="20">
        <v>315</v>
      </c>
      <c r="D41" s="35">
        <v>345</v>
      </c>
      <c r="E41" s="13"/>
      <c r="F41" s="36"/>
      <c r="G41" s="35">
        <f>(76.6+26.2-8.6)+(250.1-60.1)+106.5-160</f>
        <v>230.7</v>
      </c>
      <c r="H41" s="13"/>
      <c r="I41" s="13"/>
      <c r="L41" s="30"/>
    </row>
    <row r="42" spans="1:256" x14ac:dyDescent="0.2">
      <c r="A42" s="10">
        <v>34</v>
      </c>
      <c r="B42" s="39" t="s">
        <v>48</v>
      </c>
      <c r="C42" s="20">
        <f>583.1+25.9</f>
        <v>609</v>
      </c>
      <c r="D42" s="35">
        <f>583.1+25.9</f>
        <v>609</v>
      </c>
      <c r="E42" s="13"/>
      <c r="F42" s="36"/>
      <c r="G42" s="35">
        <f>981.7+87.7</f>
        <v>1069.4000000000001</v>
      </c>
      <c r="H42" s="13"/>
      <c r="I42" s="13"/>
      <c r="L42" s="40"/>
    </row>
    <row r="43" spans="1:256" x14ac:dyDescent="0.2">
      <c r="A43" s="10">
        <v>35</v>
      </c>
      <c r="B43" s="39" t="s">
        <v>49</v>
      </c>
      <c r="C43" s="20">
        <v>0</v>
      </c>
      <c r="D43" s="35">
        <v>0</v>
      </c>
      <c r="E43" s="13"/>
      <c r="F43" s="36"/>
      <c r="G43" s="35">
        <v>0</v>
      </c>
      <c r="H43" s="13"/>
      <c r="I43" s="13"/>
      <c r="L43" s="40"/>
    </row>
    <row r="44" spans="1:256" x14ac:dyDescent="0.2">
      <c r="A44" s="10">
        <v>36</v>
      </c>
      <c r="B44" s="16" t="s">
        <v>50</v>
      </c>
      <c r="C44" s="14">
        <v>1569.7</v>
      </c>
      <c r="D44" s="33">
        <v>1169.7</v>
      </c>
      <c r="E44" s="13"/>
      <c r="F44" s="36"/>
      <c r="G44" s="33">
        <v>2378.8000000000002</v>
      </c>
      <c r="H44" s="33"/>
      <c r="I44" s="14"/>
    </row>
    <row r="45" spans="1:256" x14ac:dyDescent="0.2">
      <c r="A45" s="10">
        <v>37</v>
      </c>
      <c r="B45" s="41" t="s">
        <v>51</v>
      </c>
      <c r="C45" s="14">
        <f>+C33+C34+C44</f>
        <v>80432.600000000006</v>
      </c>
      <c r="D45" s="14">
        <f>+D33+D34+D44</f>
        <v>86435.599999999991</v>
      </c>
      <c r="E45" s="13"/>
      <c r="F45" s="36"/>
      <c r="G45" s="14">
        <f>+G33+G34+G44</f>
        <v>74882.500000000015</v>
      </c>
      <c r="H45" s="37"/>
      <c r="I45" s="37"/>
    </row>
    <row r="47" spans="1:256" x14ac:dyDescent="0.2">
      <c r="C47" s="15"/>
    </row>
    <row r="49" spans="3:7" x14ac:dyDescent="0.2">
      <c r="C49" s="15"/>
      <c r="D49" s="15"/>
    </row>
    <row r="52" spans="3:7" x14ac:dyDescent="0.2">
      <c r="C52" s="15"/>
      <c r="G52" s="15"/>
    </row>
    <row r="53" spans="3:7" x14ac:dyDescent="0.2">
      <c r="C53" s="15"/>
      <c r="G53" s="15"/>
    </row>
    <row r="54" spans="3:7" x14ac:dyDescent="0.2">
      <c r="C54" s="15"/>
      <c r="G54" s="15"/>
    </row>
  </sheetData>
  <mergeCells count="9">
    <mergeCell ref="E34:F34"/>
    <mergeCell ref="H1:I1"/>
    <mergeCell ref="B3:I3"/>
    <mergeCell ref="A6:A7"/>
    <mergeCell ref="B6:B7"/>
    <mergeCell ref="C6:D6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9351D-F234-41EF-9C35-C2F482EF89EE}">
  <sheetPr>
    <pageSetUpPr fitToPage="1"/>
  </sheetPr>
  <dimension ref="A1:BL264"/>
  <sheetViews>
    <sheetView workbookViewId="0">
      <pane ySplit="8" topLeftCell="A9" activePane="bottomLeft" state="frozen"/>
      <selection pane="bottomLeft" activeCell="U23" sqref="U23"/>
    </sheetView>
  </sheetViews>
  <sheetFormatPr defaultColWidth="9.28515625" defaultRowHeight="11.25" x14ac:dyDescent="0.2"/>
  <cols>
    <col min="1" max="1" width="3.28515625" style="166" customWidth="1"/>
    <col min="2" max="2" width="32.28515625" style="185" customWidth="1"/>
    <col min="3" max="3" width="6.42578125" style="44" customWidth="1"/>
    <col min="4" max="4" width="8" style="44" customWidth="1"/>
    <col min="5" max="5" width="9.5703125" style="44" hidden="1" customWidth="1"/>
    <col min="6" max="6" width="5.28515625" style="44" hidden="1" customWidth="1"/>
    <col min="7" max="7" width="9.5703125" style="44" hidden="1" customWidth="1"/>
    <col min="8" max="8" width="5.28515625" style="44" hidden="1" customWidth="1"/>
    <col min="9" max="9" width="9.5703125" style="44" hidden="1" customWidth="1"/>
    <col min="10" max="10" width="6.5703125" style="44" customWidth="1"/>
    <col min="11" max="11" width="8.42578125" style="44" customWidth="1"/>
    <col min="12" max="12" width="5.5703125" style="44" customWidth="1"/>
    <col min="13" max="13" width="6.5703125" style="44" customWidth="1"/>
    <col min="14" max="14" width="4.85546875" style="44" customWidth="1"/>
    <col min="15" max="15" width="5.85546875" style="44" customWidth="1"/>
    <col min="16" max="16" width="6.28515625" style="44" customWidth="1"/>
    <col min="17" max="17" width="7.28515625" style="44" customWidth="1"/>
    <col min="18" max="18" width="6.42578125" style="65" customWidth="1"/>
    <col min="19" max="19" width="6.5703125" style="44" customWidth="1"/>
    <col min="20" max="20" width="5.42578125" style="44" customWidth="1"/>
    <col min="21" max="21" width="7.140625" style="44" customWidth="1"/>
    <col min="22" max="22" width="5" style="44" customWidth="1"/>
    <col min="23" max="23" width="5.7109375" style="44" customWidth="1"/>
    <col min="24" max="24" width="6.7109375" style="44" customWidth="1"/>
    <col min="25" max="25" width="6.28515625" style="44" customWidth="1"/>
    <col min="26" max="26" width="7.140625" style="44" customWidth="1"/>
    <col min="27" max="27" width="7" style="44" customWidth="1"/>
    <col min="28" max="28" width="5.140625" style="44" customWidth="1"/>
    <col min="29" max="29" width="5.5703125" style="44" customWidth="1"/>
    <col min="30" max="30" width="5.28515625" style="44" customWidth="1"/>
    <col min="31" max="31" width="6" style="44" customWidth="1"/>
    <col min="32" max="32" width="6.7109375" style="44" customWidth="1"/>
    <col min="33" max="33" width="5.7109375" style="44" customWidth="1"/>
    <col min="34" max="34" width="6.7109375" style="65" customWidth="1"/>
    <col min="35" max="35" width="6.140625" style="44" customWidth="1"/>
    <col min="36" max="36" width="6" style="44" customWidth="1"/>
    <col min="37" max="37" width="5.5703125" style="44" customWidth="1"/>
    <col min="38" max="38" width="5.85546875" style="44" customWidth="1"/>
    <col min="39" max="39" width="5" style="44" customWidth="1"/>
    <col min="40" max="40" width="4.85546875" style="44" customWidth="1"/>
    <col min="41" max="41" width="4.7109375" style="44" customWidth="1"/>
    <col min="42" max="42" width="4.42578125" style="44" customWidth="1"/>
    <col min="43" max="43" width="5.28515625" style="44" customWidth="1"/>
    <col min="44" max="44" width="5.7109375" style="44" customWidth="1"/>
    <col min="45" max="45" width="5.140625" style="44" customWidth="1"/>
    <col min="46" max="47" width="4.85546875" style="44" customWidth="1"/>
    <col min="48" max="48" width="5.85546875" style="44" customWidth="1"/>
    <col min="49" max="49" width="4.7109375" style="44" customWidth="1"/>
    <col min="50" max="50" width="5.140625" style="44" customWidth="1"/>
    <col min="51" max="51" width="5.28515625" style="44" customWidth="1"/>
    <col min="52" max="53" width="4.85546875" style="44" customWidth="1"/>
    <col min="54" max="54" width="5" style="44" customWidth="1"/>
    <col min="55" max="55" width="4.7109375" style="44" customWidth="1"/>
    <col min="56" max="56" width="5.42578125" style="44" customWidth="1"/>
    <col min="57" max="57" width="5.5703125" style="44" customWidth="1"/>
    <col min="58" max="58" width="6.140625" style="44" customWidth="1"/>
    <col min="59" max="59" width="5.28515625" style="44" customWidth="1"/>
    <col min="60" max="60" width="5" style="44" customWidth="1"/>
    <col min="61" max="61" width="4.85546875" style="44" customWidth="1"/>
    <col min="62" max="63" width="5" style="44" customWidth="1"/>
    <col min="64" max="256" width="9.28515625" style="44"/>
    <col min="257" max="257" width="3.28515625" style="44" customWidth="1"/>
    <col min="258" max="258" width="32.28515625" style="44" customWidth="1"/>
    <col min="259" max="259" width="9.7109375" style="44" customWidth="1"/>
    <col min="260" max="260" width="10.140625" style="44" customWidth="1"/>
    <col min="261" max="265" width="0" style="44" hidden="1" customWidth="1"/>
    <col min="266" max="266" width="9.28515625" style="44"/>
    <col min="267" max="267" width="8.7109375" style="44" customWidth="1"/>
    <col min="268" max="268" width="6.7109375" style="44" customWidth="1"/>
    <col min="269" max="269" width="9.5703125" style="44" customWidth="1"/>
    <col min="270" max="270" width="6.7109375" style="44" customWidth="1"/>
    <col min="271" max="271" width="6.85546875" style="44" customWidth="1"/>
    <col min="272" max="272" width="9" style="44" customWidth="1"/>
    <col min="273" max="273" width="8.140625" style="44" customWidth="1"/>
    <col min="274" max="274" width="8" style="44" customWidth="1"/>
    <col min="275" max="275" width="9.140625" style="44" customWidth="1"/>
    <col min="276" max="276" width="7.7109375" style="44" customWidth="1"/>
    <col min="277" max="277" width="9.140625" style="44" customWidth="1"/>
    <col min="278" max="278" width="7.28515625" style="44" customWidth="1"/>
    <col min="279" max="279" width="7.140625" style="44" customWidth="1"/>
    <col min="280" max="280" width="8.7109375" style="44" customWidth="1"/>
    <col min="281" max="282" width="9.28515625" style="44"/>
    <col min="283" max="283" width="9.7109375" style="44" customWidth="1"/>
    <col min="284" max="284" width="6.7109375" style="44" customWidth="1"/>
    <col min="285" max="285" width="7" style="44" customWidth="1"/>
    <col min="286" max="286" width="5.28515625" style="44" customWidth="1"/>
    <col min="287" max="287" width="6.5703125" style="44" bestFit="1" customWidth="1"/>
    <col min="288" max="288" width="8.28515625" style="44" customWidth="1"/>
    <col min="289" max="289" width="8" style="44" customWidth="1"/>
    <col min="290" max="290" width="6.5703125" style="44" customWidth="1"/>
    <col min="291" max="291" width="8.28515625" style="44" customWidth="1"/>
    <col min="292" max="292" width="7.28515625" style="44" customWidth="1"/>
    <col min="293" max="293" width="8.140625" style="44" customWidth="1"/>
    <col min="294" max="294" width="7.42578125" style="44" customWidth="1"/>
    <col min="295" max="295" width="7.5703125" style="44" customWidth="1"/>
    <col min="296" max="296" width="6.5703125" style="44" customWidth="1"/>
    <col min="297" max="297" width="6.28515625" style="44" customWidth="1"/>
    <col min="298" max="298" width="7.7109375" style="44" customWidth="1"/>
    <col min="299" max="299" width="6.140625" style="44" customWidth="1"/>
    <col min="300" max="300" width="6.28515625" style="44" bestFit="1" customWidth="1"/>
    <col min="301" max="302" width="6.7109375" style="44" customWidth="1"/>
    <col min="303" max="303" width="6.5703125" style="44" customWidth="1"/>
    <col min="304" max="304" width="7.7109375" style="44" customWidth="1"/>
    <col min="305" max="305" width="5.7109375" style="44" customWidth="1"/>
    <col min="306" max="306" width="5.85546875" style="44" customWidth="1"/>
    <col min="307" max="307" width="6.7109375" style="44" customWidth="1"/>
    <col min="308" max="308" width="6.28515625" style="44" customWidth="1"/>
    <col min="309" max="309" width="7.5703125" style="44" customWidth="1"/>
    <col min="310" max="310" width="5.28515625" style="44" customWidth="1"/>
    <col min="311" max="311" width="6.140625" style="44" customWidth="1"/>
    <col min="312" max="313" width="6.28515625" style="44" customWidth="1"/>
    <col min="314" max="314" width="6.5703125" style="44" bestFit="1" customWidth="1"/>
    <col min="315" max="315" width="6.42578125" style="44" customWidth="1"/>
    <col min="316" max="316" width="6" style="44" customWidth="1"/>
    <col min="317" max="318" width="5.5703125" style="44" customWidth="1"/>
    <col min="319" max="319" width="5.7109375" style="44" customWidth="1"/>
    <col min="320" max="512" width="9.28515625" style="44"/>
    <col min="513" max="513" width="3.28515625" style="44" customWidth="1"/>
    <col min="514" max="514" width="32.28515625" style="44" customWidth="1"/>
    <col min="515" max="515" width="9.7109375" style="44" customWidth="1"/>
    <col min="516" max="516" width="10.140625" style="44" customWidth="1"/>
    <col min="517" max="521" width="0" style="44" hidden="1" customWidth="1"/>
    <col min="522" max="522" width="9.28515625" style="44"/>
    <col min="523" max="523" width="8.7109375" style="44" customWidth="1"/>
    <col min="524" max="524" width="6.7109375" style="44" customWidth="1"/>
    <col min="525" max="525" width="9.5703125" style="44" customWidth="1"/>
    <col min="526" max="526" width="6.7109375" style="44" customWidth="1"/>
    <col min="527" max="527" width="6.85546875" style="44" customWidth="1"/>
    <col min="528" max="528" width="9" style="44" customWidth="1"/>
    <col min="529" max="529" width="8.140625" style="44" customWidth="1"/>
    <col min="530" max="530" width="8" style="44" customWidth="1"/>
    <col min="531" max="531" width="9.140625" style="44" customWidth="1"/>
    <col min="532" max="532" width="7.7109375" style="44" customWidth="1"/>
    <col min="533" max="533" width="9.140625" style="44" customWidth="1"/>
    <col min="534" max="534" width="7.28515625" style="44" customWidth="1"/>
    <col min="535" max="535" width="7.140625" style="44" customWidth="1"/>
    <col min="536" max="536" width="8.7109375" style="44" customWidth="1"/>
    <col min="537" max="538" width="9.28515625" style="44"/>
    <col min="539" max="539" width="9.7109375" style="44" customWidth="1"/>
    <col min="540" max="540" width="6.7109375" style="44" customWidth="1"/>
    <col min="541" max="541" width="7" style="44" customWidth="1"/>
    <col min="542" max="542" width="5.28515625" style="44" customWidth="1"/>
    <col min="543" max="543" width="6.5703125" style="44" bestFit="1" customWidth="1"/>
    <col min="544" max="544" width="8.28515625" style="44" customWidth="1"/>
    <col min="545" max="545" width="8" style="44" customWidth="1"/>
    <col min="546" max="546" width="6.5703125" style="44" customWidth="1"/>
    <col min="547" max="547" width="8.28515625" style="44" customWidth="1"/>
    <col min="548" max="548" width="7.28515625" style="44" customWidth="1"/>
    <col min="549" max="549" width="8.140625" style="44" customWidth="1"/>
    <col min="550" max="550" width="7.42578125" style="44" customWidth="1"/>
    <col min="551" max="551" width="7.5703125" style="44" customWidth="1"/>
    <col min="552" max="552" width="6.5703125" style="44" customWidth="1"/>
    <col min="553" max="553" width="6.28515625" style="44" customWidth="1"/>
    <col min="554" max="554" width="7.7109375" style="44" customWidth="1"/>
    <col min="555" max="555" width="6.140625" style="44" customWidth="1"/>
    <col min="556" max="556" width="6.28515625" style="44" bestFit="1" customWidth="1"/>
    <col min="557" max="558" width="6.7109375" style="44" customWidth="1"/>
    <col min="559" max="559" width="6.5703125" style="44" customWidth="1"/>
    <col min="560" max="560" width="7.7109375" style="44" customWidth="1"/>
    <col min="561" max="561" width="5.7109375" style="44" customWidth="1"/>
    <col min="562" max="562" width="5.85546875" style="44" customWidth="1"/>
    <col min="563" max="563" width="6.7109375" style="44" customWidth="1"/>
    <col min="564" max="564" width="6.28515625" style="44" customWidth="1"/>
    <col min="565" max="565" width="7.5703125" style="44" customWidth="1"/>
    <col min="566" max="566" width="5.28515625" style="44" customWidth="1"/>
    <col min="567" max="567" width="6.140625" style="44" customWidth="1"/>
    <col min="568" max="569" width="6.28515625" style="44" customWidth="1"/>
    <col min="570" max="570" width="6.5703125" style="44" bestFit="1" customWidth="1"/>
    <col min="571" max="571" width="6.42578125" style="44" customWidth="1"/>
    <col min="572" max="572" width="6" style="44" customWidth="1"/>
    <col min="573" max="574" width="5.5703125" style="44" customWidth="1"/>
    <col min="575" max="575" width="5.7109375" style="44" customWidth="1"/>
    <col min="576" max="768" width="9.28515625" style="44"/>
    <col min="769" max="769" width="3.28515625" style="44" customWidth="1"/>
    <col min="770" max="770" width="32.28515625" style="44" customWidth="1"/>
    <col min="771" max="771" width="9.7109375" style="44" customWidth="1"/>
    <col min="772" max="772" width="10.140625" style="44" customWidth="1"/>
    <col min="773" max="777" width="0" style="44" hidden="1" customWidth="1"/>
    <col min="778" max="778" width="9.28515625" style="44"/>
    <col min="779" max="779" width="8.7109375" style="44" customWidth="1"/>
    <col min="780" max="780" width="6.7109375" style="44" customWidth="1"/>
    <col min="781" max="781" width="9.5703125" style="44" customWidth="1"/>
    <col min="782" max="782" width="6.7109375" style="44" customWidth="1"/>
    <col min="783" max="783" width="6.85546875" style="44" customWidth="1"/>
    <col min="784" max="784" width="9" style="44" customWidth="1"/>
    <col min="785" max="785" width="8.140625" style="44" customWidth="1"/>
    <col min="786" max="786" width="8" style="44" customWidth="1"/>
    <col min="787" max="787" width="9.140625" style="44" customWidth="1"/>
    <col min="788" max="788" width="7.7109375" style="44" customWidth="1"/>
    <col min="789" max="789" width="9.140625" style="44" customWidth="1"/>
    <col min="790" max="790" width="7.28515625" style="44" customWidth="1"/>
    <col min="791" max="791" width="7.140625" style="44" customWidth="1"/>
    <col min="792" max="792" width="8.7109375" style="44" customWidth="1"/>
    <col min="793" max="794" width="9.28515625" style="44"/>
    <col min="795" max="795" width="9.7109375" style="44" customWidth="1"/>
    <col min="796" max="796" width="6.7109375" style="44" customWidth="1"/>
    <col min="797" max="797" width="7" style="44" customWidth="1"/>
    <col min="798" max="798" width="5.28515625" style="44" customWidth="1"/>
    <col min="799" max="799" width="6.5703125" style="44" bestFit="1" customWidth="1"/>
    <col min="800" max="800" width="8.28515625" style="44" customWidth="1"/>
    <col min="801" max="801" width="8" style="44" customWidth="1"/>
    <col min="802" max="802" width="6.5703125" style="44" customWidth="1"/>
    <col min="803" max="803" width="8.28515625" style="44" customWidth="1"/>
    <col min="804" max="804" width="7.28515625" style="44" customWidth="1"/>
    <col min="805" max="805" width="8.140625" style="44" customWidth="1"/>
    <col min="806" max="806" width="7.42578125" style="44" customWidth="1"/>
    <col min="807" max="807" width="7.5703125" style="44" customWidth="1"/>
    <col min="808" max="808" width="6.5703125" style="44" customWidth="1"/>
    <col min="809" max="809" width="6.28515625" style="44" customWidth="1"/>
    <col min="810" max="810" width="7.7109375" style="44" customWidth="1"/>
    <col min="811" max="811" width="6.140625" style="44" customWidth="1"/>
    <col min="812" max="812" width="6.28515625" style="44" bestFit="1" customWidth="1"/>
    <col min="813" max="814" width="6.7109375" style="44" customWidth="1"/>
    <col min="815" max="815" width="6.5703125" style="44" customWidth="1"/>
    <col min="816" max="816" width="7.7109375" style="44" customWidth="1"/>
    <col min="817" max="817" width="5.7109375" style="44" customWidth="1"/>
    <col min="818" max="818" width="5.85546875" style="44" customWidth="1"/>
    <col min="819" max="819" width="6.7109375" style="44" customWidth="1"/>
    <col min="820" max="820" width="6.28515625" style="44" customWidth="1"/>
    <col min="821" max="821" width="7.5703125" style="44" customWidth="1"/>
    <col min="822" max="822" width="5.28515625" style="44" customWidth="1"/>
    <col min="823" max="823" width="6.140625" style="44" customWidth="1"/>
    <col min="824" max="825" width="6.28515625" style="44" customWidth="1"/>
    <col min="826" max="826" width="6.5703125" style="44" bestFit="1" customWidth="1"/>
    <col min="827" max="827" width="6.42578125" style="44" customWidth="1"/>
    <col min="828" max="828" width="6" style="44" customWidth="1"/>
    <col min="829" max="830" width="5.5703125" style="44" customWidth="1"/>
    <col min="831" max="831" width="5.7109375" style="44" customWidth="1"/>
    <col min="832" max="1024" width="9.28515625" style="44"/>
    <col min="1025" max="1025" width="3.28515625" style="44" customWidth="1"/>
    <col min="1026" max="1026" width="32.28515625" style="44" customWidth="1"/>
    <col min="1027" max="1027" width="9.7109375" style="44" customWidth="1"/>
    <col min="1028" max="1028" width="10.140625" style="44" customWidth="1"/>
    <col min="1029" max="1033" width="0" style="44" hidden="1" customWidth="1"/>
    <col min="1034" max="1034" width="9.28515625" style="44"/>
    <col min="1035" max="1035" width="8.7109375" style="44" customWidth="1"/>
    <col min="1036" max="1036" width="6.7109375" style="44" customWidth="1"/>
    <col min="1037" max="1037" width="9.5703125" style="44" customWidth="1"/>
    <col min="1038" max="1038" width="6.7109375" style="44" customWidth="1"/>
    <col min="1039" max="1039" width="6.85546875" style="44" customWidth="1"/>
    <col min="1040" max="1040" width="9" style="44" customWidth="1"/>
    <col min="1041" max="1041" width="8.140625" style="44" customWidth="1"/>
    <col min="1042" max="1042" width="8" style="44" customWidth="1"/>
    <col min="1043" max="1043" width="9.140625" style="44" customWidth="1"/>
    <col min="1044" max="1044" width="7.7109375" style="44" customWidth="1"/>
    <col min="1045" max="1045" width="9.140625" style="44" customWidth="1"/>
    <col min="1046" max="1046" width="7.28515625" style="44" customWidth="1"/>
    <col min="1047" max="1047" width="7.140625" style="44" customWidth="1"/>
    <col min="1048" max="1048" width="8.7109375" style="44" customWidth="1"/>
    <col min="1049" max="1050" width="9.28515625" style="44"/>
    <col min="1051" max="1051" width="9.7109375" style="44" customWidth="1"/>
    <col min="1052" max="1052" width="6.7109375" style="44" customWidth="1"/>
    <col min="1053" max="1053" width="7" style="44" customWidth="1"/>
    <col min="1054" max="1054" width="5.28515625" style="44" customWidth="1"/>
    <col min="1055" max="1055" width="6.5703125" style="44" bestFit="1" customWidth="1"/>
    <col min="1056" max="1056" width="8.28515625" style="44" customWidth="1"/>
    <col min="1057" max="1057" width="8" style="44" customWidth="1"/>
    <col min="1058" max="1058" width="6.5703125" style="44" customWidth="1"/>
    <col min="1059" max="1059" width="8.28515625" style="44" customWidth="1"/>
    <col min="1060" max="1060" width="7.28515625" style="44" customWidth="1"/>
    <col min="1061" max="1061" width="8.140625" style="44" customWidth="1"/>
    <col min="1062" max="1062" width="7.42578125" style="44" customWidth="1"/>
    <col min="1063" max="1063" width="7.5703125" style="44" customWidth="1"/>
    <col min="1064" max="1064" width="6.5703125" style="44" customWidth="1"/>
    <col min="1065" max="1065" width="6.28515625" style="44" customWidth="1"/>
    <col min="1066" max="1066" width="7.7109375" style="44" customWidth="1"/>
    <col min="1067" max="1067" width="6.140625" style="44" customWidth="1"/>
    <col min="1068" max="1068" width="6.28515625" style="44" bestFit="1" customWidth="1"/>
    <col min="1069" max="1070" width="6.7109375" style="44" customWidth="1"/>
    <col min="1071" max="1071" width="6.5703125" style="44" customWidth="1"/>
    <col min="1072" max="1072" width="7.7109375" style="44" customWidth="1"/>
    <col min="1073" max="1073" width="5.7109375" style="44" customWidth="1"/>
    <col min="1074" max="1074" width="5.85546875" style="44" customWidth="1"/>
    <col min="1075" max="1075" width="6.7109375" style="44" customWidth="1"/>
    <col min="1076" max="1076" width="6.28515625" style="44" customWidth="1"/>
    <col min="1077" max="1077" width="7.5703125" style="44" customWidth="1"/>
    <col min="1078" max="1078" width="5.28515625" style="44" customWidth="1"/>
    <col min="1079" max="1079" width="6.140625" style="44" customWidth="1"/>
    <col min="1080" max="1081" width="6.28515625" style="44" customWidth="1"/>
    <col min="1082" max="1082" width="6.5703125" style="44" bestFit="1" customWidth="1"/>
    <col min="1083" max="1083" width="6.42578125" style="44" customWidth="1"/>
    <col min="1084" max="1084" width="6" style="44" customWidth="1"/>
    <col min="1085" max="1086" width="5.5703125" style="44" customWidth="1"/>
    <col min="1087" max="1087" width="5.7109375" style="44" customWidth="1"/>
    <col min="1088" max="1280" width="9.28515625" style="44"/>
    <col min="1281" max="1281" width="3.28515625" style="44" customWidth="1"/>
    <col min="1282" max="1282" width="32.28515625" style="44" customWidth="1"/>
    <col min="1283" max="1283" width="9.7109375" style="44" customWidth="1"/>
    <col min="1284" max="1284" width="10.140625" style="44" customWidth="1"/>
    <col min="1285" max="1289" width="0" style="44" hidden="1" customWidth="1"/>
    <col min="1290" max="1290" width="9.28515625" style="44"/>
    <col min="1291" max="1291" width="8.7109375" style="44" customWidth="1"/>
    <col min="1292" max="1292" width="6.7109375" style="44" customWidth="1"/>
    <col min="1293" max="1293" width="9.5703125" style="44" customWidth="1"/>
    <col min="1294" max="1294" width="6.7109375" style="44" customWidth="1"/>
    <col min="1295" max="1295" width="6.85546875" style="44" customWidth="1"/>
    <col min="1296" max="1296" width="9" style="44" customWidth="1"/>
    <col min="1297" max="1297" width="8.140625" style="44" customWidth="1"/>
    <col min="1298" max="1298" width="8" style="44" customWidth="1"/>
    <col min="1299" max="1299" width="9.140625" style="44" customWidth="1"/>
    <col min="1300" max="1300" width="7.7109375" style="44" customWidth="1"/>
    <col min="1301" max="1301" width="9.140625" style="44" customWidth="1"/>
    <col min="1302" max="1302" width="7.28515625" style="44" customWidth="1"/>
    <col min="1303" max="1303" width="7.140625" style="44" customWidth="1"/>
    <col min="1304" max="1304" width="8.7109375" style="44" customWidth="1"/>
    <col min="1305" max="1306" width="9.28515625" style="44"/>
    <col min="1307" max="1307" width="9.7109375" style="44" customWidth="1"/>
    <col min="1308" max="1308" width="6.7109375" style="44" customWidth="1"/>
    <col min="1309" max="1309" width="7" style="44" customWidth="1"/>
    <col min="1310" max="1310" width="5.28515625" style="44" customWidth="1"/>
    <col min="1311" max="1311" width="6.5703125" style="44" bestFit="1" customWidth="1"/>
    <col min="1312" max="1312" width="8.28515625" style="44" customWidth="1"/>
    <col min="1313" max="1313" width="8" style="44" customWidth="1"/>
    <col min="1314" max="1314" width="6.5703125" style="44" customWidth="1"/>
    <col min="1315" max="1315" width="8.28515625" style="44" customWidth="1"/>
    <col min="1316" max="1316" width="7.28515625" style="44" customWidth="1"/>
    <col min="1317" max="1317" width="8.140625" style="44" customWidth="1"/>
    <col min="1318" max="1318" width="7.42578125" style="44" customWidth="1"/>
    <col min="1319" max="1319" width="7.5703125" style="44" customWidth="1"/>
    <col min="1320" max="1320" width="6.5703125" style="44" customWidth="1"/>
    <col min="1321" max="1321" width="6.28515625" style="44" customWidth="1"/>
    <col min="1322" max="1322" width="7.7109375" style="44" customWidth="1"/>
    <col min="1323" max="1323" width="6.140625" style="44" customWidth="1"/>
    <col min="1324" max="1324" width="6.28515625" style="44" bestFit="1" customWidth="1"/>
    <col min="1325" max="1326" width="6.7109375" style="44" customWidth="1"/>
    <col min="1327" max="1327" width="6.5703125" style="44" customWidth="1"/>
    <col min="1328" max="1328" width="7.7109375" style="44" customWidth="1"/>
    <col min="1329" max="1329" width="5.7109375" style="44" customWidth="1"/>
    <col min="1330" max="1330" width="5.85546875" style="44" customWidth="1"/>
    <col min="1331" max="1331" width="6.7109375" style="44" customWidth="1"/>
    <col min="1332" max="1332" width="6.28515625" style="44" customWidth="1"/>
    <col min="1333" max="1333" width="7.5703125" style="44" customWidth="1"/>
    <col min="1334" max="1334" width="5.28515625" style="44" customWidth="1"/>
    <col min="1335" max="1335" width="6.140625" style="44" customWidth="1"/>
    <col min="1336" max="1337" width="6.28515625" style="44" customWidth="1"/>
    <col min="1338" max="1338" width="6.5703125" style="44" bestFit="1" customWidth="1"/>
    <col min="1339" max="1339" width="6.42578125" style="44" customWidth="1"/>
    <col min="1340" max="1340" width="6" style="44" customWidth="1"/>
    <col min="1341" max="1342" width="5.5703125" style="44" customWidth="1"/>
    <col min="1343" max="1343" width="5.7109375" style="44" customWidth="1"/>
    <col min="1344" max="1536" width="9.28515625" style="44"/>
    <col min="1537" max="1537" width="3.28515625" style="44" customWidth="1"/>
    <col min="1538" max="1538" width="32.28515625" style="44" customWidth="1"/>
    <col min="1539" max="1539" width="9.7109375" style="44" customWidth="1"/>
    <col min="1540" max="1540" width="10.140625" style="44" customWidth="1"/>
    <col min="1541" max="1545" width="0" style="44" hidden="1" customWidth="1"/>
    <col min="1546" max="1546" width="9.28515625" style="44"/>
    <col min="1547" max="1547" width="8.7109375" style="44" customWidth="1"/>
    <col min="1548" max="1548" width="6.7109375" style="44" customWidth="1"/>
    <col min="1549" max="1549" width="9.5703125" style="44" customWidth="1"/>
    <col min="1550" max="1550" width="6.7109375" style="44" customWidth="1"/>
    <col min="1551" max="1551" width="6.85546875" style="44" customWidth="1"/>
    <col min="1552" max="1552" width="9" style="44" customWidth="1"/>
    <col min="1553" max="1553" width="8.140625" style="44" customWidth="1"/>
    <col min="1554" max="1554" width="8" style="44" customWidth="1"/>
    <col min="1555" max="1555" width="9.140625" style="44" customWidth="1"/>
    <col min="1556" max="1556" width="7.7109375" style="44" customWidth="1"/>
    <col min="1557" max="1557" width="9.140625" style="44" customWidth="1"/>
    <col min="1558" max="1558" width="7.28515625" style="44" customWidth="1"/>
    <col min="1559" max="1559" width="7.140625" style="44" customWidth="1"/>
    <col min="1560" max="1560" width="8.7109375" style="44" customWidth="1"/>
    <col min="1561" max="1562" width="9.28515625" style="44"/>
    <col min="1563" max="1563" width="9.7109375" style="44" customWidth="1"/>
    <col min="1564" max="1564" width="6.7109375" style="44" customWidth="1"/>
    <col min="1565" max="1565" width="7" style="44" customWidth="1"/>
    <col min="1566" max="1566" width="5.28515625" style="44" customWidth="1"/>
    <col min="1567" max="1567" width="6.5703125" style="44" bestFit="1" customWidth="1"/>
    <col min="1568" max="1568" width="8.28515625" style="44" customWidth="1"/>
    <col min="1569" max="1569" width="8" style="44" customWidth="1"/>
    <col min="1570" max="1570" width="6.5703125" style="44" customWidth="1"/>
    <col min="1571" max="1571" width="8.28515625" style="44" customWidth="1"/>
    <col min="1572" max="1572" width="7.28515625" style="44" customWidth="1"/>
    <col min="1573" max="1573" width="8.140625" style="44" customWidth="1"/>
    <col min="1574" max="1574" width="7.42578125" style="44" customWidth="1"/>
    <col min="1575" max="1575" width="7.5703125" style="44" customWidth="1"/>
    <col min="1576" max="1576" width="6.5703125" style="44" customWidth="1"/>
    <col min="1577" max="1577" width="6.28515625" style="44" customWidth="1"/>
    <col min="1578" max="1578" width="7.7109375" style="44" customWidth="1"/>
    <col min="1579" max="1579" width="6.140625" style="44" customWidth="1"/>
    <col min="1580" max="1580" width="6.28515625" style="44" bestFit="1" customWidth="1"/>
    <col min="1581" max="1582" width="6.7109375" style="44" customWidth="1"/>
    <col min="1583" max="1583" width="6.5703125" style="44" customWidth="1"/>
    <col min="1584" max="1584" width="7.7109375" style="44" customWidth="1"/>
    <col min="1585" max="1585" width="5.7109375" style="44" customWidth="1"/>
    <col min="1586" max="1586" width="5.85546875" style="44" customWidth="1"/>
    <col min="1587" max="1587" width="6.7109375" style="44" customWidth="1"/>
    <col min="1588" max="1588" width="6.28515625" style="44" customWidth="1"/>
    <col min="1589" max="1589" width="7.5703125" style="44" customWidth="1"/>
    <col min="1590" max="1590" width="5.28515625" style="44" customWidth="1"/>
    <col min="1591" max="1591" width="6.140625" style="44" customWidth="1"/>
    <col min="1592" max="1593" width="6.28515625" style="44" customWidth="1"/>
    <col min="1594" max="1594" width="6.5703125" style="44" bestFit="1" customWidth="1"/>
    <col min="1595" max="1595" width="6.42578125" style="44" customWidth="1"/>
    <col min="1596" max="1596" width="6" style="44" customWidth="1"/>
    <col min="1597" max="1598" width="5.5703125" style="44" customWidth="1"/>
    <col min="1599" max="1599" width="5.7109375" style="44" customWidth="1"/>
    <col min="1600" max="1792" width="9.28515625" style="44"/>
    <col min="1793" max="1793" width="3.28515625" style="44" customWidth="1"/>
    <col min="1794" max="1794" width="32.28515625" style="44" customWidth="1"/>
    <col min="1795" max="1795" width="9.7109375" style="44" customWidth="1"/>
    <col min="1796" max="1796" width="10.140625" style="44" customWidth="1"/>
    <col min="1797" max="1801" width="0" style="44" hidden="1" customWidth="1"/>
    <col min="1802" max="1802" width="9.28515625" style="44"/>
    <col min="1803" max="1803" width="8.7109375" style="44" customWidth="1"/>
    <col min="1804" max="1804" width="6.7109375" style="44" customWidth="1"/>
    <col min="1805" max="1805" width="9.5703125" style="44" customWidth="1"/>
    <col min="1806" max="1806" width="6.7109375" style="44" customWidth="1"/>
    <col min="1807" max="1807" width="6.85546875" style="44" customWidth="1"/>
    <col min="1808" max="1808" width="9" style="44" customWidth="1"/>
    <col min="1809" max="1809" width="8.140625" style="44" customWidth="1"/>
    <col min="1810" max="1810" width="8" style="44" customWidth="1"/>
    <col min="1811" max="1811" width="9.140625" style="44" customWidth="1"/>
    <col min="1812" max="1812" width="7.7109375" style="44" customWidth="1"/>
    <col min="1813" max="1813" width="9.140625" style="44" customWidth="1"/>
    <col min="1814" max="1814" width="7.28515625" style="44" customWidth="1"/>
    <col min="1815" max="1815" width="7.140625" style="44" customWidth="1"/>
    <col min="1816" max="1816" width="8.7109375" style="44" customWidth="1"/>
    <col min="1817" max="1818" width="9.28515625" style="44"/>
    <col min="1819" max="1819" width="9.7109375" style="44" customWidth="1"/>
    <col min="1820" max="1820" width="6.7109375" style="44" customWidth="1"/>
    <col min="1821" max="1821" width="7" style="44" customWidth="1"/>
    <col min="1822" max="1822" width="5.28515625" style="44" customWidth="1"/>
    <col min="1823" max="1823" width="6.5703125" style="44" bestFit="1" customWidth="1"/>
    <col min="1824" max="1824" width="8.28515625" style="44" customWidth="1"/>
    <col min="1825" max="1825" width="8" style="44" customWidth="1"/>
    <col min="1826" max="1826" width="6.5703125" style="44" customWidth="1"/>
    <col min="1827" max="1827" width="8.28515625" style="44" customWidth="1"/>
    <col min="1828" max="1828" width="7.28515625" style="44" customWidth="1"/>
    <col min="1829" max="1829" width="8.140625" style="44" customWidth="1"/>
    <col min="1830" max="1830" width="7.42578125" style="44" customWidth="1"/>
    <col min="1831" max="1831" width="7.5703125" style="44" customWidth="1"/>
    <col min="1832" max="1832" width="6.5703125" style="44" customWidth="1"/>
    <col min="1833" max="1833" width="6.28515625" style="44" customWidth="1"/>
    <col min="1834" max="1834" width="7.7109375" style="44" customWidth="1"/>
    <col min="1835" max="1835" width="6.140625" style="44" customWidth="1"/>
    <col min="1836" max="1836" width="6.28515625" style="44" bestFit="1" customWidth="1"/>
    <col min="1837" max="1838" width="6.7109375" style="44" customWidth="1"/>
    <col min="1839" max="1839" width="6.5703125" style="44" customWidth="1"/>
    <col min="1840" max="1840" width="7.7109375" style="44" customWidth="1"/>
    <col min="1841" max="1841" width="5.7109375" style="44" customWidth="1"/>
    <col min="1842" max="1842" width="5.85546875" style="44" customWidth="1"/>
    <col min="1843" max="1843" width="6.7109375" style="44" customWidth="1"/>
    <col min="1844" max="1844" width="6.28515625" style="44" customWidth="1"/>
    <col min="1845" max="1845" width="7.5703125" style="44" customWidth="1"/>
    <col min="1846" max="1846" width="5.28515625" style="44" customWidth="1"/>
    <col min="1847" max="1847" width="6.140625" style="44" customWidth="1"/>
    <col min="1848" max="1849" width="6.28515625" style="44" customWidth="1"/>
    <col min="1850" max="1850" width="6.5703125" style="44" bestFit="1" customWidth="1"/>
    <col min="1851" max="1851" width="6.42578125" style="44" customWidth="1"/>
    <col min="1852" max="1852" width="6" style="44" customWidth="1"/>
    <col min="1853" max="1854" width="5.5703125" style="44" customWidth="1"/>
    <col min="1855" max="1855" width="5.7109375" style="44" customWidth="1"/>
    <col min="1856" max="2048" width="9.28515625" style="44"/>
    <col min="2049" max="2049" width="3.28515625" style="44" customWidth="1"/>
    <col min="2050" max="2050" width="32.28515625" style="44" customWidth="1"/>
    <col min="2051" max="2051" width="9.7109375" style="44" customWidth="1"/>
    <col min="2052" max="2052" width="10.140625" style="44" customWidth="1"/>
    <col min="2053" max="2057" width="0" style="44" hidden="1" customWidth="1"/>
    <col min="2058" max="2058" width="9.28515625" style="44"/>
    <col min="2059" max="2059" width="8.7109375" style="44" customWidth="1"/>
    <col min="2060" max="2060" width="6.7109375" style="44" customWidth="1"/>
    <col min="2061" max="2061" width="9.5703125" style="44" customWidth="1"/>
    <col min="2062" max="2062" width="6.7109375" style="44" customWidth="1"/>
    <col min="2063" max="2063" width="6.85546875" style="44" customWidth="1"/>
    <col min="2064" max="2064" width="9" style="44" customWidth="1"/>
    <col min="2065" max="2065" width="8.140625" style="44" customWidth="1"/>
    <col min="2066" max="2066" width="8" style="44" customWidth="1"/>
    <col min="2067" max="2067" width="9.140625" style="44" customWidth="1"/>
    <col min="2068" max="2068" width="7.7109375" style="44" customWidth="1"/>
    <col min="2069" max="2069" width="9.140625" style="44" customWidth="1"/>
    <col min="2070" max="2070" width="7.28515625" style="44" customWidth="1"/>
    <col min="2071" max="2071" width="7.140625" style="44" customWidth="1"/>
    <col min="2072" max="2072" width="8.7109375" style="44" customWidth="1"/>
    <col min="2073" max="2074" width="9.28515625" style="44"/>
    <col min="2075" max="2075" width="9.7109375" style="44" customWidth="1"/>
    <col min="2076" max="2076" width="6.7109375" style="44" customWidth="1"/>
    <col min="2077" max="2077" width="7" style="44" customWidth="1"/>
    <col min="2078" max="2078" width="5.28515625" style="44" customWidth="1"/>
    <col min="2079" max="2079" width="6.5703125" style="44" bestFit="1" customWidth="1"/>
    <col min="2080" max="2080" width="8.28515625" style="44" customWidth="1"/>
    <col min="2081" max="2081" width="8" style="44" customWidth="1"/>
    <col min="2082" max="2082" width="6.5703125" style="44" customWidth="1"/>
    <col min="2083" max="2083" width="8.28515625" style="44" customWidth="1"/>
    <col min="2084" max="2084" width="7.28515625" style="44" customWidth="1"/>
    <col min="2085" max="2085" width="8.140625" style="44" customWidth="1"/>
    <col min="2086" max="2086" width="7.42578125" style="44" customWidth="1"/>
    <col min="2087" max="2087" width="7.5703125" style="44" customWidth="1"/>
    <col min="2088" max="2088" width="6.5703125" style="44" customWidth="1"/>
    <col min="2089" max="2089" width="6.28515625" style="44" customWidth="1"/>
    <col min="2090" max="2090" width="7.7109375" style="44" customWidth="1"/>
    <col min="2091" max="2091" width="6.140625" style="44" customWidth="1"/>
    <col min="2092" max="2092" width="6.28515625" style="44" bestFit="1" customWidth="1"/>
    <col min="2093" max="2094" width="6.7109375" style="44" customWidth="1"/>
    <col min="2095" max="2095" width="6.5703125" style="44" customWidth="1"/>
    <col min="2096" max="2096" width="7.7109375" style="44" customWidth="1"/>
    <col min="2097" max="2097" width="5.7109375" style="44" customWidth="1"/>
    <col min="2098" max="2098" width="5.85546875" style="44" customWidth="1"/>
    <col min="2099" max="2099" width="6.7109375" style="44" customWidth="1"/>
    <col min="2100" max="2100" width="6.28515625" style="44" customWidth="1"/>
    <col min="2101" max="2101" width="7.5703125" style="44" customWidth="1"/>
    <col min="2102" max="2102" width="5.28515625" style="44" customWidth="1"/>
    <col min="2103" max="2103" width="6.140625" style="44" customWidth="1"/>
    <col min="2104" max="2105" width="6.28515625" style="44" customWidth="1"/>
    <col min="2106" max="2106" width="6.5703125" style="44" bestFit="1" customWidth="1"/>
    <col min="2107" max="2107" width="6.42578125" style="44" customWidth="1"/>
    <col min="2108" max="2108" width="6" style="44" customWidth="1"/>
    <col min="2109" max="2110" width="5.5703125" style="44" customWidth="1"/>
    <col min="2111" max="2111" width="5.7109375" style="44" customWidth="1"/>
    <col min="2112" max="2304" width="9.28515625" style="44"/>
    <col min="2305" max="2305" width="3.28515625" style="44" customWidth="1"/>
    <col min="2306" max="2306" width="32.28515625" style="44" customWidth="1"/>
    <col min="2307" max="2307" width="9.7109375" style="44" customWidth="1"/>
    <col min="2308" max="2308" width="10.140625" style="44" customWidth="1"/>
    <col min="2309" max="2313" width="0" style="44" hidden="1" customWidth="1"/>
    <col min="2314" max="2314" width="9.28515625" style="44"/>
    <col min="2315" max="2315" width="8.7109375" style="44" customWidth="1"/>
    <col min="2316" max="2316" width="6.7109375" style="44" customWidth="1"/>
    <col min="2317" max="2317" width="9.5703125" style="44" customWidth="1"/>
    <col min="2318" max="2318" width="6.7109375" style="44" customWidth="1"/>
    <col min="2319" max="2319" width="6.85546875" style="44" customWidth="1"/>
    <col min="2320" max="2320" width="9" style="44" customWidth="1"/>
    <col min="2321" max="2321" width="8.140625" style="44" customWidth="1"/>
    <col min="2322" max="2322" width="8" style="44" customWidth="1"/>
    <col min="2323" max="2323" width="9.140625" style="44" customWidth="1"/>
    <col min="2324" max="2324" width="7.7109375" style="44" customWidth="1"/>
    <col min="2325" max="2325" width="9.140625" style="44" customWidth="1"/>
    <col min="2326" max="2326" width="7.28515625" style="44" customWidth="1"/>
    <col min="2327" max="2327" width="7.140625" style="44" customWidth="1"/>
    <col min="2328" max="2328" width="8.7109375" style="44" customWidth="1"/>
    <col min="2329" max="2330" width="9.28515625" style="44"/>
    <col min="2331" max="2331" width="9.7109375" style="44" customWidth="1"/>
    <col min="2332" max="2332" width="6.7109375" style="44" customWidth="1"/>
    <col min="2333" max="2333" width="7" style="44" customWidth="1"/>
    <col min="2334" max="2334" width="5.28515625" style="44" customWidth="1"/>
    <col min="2335" max="2335" width="6.5703125" style="44" bestFit="1" customWidth="1"/>
    <col min="2336" max="2336" width="8.28515625" style="44" customWidth="1"/>
    <col min="2337" max="2337" width="8" style="44" customWidth="1"/>
    <col min="2338" max="2338" width="6.5703125" style="44" customWidth="1"/>
    <col min="2339" max="2339" width="8.28515625" style="44" customWidth="1"/>
    <col min="2340" max="2340" width="7.28515625" style="44" customWidth="1"/>
    <col min="2341" max="2341" width="8.140625" style="44" customWidth="1"/>
    <col min="2342" max="2342" width="7.42578125" style="44" customWidth="1"/>
    <col min="2343" max="2343" width="7.5703125" style="44" customWidth="1"/>
    <col min="2344" max="2344" width="6.5703125" style="44" customWidth="1"/>
    <col min="2345" max="2345" width="6.28515625" style="44" customWidth="1"/>
    <col min="2346" max="2346" width="7.7109375" style="44" customWidth="1"/>
    <col min="2347" max="2347" width="6.140625" style="44" customWidth="1"/>
    <col min="2348" max="2348" width="6.28515625" style="44" bestFit="1" customWidth="1"/>
    <col min="2349" max="2350" width="6.7109375" style="44" customWidth="1"/>
    <col min="2351" max="2351" width="6.5703125" style="44" customWidth="1"/>
    <col min="2352" max="2352" width="7.7109375" style="44" customWidth="1"/>
    <col min="2353" max="2353" width="5.7109375" style="44" customWidth="1"/>
    <col min="2354" max="2354" width="5.85546875" style="44" customWidth="1"/>
    <col min="2355" max="2355" width="6.7109375" style="44" customWidth="1"/>
    <col min="2356" max="2356" width="6.28515625" style="44" customWidth="1"/>
    <col min="2357" max="2357" width="7.5703125" style="44" customWidth="1"/>
    <col min="2358" max="2358" width="5.28515625" style="44" customWidth="1"/>
    <col min="2359" max="2359" width="6.140625" style="44" customWidth="1"/>
    <col min="2360" max="2361" width="6.28515625" style="44" customWidth="1"/>
    <col min="2362" max="2362" width="6.5703125" style="44" bestFit="1" customWidth="1"/>
    <col min="2363" max="2363" width="6.42578125" style="44" customWidth="1"/>
    <col min="2364" max="2364" width="6" style="44" customWidth="1"/>
    <col min="2365" max="2366" width="5.5703125" style="44" customWidth="1"/>
    <col min="2367" max="2367" width="5.7109375" style="44" customWidth="1"/>
    <col min="2368" max="2560" width="9.28515625" style="44"/>
    <col min="2561" max="2561" width="3.28515625" style="44" customWidth="1"/>
    <col min="2562" max="2562" width="32.28515625" style="44" customWidth="1"/>
    <col min="2563" max="2563" width="9.7109375" style="44" customWidth="1"/>
    <col min="2564" max="2564" width="10.140625" style="44" customWidth="1"/>
    <col min="2565" max="2569" width="0" style="44" hidden="1" customWidth="1"/>
    <col min="2570" max="2570" width="9.28515625" style="44"/>
    <col min="2571" max="2571" width="8.7109375" style="44" customWidth="1"/>
    <col min="2572" max="2572" width="6.7109375" style="44" customWidth="1"/>
    <col min="2573" max="2573" width="9.5703125" style="44" customWidth="1"/>
    <col min="2574" max="2574" width="6.7109375" style="44" customWidth="1"/>
    <col min="2575" max="2575" width="6.85546875" style="44" customWidth="1"/>
    <col min="2576" max="2576" width="9" style="44" customWidth="1"/>
    <col min="2577" max="2577" width="8.140625" style="44" customWidth="1"/>
    <col min="2578" max="2578" width="8" style="44" customWidth="1"/>
    <col min="2579" max="2579" width="9.140625" style="44" customWidth="1"/>
    <col min="2580" max="2580" width="7.7109375" style="44" customWidth="1"/>
    <col min="2581" max="2581" width="9.140625" style="44" customWidth="1"/>
    <col min="2582" max="2582" width="7.28515625" style="44" customWidth="1"/>
    <col min="2583" max="2583" width="7.140625" style="44" customWidth="1"/>
    <col min="2584" max="2584" width="8.7109375" style="44" customWidth="1"/>
    <col min="2585" max="2586" width="9.28515625" style="44"/>
    <col min="2587" max="2587" width="9.7109375" style="44" customWidth="1"/>
    <col min="2588" max="2588" width="6.7109375" style="44" customWidth="1"/>
    <col min="2589" max="2589" width="7" style="44" customWidth="1"/>
    <col min="2590" max="2590" width="5.28515625" style="44" customWidth="1"/>
    <col min="2591" max="2591" width="6.5703125" style="44" bestFit="1" customWidth="1"/>
    <col min="2592" max="2592" width="8.28515625" style="44" customWidth="1"/>
    <col min="2593" max="2593" width="8" style="44" customWidth="1"/>
    <col min="2594" max="2594" width="6.5703125" style="44" customWidth="1"/>
    <col min="2595" max="2595" width="8.28515625" style="44" customWidth="1"/>
    <col min="2596" max="2596" width="7.28515625" style="44" customWidth="1"/>
    <col min="2597" max="2597" width="8.140625" style="44" customWidth="1"/>
    <col min="2598" max="2598" width="7.42578125" style="44" customWidth="1"/>
    <col min="2599" max="2599" width="7.5703125" style="44" customWidth="1"/>
    <col min="2600" max="2600" width="6.5703125" style="44" customWidth="1"/>
    <col min="2601" max="2601" width="6.28515625" style="44" customWidth="1"/>
    <col min="2602" max="2602" width="7.7109375" style="44" customWidth="1"/>
    <col min="2603" max="2603" width="6.140625" style="44" customWidth="1"/>
    <col min="2604" max="2604" width="6.28515625" style="44" bestFit="1" customWidth="1"/>
    <col min="2605" max="2606" width="6.7109375" style="44" customWidth="1"/>
    <col min="2607" max="2607" width="6.5703125" style="44" customWidth="1"/>
    <col min="2608" max="2608" width="7.7109375" style="44" customWidth="1"/>
    <col min="2609" max="2609" width="5.7109375" style="44" customWidth="1"/>
    <col min="2610" max="2610" width="5.85546875" style="44" customWidth="1"/>
    <col min="2611" max="2611" width="6.7109375" style="44" customWidth="1"/>
    <col min="2612" max="2612" width="6.28515625" style="44" customWidth="1"/>
    <col min="2613" max="2613" width="7.5703125" style="44" customWidth="1"/>
    <col min="2614" max="2614" width="5.28515625" style="44" customWidth="1"/>
    <col min="2615" max="2615" width="6.140625" style="44" customWidth="1"/>
    <col min="2616" max="2617" width="6.28515625" style="44" customWidth="1"/>
    <col min="2618" max="2618" width="6.5703125" style="44" bestFit="1" customWidth="1"/>
    <col min="2619" max="2619" width="6.42578125" style="44" customWidth="1"/>
    <col min="2620" max="2620" width="6" style="44" customWidth="1"/>
    <col min="2621" max="2622" width="5.5703125" style="44" customWidth="1"/>
    <col min="2623" max="2623" width="5.7109375" style="44" customWidth="1"/>
    <col min="2624" max="2816" width="9.28515625" style="44"/>
    <col min="2817" max="2817" width="3.28515625" style="44" customWidth="1"/>
    <col min="2818" max="2818" width="32.28515625" style="44" customWidth="1"/>
    <col min="2819" max="2819" width="9.7109375" style="44" customWidth="1"/>
    <col min="2820" max="2820" width="10.140625" style="44" customWidth="1"/>
    <col min="2821" max="2825" width="0" style="44" hidden="1" customWidth="1"/>
    <col min="2826" max="2826" width="9.28515625" style="44"/>
    <col min="2827" max="2827" width="8.7109375" style="44" customWidth="1"/>
    <col min="2828" max="2828" width="6.7109375" style="44" customWidth="1"/>
    <col min="2829" max="2829" width="9.5703125" style="44" customWidth="1"/>
    <col min="2830" max="2830" width="6.7109375" style="44" customWidth="1"/>
    <col min="2831" max="2831" width="6.85546875" style="44" customWidth="1"/>
    <col min="2832" max="2832" width="9" style="44" customWidth="1"/>
    <col min="2833" max="2833" width="8.140625" style="44" customWidth="1"/>
    <col min="2834" max="2834" width="8" style="44" customWidth="1"/>
    <col min="2835" max="2835" width="9.140625" style="44" customWidth="1"/>
    <col min="2836" max="2836" width="7.7109375" style="44" customWidth="1"/>
    <col min="2837" max="2837" width="9.140625" style="44" customWidth="1"/>
    <col min="2838" max="2838" width="7.28515625" style="44" customWidth="1"/>
    <col min="2839" max="2839" width="7.140625" style="44" customWidth="1"/>
    <col min="2840" max="2840" width="8.7109375" style="44" customWidth="1"/>
    <col min="2841" max="2842" width="9.28515625" style="44"/>
    <col min="2843" max="2843" width="9.7109375" style="44" customWidth="1"/>
    <col min="2844" max="2844" width="6.7109375" style="44" customWidth="1"/>
    <col min="2845" max="2845" width="7" style="44" customWidth="1"/>
    <col min="2846" max="2846" width="5.28515625" style="44" customWidth="1"/>
    <col min="2847" max="2847" width="6.5703125" style="44" bestFit="1" customWidth="1"/>
    <col min="2848" max="2848" width="8.28515625" style="44" customWidth="1"/>
    <col min="2849" max="2849" width="8" style="44" customWidth="1"/>
    <col min="2850" max="2850" width="6.5703125" style="44" customWidth="1"/>
    <col min="2851" max="2851" width="8.28515625" style="44" customWidth="1"/>
    <col min="2852" max="2852" width="7.28515625" style="44" customWidth="1"/>
    <col min="2853" max="2853" width="8.140625" style="44" customWidth="1"/>
    <col min="2854" max="2854" width="7.42578125" style="44" customWidth="1"/>
    <col min="2855" max="2855" width="7.5703125" style="44" customWidth="1"/>
    <col min="2856" max="2856" width="6.5703125" style="44" customWidth="1"/>
    <col min="2857" max="2857" width="6.28515625" style="44" customWidth="1"/>
    <col min="2858" max="2858" width="7.7109375" style="44" customWidth="1"/>
    <col min="2859" max="2859" width="6.140625" style="44" customWidth="1"/>
    <col min="2860" max="2860" width="6.28515625" style="44" bestFit="1" customWidth="1"/>
    <col min="2861" max="2862" width="6.7109375" style="44" customWidth="1"/>
    <col min="2863" max="2863" width="6.5703125" style="44" customWidth="1"/>
    <col min="2864" max="2864" width="7.7109375" style="44" customWidth="1"/>
    <col min="2865" max="2865" width="5.7109375" style="44" customWidth="1"/>
    <col min="2866" max="2866" width="5.85546875" style="44" customWidth="1"/>
    <col min="2867" max="2867" width="6.7109375" style="44" customWidth="1"/>
    <col min="2868" max="2868" width="6.28515625" style="44" customWidth="1"/>
    <col min="2869" max="2869" width="7.5703125" style="44" customWidth="1"/>
    <col min="2870" max="2870" width="5.28515625" style="44" customWidth="1"/>
    <col min="2871" max="2871" width="6.140625" style="44" customWidth="1"/>
    <col min="2872" max="2873" width="6.28515625" style="44" customWidth="1"/>
    <col min="2874" max="2874" width="6.5703125" style="44" bestFit="1" customWidth="1"/>
    <col min="2875" max="2875" width="6.42578125" style="44" customWidth="1"/>
    <col min="2876" max="2876" width="6" style="44" customWidth="1"/>
    <col min="2877" max="2878" width="5.5703125" style="44" customWidth="1"/>
    <col min="2879" max="2879" width="5.7109375" style="44" customWidth="1"/>
    <col min="2880" max="3072" width="9.28515625" style="44"/>
    <col min="3073" max="3073" width="3.28515625" style="44" customWidth="1"/>
    <col min="3074" max="3074" width="32.28515625" style="44" customWidth="1"/>
    <col min="3075" max="3075" width="9.7109375" style="44" customWidth="1"/>
    <col min="3076" max="3076" width="10.140625" style="44" customWidth="1"/>
    <col min="3077" max="3081" width="0" style="44" hidden="1" customWidth="1"/>
    <col min="3082" max="3082" width="9.28515625" style="44"/>
    <col min="3083" max="3083" width="8.7109375" style="44" customWidth="1"/>
    <col min="3084" max="3084" width="6.7109375" style="44" customWidth="1"/>
    <col min="3085" max="3085" width="9.5703125" style="44" customWidth="1"/>
    <col min="3086" max="3086" width="6.7109375" style="44" customWidth="1"/>
    <col min="3087" max="3087" width="6.85546875" style="44" customWidth="1"/>
    <col min="3088" max="3088" width="9" style="44" customWidth="1"/>
    <col min="3089" max="3089" width="8.140625" style="44" customWidth="1"/>
    <col min="3090" max="3090" width="8" style="44" customWidth="1"/>
    <col min="3091" max="3091" width="9.140625" style="44" customWidth="1"/>
    <col min="3092" max="3092" width="7.7109375" style="44" customWidth="1"/>
    <col min="3093" max="3093" width="9.140625" style="44" customWidth="1"/>
    <col min="3094" max="3094" width="7.28515625" style="44" customWidth="1"/>
    <col min="3095" max="3095" width="7.140625" style="44" customWidth="1"/>
    <col min="3096" max="3096" width="8.7109375" style="44" customWidth="1"/>
    <col min="3097" max="3098" width="9.28515625" style="44"/>
    <col min="3099" max="3099" width="9.7109375" style="44" customWidth="1"/>
    <col min="3100" max="3100" width="6.7109375" style="44" customWidth="1"/>
    <col min="3101" max="3101" width="7" style="44" customWidth="1"/>
    <col min="3102" max="3102" width="5.28515625" style="44" customWidth="1"/>
    <col min="3103" max="3103" width="6.5703125" style="44" bestFit="1" customWidth="1"/>
    <col min="3104" max="3104" width="8.28515625" style="44" customWidth="1"/>
    <col min="3105" max="3105" width="8" style="44" customWidth="1"/>
    <col min="3106" max="3106" width="6.5703125" style="44" customWidth="1"/>
    <col min="3107" max="3107" width="8.28515625" style="44" customWidth="1"/>
    <col min="3108" max="3108" width="7.28515625" style="44" customWidth="1"/>
    <col min="3109" max="3109" width="8.140625" style="44" customWidth="1"/>
    <col min="3110" max="3110" width="7.42578125" style="44" customWidth="1"/>
    <col min="3111" max="3111" width="7.5703125" style="44" customWidth="1"/>
    <col min="3112" max="3112" width="6.5703125" style="44" customWidth="1"/>
    <col min="3113" max="3113" width="6.28515625" style="44" customWidth="1"/>
    <col min="3114" max="3114" width="7.7109375" style="44" customWidth="1"/>
    <col min="3115" max="3115" width="6.140625" style="44" customWidth="1"/>
    <col min="3116" max="3116" width="6.28515625" style="44" bestFit="1" customWidth="1"/>
    <col min="3117" max="3118" width="6.7109375" style="44" customWidth="1"/>
    <col min="3119" max="3119" width="6.5703125" style="44" customWidth="1"/>
    <col min="3120" max="3120" width="7.7109375" style="44" customWidth="1"/>
    <col min="3121" max="3121" width="5.7109375" style="44" customWidth="1"/>
    <col min="3122" max="3122" width="5.85546875" style="44" customWidth="1"/>
    <col min="3123" max="3123" width="6.7109375" style="44" customWidth="1"/>
    <col min="3124" max="3124" width="6.28515625" style="44" customWidth="1"/>
    <col min="3125" max="3125" width="7.5703125" style="44" customWidth="1"/>
    <col min="3126" max="3126" width="5.28515625" style="44" customWidth="1"/>
    <col min="3127" max="3127" width="6.140625" style="44" customWidth="1"/>
    <col min="3128" max="3129" width="6.28515625" style="44" customWidth="1"/>
    <col min="3130" max="3130" width="6.5703125" style="44" bestFit="1" customWidth="1"/>
    <col min="3131" max="3131" width="6.42578125" style="44" customWidth="1"/>
    <col min="3132" max="3132" width="6" style="44" customWidth="1"/>
    <col min="3133" max="3134" width="5.5703125" style="44" customWidth="1"/>
    <col min="3135" max="3135" width="5.7109375" style="44" customWidth="1"/>
    <col min="3136" max="3328" width="9.28515625" style="44"/>
    <col min="3329" max="3329" width="3.28515625" style="44" customWidth="1"/>
    <col min="3330" max="3330" width="32.28515625" style="44" customWidth="1"/>
    <col min="3331" max="3331" width="9.7109375" style="44" customWidth="1"/>
    <col min="3332" max="3332" width="10.140625" style="44" customWidth="1"/>
    <col min="3333" max="3337" width="0" style="44" hidden="1" customWidth="1"/>
    <col min="3338" max="3338" width="9.28515625" style="44"/>
    <col min="3339" max="3339" width="8.7109375" style="44" customWidth="1"/>
    <col min="3340" max="3340" width="6.7109375" style="44" customWidth="1"/>
    <col min="3341" max="3341" width="9.5703125" style="44" customWidth="1"/>
    <col min="3342" max="3342" width="6.7109375" style="44" customWidth="1"/>
    <col min="3343" max="3343" width="6.85546875" style="44" customWidth="1"/>
    <col min="3344" max="3344" width="9" style="44" customWidth="1"/>
    <col min="3345" max="3345" width="8.140625" style="44" customWidth="1"/>
    <col min="3346" max="3346" width="8" style="44" customWidth="1"/>
    <col min="3347" max="3347" width="9.140625" style="44" customWidth="1"/>
    <col min="3348" max="3348" width="7.7109375" style="44" customWidth="1"/>
    <col min="3349" max="3349" width="9.140625" style="44" customWidth="1"/>
    <col min="3350" max="3350" width="7.28515625" style="44" customWidth="1"/>
    <col min="3351" max="3351" width="7.140625" style="44" customWidth="1"/>
    <col min="3352" max="3352" width="8.7109375" style="44" customWidth="1"/>
    <col min="3353" max="3354" width="9.28515625" style="44"/>
    <col min="3355" max="3355" width="9.7109375" style="44" customWidth="1"/>
    <col min="3356" max="3356" width="6.7109375" style="44" customWidth="1"/>
    <col min="3357" max="3357" width="7" style="44" customWidth="1"/>
    <col min="3358" max="3358" width="5.28515625" style="44" customWidth="1"/>
    <col min="3359" max="3359" width="6.5703125" style="44" bestFit="1" customWidth="1"/>
    <col min="3360" max="3360" width="8.28515625" style="44" customWidth="1"/>
    <col min="3361" max="3361" width="8" style="44" customWidth="1"/>
    <col min="3362" max="3362" width="6.5703125" style="44" customWidth="1"/>
    <col min="3363" max="3363" width="8.28515625" style="44" customWidth="1"/>
    <col min="3364" max="3364" width="7.28515625" style="44" customWidth="1"/>
    <col min="3365" max="3365" width="8.140625" style="44" customWidth="1"/>
    <col min="3366" max="3366" width="7.42578125" style="44" customWidth="1"/>
    <col min="3367" max="3367" width="7.5703125" style="44" customWidth="1"/>
    <col min="3368" max="3368" width="6.5703125" style="44" customWidth="1"/>
    <col min="3369" max="3369" width="6.28515625" style="44" customWidth="1"/>
    <col min="3370" max="3370" width="7.7109375" style="44" customWidth="1"/>
    <col min="3371" max="3371" width="6.140625" style="44" customWidth="1"/>
    <col min="3372" max="3372" width="6.28515625" style="44" bestFit="1" customWidth="1"/>
    <col min="3373" max="3374" width="6.7109375" style="44" customWidth="1"/>
    <col min="3375" max="3375" width="6.5703125" style="44" customWidth="1"/>
    <col min="3376" max="3376" width="7.7109375" style="44" customWidth="1"/>
    <col min="3377" max="3377" width="5.7109375" style="44" customWidth="1"/>
    <col min="3378" max="3378" width="5.85546875" style="44" customWidth="1"/>
    <col min="3379" max="3379" width="6.7109375" style="44" customWidth="1"/>
    <col min="3380" max="3380" width="6.28515625" style="44" customWidth="1"/>
    <col min="3381" max="3381" width="7.5703125" style="44" customWidth="1"/>
    <col min="3382" max="3382" width="5.28515625" style="44" customWidth="1"/>
    <col min="3383" max="3383" width="6.140625" style="44" customWidth="1"/>
    <col min="3384" max="3385" width="6.28515625" style="44" customWidth="1"/>
    <col min="3386" max="3386" width="6.5703125" style="44" bestFit="1" customWidth="1"/>
    <col min="3387" max="3387" width="6.42578125" style="44" customWidth="1"/>
    <col min="3388" max="3388" width="6" style="44" customWidth="1"/>
    <col min="3389" max="3390" width="5.5703125" style="44" customWidth="1"/>
    <col min="3391" max="3391" width="5.7109375" style="44" customWidth="1"/>
    <col min="3392" max="3584" width="9.28515625" style="44"/>
    <col min="3585" max="3585" width="3.28515625" style="44" customWidth="1"/>
    <col min="3586" max="3586" width="32.28515625" style="44" customWidth="1"/>
    <col min="3587" max="3587" width="9.7109375" style="44" customWidth="1"/>
    <col min="3588" max="3588" width="10.140625" style="44" customWidth="1"/>
    <col min="3589" max="3593" width="0" style="44" hidden="1" customWidth="1"/>
    <col min="3594" max="3594" width="9.28515625" style="44"/>
    <col min="3595" max="3595" width="8.7109375" style="44" customWidth="1"/>
    <col min="3596" max="3596" width="6.7109375" style="44" customWidth="1"/>
    <col min="3597" max="3597" width="9.5703125" style="44" customWidth="1"/>
    <col min="3598" max="3598" width="6.7109375" style="44" customWidth="1"/>
    <col min="3599" max="3599" width="6.85546875" style="44" customWidth="1"/>
    <col min="3600" max="3600" width="9" style="44" customWidth="1"/>
    <col min="3601" max="3601" width="8.140625" style="44" customWidth="1"/>
    <col min="3602" max="3602" width="8" style="44" customWidth="1"/>
    <col min="3603" max="3603" width="9.140625" style="44" customWidth="1"/>
    <col min="3604" max="3604" width="7.7109375" style="44" customWidth="1"/>
    <col min="3605" max="3605" width="9.140625" style="44" customWidth="1"/>
    <col min="3606" max="3606" width="7.28515625" style="44" customWidth="1"/>
    <col min="3607" max="3607" width="7.140625" style="44" customWidth="1"/>
    <col min="3608" max="3608" width="8.7109375" style="44" customWidth="1"/>
    <col min="3609" max="3610" width="9.28515625" style="44"/>
    <col min="3611" max="3611" width="9.7109375" style="44" customWidth="1"/>
    <col min="3612" max="3612" width="6.7109375" style="44" customWidth="1"/>
    <col min="3613" max="3613" width="7" style="44" customWidth="1"/>
    <col min="3614" max="3614" width="5.28515625" style="44" customWidth="1"/>
    <col min="3615" max="3615" width="6.5703125" style="44" bestFit="1" customWidth="1"/>
    <col min="3616" max="3616" width="8.28515625" style="44" customWidth="1"/>
    <col min="3617" max="3617" width="8" style="44" customWidth="1"/>
    <col min="3618" max="3618" width="6.5703125" style="44" customWidth="1"/>
    <col min="3619" max="3619" width="8.28515625" style="44" customWidth="1"/>
    <col min="3620" max="3620" width="7.28515625" style="44" customWidth="1"/>
    <col min="3621" max="3621" width="8.140625" style="44" customWidth="1"/>
    <col min="3622" max="3622" width="7.42578125" style="44" customWidth="1"/>
    <col min="3623" max="3623" width="7.5703125" style="44" customWidth="1"/>
    <col min="3624" max="3624" width="6.5703125" style="44" customWidth="1"/>
    <col min="3625" max="3625" width="6.28515625" style="44" customWidth="1"/>
    <col min="3626" max="3626" width="7.7109375" style="44" customWidth="1"/>
    <col min="3627" max="3627" width="6.140625" style="44" customWidth="1"/>
    <col min="3628" max="3628" width="6.28515625" style="44" bestFit="1" customWidth="1"/>
    <col min="3629" max="3630" width="6.7109375" style="44" customWidth="1"/>
    <col min="3631" max="3631" width="6.5703125" style="44" customWidth="1"/>
    <col min="3632" max="3632" width="7.7109375" style="44" customWidth="1"/>
    <col min="3633" max="3633" width="5.7109375" style="44" customWidth="1"/>
    <col min="3634" max="3634" width="5.85546875" style="44" customWidth="1"/>
    <col min="3635" max="3635" width="6.7109375" style="44" customWidth="1"/>
    <col min="3636" max="3636" width="6.28515625" style="44" customWidth="1"/>
    <col min="3637" max="3637" width="7.5703125" style="44" customWidth="1"/>
    <col min="3638" max="3638" width="5.28515625" style="44" customWidth="1"/>
    <col min="3639" max="3639" width="6.140625" style="44" customWidth="1"/>
    <col min="3640" max="3641" width="6.28515625" style="44" customWidth="1"/>
    <col min="3642" max="3642" width="6.5703125" style="44" bestFit="1" customWidth="1"/>
    <col min="3643" max="3643" width="6.42578125" style="44" customWidth="1"/>
    <col min="3644" max="3644" width="6" style="44" customWidth="1"/>
    <col min="3645" max="3646" width="5.5703125" style="44" customWidth="1"/>
    <col min="3647" max="3647" width="5.7109375" style="44" customWidth="1"/>
    <col min="3648" max="3840" width="9.28515625" style="44"/>
    <col min="3841" max="3841" width="3.28515625" style="44" customWidth="1"/>
    <col min="3842" max="3842" width="32.28515625" style="44" customWidth="1"/>
    <col min="3843" max="3843" width="9.7109375" style="44" customWidth="1"/>
    <col min="3844" max="3844" width="10.140625" style="44" customWidth="1"/>
    <col min="3845" max="3849" width="0" style="44" hidden="1" customWidth="1"/>
    <col min="3850" max="3850" width="9.28515625" style="44"/>
    <col min="3851" max="3851" width="8.7109375" style="44" customWidth="1"/>
    <col min="3852" max="3852" width="6.7109375" style="44" customWidth="1"/>
    <col min="3853" max="3853" width="9.5703125" style="44" customWidth="1"/>
    <col min="3854" max="3854" width="6.7109375" style="44" customWidth="1"/>
    <col min="3855" max="3855" width="6.85546875" style="44" customWidth="1"/>
    <col min="3856" max="3856" width="9" style="44" customWidth="1"/>
    <col min="3857" max="3857" width="8.140625" style="44" customWidth="1"/>
    <col min="3858" max="3858" width="8" style="44" customWidth="1"/>
    <col min="3859" max="3859" width="9.140625" style="44" customWidth="1"/>
    <col min="3860" max="3860" width="7.7109375" style="44" customWidth="1"/>
    <col min="3861" max="3861" width="9.140625" style="44" customWidth="1"/>
    <col min="3862" max="3862" width="7.28515625" style="44" customWidth="1"/>
    <col min="3863" max="3863" width="7.140625" style="44" customWidth="1"/>
    <col min="3864" max="3864" width="8.7109375" style="44" customWidth="1"/>
    <col min="3865" max="3866" width="9.28515625" style="44"/>
    <col min="3867" max="3867" width="9.7109375" style="44" customWidth="1"/>
    <col min="3868" max="3868" width="6.7109375" style="44" customWidth="1"/>
    <col min="3869" max="3869" width="7" style="44" customWidth="1"/>
    <col min="3870" max="3870" width="5.28515625" style="44" customWidth="1"/>
    <col min="3871" max="3871" width="6.5703125" style="44" bestFit="1" customWidth="1"/>
    <col min="3872" max="3872" width="8.28515625" style="44" customWidth="1"/>
    <col min="3873" max="3873" width="8" style="44" customWidth="1"/>
    <col min="3874" max="3874" width="6.5703125" style="44" customWidth="1"/>
    <col min="3875" max="3875" width="8.28515625" style="44" customWidth="1"/>
    <col min="3876" max="3876" width="7.28515625" style="44" customWidth="1"/>
    <col min="3877" max="3877" width="8.140625" style="44" customWidth="1"/>
    <col min="3878" max="3878" width="7.42578125" style="44" customWidth="1"/>
    <col min="3879" max="3879" width="7.5703125" style="44" customWidth="1"/>
    <col min="3880" max="3880" width="6.5703125" style="44" customWidth="1"/>
    <col min="3881" max="3881" width="6.28515625" style="44" customWidth="1"/>
    <col min="3882" max="3882" width="7.7109375" style="44" customWidth="1"/>
    <col min="3883" max="3883" width="6.140625" style="44" customWidth="1"/>
    <col min="3884" max="3884" width="6.28515625" style="44" bestFit="1" customWidth="1"/>
    <col min="3885" max="3886" width="6.7109375" style="44" customWidth="1"/>
    <col min="3887" max="3887" width="6.5703125" style="44" customWidth="1"/>
    <col min="3888" max="3888" width="7.7109375" style="44" customWidth="1"/>
    <col min="3889" max="3889" width="5.7109375" style="44" customWidth="1"/>
    <col min="3890" max="3890" width="5.85546875" style="44" customWidth="1"/>
    <col min="3891" max="3891" width="6.7109375" style="44" customWidth="1"/>
    <col min="3892" max="3892" width="6.28515625" style="44" customWidth="1"/>
    <col min="3893" max="3893" width="7.5703125" style="44" customWidth="1"/>
    <col min="3894" max="3894" width="5.28515625" style="44" customWidth="1"/>
    <col min="3895" max="3895" width="6.140625" style="44" customWidth="1"/>
    <col min="3896" max="3897" width="6.28515625" style="44" customWidth="1"/>
    <col min="3898" max="3898" width="6.5703125" style="44" bestFit="1" customWidth="1"/>
    <col min="3899" max="3899" width="6.42578125" style="44" customWidth="1"/>
    <col min="3900" max="3900" width="6" style="44" customWidth="1"/>
    <col min="3901" max="3902" width="5.5703125" style="44" customWidth="1"/>
    <col min="3903" max="3903" width="5.7109375" style="44" customWidth="1"/>
    <col min="3904" max="4096" width="9.28515625" style="44"/>
    <col min="4097" max="4097" width="3.28515625" style="44" customWidth="1"/>
    <col min="4098" max="4098" width="32.28515625" style="44" customWidth="1"/>
    <col min="4099" max="4099" width="9.7109375" style="44" customWidth="1"/>
    <col min="4100" max="4100" width="10.140625" style="44" customWidth="1"/>
    <col min="4101" max="4105" width="0" style="44" hidden="1" customWidth="1"/>
    <col min="4106" max="4106" width="9.28515625" style="44"/>
    <col min="4107" max="4107" width="8.7109375" style="44" customWidth="1"/>
    <col min="4108" max="4108" width="6.7109375" style="44" customWidth="1"/>
    <col min="4109" max="4109" width="9.5703125" style="44" customWidth="1"/>
    <col min="4110" max="4110" width="6.7109375" style="44" customWidth="1"/>
    <col min="4111" max="4111" width="6.85546875" style="44" customWidth="1"/>
    <col min="4112" max="4112" width="9" style="44" customWidth="1"/>
    <col min="4113" max="4113" width="8.140625" style="44" customWidth="1"/>
    <col min="4114" max="4114" width="8" style="44" customWidth="1"/>
    <col min="4115" max="4115" width="9.140625" style="44" customWidth="1"/>
    <col min="4116" max="4116" width="7.7109375" style="44" customWidth="1"/>
    <col min="4117" max="4117" width="9.140625" style="44" customWidth="1"/>
    <col min="4118" max="4118" width="7.28515625" style="44" customWidth="1"/>
    <col min="4119" max="4119" width="7.140625" style="44" customWidth="1"/>
    <col min="4120" max="4120" width="8.7109375" style="44" customWidth="1"/>
    <col min="4121" max="4122" width="9.28515625" style="44"/>
    <col min="4123" max="4123" width="9.7109375" style="44" customWidth="1"/>
    <col min="4124" max="4124" width="6.7109375" style="44" customWidth="1"/>
    <col min="4125" max="4125" width="7" style="44" customWidth="1"/>
    <col min="4126" max="4126" width="5.28515625" style="44" customWidth="1"/>
    <col min="4127" max="4127" width="6.5703125" style="44" bestFit="1" customWidth="1"/>
    <col min="4128" max="4128" width="8.28515625" style="44" customWidth="1"/>
    <col min="4129" max="4129" width="8" style="44" customWidth="1"/>
    <col min="4130" max="4130" width="6.5703125" style="44" customWidth="1"/>
    <col min="4131" max="4131" width="8.28515625" style="44" customWidth="1"/>
    <col min="4132" max="4132" width="7.28515625" style="44" customWidth="1"/>
    <col min="4133" max="4133" width="8.140625" style="44" customWidth="1"/>
    <col min="4134" max="4134" width="7.42578125" style="44" customWidth="1"/>
    <col min="4135" max="4135" width="7.5703125" style="44" customWidth="1"/>
    <col min="4136" max="4136" width="6.5703125" style="44" customWidth="1"/>
    <col min="4137" max="4137" width="6.28515625" style="44" customWidth="1"/>
    <col min="4138" max="4138" width="7.7109375" style="44" customWidth="1"/>
    <col min="4139" max="4139" width="6.140625" style="44" customWidth="1"/>
    <col min="4140" max="4140" width="6.28515625" style="44" bestFit="1" customWidth="1"/>
    <col min="4141" max="4142" width="6.7109375" style="44" customWidth="1"/>
    <col min="4143" max="4143" width="6.5703125" style="44" customWidth="1"/>
    <col min="4144" max="4144" width="7.7109375" style="44" customWidth="1"/>
    <col min="4145" max="4145" width="5.7109375" style="44" customWidth="1"/>
    <col min="4146" max="4146" width="5.85546875" style="44" customWidth="1"/>
    <col min="4147" max="4147" width="6.7109375" style="44" customWidth="1"/>
    <col min="4148" max="4148" width="6.28515625" style="44" customWidth="1"/>
    <col min="4149" max="4149" width="7.5703125" style="44" customWidth="1"/>
    <col min="4150" max="4150" width="5.28515625" style="44" customWidth="1"/>
    <col min="4151" max="4151" width="6.140625" style="44" customWidth="1"/>
    <col min="4152" max="4153" width="6.28515625" style="44" customWidth="1"/>
    <col min="4154" max="4154" width="6.5703125" style="44" bestFit="1" customWidth="1"/>
    <col min="4155" max="4155" width="6.42578125" style="44" customWidth="1"/>
    <col min="4156" max="4156" width="6" style="44" customWidth="1"/>
    <col min="4157" max="4158" width="5.5703125" style="44" customWidth="1"/>
    <col min="4159" max="4159" width="5.7109375" style="44" customWidth="1"/>
    <col min="4160" max="4352" width="9.28515625" style="44"/>
    <col min="4353" max="4353" width="3.28515625" style="44" customWidth="1"/>
    <col min="4354" max="4354" width="32.28515625" style="44" customWidth="1"/>
    <col min="4355" max="4355" width="9.7109375" style="44" customWidth="1"/>
    <col min="4356" max="4356" width="10.140625" style="44" customWidth="1"/>
    <col min="4357" max="4361" width="0" style="44" hidden="1" customWidth="1"/>
    <col min="4362" max="4362" width="9.28515625" style="44"/>
    <col min="4363" max="4363" width="8.7109375" style="44" customWidth="1"/>
    <col min="4364" max="4364" width="6.7109375" style="44" customWidth="1"/>
    <col min="4365" max="4365" width="9.5703125" style="44" customWidth="1"/>
    <col min="4366" max="4366" width="6.7109375" style="44" customWidth="1"/>
    <col min="4367" max="4367" width="6.85546875" style="44" customWidth="1"/>
    <col min="4368" max="4368" width="9" style="44" customWidth="1"/>
    <col min="4369" max="4369" width="8.140625" style="44" customWidth="1"/>
    <col min="4370" max="4370" width="8" style="44" customWidth="1"/>
    <col min="4371" max="4371" width="9.140625" style="44" customWidth="1"/>
    <col min="4372" max="4372" width="7.7109375" style="44" customWidth="1"/>
    <col min="4373" max="4373" width="9.140625" style="44" customWidth="1"/>
    <col min="4374" max="4374" width="7.28515625" style="44" customWidth="1"/>
    <col min="4375" max="4375" width="7.140625" style="44" customWidth="1"/>
    <col min="4376" max="4376" width="8.7109375" style="44" customWidth="1"/>
    <col min="4377" max="4378" width="9.28515625" style="44"/>
    <col min="4379" max="4379" width="9.7109375" style="44" customWidth="1"/>
    <col min="4380" max="4380" width="6.7109375" style="44" customWidth="1"/>
    <col min="4381" max="4381" width="7" style="44" customWidth="1"/>
    <col min="4382" max="4382" width="5.28515625" style="44" customWidth="1"/>
    <col min="4383" max="4383" width="6.5703125" style="44" bestFit="1" customWidth="1"/>
    <col min="4384" max="4384" width="8.28515625" style="44" customWidth="1"/>
    <col min="4385" max="4385" width="8" style="44" customWidth="1"/>
    <col min="4386" max="4386" width="6.5703125" style="44" customWidth="1"/>
    <col min="4387" max="4387" width="8.28515625" style="44" customWidth="1"/>
    <col min="4388" max="4388" width="7.28515625" style="44" customWidth="1"/>
    <col min="4389" max="4389" width="8.140625" style="44" customWidth="1"/>
    <col min="4390" max="4390" width="7.42578125" style="44" customWidth="1"/>
    <col min="4391" max="4391" width="7.5703125" style="44" customWidth="1"/>
    <col min="4392" max="4392" width="6.5703125" style="44" customWidth="1"/>
    <col min="4393" max="4393" width="6.28515625" style="44" customWidth="1"/>
    <col min="4394" max="4394" width="7.7109375" style="44" customWidth="1"/>
    <col min="4395" max="4395" width="6.140625" style="44" customWidth="1"/>
    <col min="4396" max="4396" width="6.28515625" style="44" bestFit="1" customWidth="1"/>
    <col min="4397" max="4398" width="6.7109375" style="44" customWidth="1"/>
    <col min="4399" max="4399" width="6.5703125" style="44" customWidth="1"/>
    <col min="4400" max="4400" width="7.7109375" style="44" customWidth="1"/>
    <col min="4401" max="4401" width="5.7109375" style="44" customWidth="1"/>
    <col min="4402" max="4402" width="5.85546875" style="44" customWidth="1"/>
    <col min="4403" max="4403" width="6.7109375" style="44" customWidth="1"/>
    <col min="4404" max="4404" width="6.28515625" style="44" customWidth="1"/>
    <col min="4405" max="4405" width="7.5703125" style="44" customWidth="1"/>
    <col min="4406" max="4406" width="5.28515625" style="44" customWidth="1"/>
    <col min="4407" max="4407" width="6.140625" style="44" customWidth="1"/>
    <col min="4408" max="4409" width="6.28515625" style="44" customWidth="1"/>
    <col min="4410" max="4410" width="6.5703125" style="44" bestFit="1" customWidth="1"/>
    <col min="4411" max="4411" width="6.42578125" style="44" customWidth="1"/>
    <col min="4412" max="4412" width="6" style="44" customWidth="1"/>
    <col min="4413" max="4414" width="5.5703125" style="44" customWidth="1"/>
    <col min="4415" max="4415" width="5.7109375" style="44" customWidth="1"/>
    <col min="4416" max="4608" width="9.28515625" style="44"/>
    <col min="4609" max="4609" width="3.28515625" style="44" customWidth="1"/>
    <col min="4610" max="4610" width="32.28515625" style="44" customWidth="1"/>
    <col min="4611" max="4611" width="9.7109375" style="44" customWidth="1"/>
    <col min="4612" max="4612" width="10.140625" style="44" customWidth="1"/>
    <col min="4613" max="4617" width="0" style="44" hidden="1" customWidth="1"/>
    <col min="4618" max="4618" width="9.28515625" style="44"/>
    <col min="4619" max="4619" width="8.7109375" style="44" customWidth="1"/>
    <col min="4620" max="4620" width="6.7109375" style="44" customWidth="1"/>
    <col min="4621" max="4621" width="9.5703125" style="44" customWidth="1"/>
    <col min="4622" max="4622" width="6.7109375" style="44" customWidth="1"/>
    <col min="4623" max="4623" width="6.85546875" style="44" customWidth="1"/>
    <col min="4624" max="4624" width="9" style="44" customWidth="1"/>
    <col min="4625" max="4625" width="8.140625" style="44" customWidth="1"/>
    <col min="4626" max="4626" width="8" style="44" customWidth="1"/>
    <col min="4627" max="4627" width="9.140625" style="44" customWidth="1"/>
    <col min="4628" max="4628" width="7.7109375" style="44" customWidth="1"/>
    <col min="4629" max="4629" width="9.140625" style="44" customWidth="1"/>
    <col min="4630" max="4630" width="7.28515625" style="44" customWidth="1"/>
    <col min="4631" max="4631" width="7.140625" style="44" customWidth="1"/>
    <col min="4632" max="4632" width="8.7109375" style="44" customWidth="1"/>
    <col min="4633" max="4634" width="9.28515625" style="44"/>
    <col min="4635" max="4635" width="9.7109375" style="44" customWidth="1"/>
    <col min="4636" max="4636" width="6.7109375" style="44" customWidth="1"/>
    <col min="4637" max="4637" width="7" style="44" customWidth="1"/>
    <col min="4638" max="4638" width="5.28515625" style="44" customWidth="1"/>
    <col min="4639" max="4639" width="6.5703125" style="44" bestFit="1" customWidth="1"/>
    <col min="4640" max="4640" width="8.28515625" style="44" customWidth="1"/>
    <col min="4641" max="4641" width="8" style="44" customWidth="1"/>
    <col min="4642" max="4642" width="6.5703125" style="44" customWidth="1"/>
    <col min="4643" max="4643" width="8.28515625" style="44" customWidth="1"/>
    <col min="4644" max="4644" width="7.28515625" style="44" customWidth="1"/>
    <col min="4645" max="4645" width="8.140625" style="44" customWidth="1"/>
    <col min="4646" max="4646" width="7.42578125" style="44" customWidth="1"/>
    <col min="4647" max="4647" width="7.5703125" style="44" customWidth="1"/>
    <col min="4648" max="4648" width="6.5703125" style="44" customWidth="1"/>
    <col min="4649" max="4649" width="6.28515625" style="44" customWidth="1"/>
    <col min="4650" max="4650" width="7.7109375" style="44" customWidth="1"/>
    <col min="4651" max="4651" width="6.140625" style="44" customWidth="1"/>
    <col min="4652" max="4652" width="6.28515625" style="44" bestFit="1" customWidth="1"/>
    <col min="4653" max="4654" width="6.7109375" style="44" customWidth="1"/>
    <col min="4655" max="4655" width="6.5703125" style="44" customWidth="1"/>
    <col min="4656" max="4656" width="7.7109375" style="44" customWidth="1"/>
    <col min="4657" max="4657" width="5.7109375" style="44" customWidth="1"/>
    <col min="4658" max="4658" width="5.85546875" style="44" customWidth="1"/>
    <col min="4659" max="4659" width="6.7109375" style="44" customWidth="1"/>
    <col min="4660" max="4660" width="6.28515625" style="44" customWidth="1"/>
    <col min="4661" max="4661" width="7.5703125" style="44" customWidth="1"/>
    <col min="4662" max="4662" width="5.28515625" style="44" customWidth="1"/>
    <col min="4663" max="4663" width="6.140625" style="44" customWidth="1"/>
    <col min="4664" max="4665" width="6.28515625" style="44" customWidth="1"/>
    <col min="4666" max="4666" width="6.5703125" style="44" bestFit="1" customWidth="1"/>
    <col min="4667" max="4667" width="6.42578125" style="44" customWidth="1"/>
    <col min="4668" max="4668" width="6" style="44" customWidth="1"/>
    <col min="4669" max="4670" width="5.5703125" style="44" customWidth="1"/>
    <col min="4671" max="4671" width="5.7109375" style="44" customWidth="1"/>
    <col min="4672" max="4864" width="9.28515625" style="44"/>
    <col min="4865" max="4865" width="3.28515625" style="44" customWidth="1"/>
    <col min="4866" max="4866" width="32.28515625" style="44" customWidth="1"/>
    <col min="4867" max="4867" width="9.7109375" style="44" customWidth="1"/>
    <col min="4868" max="4868" width="10.140625" style="44" customWidth="1"/>
    <col min="4869" max="4873" width="0" style="44" hidden="1" customWidth="1"/>
    <col min="4874" max="4874" width="9.28515625" style="44"/>
    <col min="4875" max="4875" width="8.7109375" style="44" customWidth="1"/>
    <col min="4876" max="4876" width="6.7109375" style="44" customWidth="1"/>
    <col min="4877" max="4877" width="9.5703125" style="44" customWidth="1"/>
    <col min="4878" max="4878" width="6.7109375" style="44" customWidth="1"/>
    <col min="4879" max="4879" width="6.85546875" style="44" customWidth="1"/>
    <col min="4880" max="4880" width="9" style="44" customWidth="1"/>
    <col min="4881" max="4881" width="8.140625" style="44" customWidth="1"/>
    <col min="4882" max="4882" width="8" style="44" customWidth="1"/>
    <col min="4883" max="4883" width="9.140625" style="44" customWidth="1"/>
    <col min="4884" max="4884" width="7.7109375" style="44" customWidth="1"/>
    <col min="4885" max="4885" width="9.140625" style="44" customWidth="1"/>
    <col min="4886" max="4886" width="7.28515625" style="44" customWidth="1"/>
    <col min="4887" max="4887" width="7.140625" style="44" customWidth="1"/>
    <col min="4888" max="4888" width="8.7109375" style="44" customWidth="1"/>
    <col min="4889" max="4890" width="9.28515625" style="44"/>
    <col min="4891" max="4891" width="9.7109375" style="44" customWidth="1"/>
    <col min="4892" max="4892" width="6.7109375" style="44" customWidth="1"/>
    <col min="4893" max="4893" width="7" style="44" customWidth="1"/>
    <col min="4894" max="4894" width="5.28515625" style="44" customWidth="1"/>
    <col min="4895" max="4895" width="6.5703125" style="44" bestFit="1" customWidth="1"/>
    <col min="4896" max="4896" width="8.28515625" style="44" customWidth="1"/>
    <col min="4897" max="4897" width="8" style="44" customWidth="1"/>
    <col min="4898" max="4898" width="6.5703125" style="44" customWidth="1"/>
    <col min="4899" max="4899" width="8.28515625" style="44" customWidth="1"/>
    <col min="4900" max="4900" width="7.28515625" style="44" customWidth="1"/>
    <col min="4901" max="4901" width="8.140625" style="44" customWidth="1"/>
    <col min="4902" max="4902" width="7.42578125" style="44" customWidth="1"/>
    <col min="4903" max="4903" width="7.5703125" style="44" customWidth="1"/>
    <col min="4904" max="4904" width="6.5703125" style="44" customWidth="1"/>
    <col min="4905" max="4905" width="6.28515625" style="44" customWidth="1"/>
    <col min="4906" max="4906" width="7.7109375" style="44" customWidth="1"/>
    <col min="4907" max="4907" width="6.140625" style="44" customWidth="1"/>
    <col min="4908" max="4908" width="6.28515625" style="44" bestFit="1" customWidth="1"/>
    <col min="4909" max="4910" width="6.7109375" style="44" customWidth="1"/>
    <col min="4911" max="4911" width="6.5703125" style="44" customWidth="1"/>
    <col min="4912" max="4912" width="7.7109375" style="44" customWidth="1"/>
    <col min="4913" max="4913" width="5.7109375" style="44" customWidth="1"/>
    <col min="4914" max="4914" width="5.85546875" style="44" customWidth="1"/>
    <col min="4915" max="4915" width="6.7109375" style="44" customWidth="1"/>
    <col min="4916" max="4916" width="6.28515625" style="44" customWidth="1"/>
    <col min="4917" max="4917" width="7.5703125" style="44" customWidth="1"/>
    <col min="4918" max="4918" width="5.28515625" style="44" customWidth="1"/>
    <col min="4919" max="4919" width="6.140625" style="44" customWidth="1"/>
    <col min="4920" max="4921" width="6.28515625" style="44" customWidth="1"/>
    <col min="4922" max="4922" width="6.5703125" style="44" bestFit="1" customWidth="1"/>
    <col min="4923" max="4923" width="6.42578125" style="44" customWidth="1"/>
    <col min="4924" max="4924" width="6" style="44" customWidth="1"/>
    <col min="4925" max="4926" width="5.5703125" style="44" customWidth="1"/>
    <col min="4927" max="4927" width="5.7109375" style="44" customWidth="1"/>
    <col min="4928" max="5120" width="9.28515625" style="44"/>
    <col min="5121" max="5121" width="3.28515625" style="44" customWidth="1"/>
    <col min="5122" max="5122" width="32.28515625" style="44" customWidth="1"/>
    <col min="5123" max="5123" width="9.7109375" style="44" customWidth="1"/>
    <col min="5124" max="5124" width="10.140625" style="44" customWidth="1"/>
    <col min="5125" max="5129" width="0" style="44" hidden="1" customWidth="1"/>
    <col min="5130" max="5130" width="9.28515625" style="44"/>
    <col min="5131" max="5131" width="8.7109375" style="44" customWidth="1"/>
    <col min="5132" max="5132" width="6.7109375" style="44" customWidth="1"/>
    <col min="5133" max="5133" width="9.5703125" style="44" customWidth="1"/>
    <col min="5134" max="5134" width="6.7109375" style="44" customWidth="1"/>
    <col min="5135" max="5135" width="6.85546875" style="44" customWidth="1"/>
    <col min="5136" max="5136" width="9" style="44" customWidth="1"/>
    <col min="5137" max="5137" width="8.140625" style="44" customWidth="1"/>
    <col min="5138" max="5138" width="8" style="44" customWidth="1"/>
    <col min="5139" max="5139" width="9.140625" style="44" customWidth="1"/>
    <col min="5140" max="5140" width="7.7109375" style="44" customWidth="1"/>
    <col min="5141" max="5141" width="9.140625" style="44" customWidth="1"/>
    <col min="5142" max="5142" width="7.28515625" style="44" customWidth="1"/>
    <col min="5143" max="5143" width="7.140625" style="44" customWidth="1"/>
    <col min="5144" max="5144" width="8.7109375" style="44" customWidth="1"/>
    <col min="5145" max="5146" width="9.28515625" style="44"/>
    <col min="5147" max="5147" width="9.7109375" style="44" customWidth="1"/>
    <col min="5148" max="5148" width="6.7109375" style="44" customWidth="1"/>
    <col min="5149" max="5149" width="7" style="44" customWidth="1"/>
    <col min="5150" max="5150" width="5.28515625" style="44" customWidth="1"/>
    <col min="5151" max="5151" width="6.5703125" style="44" bestFit="1" customWidth="1"/>
    <col min="5152" max="5152" width="8.28515625" style="44" customWidth="1"/>
    <col min="5153" max="5153" width="8" style="44" customWidth="1"/>
    <col min="5154" max="5154" width="6.5703125" style="44" customWidth="1"/>
    <col min="5155" max="5155" width="8.28515625" style="44" customWidth="1"/>
    <col min="5156" max="5156" width="7.28515625" style="44" customWidth="1"/>
    <col min="5157" max="5157" width="8.140625" style="44" customWidth="1"/>
    <col min="5158" max="5158" width="7.42578125" style="44" customWidth="1"/>
    <col min="5159" max="5159" width="7.5703125" style="44" customWidth="1"/>
    <col min="5160" max="5160" width="6.5703125" style="44" customWidth="1"/>
    <col min="5161" max="5161" width="6.28515625" style="44" customWidth="1"/>
    <col min="5162" max="5162" width="7.7109375" style="44" customWidth="1"/>
    <col min="5163" max="5163" width="6.140625" style="44" customWidth="1"/>
    <col min="5164" max="5164" width="6.28515625" style="44" bestFit="1" customWidth="1"/>
    <col min="5165" max="5166" width="6.7109375" style="44" customWidth="1"/>
    <col min="5167" max="5167" width="6.5703125" style="44" customWidth="1"/>
    <col min="5168" max="5168" width="7.7109375" style="44" customWidth="1"/>
    <col min="5169" max="5169" width="5.7109375" style="44" customWidth="1"/>
    <col min="5170" max="5170" width="5.85546875" style="44" customWidth="1"/>
    <col min="5171" max="5171" width="6.7109375" style="44" customWidth="1"/>
    <col min="5172" max="5172" width="6.28515625" style="44" customWidth="1"/>
    <col min="5173" max="5173" width="7.5703125" style="44" customWidth="1"/>
    <col min="5174" max="5174" width="5.28515625" style="44" customWidth="1"/>
    <col min="5175" max="5175" width="6.140625" style="44" customWidth="1"/>
    <col min="5176" max="5177" width="6.28515625" style="44" customWidth="1"/>
    <col min="5178" max="5178" width="6.5703125" style="44" bestFit="1" customWidth="1"/>
    <col min="5179" max="5179" width="6.42578125" style="44" customWidth="1"/>
    <col min="5180" max="5180" width="6" style="44" customWidth="1"/>
    <col min="5181" max="5182" width="5.5703125" style="44" customWidth="1"/>
    <col min="5183" max="5183" width="5.7109375" style="44" customWidth="1"/>
    <col min="5184" max="5376" width="9.28515625" style="44"/>
    <col min="5377" max="5377" width="3.28515625" style="44" customWidth="1"/>
    <col min="5378" max="5378" width="32.28515625" style="44" customWidth="1"/>
    <col min="5379" max="5379" width="9.7109375" style="44" customWidth="1"/>
    <col min="5380" max="5380" width="10.140625" style="44" customWidth="1"/>
    <col min="5381" max="5385" width="0" style="44" hidden="1" customWidth="1"/>
    <col min="5386" max="5386" width="9.28515625" style="44"/>
    <col min="5387" max="5387" width="8.7109375" style="44" customWidth="1"/>
    <col min="5388" max="5388" width="6.7109375" style="44" customWidth="1"/>
    <col min="5389" max="5389" width="9.5703125" style="44" customWidth="1"/>
    <col min="5390" max="5390" width="6.7109375" style="44" customWidth="1"/>
    <col min="5391" max="5391" width="6.85546875" style="44" customWidth="1"/>
    <col min="5392" max="5392" width="9" style="44" customWidth="1"/>
    <col min="5393" max="5393" width="8.140625" style="44" customWidth="1"/>
    <col min="5394" max="5394" width="8" style="44" customWidth="1"/>
    <col min="5395" max="5395" width="9.140625" style="44" customWidth="1"/>
    <col min="5396" max="5396" width="7.7109375" style="44" customWidth="1"/>
    <col min="5397" max="5397" width="9.140625" style="44" customWidth="1"/>
    <col min="5398" max="5398" width="7.28515625" style="44" customWidth="1"/>
    <col min="5399" max="5399" width="7.140625" style="44" customWidth="1"/>
    <col min="5400" max="5400" width="8.7109375" style="44" customWidth="1"/>
    <col min="5401" max="5402" width="9.28515625" style="44"/>
    <col min="5403" max="5403" width="9.7109375" style="44" customWidth="1"/>
    <col min="5404" max="5404" width="6.7109375" style="44" customWidth="1"/>
    <col min="5405" max="5405" width="7" style="44" customWidth="1"/>
    <col min="5406" max="5406" width="5.28515625" style="44" customWidth="1"/>
    <col min="5407" max="5407" width="6.5703125" style="44" bestFit="1" customWidth="1"/>
    <col min="5408" max="5408" width="8.28515625" style="44" customWidth="1"/>
    <col min="5409" max="5409" width="8" style="44" customWidth="1"/>
    <col min="5410" max="5410" width="6.5703125" style="44" customWidth="1"/>
    <col min="5411" max="5411" width="8.28515625" style="44" customWidth="1"/>
    <col min="5412" max="5412" width="7.28515625" style="44" customWidth="1"/>
    <col min="5413" max="5413" width="8.140625" style="44" customWidth="1"/>
    <col min="5414" max="5414" width="7.42578125" style="44" customWidth="1"/>
    <col min="5415" max="5415" width="7.5703125" style="44" customWidth="1"/>
    <col min="5416" max="5416" width="6.5703125" style="44" customWidth="1"/>
    <col min="5417" max="5417" width="6.28515625" style="44" customWidth="1"/>
    <col min="5418" max="5418" width="7.7109375" style="44" customWidth="1"/>
    <col min="5419" max="5419" width="6.140625" style="44" customWidth="1"/>
    <col min="5420" max="5420" width="6.28515625" style="44" bestFit="1" customWidth="1"/>
    <col min="5421" max="5422" width="6.7109375" style="44" customWidth="1"/>
    <col min="5423" max="5423" width="6.5703125" style="44" customWidth="1"/>
    <col min="5424" max="5424" width="7.7109375" style="44" customWidth="1"/>
    <col min="5425" max="5425" width="5.7109375" style="44" customWidth="1"/>
    <col min="5426" max="5426" width="5.85546875" style="44" customWidth="1"/>
    <col min="5427" max="5427" width="6.7109375" style="44" customWidth="1"/>
    <col min="5428" max="5428" width="6.28515625" style="44" customWidth="1"/>
    <col min="5429" max="5429" width="7.5703125" style="44" customWidth="1"/>
    <col min="5430" max="5430" width="5.28515625" style="44" customWidth="1"/>
    <col min="5431" max="5431" width="6.140625" style="44" customWidth="1"/>
    <col min="5432" max="5433" width="6.28515625" style="44" customWidth="1"/>
    <col min="5434" max="5434" width="6.5703125" style="44" bestFit="1" customWidth="1"/>
    <col min="5435" max="5435" width="6.42578125" style="44" customWidth="1"/>
    <col min="5436" max="5436" width="6" style="44" customWidth="1"/>
    <col min="5437" max="5438" width="5.5703125" style="44" customWidth="1"/>
    <col min="5439" max="5439" width="5.7109375" style="44" customWidth="1"/>
    <col min="5440" max="5632" width="9.28515625" style="44"/>
    <col min="5633" max="5633" width="3.28515625" style="44" customWidth="1"/>
    <col min="5634" max="5634" width="32.28515625" style="44" customWidth="1"/>
    <col min="5635" max="5635" width="9.7109375" style="44" customWidth="1"/>
    <col min="5636" max="5636" width="10.140625" style="44" customWidth="1"/>
    <col min="5637" max="5641" width="0" style="44" hidden="1" customWidth="1"/>
    <col min="5642" max="5642" width="9.28515625" style="44"/>
    <col min="5643" max="5643" width="8.7109375" style="44" customWidth="1"/>
    <col min="5644" max="5644" width="6.7109375" style="44" customWidth="1"/>
    <col min="5645" max="5645" width="9.5703125" style="44" customWidth="1"/>
    <col min="5646" max="5646" width="6.7109375" style="44" customWidth="1"/>
    <col min="5647" max="5647" width="6.85546875" style="44" customWidth="1"/>
    <col min="5648" max="5648" width="9" style="44" customWidth="1"/>
    <col min="5649" max="5649" width="8.140625" style="44" customWidth="1"/>
    <col min="5650" max="5650" width="8" style="44" customWidth="1"/>
    <col min="5651" max="5651" width="9.140625" style="44" customWidth="1"/>
    <col min="5652" max="5652" width="7.7109375" style="44" customWidth="1"/>
    <col min="5653" max="5653" width="9.140625" style="44" customWidth="1"/>
    <col min="5654" max="5654" width="7.28515625" style="44" customWidth="1"/>
    <col min="5655" max="5655" width="7.140625" style="44" customWidth="1"/>
    <col min="5656" max="5656" width="8.7109375" style="44" customWidth="1"/>
    <col min="5657" max="5658" width="9.28515625" style="44"/>
    <col min="5659" max="5659" width="9.7109375" style="44" customWidth="1"/>
    <col min="5660" max="5660" width="6.7109375" style="44" customWidth="1"/>
    <col min="5661" max="5661" width="7" style="44" customWidth="1"/>
    <col min="5662" max="5662" width="5.28515625" style="44" customWidth="1"/>
    <col min="5663" max="5663" width="6.5703125" style="44" bestFit="1" customWidth="1"/>
    <col min="5664" max="5664" width="8.28515625" style="44" customWidth="1"/>
    <col min="5665" max="5665" width="8" style="44" customWidth="1"/>
    <col min="5666" max="5666" width="6.5703125" style="44" customWidth="1"/>
    <col min="5667" max="5667" width="8.28515625" style="44" customWidth="1"/>
    <col min="5668" max="5668" width="7.28515625" style="44" customWidth="1"/>
    <col min="5669" max="5669" width="8.140625" style="44" customWidth="1"/>
    <col min="5670" max="5670" width="7.42578125" style="44" customWidth="1"/>
    <col min="5671" max="5671" width="7.5703125" style="44" customWidth="1"/>
    <col min="5672" max="5672" width="6.5703125" style="44" customWidth="1"/>
    <col min="5673" max="5673" width="6.28515625" style="44" customWidth="1"/>
    <col min="5674" max="5674" width="7.7109375" style="44" customWidth="1"/>
    <col min="5675" max="5675" width="6.140625" style="44" customWidth="1"/>
    <col min="5676" max="5676" width="6.28515625" style="44" bestFit="1" customWidth="1"/>
    <col min="5677" max="5678" width="6.7109375" style="44" customWidth="1"/>
    <col min="5679" max="5679" width="6.5703125" style="44" customWidth="1"/>
    <col min="5680" max="5680" width="7.7109375" style="44" customWidth="1"/>
    <col min="5681" max="5681" width="5.7109375" style="44" customWidth="1"/>
    <col min="5682" max="5682" width="5.85546875" style="44" customWidth="1"/>
    <col min="5683" max="5683" width="6.7109375" style="44" customWidth="1"/>
    <col min="5684" max="5684" width="6.28515625" style="44" customWidth="1"/>
    <col min="5685" max="5685" width="7.5703125" style="44" customWidth="1"/>
    <col min="5686" max="5686" width="5.28515625" style="44" customWidth="1"/>
    <col min="5687" max="5687" width="6.140625" style="44" customWidth="1"/>
    <col min="5688" max="5689" width="6.28515625" style="44" customWidth="1"/>
    <col min="5690" max="5690" width="6.5703125" style="44" bestFit="1" customWidth="1"/>
    <col min="5691" max="5691" width="6.42578125" style="44" customWidth="1"/>
    <col min="5692" max="5692" width="6" style="44" customWidth="1"/>
    <col min="5693" max="5694" width="5.5703125" style="44" customWidth="1"/>
    <col min="5695" max="5695" width="5.7109375" style="44" customWidth="1"/>
    <col min="5696" max="5888" width="9.28515625" style="44"/>
    <col min="5889" max="5889" width="3.28515625" style="44" customWidth="1"/>
    <col min="5890" max="5890" width="32.28515625" style="44" customWidth="1"/>
    <col min="5891" max="5891" width="9.7109375" style="44" customWidth="1"/>
    <col min="5892" max="5892" width="10.140625" style="44" customWidth="1"/>
    <col min="5893" max="5897" width="0" style="44" hidden="1" customWidth="1"/>
    <col min="5898" max="5898" width="9.28515625" style="44"/>
    <col min="5899" max="5899" width="8.7109375" style="44" customWidth="1"/>
    <col min="5900" max="5900" width="6.7109375" style="44" customWidth="1"/>
    <col min="5901" max="5901" width="9.5703125" style="44" customWidth="1"/>
    <col min="5902" max="5902" width="6.7109375" style="44" customWidth="1"/>
    <col min="5903" max="5903" width="6.85546875" style="44" customWidth="1"/>
    <col min="5904" max="5904" width="9" style="44" customWidth="1"/>
    <col min="5905" max="5905" width="8.140625" style="44" customWidth="1"/>
    <col min="5906" max="5906" width="8" style="44" customWidth="1"/>
    <col min="5907" max="5907" width="9.140625" style="44" customWidth="1"/>
    <col min="5908" max="5908" width="7.7109375" style="44" customWidth="1"/>
    <col min="5909" max="5909" width="9.140625" style="44" customWidth="1"/>
    <col min="5910" max="5910" width="7.28515625" style="44" customWidth="1"/>
    <col min="5911" max="5911" width="7.140625" style="44" customWidth="1"/>
    <col min="5912" max="5912" width="8.7109375" style="44" customWidth="1"/>
    <col min="5913" max="5914" width="9.28515625" style="44"/>
    <col min="5915" max="5915" width="9.7109375" style="44" customWidth="1"/>
    <col min="5916" max="5916" width="6.7109375" style="44" customWidth="1"/>
    <col min="5917" max="5917" width="7" style="44" customWidth="1"/>
    <col min="5918" max="5918" width="5.28515625" style="44" customWidth="1"/>
    <col min="5919" max="5919" width="6.5703125" style="44" bestFit="1" customWidth="1"/>
    <col min="5920" max="5920" width="8.28515625" style="44" customWidth="1"/>
    <col min="5921" max="5921" width="8" style="44" customWidth="1"/>
    <col min="5922" max="5922" width="6.5703125" style="44" customWidth="1"/>
    <col min="5923" max="5923" width="8.28515625" style="44" customWidth="1"/>
    <col min="5924" max="5924" width="7.28515625" style="44" customWidth="1"/>
    <col min="5925" max="5925" width="8.140625" style="44" customWidth="1"/>
    <col min="5926" max="5926" width="7.42578125" style="44" customWidth="1"/>
    <col min="5927" max="5927" width="7.5703125" style="44" customWidth="1"/>
    <col min="5928" max="5928" width="6.5703125" style="44" customWidth="1"/>
    <col min="5929" max="5929" width="6.28515625" style="44" customWidth="1"/>
    <col min="5930" max="5930" width="7.7109375" style="44" customWidth="1"/>
    <col min="5931" max="5931" width="6.140625" style="44" customWidth="1"/>
    <col min="5932" max="5932" width="6.28515625" style="44" bestFit="1" customWidth="1"/>
    <col min="5933" max="5934" width="6.7109375" style="44" customWidth="1"/>
    <col min="5935" max="5935" width="6.5703125" style="44" customWidth="1"/>
    <col min="5936" max="5936" width="7.7109375" style="44" customWidth="1"/>
    <col min="5937" max="5937" width="5.7109375" style="44" customWidth="1"/>
    <col min="5938" max="5938" width="5.85546875" style="44" customWidth="1"/>
    <col min="5939" max="5939" width="6.7109375" style="44" customWidth="1"/>
    <col min="5940" max="5940" width="6.28515625" style="44" customWidth="1"/>
    <col min="5941" max="5941" width="7.5703125" style="44" customWidth="1"/>
    <col min="5942" max="5942" width="5.28515625" style="44" customWidth="1"/>
    <col min="5943" max="5943" width="6.140625" style="44" customWidth="1"/>
    <col min="5944" max="5945" width="6.28515625" style="44" customWidth="1"/>
    <col min="5946" max="5946" width="6.5703125" style="44" bestFit="1" customWidth="1"/>
    <col min="5947" max="5947" width="6.42578125" style="44" customWidth="1"/>
    <col min="5948" max="5948" width="6" style="44" customWidth="1"/>
    <col min="5949" max="5950" width="5.5703125" style="44" customWidth="1"/>
    <col min="5951" max="5951" width="5.7109375" style="44" customWidth="1"/>
    <col min="5952" max="6144" width="9.28515625" style="44"/>
    <col min="6145" max="6145" width="3.28515625" style="44" customWidth="1"/>
    <col min="6146" max="6146" width="32.28515625" style="44" customWidth="1"/>
    <col min="6147" max="6147" width="9.7109375" style="44" customWidth="1"/>
    <col min="6148" max="6148" width="10.140625" style="44" customWidth="1"/>
    <col min="6149" max="6153" width="0" style="44" hidden="1" customWidth="1"/>
    <col min="6154" max="6154" width="9.28515625" style="44"/>
    <col min="6155" max="6155" width="8.7109375" style="44" customWidth="1"/>
    <col min="6156" max="6156" width="6.7109375" style="44" customWidth="1"/>
    <col min="6157" max="6157" width="9.5703125" style="44" customWidth="1"/>
    <col min="6158" max="6158" width="6.7109375" style="44" customWidth="1"/>
    <col min="6159" max="6159" width="6.85546875" style="44" customWidth="1"/>
    <col min="6160" max="6160" width="9" style="44" customWidth="1"/>
    <col min="6161" max="6161" width="8.140625" style="44" customWidth="1"/>
    <col min="6162" max="6162" width="8" style="44" customWidth="1"/>
    <col min="6163" max="6163" width="9.140625" style="44" customWidth="1"/>
    <col min="6164" max="6164" width="7.7109375" style="44" customWidth="1"/>
    <col min="6165" max="6165" width="9.140625" style="44" customWidth="1"/>
    <col min="6166" max="6166" width="7.28515625" style="44" customWidth="1"/>
    <col min="6167" max="6167" width="7.140625" style="44" customWidth="1"/>
    <col min="6168" max="6168" width="8.7109375" style="44" customWidth="1"/>
    <col min="6169" max="6170" width="9.28515625" style="44"/>
    <col min="6171" max="6171" width="9.7109375" style="44" customWidth="1"/>
    <col min="6172" max="6172" width="6.7109375" style="44" customWidth="1"/>
    <col min="6173" max="6173" width="7" style="44" customWidth="1"/>
    <col min="6174" max="6174" width="5.28515625" style="44" customWidth="1"/>
    <col min="6175" max="6175" width="6.5703125" style="44" bestFit="1" customWidth="1"/>
    <col min="6176" max="6176" width="8.28515625" style="44" customWidth="1"/>
    <col min="6177" max="6177" width="8" style="44" customWidth="1"/>
    <col min="6178" max="6178" width="6.5703125" style="44" customWidth="1"/>
    <col min="6179" max="6179" width="8.28515625" style="44" customWidth="1"/>
    <col min="6180" max="6180" width="7.28515625" style="44" customWidth="1"/>
    <col min="6181" max="6181" width="8.140625" style="44" customWidth="1"/>
    <col min="6182" max="6182" width="7.42578125" style="44" customWidth="1"/>
    <col min="6183" max="6183" width="7.5703125" style="44" customWidth="1"/>
    <col min="6184" max="6184" width="6.5703125" style="44" customWidth="1"/>
    <col min="6185" max="6185" width="6.28515625" style="44" customWidth="1"/>
    <col min="6186" max="6186" width="7.7109375" style="44" customWidth="1"/>
    <col min="6187" max="6187" width="6.140625" style="44" customWidth="1"/>
    <col min="6188" max="6188" width="6.28515625" style="44" bestFit="1" customWidth="1"/>
    <col min="6189" max="6190" width="6.7109375" style="44" customWidth="1"/>
    <col min="6191" max="6191" width="6.5703125" style="44" customWidth="1"/>
    <col min="6192" max="6192" width="7.7109375" style="44" customWidth="1"/>
    <col min="6193" max="6193" width="5.7109375" style="44" customWidth="1"/>
    <col min="6194" max="6194" width="5.85546875" style="44" customWidth="1"/>
    <col min="6195" max="6195" width="6.7109375" style="44" customWidth="1"/>
    <col min="6196" max="6196" width="6.28515625" style="44" customWidth="1"/>
    <col min="6197" max="6197" width="7.5703125" style="44" customWidth="1"/>
    <col min="6198" max="6198" width="5.28515625" style="44" customWidth="1"/>
    <col min="6199" max="6199" width="6.140625" style="44" customWidth="1"/>
    <col min="6200" max="6201" width="6.28515625" style="44" customWidth="1"/>
    <col min="6202" max="6202" width="6.5703125" style="44" bestFit="1" customWidth="1"/>
    <col min="6203" max="6203" width="6.42578125" style="44" customWidth="1"/>
    <col min="6204" max="6204" width="6" style="44" customWidth="1"/>
    <col min="6205" max="6206" width="5.5703125" style="44" customWidth="1"/>
    <col min="6207" max="6207" width="5.7109375" style="44" customWidth="1"/>
    <col min="6208" max="6400" width="9.28515625" style="44"/>
    <col min="6401" max="6401" width="3.28515625" style="44" customWidth="1"/>
    <col min="6402" max="6402" width="32.28515625" style="44" customWidth="1"/>
    <col min="6403" max="6403" width="9.7109375" style="44" customWidth="1"/>
    <col min="6404" max="6404" width="10.140625" style="44" customWidth="1"/>
    <col min="6405" max="6409" width="0" style="44" hidden="1" customWidth="1"/>
    <col min="6410" max="6410" width="9.28515625" style="44"/>
    <col min="6411" max="6411" width="8.7109375" style="44" customWidth="1"/>
    <col min="6412" max="6412" width="6.7109375" style="44" customWidth="1"/>
    <col min="6413" max="6413" width="9.5703125" style="44" customWidth="1"/>
    <col min="6414" max="6414" width="6.7109375" style="44" customWidth="1"/>
    <col min="6415" max="6415" width="6.85546875" style="44" customWidth="1"/>
    <col min="6416" max="6416" width="9" style="44" customWidth="1"/>
    <col min="6417" max="6417" width="8.140625" style="44" customWidth="1"/>
    <col min="6418" max="6418" width="8" style="44" customWidth="1"/>
    <col min="6419" max="6419" width="9.140625" style="44" customWidth="1"/>
    <col min="6420" max="6420" width="7.7109375" style="44" customWidth="1"/>
    <col min="6421" max="6421" width="9.140625" style="44" customWidth="1"/>
    <col min="6422" max="6422" width="7.28515625" style="44" customWidth="1"/>
    <col min="6423" max="6423" width="7.140625" style="44" customWidth="1"/>
    <col min="6424" max="6424" width="8.7109375" style="44" customWidth="1"/>
    <col min="6425" max="6426" width="9.28515625" style="44"/>
    <col min="6427" max="6427" width="9.7109375" style="44" customWidth="1"/>
    <col min="6428" max="6428" width="6.7109375" style="44" customWidth="1"/>
    <col min="6429" max="6429" width="7" style="44" customWidth="1"/>
    <col min="6430" max="6430" width="5.28515625" style="44" customWidth="1"/>
    <col min="6431" max="6431" width="6.5703125" style="44" bestFit="1" customWidth="1"/>
    <col min="6432" max="6432" width="8.28515625" style="44" customWidth="1"/>
    <col min="6433" max="6433" width="8" style="44" customWidth="1"/>
    <col min="6434" max="6434" width="6.5703125" style="44" customWidth="1"/>
    <col min="6435" max="6435" width="8.28515625" style="44" customWidth="1"/>
    <col min="6436" max="6436" width="7.28515625" style="44" customWidth="1"/>
    <col min="6437" max="6437" width="8.140625" style="44" customWidth="1"/>
    <col min="6438" max="6438" width="7.42578125" style="44" customWidth="1"/>
    <col min="6439" max="6439" width="7.5703125" style="44" customWidth="1"/>
    <col min="6440" max="6440" width="6.5703125" style="44" customWidth="1"/>
    <col min="6441" max="6441" width="6.28515625" style="44" customWidth="1"/>
    <col min="6442" max="6442" width="7.7109375" style="44" customWidth="1"/>
    <col min="6443" max="6443" width="6.140625" style="44" customWidth="1"/>
    <col min="6444" max="6444" width="6.28515625" style="44" bestFit="1" customWidth="1"/>
    <col min="6445" max="6446" width="6.7109375" style="44" customWidth="1"/>
    <col min="6447" max="6447" width="6.5703125" style="44" customWidth="1"/>
    <col min="6448" max="6448" width="7.7109375" style="44" customWidth="1"/>
    <col min="6449" max="6449" width="5.7109375" style="44" customWidth="1"/>
    <col min="6450" max="6450" width="5.85546875" style="44" customWidth="1"/>
    <col min="6451" max="6451" width="6.7109375" style="44" customWidth="1"/>
    <col min="6452" max="6452" width="6.28515625" style="44" customWidth="1"/>
    <col min="6453" max="6453" width="7.5703125" style="44" customWidth="1"/>
    <col min="6454" max="6454" width="5.28515625" style="44" customWidth="1"/>
    <col min="6455" max="6455" width="6.140625" style="44" customWidth="1"/>
    <col min="6456" max="6457" width="6.28515625" style="44" customWidth="1"/>
    <col min="6458" max="6458" width="6.5703125" style="44" bestFit="1" customWidth="1"/>
    <col min="6459" max="6459" width="6.42578125" style="44" customWidth="1"/>
    <col min="6460" max="6460" width="6" style="44" customWidth="1"/>
    <col min="6461" max="6462" width="5.5703125" style="44" customWidth="1"/>
    <col min="6463" max="6463" width="5.7109375" style="44" customWidth="1"/>
    <col min="6464" max="6656" width="9.28515625" style="44"/>
    <col min="6657" max="6657" width="3.28515625" style="44" customWidth="1"/>
    <col min="6658" max="6658" width="32.28515625" style="44" customWidth="1"/>
    <col min="6659" max="6659" width="9.7109375" style="44" customWidth="1"/>
    <col min="6660" max="6660" width="10.140625" style="44" customWidth="1"/>
    <col min="6661" max="6665" width="0" style="44" hidden="1" customWidth="1"/>
    <col min="6666" max="6666" width="9.28515625" style="44"/>
    <col min="6667" max="6667" width="8.7109375" style="44" customWidth="1"/>
    <col min="6668" max="6668" width="6.7109375" style="44" customWidth="1"/>
    <col min="6669" max="6669" width="9.5703125" style="44" customWidth="1"/>
    <col min="6670" max="6670" width="6.7109375" style="44" customWidth="1"/>
    <col min="6671" max="6671" width="6.85546875" style="44" customWidth="1"/>
    <col min="6672" max="6672" width="9" style="44" customWidth="1"/>
    <col min="6673" max="6673" width="8.140625" style="44" customWidth="1"/>
    <col min="6674" max="6674" width="8" style="44" customWidth="1"/>
    <col min="6675" max="6675" width="9.140625" style="44" customWidth="1"/>
    <col min="6676" max="6676" width="7.7109375" style="44" customWidth="1"/>
    <col min="6677" max="6677" width="9.140625" style="44" customWidth="1"/>
    <col min="6678" max="6678" width="7.28515625" style="44" customWidth="1"/>
    <col min="6679" max="6679" width="7.140625" style="44" customWidth="1"/>
    <col min="6680" max="6680" width="8.7109375" style="44" customWidth="1"/>
    <col min="6681" max="6682" width="9.28515625" style="44"/>
    <col min="6683" max="6683" width="9.7109375" style="44" customWidth="1"/>
    <col min="6684" max="6684" width="6.7109375" style="44" customWidth="1"/>
    <col min="6685" max="6685" width="7" style="44" customWidth="1"/>
    <col min="6686" max="6686" width="5.28515625" style="44" customWidth="1"/>
    <col min="6687" max="6687" width="6.5703125" style="44" bestFit="1" customWidth="1"/>
    <col min="6688" max="6688" width="8.28515625" style="44" customWidth="1"/>
    <col min="6689" max="6689" width="8" style="44" customWidth="1"/>
    <col min="6690" max="6690" width="6.5703125" style="44" customWidth="1"/>
    <col min="6691" max="6691" width="8.28515625" style="44" customWidth="1"/>
    <col min="6692" max="6692" width="7.28515625" style="44" customWidth="1"/>
    <col min="6693" max="6693" width="8.140625" style="44" customWidth="1"/>
    <col min="6694" max="6694" width="7.42578125" style="44" customWidth="1"/>
    <col min="6695" max="6695" width="7.5703125" style="44" customWidth="1"/>
    <col min="6696" max="6696" width="6.5703125" style="44" customWidth="1"/>
    <col min="6697" max="6697" width="6.28515625" style="44" customWidth="1"/>
    <col min="6698" max="6698" width="7.7109375" style="44" customWidth="1"/>
    <col min="6699" max="6699" width="6.140625" style="44" customWidth="1"/>
    <col min="6700" max="6700" width="6.28515625" style="44" bestFit="1" customWidth="1"/>
    <col min="6701" max="6702" width="6.7109375" style="44" customWidth="1"/>
    <col min="6703" max="6703" width="6.5703125" style="44" customWidth="1"/>
    <col min="6704" max="6704" width="7.7109375" style="44" customWidth="1"/>
    <col min="6705" max="6705" width="5.7109375" style="44" customWidth="1"/>
    <col min="6706" max="6706" width="5.85546875" style="44" customWidth="1"/>
    <col min="6707" max="6707" width="6.7109375" style="44" customWidth="1"/>
    <col min="6708" max="6708" width="6.28515625" style="44" customWidth="1"/>
    <col min="6709" max="6709" width="7.5703125" style="44" customWidth="1"/>
    <col min="6710" max="6710" width="5.28515625" style="44" customWidth="1"/>
    <col min="6711" max="6711" width="6.140625" style="44" customWidth="1"/>
    <col min="6712" max="6713" width="6.28515625" style="44" customWidth="1"/>
    <col min="6714" max="6714" width="6.5703125" style="44" bestFit="1" customWidth="1"/>
    <col min="6715" max="6715" width="6.42578125" style="44" customWidth="1"/>
    <col min="6716" max="6716" width="6" style="44" customWidth="1"/>
    <col min="6717" max="6718" width="5.5703125" style="44" customWidth="1"/>
    <col min="6719" max="6719" width="5.7109375" style="44" customWidth="1"/>
    <col min="6720" max="6912" width="9.28515625" style="44"/>
    <col min="6913" max="6913" width="3.28515625" style="44" customWidth="1"/>
    <col min="6914" max="6914" width="32.28515625" style="44" customWidth="1"/>
    <col min="6915" max="6915" width="9.7109375" style="44" customWidth="1"/>
    <col min="6916" max="6916" width="10.140625" style="44" customWidth="1"/>
    <col min="6917" max="6921" width="0" style="44" hidden="1" customWidth="1"/>
    <col min="6922" max="6922" width="9.28515625" style="44"/>
    <col min="6923" max="6923" width="8.7109375" style="44" customWidth="1"/>
    <col min="6924" max="6924" width="6.7109375" style="44" customWidth="1"/>
    <col min="6925" max="6925" width="9.5703125" style="44" customWidth="1"/>
    <col min="6926" max="6926" width="6.7109375" style="44" customWidth="1"/>
    <col min="6927" max="6927" width="6.85546875" style="44" customWidth="1"/>
    <col min="6928" max="6928" width="9" style="44" customWidth="1"/>
    <col min="6929" max="6929" width="8.140625" style="44" customWidth="1"/>
    <col min="6930" max="6930" width="8" style="44" customWidth="1"/>
    <col min="6931" max="6931" width="9.140625" style="44" customWidth="1"/>
    <col min="6932" max="6932" width="7.7109375" style="44" customWidth="1"/>
    <col min="6933" max="6933" width="9.140625" style="44" customWidth="1"/>
    <col min="6934" max="6934" width="7.28515625" style="44" customWidth="1"/>
    <col min="6935" max="6935" width="7.140625" style="44" customWidth="1"/>
    <col min="6936" max="6936" width="8.7109375" style="44" customWidth="1"/>
    <col min="6937" max="6938" width="9.28515625" style="44"/>
    <col min="6939" max="6939" width="9.7109375" style="44" customWidth="1"/>
    <col min="6940" max="6940" width="6.7109375" style="44" customWidth="1"/>
    <col min="6941" max="6941" width="7" style="44" customWidth="1"/>
    <col min="6942" max="6942" width="5.28515625" style="44" customWidth="1"/>
    <col min="6943" max="6943" width="6.5703125" style="44" bestFit="1" customWidth="1"/>
    <col min="6944" max="6944" width="8.28515625" style="44" customWidth="1"/>
    <col min="6945" max="6945" width="8" style="44" customWidth="1"/>
    <col min="6946" max="6946" width="6.5703125" style="44" customWidth="1"/>
    <col min="6947" max="6947" width="8.28515625" style="44" customWidth="1"/>
    <col min="6948" max="6948" width="7.28515625" style="44" customWidth="1"/>
    <col min="6949" max="6949" width="8.140625" style="44" customWidth="1"/>
    <col min="6950" max="6950" width="7.42578125" style="44" customWidth="1"/>
    <col min="6951" max="6951" width="7.5703125" style="44" customWidth="1"/>
    <col min="6952" max="6952" width="6.5703125" style="44" customWidth="1"/>
    <col min="6953" max="6953" width="6.28515625" style="44" customWidth="1"/>
    <col min="6954" max="6954" width="7.7109375" style="44" customWidth="1"/>
    <col min="6955" max="6955" width="6.140625" style="44" customWidth="1"/>
    <col min="6956" max="6956" width="6.28515625" style="44" bestFit="1" customWidth="1"/>
    <col min="6957" max="6958" width="6.7109375" style="44" customWidth="1"/>
    <col min="6959" max="6959" width="6.5703125" style="44" customWidth="1"/>
    <col min="6960" max="6960" width="7.7109375" style="44" customWidth="1"/>
    <col min="6961" max="6961" width="5.7109375" style="44" customWidth="1"/>
    <col min="6962" max="6962" width="5.85546875" style="44" customWidth="1"/>
    <col min="6963" max="6963" width="6.7109375" style="44" customWidth="1"/>
    <col min="6964" max="6964" width="6.28515625" style="44" customWidth="1"/>
    <col min="6965" max="6965" width="7.5703125" style="44" customWidth="1"/>
    <col min="6966" max="6966" width="5.28515625" style="44" customWidth="1"/>
    <col min="6967" max="6967" width="6.140625" style="44" customWidth="1"/>
    <col min="6968" max="6969" width="6.28515625" style="44" customWidth="1"/>
    <col min="6970" max="6970" width="6.5703125" style="44" bestFit="1" customWidth="1"/>
    <col min="6971" max="6971" width="6.42578125" style="44" customWidth="1"/>
    <col min="6972" max="6972" width="6" style="44" customWidth="1"/>
    <col min="6973" max="6974" width="5.5703125" style="44" customWidth="1"/>
    <col min="6975" max="6975" width="5.7109375" style="44" customWidth="1"/>
    <col min="6976" max="7168" width="9.28515625" style="44"/>
    <col min="7169" max="7169" width="3.28515625" style="44" customWidth="1"/>
    <col min="7170" max="7170" width="32.28515625" style="44" customWidth="1"/>
    <col min="7171" max="7171" width="9.7109375" style="44" customWidth="1"/>
    <col min="7172" max="7172" width="10.140625" style="44" customWidth="1"/>
    <col min="7173" max="7177" width="0" style="44" hidden="1" customWidth="1"/>
    <col min="7178" max="7178" width="9.28515625" style="44"/>
    <col min="7179" max="7179" width="8.7109375" style="44" customWidth="1"/>
    <col min="7180" max="7180" width="6.7109375" style="44" customWidth="1"/>
    <col min="7181" max="7181" width="9.5703125" style="44" customWidth="1"/>
    <col min="7182" max="7182" width="6.7109375" style="44" customWidth="1"/>
    <col min="7183" max="7183" width="6.85546875" style="44" customWidth="1"/>
    <col min="7184" max="7184" width="9" style="44" customWidth="1"/>
    <col min="7185" max="7185" width="8.140625" style="44" customWidth="1"/>
    <col min="7186" max="7186" width="8" style="44" customWidth="1"/>
    <col min="7187" max="7187" width="9.140625" style="44" customWidth="1"/>
    <col min="7188" max="7188" width="7.7109375" style="44" customWidth="1"/>
    <col min="7189" max="7189" width="9.140625" style="44" customWidth="1"/>
    <col min="7190" max="7190" width="7.28515625" style="44" customWidth="1"/>
    <col min="7191" max="7191" width="7.140625" style="44" customWidth="1"/>
    <col min="7192" max="7192" width="8.7109375" style="44" customWidth="1"/>
    <col min="7193" max="7194" width="9.28515625" style="44"/>
    <col min="7195" max="7195" width="9.7109375" style="44" customWidth="1"/>
    <col min="7196" max="7196" width="6.7109375" style="44" customWidth="1"/>
    <col min="7197" max="7197" width="7" style="44" customWidth="1"/>
    <col min="7198" max="7198" width="5.28515625" style="44" customWidth="1"/>
    <col min="7199" max="7199" width="6.5703125" style="44" bestFit="1" customWidth="1"/>
    <col min="7200" max="7200" width="8.28515625" style="44" customWidth="1"/>
    <col min="7201" max="7201" width="8" style="44" customWidth="1"/>
    <col min="7202" max="7202" width="6.5703125" style="44" customWidth="1"/>
    <col min="7203" max="7203" width="8.28515625" style="44" customWidth="1"/>
    <col min="7204" max="7204" width="7.28515625" style="44" customWidth="1"/>
    <col min="7205" max="7205" width="8.140625" style="44" customWidth="1"/>
    <col min="7206" max="7206" width="7.42578125" style="44" customWidth="1"/>
    <col min="7207" max="7207" width="7.5703125" style="44" customWidth="1"/>
    <col min="7208" max="7208" width="6.5703125" style="44" customWidth="1"/>
    <col min="7209" max="7209" width="6.28515625" style="44" customWidth="1"/>
    <col min="7210" max="7210" width="7.7109375" style="44" customWidth="1"/>
    <col min="7211" max="7211" width="6.140625" style="44" customWidth="1"/>
    <col min="7212" max="7212" width="6.28515625" style="44" bestFit="1" customWidth="1"/>
    <col min="7213" max="7214" width="6.7109375" style="44" customWidth="1"/>
    <col min="7215" max="7215" width="6.5703125" style="44" customWidth="1"/>
    <col min="7216" max="7216" width="7.7109375" style="44" customWidth="1"/>
    <col min="7217" max="7217" width="5.7109375" style="44" customWidth="1"/>
    <col min="7218" max="7218" width="5.85546875" style="44" customWidth="1"/>
    <col min="7219" max="7219" width="6.7109375" style="44" customWidth="1"/>
    <col min="7220" max="7220" width="6.28515625" style="44" customWidth="1"/>
    <col min="7221" max="7221" width="7.5703125" style="44" customWidth="1"/>
    <col min="7222" max="7222" width="5.28515625" style="44" customWidth="1"/>
    <col min="7223" max="7223" width="6.140625" style="44" customWidth="1"/>
    <col min="7224" max="7225" width="6.28515625" style="44" customWidth="1"/>
    <col min="7226" max="7226" width="6.5703125" style="44" bestFit="1" customWidth="1"/>
    <col min="7227" max="7227" width="6.42578125" style="44" customWidth="1"/>
    <col min="7228" max="7228" width="6" style="44" customWidth="1"/>
    <col min="7229" max="7230" width="5.5703125" style="44" customWidth="1"/>
    <col min="7231" max="7231" width="5.7109375" style="44" customWidth="1"/>
    <col min="7232" max="7424" width="9.28515625" style="44"/>
    <col min="7425" max="7425" width="3.28515625" style="44" customWidth="1"/>
    <col min="7426" max="7426" width="32.28515625" style="44" customWidth="1"/>
    <col min="7427" max="7427" width="9.7109375" style="44" customWidth="1"/>
    <col min="7428" max="7428" width="10.140625" style="44" customWidth="1"/>
    <col min="7429" max="7433" width="0" style="44" hidden="1" customWidth="1"/>
    <col min="7434" max="7434" width="9.28515625" style="44"/>
    <col min="7435" max="7435" width="8.7109375" style="44" customWidth="1"/>
    <col min="7436" max="7436" width="6.7109375" style="44" customWidth="1"/>
    <col min="7437" max="7437" width="9.5703125" style="44" customWidth="1"/>
    <col min="7438" max="7438" width="6.7109375" style="44" customWidth="1"/>
    <col min="7439" max="7439" width="6.85546875" style="44" customWidth="1"/>
    <col min="7440" max="7440" width="9" style="44" customWidth="1"/>
    <col min="7441" max="7441" width="8.140625" style="44" customWidth="1"/>
    <col min="7442" max="7442" width="8" style="44" customWidth="1"/>
    <col min="7443" max="7443" width="9.140625" style="44" customWidth="1"/>
    <col min="7444" max="7444" width="7.7109375" style="44" customWidth="1"/>
    <col min="7445" max="7445" width="9.140625" style="44" customWidth="1"/>
    <col min="7446" max="7446" width="7.28515625" style="44" customWidth="1"/>
    <col min="7447" max="7447" width="7.140625" style="44" customWidth="1"/>
    <col min="7448" max="7448" width="8.7109375" style="44" customWidth="1"/>
    <col min="7449" max="7450" width="9.28515625" style="44"/>
    <col min="7451" max="7451" width="9.7109375" style="44" customWidth="1"/>
    <col min="7452" max="7452" width="6.7109375" style="44" customWidth="1"/>
    <col min="7453" max="7453" width="7" style="44" customWidth="1"/>
    <col min="7454" max="7454" width="5.28515625" style="44" customWidth="1"/>
    <col min="7455" max="7455" width="6.5703125" style="44" bestFit="1" customWidth="1"/>
    <col min="7456" max="7456" width="8.28515625" style="44" customWidth="1"/>
    <col min="7457" max="7457" width="8" style="44" customWidth="1"/>
    <col min="7458" max="7458" width="6.5703125" style="44" customWidth="1"/>
    <col min="7459" max="7459" width="8.28515625" style="44" customWidth="1"/>
    <col min="7460" max="7460" width="7.28515625" style="44" customWidth="1"/>
    <col min="7461" max="7461" width="8.140625" style="44" customWidth="1"/>
    <col min="7462" max="7462" width="7.42578125" style="44" customWidth="1"/>
    <col min="7463" max="7463" width="7.5703125" style="44" customWidth="1"/>
    <col min="7464" max="7464" width="6.5703125" style="44" customWidth="1"/>
    <col min="7465" max="7465" width="6.28515625" style="44" customWidth="1"/>
    <col min="7466" max="7466" width="7.7109375" style="44" customWidth="1"/>
    <col min="7467" max="7467" width="6.140625" style="44" customWidth="1"/>
    <col min="7468" max="7468" width="6.28515625" style="44" bestFit="1" customWidth="1"/>
    <col min="7469" max="7470" width="6.7109375" style="44" customWidth="1"/>
    <col min="7471" max="7471" width="6.5703125" style="44" customWidth="1"/>
    <col min="7472" max="7472" width="7.7109375" style="44" customWidth="1"/>
    <col min="7473" max="7473" width="5.7109375" style="44" customWidth="1"/>
    <col min="7474" max="7474" width="5.85546875" style="44" customWidth="1"/>
    <col min="7475" max="7475" width="6.7109375" style="44" customWidth="1"/>
    <col min="7476" max="7476" width="6.28515625" style="44" customWidth="1"/>
    <col min="7477" max="7477" width="7.5703125" style="44" customWidth="1"/>
    <col min="7478" max="7478" width="5.28515625" style="44" customWidth="1"/>
    <col min="7479" max="7479" width="6.140625" style="44" customWidth="1"/>
    <col min="7480" max="7481" width="6.28515625" style="44" customWidth="1"/>
    <col min="7482" max="7482" width="6.5703125" style="44" bestFit="1" customWidth="1"/>
    <col min="7483" max="7483" width="6.42578125" style="44" customWidth="1"/>
    <col min="7484" max="7484" width="6" style="44" customWidth="1"/>
    <col min="7485" max="7486" width="5.5703125" style="44" customWidth="1"/>
    <col min="7487" max="7487" width="5.7109375" style="44" customWidth="1"/>
    <col min="7488" max="7680" width="9.28515625" style="44"/>
    <col min="7681" max="7681" width="3.28515625" style="44" customWidth="1"/>
    <col min="7682" max="7682" width="32.28515625" style="44" customWidth="1"/>
    <col min="7683" max="7683" width="9.7109375" style="44" customWidth="1"/>
    <col min="7684" max="7684" width="10.140625" style="44" customWidth="1"/>
    <col min="7685" max="7689" width="0" style="44" hidden="1" customWidth="1"/>
    <col min="7690" max="7690" width="9.28515625" style="44"/>
    <col min="7691" max="7691" width="8.7109375" style="44" customWidth="1"/>
    <col min="7692" max="7692" width="6.7109375" style="44" customWidth="1"/>
    <col min="7693" max="7693" width="9.5703125" style="44" customWidth="1"/>
    <col min="7694" max="7694" width="6.7109375" style="44" customWidth="1"/>
    <col min="7695" max="7695" width="6.85546875" style="44" customWidth="1"/>
    <col min="7696" max="7696" width="9" style="44" customWidth="1"/>
    <col min="7697" max="7697" width="8.140625" style="44" customWidth="1"/>
    <col min="7698" max="7698" width="8" style="44" customWidth="1"/>
    <col min="7699" max="7699" width="9.140625" style="44" customWidth="1"/>
    <col min="7700" max="7700" width="7.7109375" style="44" customWidth="1"/>
    <col min="7701" max="7701" width="9.140625" style="44" customWidth="1"/>
    <col min="7702" max="7702" width="7.28515625" style="44" customWidth="1"/>
    <col min="7703" max="7703" width="7.140625" style="44" customWidth="1"/>
    <col min="7704" max="7704" width="8.7109375" style="44" customWidth="1"/>
    <col min="7705" max="7706" width="9.28515625" style="44"/>
    <col min="7707" max="7707" width="9.7109375" style="44" customWidth="1"/>
    <col min="7708" max="7708" width="6.7109375" style="44" customWidth="1"/>
    <col min="7709" max="7709" width="7" style="44" customWidth="1"/>
    <col min="7710" max="7710" width="5.28515625" style="44" customWidth="1"/>
    <col min="7711" max="7711" width="6.5703125" style="44" bestFit="1" customWidth="1"/>
    <col min="7712" max="7712" width="8.28515625" style="44" customWidth="1"/>
    <col min="7713" max="7713" width="8" style="44" customWidth="1"/>
    <col min="7714" max="7714" width="6.5703125" style="44" customWidth="1"/>
    <col min="7715" max="7715" width="8.28515625" style="44" customWidth="1"/>
    <col min="7716" max="7716" width="7.28515625" style="44" customWidth="1"/>
    <col min="7717" max="7717" width="8.140625" style="44" customWidth="1"/>
    <col min="7718" max="7718" width="7.42578125" style="44" customWidth="1"/>
    <col min="7719" max="7719" width="7.5703125" style="44" customWidth="1"/>
    <col min="7720" max="7720" width="6.5703125" style="44" customWidth="1"/>
    <col min="7721" max="7721" width="6.28515625" style="44" customWidth="1"/>
    <col min="7722" max="7722" width="7.7109375" style="44" customWidth="1"/>
    <col min="7723" max="7723" width="6.140625" style="44" customWidth="1"/>
    <col min="7724" max="7724" width="6.28515625" style="44" bestFit="1" customWidth="1"/>
    <col min="7725" max="7726" width="6.7109375" style="44" customWidth="1"/>
    <col min="7727" max="7727" width="6.5703125" style="44" customWidth="1"/>
    <col min="7728" max="7728" width="7.7109375" style="44" customWidth="1"/>
    <col min="7729" max="7729" width="5.7109375" style="44" customWidth="1"/>
    <col min="7730" max="7730" width="5.85546875" style="44" customWidth="1"/>
    <col min="7731" max="7731" width="6.7109375" style="44" customWidth="1"/>
    <col min="7732" max="7732" width="6.28515625" style="44" customWidth="1"/>
    <col min="7733" max="7733" width="7.5703125" style="44" customWidth="1"/>
    <col min="7734" max="7734" width="5.28515625" style="44" customWidth="1"/>
    <col min="7735" max="7735" width="6.140625" style="44" customWidth="1"/>
    <col min="7736" max="7737" width="6.28515625" style="44" customWidth="1"/>
    <col min="7738" max="7738" width="6.5703125" style="44" bestFit="1" customWidth="1"/>
    <col min="7739" max="7739" width="6.42578125" style="44" customWidth="1"/>
    <col min="7740" max="7740" width="6" style="44" customWidth="1"/>
    <col min="7741" max="7742" width="5.5703125" style="44" customWidth="1"/>
    <col min="7743" max="7743" width="5.7109375" style="44" customWidth="1"/>
    <col min="7744" max="7936" width="9.28515625" style="44"/>
    <col min="7937" max="7937" width="3.28515625" style="44" customWidth="1"/>
    <col min="7938" max="7938" width="32.28515625" style="44" customWidth="1"/>
    <col min="7939" max="7939" width="9.7109375" style="44" customWidth="1"/>
    <col min="7940" max="7940" width="10.140625" style="44" customWidth="1"/>
    <col min="7941" max="7945" width="0" style="44" hidden="1" customWidth="1"/>
    <col min="7946" max="7946" width="9.28515625" style="44"/>
    <col min="7947" max="7947" width="8.7109375" style="44" customWidth="1"/>
    <col min="7948" max="7948" width="6.7109375" style="44" customWidth="1"/>
    <col min="7949" max="7949" width="9.5703125" style="44" customWidth="1"/>
    <col min="7950" max="7950" width="6.7109375" style="44" customWidth="1"/>
    <col min="7951" max="7951" width="6.85546875" style="44" customWidth="1"/>
    <col min="7952" max="7952" width="9" style="44" customWidth="1"/>
    <col min="7953" max="7953" width="8.140625" style="44" customWidth="1"/>
    <col min="7954" max="7954" width="8" style="44" customWidth="1"/>
    <col min="7955" max="7955" width="9.140625" style="44" customWidth="1"/>
    <col min="7956" max="7956" width="7.7109375" style="44" customWidth="1"/>
    <col min="7957" max="7957" width="9.140625" style="44" customWidth="1"/>
    <col min="7958" max="7958" width="7.28515625" style="44" customWidth="1"/>
    <col min="7959" max="7959" width="7.140625" style="44" customWidth="1"/>
    <col min="7960" max="7960" width="8.7109375" style="44" customWidth="1"/>
    <col min="7961" max="7962" width="9.28515625" style="44"/>
    <col min="7963" max="7963" width="9.7109375" style="44" customWidth="1"/>
    <col min="7964" max="7964" width="6.7109375" style="44" customWidth="1"/>
    <col min="7965" max="7965" width="7" style="44" customWidth="1"/>
    <col min="7966" max="7966" width="5.28515625" style="44" customWidth="1"/>
    <col min="7967" max="7967" width="6.5703125" style="44" bestFit="1" customWidth="1"/>
    <col min="7968" max="7968" width="8.28515625" style="44" customWidth="1"/>
    <col min="7969" max="7969" width="8" style="44" customWidth="1"/>
    <col min="7970" max="7970" width="6.5703125" style="44" customWidth="1"/>
    <col min="7971" max="7971" width="8.28515625" style="44" customWidth="1"/>
    <col min="7972" max="7972" width="7.28515625" style="44" customWidth="1"/>
    <col min="7973" max="7973" width="8.140625" style="44" customWidth="1"/>
    <col min="7974" max="7974" width="7.42578125" style="44" customWidth="1"/>
    <col min="7975" max="7975" width="7.5703125" style="44" customWidth="1"/>
    <col min="7976" max="7976" width="6.5703125" style="44" customWidth="1"/>
    <col min="7977" max="7977" width="6.28515625" style="44" customWidth="1"/>
    <col min="7978" max="7978" width="7.7109375" style="44" customWidth="1"/>
    <col min="7979" max="7979" width="6.140625" style="44" customWidth="1"/>
    <col min="7980" max="7980" width="6.28515625" style="44" bestFit="1" customWidth="1"/>
    <col min="7981" max="7982" width="6.7109375" style="44" customWidth="1"/>
    <col min="7983" max="7983" width="6.5703125" style="44" customWidth="1"/>
    <col min="7984" max="7984" width="7.7109375" style="44" customWidth="1"/>
    <col min="7985" max="7985" width="5.7109375" style="44" customWidth="1"/>
    <col min="7986" max="7986" width="5.85546875" style="44" customWidth="1"/>
    <col min="7987" max="7987" width="6.7109375" style="44" customWidth="1"/>
    <col min="7988" max="7988" width="6.28515625" style="44" customWidth="1"/>
    <col min="7989" max="7989" width="7.5703125" style="44" customWidth="1"/>
    <col min="7990" max="7990" width="5.28515625" style="44" customWidth="1"/>
    <col min="7991" max="7991" width="6.140625" style="44" customWidth="1"/>
    <col min="7992" max="7993" width="6.28515625" style="44" customWidth="1"/>
    <col min="7994" max="7994" width="6.5703125" style="44" bestFit="1" customWidth="1"/>
    <col min="7995" max="7995" width="6.42578125" style="44" customWidth="1"/>
    <col min="7996" max="7996" width="6" style="44" customWidth="1"/>
    <col min="7997" max="7998" width="5.5703125" style="44" customWidth="1"/>
    <col min="7999" max="7999" width="5.7109375" style="44" customWidth="1"/>
    <col min="8000" max="8192" width="9.28515625" style="44"/>
    <col min="8193" max="8193" width="3.28515625" style="44" customWidth="1"/>
    <col min="8194" max="8194" width="32.28515625" style="44" customWidth="1"/>
    <col min="8195" max="8195" width="9.7109375" style="44" customWidth="1"/>
    <col min="8196" max="8196" width="10.140625" style="44" customWidth="1"/>
    <col min="8197" max="8201" width="0" style="44" hidden="1" customWidth="1"/>
    <col min="8202" max="8202" width="9.28515625" style="44"/>
    <col min="8203" max="8203" width="8.7109375" style="44" customWidth="1"/>
    <col min="8204" max="8204" width="6.7109375" style="44" customWidth="1"/>
    <col min="8205" max="8205" width="9.5703125" style="44" customWidth="1"/>
    <col min="8206" max="8206" width="6.7109375" style="44" customWidth="1"/>
    <col min="8207" max="8207" width="6.85546875" style="44" customWidth="1"/>
    <col min="8208" max="8208" width="9" style="44" customWidth="1"/>
    <col min="8209" max="8209" width="8.140625" style="44" customWidth="1"/>
    <col min="8210" max="8210" width="8" style="44" customWidth="1"/>
    <col min="8211" max="8211" width="9.140625" style="44" customWidth="1"/>
    <col min="8212" max="8212" width="7.7109375" style="44" customWidth="1"/>
    <col min="8213" max="8213" width="9.140625" style="44" customWidth="1"/>
    <col min="8214" max="8214" width="7.28515625" style="44" customWidth="1"/>
    <col min="8215" max="8215" width="7.140625" style="44" customWidth="1"/>
    <col min="8216" max="8216" width="8.7109375" style="44" customWidth="1"/>
    <col min="8217" max="8218" width="9.28515625" style="44"/>
    <col min="8219" max="8219" width="9.7109375" style="44" customWidth="1"/>
    <col min="8220" max="8220" width="6.7109375" style="44" customWidth="1"/>
    <col min="8221" max="8221" width="7" style="44" customWidth="1"/>
    <col min="8222" max="8222" width="5.28515625" style="44" customWidth="1"/>
    <col min="8223" max="8223" width="6.5703125" style="44" bestFit="1" customWidth="1"/>
    <col min="8224" max="8224" width="8.28515625" style="44" customWidth="1"/>
    <col min="8225" max="8225" width="8" style="44" customWidth="1"/>
    <col min="8226" max="8226" width="6.5703125" style="44" customWidth="1"/>
    <col min="8227" max="8227" width="8.28515625" style="44" customWidth="1"/>
    <col min="8228" max="8228" width="7.28515625" style="44" customWidth="1"/>
    <col min="8229" max="8229" width="8.140625" style="44" customWidth="1"/>
    <col min="8230" max="8230" width="7.42578125" style="44" customWidth="1"/>
    <col min="8231" max="8231" width="7.5703125" style="44" customWidth="1"/>
    <col min="8232" max="8232" width="6.5703125" style="44" customWidth="1"/>
    <col min="8233" max="8233" width="6.28515625" style="44" customWidth="1"/>
    <col min="8234" max="8234" width="7.7109375" style="44" customWidth="1"/>
    <col min="8235" max="8235" width="6.140625" style="44" customWidth="1"/>
    <col min="8236" max="8236" width="6.28515625" style="44" bestFit="1" customWidth="1"/>
    <col min="8237" max="8238" width="6.7109375" style="44" customWidth="1"/>
    <col min="8239" max="8239" width="6.5703125" style="44" customWidth="1"/>
    <col min="8240" max="8240" width="7.7109375" style="44" customWidth="1"/>
    <col min="8241" max="8241" width="5.7109375" style="44" customWidth="1"/>
    <col min="8242" max="8242" width="5.85546875" style="44" customWidth="1"/>
    <col min="8243" max="8243" width="6.7109375" style="44" customWidth="1"/>
    <col min="8244" max="8244" width="6.28515625" style="44" customWidth="1"/>
    <col min="8245" max="8245" width="7.5703125" style="44" customWidth="1"/>
    <col min="8246" max="8246" width="5.28515625" style="44" customWidth="1"/>
    <col min="8247" max="8247" width="6.140625" style="44" customWidth="1"/>
    <col min="8248" max="8249" width="6.28515625" style="44" customWidth="1"/>
    <col min="8250" max="8250" width="6.5703125" style="44" bestFit="1" customWidth="1"/>
    <col min="8251" max="8251" width="6.42578125" style="44" customWidth="1"/>
    <col min="8252" max="8252" width="6" style="44" customWidth="1"/>
    <col min="8253" max="8254" width="5.5703125" style="44" customWidth="1"/>
    <col min="8255" max="8255" width="5.7109375" style="44" customWidth="1"/>
    <col min="8256" max="8448" width="9.28515625" style="44"/>
    <col min="8449" max="8449" width="3.28515625" style="44" customWidth="1"/>
    <col min="8450" max="8450" width="32.28515625" style="44" customWidth="1"/>
    <col min="8451" max="8451" width="9.7109375" style="44" customWidth="1"/>
    <col min="8452" max="8452" width="10.140625" style="44" customWidth="1"/>
    <col min="8453" max="8457" width="0" style="44" hidden="1" customWidth="1"/>
    <col min="8458" max="8458" width="9.28515625" style="44"/>
    <col min="8459" max="8459" width="8.7109375" style="44" customWidth="1"/>
    <col min="8460" max="8460" width="6.7109375" style="44" customWidth="1"/>
    <col min="8461" max="8461" width="9.5703125" style="44" customWidth="1"/>
    <col min="8462" max="8462" width="6.7109375" style="44" customWidth="1"/>
    <col min="8463" max="8463" width="6.85546875" style="44" customWidth="1"/>
    <col min="8464" max="8464" width="9" style="44" customWidth="1"/>
    <col min="8465" max="8465" width="8.140625" style="44" customWidth="1"/>
    <col min="8466" max="8466" width="8" style="44" customWidth="1"/>
    <col min="8467" max="8467" width="9.140625" style="44" customWidth="1"/>
    <col min="8468" max="8468" width="7.7109375" style="44" customWidth="1"/>
    <col min="8469" max="8469" width="9.140625" style="44" customWidth="1"/>
    <col min="8470" max="8470" width="7.28515625" style="44" customWidth="1"/>
    <col min="8471" max="8471" width="7.140625" style="44" customWidth="1"/>
    <col min="8472" max="8472" width="8.7109375" style="44" customWidth="1"/>
    <col min="8473" max="8474" width="9.28515625" style="44"/>
    <col min="8475" max="8475" width="9.7109375" style="44" customWidth="1"/>
    <col min="8476" max="8476" width="6.7109375" style="44" customWidth="1"/>
    <col min="8477" max="8477" width="7" style="44" customWidth="1"/>
    <col min="8478" max="8478" width="5.28515625" style="44" customWidth="1"/>
    <col min="8479" max="8479" width="6.5703125" style="44" bestFit="1" customWidth="1"/>
    <col min="8480" max="8480" width="8.28515625" style="44" customWidth="1"/>
    <col min="8481" max="8481" width="8" style="44" customWidth="1"/>
    <col min="8482" max="8482" width="6.5703125" style="44" customWidth="1"/>
    <col min="8483" max="8483" width="8.28515625" style="44" customWidth="1"/>
    <col min="8484" max="8484" width="7.28515625" style="44" customWidth="1"/>
    <col min="8485" max="8485" width="8.140625" style="44" customWidth="1"/>
    <col min="8486" max="8486" width="7.42578125" style="44" customWidth="1"/>
    <col min="8487" max="8487" width="7.5703125" style="44" customWidth="1"/>
    <col min="8488" max="8488" width="6.5703125" style="44" customWidth="1"/>
    <col min="8489" max="8489" width="6.28515625" style="44" customWidth="1"/>
    <col min="8490" max="8490" width="7.7109375" style="44" customWidth="1"/>
    <col min="8491" max="8491" width="6.140625" style="44" customWidth="1"/>
    <col min="8492" max="8492" width="6.28515625" style="44" bestFit="1" customWidth="1"/>
    <col min="8493" max="8494" width="6.7109375" style="44" customWidth="1"/>
    <col min="8495" max="8495" width="6.5703125" style="44" customWidth="1"/>
    <col min="8496" max="8496" width="7.7109375" style="44" customWidth="1"/>
    <col min="8497" max="8497" width="5.7109375" style="44" customWidth="1"/>
    <col min="8498" max="8498" width="5.85546875" style="44" customWidth="1"/>
    <col min="8499" max="8499" width="6.7109375" style="44" customWidth="1"/>
    <col min="8500" max="8500" width="6.28515625" style="44" customWidth="1"/>
    <col min="8501" max="8501" width="7.5703125" style="44" customWidth="1"/>
    <col min="8502" max="8502" width="5.28515625" style="44" customWidth="1"/>
    <col min="8503" max="8503" width="6.140625" style="44" customWidth="1"/>
    <col min="8504" max="8505" width="6.28515625" style="44" customWidth="1"/>
    <col min="8506" max="8506" width="6.5703125" style="44" bestFit="1" customWidth="1"/>
    <col min="8507" max="8507" width="6.42578125" style="44" customWidth="1"/>
    <col min="8508" max="8508" width="6" style="44" customWidth="1"/>
    <col min="8509" max="8510" width="5.5703125" style="44" customWidth="1"/>
    <col min="8511" max="8511" width="5.7109375" style="44" customWidth="1"/>
    <col min="8512" max="8704" width="9.28515625" style="44"/>
    <col min="8705" max="8705" width="3.28515625" style="44" customWidth="1"/>
    <col min="8706" max="8706" width="32.28515625" style="44" customWidth="1"/>
    <col min="8707" max="8707" width="9.7109375" style="44" customWidth="1"/>
    <col min="8708" max="8708" width="10.140625" style="44" customWidth="1"/>
    <col min="8709" max="8713" width="0" style="44" hidden="1" customWidth="1"/>
    <col min="8714" max="8714" width="9.28515625" style="44"/>
    <col min="8715" max="8715" width="8.7109375" style="44" customWidth="1"/>
    <col min="8716" max="8716" width="6.7109375" style="44" customWidth="1"/>
    <col min="8717" max="8717" width="9.5703125" style="44" customWidth="1"/>
    <col min="8718" max="8718" width="6.7109375" style="44" customWidth="1"/>
    <col min="8719" max="8719" width="6.85546875" style="44" customWidth="1"/>
    <col min="8720" max="8720" width="9" style="44" customWidth="1"/>
    <col min="8721" max="8721" width="8.140625" style="44" customWidth="1"/>
    <col min="8722" max="8722" width="8" style="44" customWidth="1"/>
    <col min="8723" max="8723" width="9.140625" style="44" customWidth="1"/>
    <col min="8724" max="8724" width="7.7109375" style="44" customWidth="1"/>
    <col min="8725" max="8725" width="9.140625" style="44" customWidth="1"/>
    <col min="8726" max="8726" width="7.28515625" style="44" customWidth="1"/>
    <col min="8727" max="8727" width="7.140625" style="44" customWidth="1"/>
    <col min="8728" max="8728" width="8.7109375" style="44" customWidth="1"/>
    <col min="8729" max="8730" width="9.28515625" style="44"/>
    <col min="8731" max="8731" width="9.7109375" style="44" customWidth="1"/>
    <col min="8732" max="8732" width="6.7109375" style="44" customWidth="1"/>
    <col min="8733" max="8733" width="7" style="44" customWidth="1"/>
    <col min="8734" max="8734" width="5.28515625" style="44" customWidth="1"/>
    <col min="8735" max="8735" width="6.5703125" style="44" bestFit="1" customWidth="1"/>
    <col min="8736" max="8736" width="8.28515625" style="44" customWidth="1"/>
    <col min="8737" max="8737" width="8" style="44" customWidth="1"/>
    <col min="8738" max="8738" width="6.5703125" style="44" customWidth="1"/>
    <col min="8739" max="8739" width="8.28515625" style="44" customWidth="1"/>
    <col min="8740" max="8740" width="7.28515625" style="44" customWidth="1"/>
    <col min="8741" max="8741" width="8.140625" style="44" customWidth="1"/>
    <col min="8742" max="8742" width="7.42578125" style="44" customWidth="1"/>
    <col min="8743" max="8743" width="7.5703125" style="44" customWidth="1"/>
    <col min="8744" max="8744" width="6.5703125" style="44" customWidth="1"/>
    <col min="8745" max="8745" width="6.28515625" style="44" customWidth="1"/>
    <col min="8746" max="8746" width="7.7109375" style="44" customWidth="1"/>
    <col min="8747" max="8747" width="6.140625" style="44" customWidth="1"/>
    <col min="8748" max="8748" width="6.28515625" style="44" bestFit="1" customWidth="1"/>
    <col min="8749" max="8750" width="6.7109375" style="44" customWidth="1"/>
    <col min="8751" max="8751" width="6.5703125" style="44" customWidth="1"/>
    <col min="8752" max="8752" width="7.7109375" style="44" customWidth="1"/>
    <col min="8753" max="8753" width="5.7109375" style="44" customWidth="1"/>
    <col min="8754" max="8754" width="5.85546875" style="44" customWidth="1"/>
    <col min="8755" max="8755" width="6.7109375" style="44" customWidth="1"/>
    <col min="8756" max="8756" width="6.28515625" style="44" customWidth="1"/>
    <col min="8757" max="8757" width="7.5703125" style="44" customWidth="1"/>
    <col min="8758" max="8758" width="5.28515625" style="44" customWidth="1"/>
    <col min="8759" max="8759" width="6.140625" style="44" customWidth="1"/>
    <col min="8760" max="8761" width="6.28515625" style="44" customWidth="1"/>
    <col min="8762" max="8762" width="6.5703125" style="44" bestFit="1" customWidth="1"/>
    <col min="8763" max="8763" width="6.42578125" style="44" customWidth="1"/>
    <col min="8764" max="8764" width="6" style="44" customWidth="1"/>
    <col min="8765" max="8766" width="5.5703125" style="44" customWidth="1"/>
    <col min="8767" max="8767" width="5.7109375" style="44" customWidth="1"/>
    <col min="8768" max="8960" width="9.28515625" style="44"/>
    <col min="8961" max="8961" width="3.28515625" style="44" customWidth="1"/>
    <col min="8962" max="8962" width="32.28515625" style="44" customWidth="1"/>
    <col min="8963" max="8963" width="9.7109375" style="44" customWidth="1"/>
    <col min="8964" max="8964" width="10.140625" style="44" customWidth="1"/>
    <col min="8965" max="8969" width="0" style="44" hidden="1" customWidth="1"/>
    <col min="8970" max="8970" width="9.28515625" style="44"/>
    <col min="8971" max="8971" width="8.7109375" style="44" customWidth="1"/>
    <col min="8972" max="8972" width="6.7109375" style="44" customWidth="1"/>
    <col min="8973" max="8973" width="9.5703125" style="44" customWidth="1"/>
    <col min="8974" max="8974" width="6.7109375" style="44" customWidth="1"/>
    <col min="8975" max="8975" width="6.85546875" style="44" customWidth="1"/>
    <col min="8976" max="8976" width="9" style="44" customWidth="1"/>
    <col min="8977" max="8977" width="8.140625" style="44" customWidth="1"/>
    <col min="8978" max="8978" width="8" style="44" customWidth="1"/>
    <col min="8979" max="8979" width="9.140625" style="44" customWidth="1"/>
    <col min="8980" max="8980" width="7.7109375" style="44" customWidth="1"/>
    <col min="8981" max="8981" width="9.140625" style="44" customWidth="1"/>
    <col min="8982" max="8982" width="7.28515625" style="44" customWidth="1"/>
    <col min="8983" max="8983" width="7.140625" style="44" customWidth="1"/>
    <col min="8984" max="8984" width="8.7109375" style="44" customWidth="1"/>
    <col min="8985" max="8986" width="9.28515625" style="44"/>
    <col min="8987" max="8987" width="9.7109375" style="44" customWidth="1"/>
    <col min="8988" max="8988" width="6.7109375" style="44" customWidth="1"/>
    <col min="8989" max="8989" width="7" style="44" customWidth="1"/>
    <col min="8990" max="8990" width="5.28515625" style="44" customWidth="1"/>
    <col min="8991" max="8991" width="6.5703125" style="44" bestFit="1" customWidth="1"/>
    <col min="8992" max="8992" width="8.28515625" style="44" customWidth="1"/>
    <col min="8993" max="8993" width="8" style="44" customWidth="1"/>
    <col min="8994" max="8994" width="6.5703125" style="44" customWidth="1"/>
    <col min="8995" max="8995" width="8.28515625" style="44" customWidth="1"/>
    <col min="8996" max="8996" width="7.28515625" style="44" customWidth="1"/>
    <col min="8997" max="8997" width="8.140625" style="44" customWidth="1"/>
    <col min="8998" max="8998" width="7.42578125" style="44" customWidth="1"/>
    <col min="8999" max="8999" width="7.5703125" style="44" customWidth="1"/>
    <col min="9000" max="9000" width="6.5703125" style="44" customWidth="1"/>
    <col min="9001" max="9001" width="6.28515625" style="44" customWidth="1"/>
    <col min="9002" max="9002" width="7.7109375" style="44" customWidth="1"/>
    <col min="9003" max="9003" width="6.140625" style="44" customWidth="1"/>
    <col min="9004" max="9004" width="6.28515625" style="44" bestFit="1" customWidth="1"/>
    <col min="9005" max="9006" width="6.7109375" style="44" customWidth="1"/>
    <col min="9007" max="9007" width="6.5703125" style="44" customWidth="1"/>
    <col min="9008" max="9008" width="7.7109375" style="44" customWidth="1"/>
    <col min="9009" max="9009" width="5.7109375" style="44" customWidth="1"/>
    <col min="9010" max="9010" width="5.85546875" style="44" customWidth="1"/>
    <col min="9011" max="9011" width="6.7109375" style="44" customWidth="1"/>
    <col min="9012" max="9012" width="6.28515625" style="44" customWidth="1"/>
    <col min="9013" max="9013" width="7.5703125" style="44" customWidth="1"/>
    <col min="9014" max="9014" width="5.28515625" style="44" customWidth="1"/>
    <col min="9015" max="9015" width="6.140625" style="44" customWidth="1"/>
    <col min="9016" max="9017" width="6.28515625" style="44" customWidth="1"/>
    <col min="9018" max="9018" width="6.5703125" style="44" bestFit="1" customWidth="1"/>
    <col min="9019" max="9019" width="6.42578125" style="44" customWidth="1"/>
    <col min="9020" max="9020" width="6" style="44" customWidth="1"/>
    <col min="9021" max="9022" width="5.5703125" style="44" customWidth="1"/>
    <col min="9023" max="9023" width="5.7109375" style="44" customWidth="1"/>
    <col min="9024" max="9216" width="9.28515625" style="44"/>
    <col min="9217" max="9217" width="3.28515625" style="44" customWidth="1"/>
    <col min="9218" max="9218" width="32.28515625" style="44" customWidth="1"/>
    <col min="9219" max="9219" width="9.7109375" style="44" customWidth="1"/>
    <col min="9220" max="9220" width="10.140625" style="44" customWidth="1"/>
    <col min="9221" max="9225" width="0" style="44" hidden="1" customWidth="1"/>
    <col min="9226" max="9226" width="9.28515625" style="44"/>
    <col min="9227" max="9227" width="8.7109375" style="44" customWidth="1"/>
    <col min="9228" max="9228" width="6.7109375" style="44" customWidth="1"/>
    <col min="9229" max="9229" width="9.5703125" style="44" customWidth="1"/>
    <col min="9230" max="9230" width="6.7109375" style="44" customWidth="1"/>
    <col min="9231" max="9231" width="6.85546875" style="44" customWidth="1"/>
    <col min="9232" max="9232" width="9" style="44" customWidth="1"/>
    <col min="9233" max="9233" width="8.140625" style="44" customWidth="1"/>
    <col min="9234" max="9234" width="8" style="44" customWidth="1"/>
    <col min="9235" max="9235" width="9.140625" style="44" customWidth="1"/>
    <col min="9236" max="9236" width="7.7109375" style="44" customWidth="1"/>
    <col min="9237" max="9237" width="9.140625" style="44" customWidth="1"/>
    <col min="9238" max="9238" width="7.28515625" style="44" customWidth="1"/>
    <col min="9239" max="9239" width="7.140625" style="44" customWidth="1"/>
    <col min="9240" max="9240" width="8.7109375" style="44" customWidth="1"/>
    <col min="9241" max="9242" width="9.28515625" style="44"/>
    <col min="9243" max="9243" width="9.7109375" style="44" customWidth="1"/>
    <col min="9244" max="9244" width="6.7109375" style="44" customWidth="1"/>
    <col min="9245" max="9245" width="7" style="44" customWidth="1"/>
    <col min="9246" max="9246" width="5.28515625" style="44" customWidth="1"/>
    <col min="9247" max="9247" width="6.5703125" style="44" bestFit="1" customWidth="1"/>
    <col min="9248" max="9248" width="8.28515625" style="44" customWidth="1"/>
    <col min="9249" max="9249" width="8" style="44" customWidth="1"/>
    <col min="9250" max="9250" width="6.5703125" style="44" customWidth="1"/>
    <col min="9251" max="9251" width="8.28515625" style="44" customWidth="1"/>
    <col min="9252" max="9252" width="7.28515625" style="44" customWidth="1"/>
    <col min="9253" max="9253" width="8.140625" style="44" customWidth="1"/>
    <col min="9254" max="9254" width="7.42578125" style="44" customWidth="1"/>
    <col min="9255" max="9255" width="7.5703125" style="44" customWidth="1"/>
    <col min="9256" max="9256" width="6.5703125" style="44" customWidth="1"/>
    <col min="9257" max="9257" width="6.28515625" style="44" customWidth="1"/>
    <col min="9258" max="9258" width="7.7109375" style="44" customWidth="1"/>
    <col min="9259" max="9259" width="6.140625" style="44" customWidth="1"/>
    <col min="9260" max="9260" width="6.28515625" style="44" bestFit="1" customWidth="1"/>
    <col min="9261" max="9262" width="6.7109375" style="44" customWidth="1"/>
    <col min="9263" max="9263" width="6.5703125" style="44" customWidth="1"/>
    <col min="9264" max="9264" width="7.7109375" style="44" customWidth="1"/>
    <col min="9265" max="9265" width="5.7109375" style="44" customWidth="1"/>
    <col min="9266" max="9266" width="5.85546875" style="44" customWidth="1"/>
    <col min="9267" max="9267" width="6.7109375" style="44" customWidth="1"/>
    <col min="9268" max="9268" width="6.28515625" style="44" customWidth="1"/>
    <col min="9269" max="9269" width="7.5703125" style="44" customWidth="1"/>
    <col min="9270" max="9270" width="5.28515625" style="44" customWidth="1"/>
    <col min="9271" max="9271" width="6.140625" style="44" customWidth="1"/>
    <col min="9272" max="9273" width="6.28515625" style="44" customWidth="1"/>
    <col min="9274" max="9274" width="6.5703125" style="44" bestFit="1" customWidth="1"/>
    <col min="9275" max="9275" width="6.42578125" style="44" customWidth="1"/>
    <col min="9276" max="9276" width="6" style="44" customWidth="1"/>
    <col min="9277" max="9278" width="5.5703125" style="44" customWidth="1"/>
    <col min="9279" max="9279" width="5.7109375" style="44" customWidth="1"/>
    <col min="9280" max="9472" width="9.28515625" style="44"/>
    <col min="9473" max="9473" width="3.28515625" style="44" customWidth="1"/>
    <col min="9474" max="9474" width="32.28515625" style="44" customWidth="1"/>
    <col min="9475" max="9475" width="9.7109375" style="44" customWidth="1"/>
    <col min="9476" max="9476" width="10.140625" style="44" customWidth="1"/>
    <col min="9477" max="9481" width="0" style="44" hidden="1" customWidth="1"/>
    <col min="9482" max="9482" width="9.28515625" style="44"/>
    <col min="9483" max="9483" width="8.7109375" style="44" customWidth="1"/>
    <col min="9484" max="9484" width="6.7109375" style="44" customWidth="1"/>
    <col min="9485" max="9485" width="9.5703125" style="44" customWidth="1"/>
    <col min="9486" max="9486" width="6.7109375" style="44" customWidth="1"/>
    <col min="9487" max="9487" width="6.85546875" style="44" customWidth="1"/>
    <col min="9488" max="9488" width="9" style="44" customWidth="1"/>
    <col min="9489" max="9489" width="8.140625" style="44" customWidth="1"/>
    <col min="9490" max="9490" width="8" style="44" customWidth="1"/>
    <col min="9491" max="9491" width="9.140625" style="44" customWidth="1"/>
    <col min="9492" max="9492" width="7.7109375" style="44" customWidth="1"/>
    <col min="9493" max="9493" width="9.140625" style="44" customWidth="1"/>
    <col min="9494" max="9494" width="7.28515625" style="44" customWidth="1"/>
    <col min="9495" max="9495" width="7.140625" style="44" customWidth="1"/>
    <col min="9496" max="9496" width="8.7109375" style="44" customWidth="1"/>
    <col min="9497" max="9498" width="9.28515625" style="44"/>
    <col min="9499" max="9499" width="9.7109375" style="44" customWidth="1"/>
    <col min="9500" max="9500" width="6.7109375" style="44" customWidth="1"/>
    <col min="9501" max="9501" width="7" style="44" customWidth="1"/>
    <col min="9502" max="9502" width="5.28515625" style="44" customWidth="1"/>
    <col min="9503" max="9503" width="6.5703125" style="44" bestFit="1" customWidth="1"/>
    <col min="9504" max="9504" width="8.28515625" style="44" customWidth="1"/>
    <col min="9505" max="9505" width="8" style="44" customWidth="1"/>
    <col min="9506" max="9506" width="6.5703125" style="44" customWidth="1"/>
    <col min="9507" max="9507" width="8.28515625" style="44" customWidth="1"/>
    <col min="9508" max="9508" width="7.28515625" style="44" customWidth="1"/>
    <col min="9509" max="9509" width="8.140625" style="44" customWidth="1"/>
    <col min="9510" max="9510" width="7.42578125" style="44" customWidth="1"/>
    <col min="9511" max="9511" width="7.5703125" style="44" customWidth="1"/>
    <col min="9512" max="9512" width="6.5703125" style="44" customWidth="1"/>
    <col min="9513" max="9513" width="6.28515625" style="44" customWidth="1"/>
    <col min="9514" max="9514" width="7.7109375" style="44" customWidth="1"/>
    <col min="9515" max="9515" width="6.140625" style="44" customWidth="1"/>
    <col min="9516" max="9516" width="6.28515625" style="44" bestFit="1" customWidth="1"/>
    <col min="9517" max="9518" width="6.7109375" style="44" customWidth="1"/>
    <col min="9519" max="9519" width="6.5703125" style="44" customWidth="1"/>
    <col min="9520" max="9520" width="7.7109375" style="44" customWidth="1"/>
    <col min="9521" max="9521" width="5.7109375" style="44" customWidth="1"/>
    <col min="9522" max="9522" width="5.85546875" style="44" customWidth="1"/>
    <col min="9523" max="9523" width="6.7109375" style="44" customWidth="1"/>
    <col min="9524" max="9524" width="6.28515625" style="44" customWidth="1"/>
    <col min="9525" max="9525" width="7.5703125" style="44" customWidth="1"/>
    <col min="9526" max="9526" width="5.28515625" style="44" customWidth="1"/>
    <col min="9527" max="9527" width="6.140625" style="44" customWidth="1"/>
    <col min="9528" max="9529" width="6.28515625" style="44" customWidth="1"/>
    <col min="9530" max="9530" width="6.5703125" style="44" bestFit="1" customWidth="1"/>
    <col min="9531" max="9531" width="6.42578125" style="44" customWidth="1"/>
    <col min="9532" max="9532" width="6" style="44" customWidth="1"/>
    <col min="9533" max="9534" width="5.5703125" style="44" customWidth="1"/>
    <col min="9535" max="9535" width="5.7109375" style="44" customWidth="1"/>
    <col min="9536" max="9728" width="9.28515625" style="44"/>
    <col min="9729" max="9729" width="3.28515625" style="44" customWidth="1"/>
    <col min="9730" max="9730" width="32.28515625" style="44" customWidth="1"/>
    <col min="9731" max="9731" width="9.7109375" style="44" customWidth="1"/>
    <col min="9732" max="9732" width="10.140625" style="44" customWidth="1"/>
    <col min="9733" max="9737" width="0" style="44" hidden="1" customWidth="1"/>
    <col min="9738" max="9738" width="9.28515625" style="44"/>
    <col min="9739" max="9739" width="8.7109375" style="44" customWidth="1"/>
    <col min="9740" max="9740" width="6.7109375" style="44" customWidth="1"/>
    <col min="9741" max="9741" width="9.5703125" style="44" customWidth="1"/>
    <col min="9742" max="9742" width="6.7109375" style="44" customWidth="1"/>
    <col min="9743" max="9743" width="6.85546875" style="44" customWidth="1"/>
    <col min="9744" max="9744" width="9" style="44" customWidth="1"/>
    <col min="9745" max="9745" width="8.140625" style="44" customWidth="1"/>
    <col min="9746" max="9746" width="8" style="44" customWidth="1"/>
    <col min="9747" max="9747" width="9.140625" style="44" customWidth="1"/>
    <col min="9748" max="9748" width="7.7109375" style="44" customWidth="1"/>
    <col min="9749" max="9749" width="9.140625" style="44" customWidth="1"/>
    <col min="9750" max="9750" width="7.28515625" style="44" customWidth="1"/>
    <col min="9751" max="9751" width="7.140625" style="44" customWidth="1"/>
    <col min="9752" max="9752" width="8.7109375" style="44" customWidth="1"/>
    <col min="9753" max="9754" width="9.28515625" style="44"/>
    <col min="9755" max="9755" width="9.7109375" style="44" customWidth="1"/>
    <col min="9756" max="9756" width="6.7109375" style="44" customWidth="1"/>
    <col min="9757" max="9757" width="7" style="44" customWidth="1"/>
    <col min="9758" max="9758" width="5.28515625" style="44" customWidth="1"/>
    <col min="9759" max="9759" width="6.5703125" style="44" bestFit="1" customWidth="1"/>
    <col min="9760" max="9760" width="8.28515625" style="44" customWidth="1"/>
    <col min="9761" max="9761" width="8" style="44" customWidth="1"/>
    <col min="9762" max="9762" width="6.5703125" style="44" customWidth="1"/>
    <col min="9763" max="9763" width="8.28515625" style="44" customWidth="1"/>
    <col min="9764" max="9764" width="7.28515625" style="44" customWidth="1"/>
    <col min="9765" max="9765" width="8.140625" style="44" customWidth="1"/>
    <col min="9766" max="9766" width="7.42578125" style="44" customWidth="1"/>
    <col min="9767" max="9767" width="7.5703125" style="44" customWidth="1"/>
    <col min="9768" max="9768" width="6.5703125" style="44" customWidth="1"/>
    <col min="9769" max="9769" width="6.28515625" style="44" customWidth="1"/>
    <col min="9770" max="9770" width="7.7109375" style="44" customWidth="1"/>
    <col min="9771" max="9771" width="6.140625" style="44" customWidth="1"/>
    <col min="9772" max="9772" width="6.28515625" style="44" bestFit="1" customWidth="1"/>
    <col min="9773" max="9774" width="6.7109375" style="44" customWidth="1"/>
    <col min="9775" max="9775" width="6.5703125" style="44" customWidth="1"/>
    <col min="9776" max="9776" width="7.7109375" style="44" customWidth="1"/>
    <col min="9777" max="9777" width="5.7109375" style="44" customWidth="1"/>
    <col min="9778" max="9778" width="5.85546875" style="44" customWidth="1"/>
    <col min="9779" max="9779" width="6.7109375" style="44" customWidth="1"/>
    <col min="9780" max="9780" width="6.28515625" style="44" customWidth="1"/>
    <col min="9781" max="9781" width="7.5703125" style="44" customWidth="1"/>
    <col min="9782" max="9782" width="5.28515625" style="44" customWidth="1"/>
    <col min="9783" max="9783" width="6.140625" style="44" customWidth="1"/>
    <col min="9784" max="9785" width="6.28515625" style="44" customWidth="1"/>
    <col min="9786" max="9786" width="6.5703125" style="44" bestFit="1" customWidth="1"/>
    <col min="9787" max="9787" width="6.42578125" style="44" customWidth="1"/>
    <col min="9788" max="9788" width="6" style="44" customWidth="1"/>
    <col min="9789" max="9790" width="5.5703125" style="44" customWidth="1"/>
    <col min="9791" max="9791" width="5.7109375" style="44" customWidth="1"/>
    <col min="9792" max="9984" width="9.28515625" style="44"/>
    <col min="9985" max="9985" width="3.28515625" style="44" customWidth="1"/>
    <col min="9986" max="9986" width="32.28515625" style="44" customWidth="1"/>
    <col min="9987" max="9987" width="9.7109375" style="44" customWidth="1"/>
    <col min="9988" max="9988" width="10.140625" style="44" customWidth="1"/>
    <col min="9989" max="9993" width="0" style="44" hidden="1" customWidth="1"/>
    <col min="9994" max="9994" width="9.28515625" style="44"/>
    <col min="9995" max="9995" width="8.7109375" style="44" customWidth="1"/>
    <col min="9996" max="9996" width="6.7109375" style="44" customWidth="1"/>
    <col min="9997" max="9997" width="9.5703125" style="44" customWidth="1"/>
    <col min="9998" max="9998" width="6.7109375" style="44" customWidth="1"/>
    <col min="9999" max="9999" width="6.85546875" style="44" customWidth="1"/>
    <col min="10000" max="10000" width="9" style="44" customWidth="1"/>
    <col min="10001" max="10001" width="8.140625" style="44" customWidth="1"/>
    <col min="10002" max="10002" width="8" style="44" customWidth="1"/>
    <col min="10003" max="10003" width="9.140625" style="44" customWidth="1"/>
    <col min="10004" max="10004" width="7.7109375" style="44" customWidth="1"/>
    <col min="10005" max="10005" width="9.140625" style="44" customWidth="1"/>
    <col min="10006" max="10006" width="7.28515625" style="44" customWidth="1"/>
    <col min="10007" max="10007" width="7.140625" style="44" customWidth="1"/>
    <col min="10008" max="10008" width="8.7109375" style="44" customWidth="1"/>
    <col min="10009" max="10010" width="9.28515625" style="44"/>
    <col min="10011" max="10011" width="9.7109375" style="44" customWidth="1"/>
    <col min="10012" max="10012" width="6.7109375" style="44" customWidth="1"/>
    <col min="10013" max="10013" width="7" style="44" customWidth="1"/>
    <col min="10014" max="10014" width="5.28515625" style="44" customWidth="1"/>
    <col min="10015" max="10015" width="6.5703125" style="44" bestFit="1" customWidth="1"/>
    <col min="10016" max="10016" width="8.28515625" style="44" customWidth="1"/>
    <col min="10017" max="10017" width="8" style="44" customWidth="1"/>
    <col min="10018" max="10018" width="6.5703125" style="44" customWidth="1"/>
    <col min="10019" max="10019" width="8.28515625" style="44" customWidth="1"/>
    <col min="10020" max="10020" width="7.28515625" style="44" customWidth="1"/>
    <col min="10021" max="10021" width="8.140625" style="44" customWidth="1"/>
    <col min="10022" max="10022" width="7.42578125" style="44" customWidth="1"/>
    <col min="10023" max="10023" width="7.5703125" style="44" customWidth="1"/>
    <col min="10024" max="10024" width="6.5703125" style="44" customWidth="1"/>
    <col min="10025" max="10025" width="6.28515625" style="44" customWidth="1"/>
    <col min="10026" max="10026" width="7.7109375" style="44" customWidth="1"/>
    <col min="10027" max="10027" width="6.140625" style="44" customWidth="1"/>
    <col min="10028" max="10028" width="6.28515625" style="44" bestFit="1" customWidth="1"/>
    <col min="10029" max="10030" width="6.7109375" style="44" customWidth="1"/>
    <col min="10031" max="10031" width="6.5703125" style="44" customWidth="1"/>
    <col min="10032" max="10032" width="7.7109375" style="44" customWidth="1"/>
    <col min="10033" max="10033" width="5.7109375" style="44" customWidth="1"/>
    <col min="10034" max="10034" width="5.85546875" style="44" customWidth="1"/>
    <col min="10035" max="10035" width="6.7109375" style="44" customWidth="1"/>
    <col min="10036" max="10036" width="6.28515625" style="44" customWidth="1"/>
    <col min="10037" max="10037" width="7.5703125" style="44" customWidth="1"/>
    <col min="10038" max="10038" width="5.28515625" style="44" customWidth="1"/>
    <col min="10039" max="10039" width="6.140625" style="44" customWidth="1"/>
    <col min="10040" max="10041" width="6.28515625" style="44" customWidth="1"/>
    <col min="10042" max="10042" width="6.5703125" style="44" bestFit="1" customWidth="1"/>
    <col min="10043" max="10043" width="6.42578125" style="44" customWidth="1"/>
    <col min="10044" max="10044" width="6" style="44" customWidth="1"/>
    <col min="10045" max="10046" width="5.5703125" style="44" customWidth="1"/>
    <col min="10047" max="10047" width="5.7109375" style="44" customWidth="1"/>
    <col min="10048" max="10240" width="9.28515625" style="44"/>
    <col min="10241" max="10241" width="3.28515625" style="44" customWidth="1"/>
    <col min="10242" max="10242" width="32.28515625" style="44" customWidth="1"/>
    <col min="10243" max="10243" width="9.7109375" style="44" customWidth="1"/>
    <col min="10244" max="10244" width="10.140625" style="44" customWidth="1"/>
    <col min="10245" max="10249" width="0" style="44" hidden="1" customWidth="1"/>
    <col min="10250" max="10250" width="9.28515625" style="44"/>
    <col min="10251" max="10251" width="8.7109375" style="44" customWidth="1"/>
    <col min="10252" max="10252" width="6.7109375" style="44" customWidth="1"/>
    <col min="10253" max="10253" width="9.5703125" style="44" customWidth="1"/>
    <col min="10254" max="10254" width="6.7109375" style="44" customWidth="1"/>
    <col min="10255" max="10255" width="6.85546875" style="44" customWidth="1"/>
    <col min="10256" max="10256" width="9" style="44" customWidth="1"/>
    <col min="10257" max="10257" width="8.140625" style="44" customWidth="1"/>
    <col min="10258" max="10258" width="8" style="44" customWidth="1"/>
    <col min="10259" max="10259" width="9.140625" style="44" customWidth="1"/>
    <col min="10260" max="10260" width="7.7109375" style="44" customWidth="1"/>
    <col min="10261" max="10261" width="9.140625" style="44" customWidth="1"/>
    <col min="10262" max="10262" width="7.28515625" style="44" customWidth="1"/>
    <col min="10263" max="10263" width="7.140625" style="44" customWidth="1"/>
    <col min="10264" max="10264" width="8.7109375" style="44" customWidth="1"/>
    <col min="10265" max="10266" width="9.28515625" style="44"/>
    <col min="10267" max="10267" width="9.7109375" style="44" customWidth="1"/>
    <col min="10268" max="10268" width="6.7109375" style="44" customWidth="1"/>
    <col min="10269" max="10269" width="7" style="44" customWidth="1"/>
    <col min="10270" max="10270" width="5.28515625" style="44" customWidth="1"/>
    <col min="10271" max="10271" width="6.5703125" style="44" bestFit="1" customWidth="1"/>
    <col min="10272" max="10272" width="8.28515625" style="44" customWidth="1"/>
    <col min="10273" max="10273" width="8" style="44" customWidth="1"/>
    <col min="10274" max="10274" width="6.5703125" style="44" customWidth="1"/>
    <col min="10275" max="10275" width="8.28515625" style="44" customWidth="1"/>
    <col min="10276" max="10276" width="7.28515625" style="44" customWidth="1"/>
    <col min="10277" max="10277" width="8.140625" style="44" customWidth="1"/>
    <col min="10278" max="10278" width="7.42578125" style="44" customWidth="1"/>
    <col min="10279" max="10279" width="7.5703125" style="44" customWidth="1"/>
    <col min="10280" max="10280" width="6.5703125" style="44" customWidth="1"/>
    <col min="10281" max="10281" width="6.28515625" style="44" customWidth="1"/>
    <col min="10282" max="10282" width="7.7109375" style="44" customWidth="1"/>
    <col min="10283" max="10283" width="6.140625" style="44" customWidth="1"/>
    <col min="10284" max="10284" width="6.28515625" style="44" bestFit="1" customWidth="1"/>
    <col min="10285" max="10286" width="6.7109375" style="44" customWidth="1"/>
    <col min="10287" max="10287" width="6.5703125" style="44" customWidth="1"/>
    <col min="10288" max="10288" width="7.7109375" style="44" customWidth="1"/>
    <col min="10289" max="10289" width="5.7109375" style="44" customWidth="1"/>
    <col min="10290" max="10290" width="5.85546875" style="44" customWidth="1"/>
    <col min="10291" max="10291" width="6.7109375" style="44" customWidth="1"/>
    <col min="10292" max="10292" width="6.28515625" style="44" customWidth="1"/>
    <col min="10293" max="10293" width="7.5703125" style="44" customWidth="1"/>
    <col min="10294" max="10294" width="5.28515625" style="44" customWidth="1"/>
    <col min="10295" max="10295" width="6.140625" style="44" customWidth="1"/>
    <col min="10296" max="10297" width="6.28515625" style="44" customWidth="1"/>
    <col min="10298" max="10298" width="6.5703125" style="44" bestFit="1" customWidth="1"/>
    <col min="10299" max="10299" width="6.42578125" style="44" customWidth="1"/>
    <col min="10300" max="10300" width="6" style="44" customWidth="1"/>
    <col min="10301" max="10302" width="5.5703125" style="44" customWidth="1"/>
    <col min="10303" max="10303" width="5.7109375" style="44" customWidth="1"/>
    <col min="10304" max="10496" width="9.28515625" style="44"/>
    <col min="10497" max="10497" width="3.28515625" style="44" customWidth="1"/>
    <col min="10498" max="10498" width="32.28515625" style="44" customWidth="1"/>
    <col min="10499" max="10499" width="9.7109375" style="44" customWidth="1"/>
    <col min="10500" max="10500" width="10.140625" style="44" customWidth="1"/>
    <col min="10501" max="10505" width="0" style="44" hidden="1" customWidth="1"/>
    <col min="10506" max="10506" width="9.28515625" style="44"/>
    <col min="10507" max="10507" width="8.7109375" style="44" customWidth="1"/>
    <col min="10508" max="10508" width="6.7109375" style="44" customWidth="1"/>
    <col min="10509" max="10509" width="9.5703125" style="44" customWidth="1"/>
    <col min="10510" max="10510" width="6.7109375" style="44" customWidth="1"/>
    <col min="10511" max="10511" width="6.85546875" style="44" customWidth="1"/>
    <col min="10512" max="10512" width="9" style="44" customWidth="1"/>
    <col min="10513" max="10513" width="8.140625" style="44" customWidth="1"/>
    <col min="10514" max="10514" width="8" style="44" customWidth="1"/>
    <col min="10515" max="10515" width="9.140625" style="44" customWidth="1"/>
    <col min="10516" max="10516" width="7.7109375" style="44" customWidth="1"/>
    <col min="10517" max="10517" width="9.140625" style="44" customWidth="1"/>
    <col min="10518" max="10518" width="7.28515625" style="44" customWidth="1"/>
    <col min="10519" max="10519" width="7.140625" style="44" customWidth="1"/>
    <col min="10520" max="10520" width="8.7109375" style="44" customWidth="1"/>
    <col min="10521" max="10522" width="9.28515625" style="44"/>
    <col min="10523" max="10523" width="9.7109375" style="44" customWidth="1"/>
    <col min="10524" max="10524" width="6.7109375" style="44" customWidth="1"/>
    <col min="10525" max="10525" width="7" style="44" customWidth="1"/>
    <col min="10526" max="10526" width="5.28515625" style="44" customWidth="1"/>
    <col min="10527" max="10527" width="6.5703125" style="44" bestFit="1" customWidth="1"/>
    <col min="10528" max="10528" width="8.28515625" style="44" customWidth="1"/>
    <col min="10529" max="10529" width="8" style="44" customWidth="1"/>
    <col min="10530" max="10530" width="6.5703125" style="44" customWidth="1"/>
    <col min="10531" max="10531" width="8.28515625" style="44" customWidth="1"/>
    <col min="10532" max="10532" width="7.28515625" style="44" customWidth="1"/>
    <col min="10533" max="10533" width="8.140625" style="44" customWidth="1"/>
    <col min="10534" max="10534" width="7.42578125" style="44" customWidth="1"/>
    <col min="10535" max="10535" width="7.5703125" style="44" customWidth="1"/>
    <col min="10536" max="10536" width="6.5703125" style="44" customWidth="1"/>
    <col min="10537" max="10537" width="6.28515625" style="44" customWidth="1"/>
    <col min="10538" max="10538" width="7.7109375" style="44" customWidth="1"/>
    <col min="10539" max="10539" width="6.140625" style="44" customWidth="1"/>
    <col min="10540" max="10540" width="6.28515625" style="44" bestFit="1" customWidth="1"/>
    <col min="10541" max="10542" width="6.7109375" style="44" customWidth="1"/>
    <col min="10543" max="10543" width="6.5703125" style="44" customWidth="1"/>
    <col min="10544" max="10544" width="7.7109375" style="44" customWidth="1"/>
    <col min="10545" max="10545" width="5.7109375" style="44" customWidth="1"/>
    <col min="10546" max="10546" width="5.85546875" style="44" customWidth="1"/>
    <col min="10547" max="10547" width="6.7109375" style="44" customWidth="1"/>
    <col min="10548" max="10548" width="6.28515625" style="44" customWidth="1"/>
    <col min="10549" max="10549" width="7.5703125" style="44" customWidth="1"/>
    <col min="10550" max="10550" width="5.28515625" style="44" customWidth="1"/>
    <col min="10551" max="10551" width="6.140625" style="44" customWidth="1"/>
    <col min="10552" max="10553" width="6.28515625" style="44" customWidth="1"/>
    <col min="10554" max="10554" width="6.5703125" style="44" bestFit="1" customWidth="1"/>
    <col min="10555" max="10555" width="6.42578125" style="44" customWidth="1"/>
    <col min="10556" max="10556" width="6" style="44" customWidth="1"/>
    <col min="10557" max="10558" width="5.5703125" style="44" customWidth="1"/>
    <col min="10559" max="10559" width="5.7109375" style="44" customWidth="1"/>
    <col min="10560" max="10752" width="9.28515625" style="44"/>
    <col min="10753" max="10753" width="3.28515625" style="44" customWidth="1"/>
    <col min="10754" max="10754" width="32.28515625" style="44" customWidth="1"/>
    <col min="10755" max="10755" width="9.7109375" style="44" customWidth="1"/>
    <col min="10756" max="10756" width="10.140625" style="44" customWidth="1"/>
    <col min="10757" max="10761" width="0" style="44" hidden="1" customWidth="1"/>
    <col min="10762" max="10762" width="9.28515625" style="44"/>
    <col min="10763" max="10763" width="8.7109375" style="44" customWidth="1"/>
    <col min="10764" max="10764" width="6.7109375" style="44" customWidth="1"/>
    <col min="10765" max="10765" width="9.5703125" style="44" customWidth="1"/>
    <col min="10766" max="10766" width="6.7109375" style="44" customWidth="1"/>
    <col min="10767" max="10767" width="6.85546875" style="44" customWidth="1"/>
    <col min="10768" max="10768" width="9" style="44" customWidth="1"/>
    <col min="10769" max="10769" width="8.140625" style="44" customWidth="1"/>
    <col min="10770" max="10770" width="8" style="44" customWidth="1"/>
    <col min="10771" max="10771" width="9.140625" style="44" customWidth="1"/>
    <col min="10772" max="10772" width="7.7109375" style="44" customWidth="1"/>
    <col min="10773" max="10773" width="9.140625" style="44" customWidth="1"/>
    <col min="10774" max="10774" width="7.28515625" style="44" customWidth="1"/>
    <col min="10775" max="10775" width="7.140625" style="44" customWidth="1"/>
    <col min="10776" max="10776" width="8.7109375" style="44" customWidth="1"/>
    <col min="10777" max="10778" width="9.28515625" style="44"/>
    <col min="10779" max="10779" width="9.7109375" style="44" customWidth="1"/>
    <col min="10780" max="10780" width="6.7109375" style="44" customWidth="1"/>
    <col min="10781" max="10781" width="7" style="44" customWidth="1"/>
    <col min="10782" max="10782" width="5.28515625" style="44" customWidth="1"/>
    <col min="10783" max="10783" width="6.5703125" style="44" bestFit="1" customWidth="1"/>
    <col min="10784" max="10784" width="8.28515625" style="44" customWidth="1"/>
    <col min="10785" max="10785" width="8" style="44" customWidth="1"/>
    <col min="10786" max="10786" width="6.5703125" style="44" customWidth="1"/>
    <col min="10787" max="10787" width="8.28515625" style="44" customWidth="1"/>
    <col min="10788" max="10788" width="7.28515625" style="44" customWidth="1"/>
    <col min="10789" max="10789" width="8.140625" style="44" customWidth="1"/>
    <col min="10790" max="10790" width="7.42578125" style="44" customWidth="1"/>
    <col min="10791" max="10791" width="7.5703125" style="44" customWidth="1"/>
    <col min="10792" max="10792" width="6.5703125" style="44" customWidth="1"/>
    <col min="10793" max="10793" width="6.28515625" style="44" customWidth="1"/>
    <col min="10794" max="10794" width="7.7109375" style="44" customWidth="1"/>
    <col min="10795" max="10795" width="6.140625" style="44" customWidth="1"/>
    <col min="10796" max="10796" width="6.28515625" style="44" bestFit="1" customWidth="1"/>
    <col min="10797" max="10798" width="6.7109375" style="44" customWidth="1"/>
    <col min="10799" max="10799" width="6.5703125" style="44" customWidth="1"/>
    <col min="10800" max="10800" width="7.7109375" style="44" customWidth="1"/>
    <col min="10801" max="10801" width="5.7109375" style="44" customWidth="1"/>
    <col min="10802" max="10802" width="5.85546875" style="44" customWidth="1"/>
    <col min="10803" max="10803" width="6.7109375" style="44" customWidth="1"/>
    <col min="10804" max="10804" width="6.28515625" style="44" customWidth="1"/>
    <col min="10805" max="10805" width="7.5703125" style="44" customWidth="1"/>
    <col min="10806" max="10806" width="5.28515625" style="44" customWidth="1"/>
    <col min="10807" max="10807" width="6.140625" style="44" customWidth="1"/>
    <col min="10808" max="10809" width="6.28515625" style="44" customWidth="1"/>
    <col min="10810" max="10810" width="6.5703125" style="44" bestFit="1" customWidth="1"/>
    <col min="10811" max="10811" width="6.42578125" style="44" customWidth="1"/>
    <col min="10812" max="10812" width="6" style="44" customWidth="1"/>
    <col min="10813" max="10814" width="5.5703125" style="44" customWidth="1"/>
    <col min="10815" max="10815" width="5.7109375" style="44" customWidth="1"/>
    <col min="10816" max="11008" width="9.28515625" style="44"/>
    <col min="11009" max="11009" width="3.28515625" style="44" customWidth="1"/>
    <col min="11010" max="11010" width="32.28515625" style="44" customWidth="1"/>
    <col min="11011" max="11011" width="9.7109375" style="44" customWidth="1"/>
    <col min="11012" max="11012" width="10.140625" style="44" customWidth="1"/>
    <col min="11013" max="11017" width="0" style="44" hidden="1" customWidth="1"/>
    <col min="11018" max="11018" width="9.28515625" style="44"/>
    <col min="11019" max="11019" width="8.7109375" style="44" customWidth="1"/>
    <col min="11020" max="11020" width="6.7109375" style="44" customWidth="1"/>
    <col min="11021" max="11021" width="9.5703125" style="44" customWidth="1"/>
    <col min="11022" max="11022" width="6.7109375" style="44" customWidth="1"/>
    <col min="11023" max="11023" width="6.85546875" style="44" customWidth="1"/>
    <col min="11024" max="11024" width="9" style="44" customWidth="1"/>
    <col min="11025" max="11025" width="8.140625" style="44" customWidth="1"/>
    <col min="11026" max="11026" width="8" style="44" customWidth="1"/>
    <col min="11027" max="11027" width="9.140625" style="44" customWidth="1"/>
    <col min="11028" max="11028" width="7.7109375" style="44" customWidth="1"/>
    <col min="11029" max="11029" width="9.140625" style="44" customWidth="1"/>
    <col min="11030" max="11030" width="7.28515625" style="44" customWidth="1"/>
    <col min="11031" max="11031" width="7.140625" style="44" customWidth="1"/>
    <col min="11032" max="11032" width="8.7109375" style="44" customWidth="1"/>
    <col min="11033" max="11034" width="9.28515625" style="44"/>
    <col min="11035" max="11035" width="9.7109375" style="44" customWidth="1"/>
    <col min="11036" max="11036" width="6.7109375" style="44" customWidth="1"/>
    <col min="11037" max="11037" width="7" style="44" customWidth="1"/>
    <col min="11038" max="11038" width="5.28515625" style="44" customWidth="1"/>
    <col min="11039" max="11039" width="6.5703125" style="44" bestFit="1" customWidth="1"/>
    <col min="11040" max="11040" width="8.28515625" style="44" customWidth="1"/>
    <col min="11041" max="11041" width="8" style="44" customWidth="1"/>
    <col min="11042" max="11042" width="6.5703125" style="44" customWidth="1"/>
    <col min="11043" max="11043" width="8.28515625" style="44" customWidth="1"/>
    <col min="11044" max="11044" width="7.28515625" style="44" customWidth="1"/>
    <col min="11045" max="11045" width="8.140625" style="44" customWidth="1"/>
    <col min="11046" max="11046" width="7.42578125" style="44" customWidth="1"/>
    <col min="11047" max="11047" width="7.5703125" style="44" customWidth="1"/>
    <col min="11048" max="11048" width="6.5703125" style="44" customWidth="1"/>
    <col min="11049" max="11049" width="6.28515625" style="44" customWidth="1"/>
    <col min="11050" max="11050" width="7.7109375" style="44" customWidth="1"/>
    <col min="11051" max="11051" width="6.140625" style="44" customWidth="1"/>
    <col min="11052" max="11052" width="6.28515625" style="44" bestFit="1" customWidth="1"/>
    <col min="11053" max="11054" width="6.7109375" style="44" customWidth="1"/>
    <col min="11055" max="11055" width="6.5703125" style="44" customWidth="1"/>
    <col min="11056" max="11056" width="7.7109375" style="44" customWidth="1"/>
    <col min="11057" max="11057" width="5.7109375" style="44" customWidth="1"/>
    <col min="11058" max="11058" width="5.85546875" style="44" customWidth="1"/>
    <col min="11059" max="11059" width="6.7109375" style="44" customWidth="1"/>
    <col min="11060" max="11060" width="6.28515625" style="44" customWidth="1"/>
    <col min="11061" max="11061" width="7.5703125" style="44" customWidth="1"/>
    <col min="11062" max="11062" width="5.28515625" style="44" customWidth="1"/>
    <col min="11063" max="11063" width="6.140625" style="44" customWidth="1"/>
    <col min="11064" max="11065" width="6.28515625" style="44" customWidth="1"/>
    <col min="11066" max="11066" width="6.5703125" style="44" bestFit="1" customWidth="1"/>
    <col min="11067" max="11067" width="6.42578125" style="44" customWidth="1"/>
    <col min="11068" max="11068" width="6" style="44" customWidth="1"/>
    <col min="11069" max="11070" width="5.5703125" style="44" customWidth="1"/>
    <col min="11071" max="11071" width="5.7109375" style="44" customWidth="1"/>
    <col min="11072" max="11264" width="9.28515625" style="44"/>
    <col min="11265" max="11265" width="3.28515625" style="44" customWidth="1"/>
    <col min="11266" max="11266" width="32.28515625" style="44" customWidth="1"/>
    <col min="11267" max="11267" width="9.7109375" style="44" customWidth="1"/>
    <col min="11268" max="11268" width="10.140625" style="44" customWidth="1"/>
    <col min="11269" max="11273" width="0" style="44" hidden="1" customWidth="1"/>
    <col min="11274" max="11274" width="9.28515625" style="44"/>
    <col min="11275" max="11275" width="8.7109375" style="44" customWidth="1"/>
    <col min="11276" max="11276" width="6.7109375" style="44" customWidth="1"/>
    <col min="11277" max="11277" width="9.5703125" style="44" customWidth="1"/>
    <col min="11278" max="11278" width="6.7109375" style="44" customWidth="1"/>
    <col min="11279" max="11279" width="6.85546875" style="44" customWidth="1"/>
    <col min="11280" max="11280" width="9" style="44" customWidth="1"/>
    <col min="11281" max="11281" width="8.140625" style="44" customWidth="1"/>
    <col min="11282" max="11282" width="8" style="44" customWidth="1"/>
    <col min="11283" max="11283" width="9.140625" style="44" customWidth="1"/>
    <col min="11284" max="11284" width="7.7109375" style="44" customWidth="1"/>
    <col min="11285" max="11285" width="9.140625" style="44" customWidth="1"/>
    <col min="11286" max="11286" width="7.28515625" style="44" customWidth="1"/>
    <col min="11287" max="11287" width="7.140625" style="44" customWidth="1"/>
    <col min="11288" max="11288" width="8.7109375" style="44" customWidth="1"/>
    <col min="11289" max="11290" width="9.28515625" style="44"/>
    <col min="11291" max="11291" width="9.7109375" style="44" customWidth="1"/>
    <col min="11292" max="11292" width="6.7109375" style="44" customWidth="1"/>
    <col min="11293" max="11293" width="7" style="44" customWidth="1"/>
    <col min="11294" max="11294" width="5.28515625" style="44" customWidth="1"/>
    <col min="11295" max="11295" width="6.5703125" style="44" bestFit="1" customWidth="1"/>
    <col min="11296" max="11296" width="8.28515625" style="44" customWidth="1"/>
    <col min="11297" max="11297" width="8" style="44" customWidth="1"/>
    <col min="11298" max="11298" width="6.5703125" style="44" customWidth="1"/>
    <col min="11299" max="11299" width="8.28515625" style="44" customWidth="1"/>
    <col min="11300" max="11300" width="7.28515625" style="44" customWidth="1"/>
    <col min="11301" max="11301" width="8.140625" style="44" customWidth="1"/>
    <col min="11302" max="11302" width="7.42578125" style="44" customWidth="1"/>
    <col min="11303" max="11303" width="7.5703125" style="44" customWidth="1"/>
    <col min="11304" max="11304" width="6.5703125" style="44" customWidth="1"/>
    <col min="11305" max="11305" width="6.28515625" style="44" customWidth="1"/>
    <col min="11306" max="11306" width="7.7109375" style="44" customWidth="1"/>
    <col min="11307" max="11307" width="6.140625" style="44" customWidth="1"/>
    <col min="11308" max="11308" width="6.28515625" style="44" bestFit="1" customWidth="1"/>
    <col min="11309" max="11310" width="6.7109375" style="44" customWidth="1"/>
    <col min="11311" max="11311" width="6.5703125" style="44" customWidth="1"/>
    <col min="11312" max="11312" width="7.7109375" style="44" customWidth="1"/>
    <col min="11313" max="11313" width="5.7109375" style="44" customWidth="1"/>
    <col min="11314" max="11314" width="5.85546875" style="44" customWidth="1"/>
    <col min="11315" max="11315" width="6.7109375" style="44" customWidth="1"/>
    <col min="11316" max="11316" width="6.28515625" style="44" customWidth="1"/>
    <col min="11317" max="11317" width="7.5703125" style="44" customWidth="1"/>
    <col min="11318" max="11318" width="5.28515625" style="44" customWidth="1"/>
    <col min="11319" max="11319" width="6.140625" style="44" customWidth="1"/>
    <col min="11320" max="11321" width="6.28515625" style="44" customWidth="1"/>
    <col min="11322" max="11322" width="6.5703125" style="44" bestFit="1" customWidth="1"/>
    <col min="11323" max="11323" width="6.42578125" style="44" customWidth="1"/>
    <col min="11324" max="11324" width="6" style="44" customWidth="1"/>
    <col min="11325" max="11326" width="5.5703125" style="44" customWidth="1"/>
    <col min="11327" max="11327" width="5.7109375" style="44" customWidth="1"/>
    <col min="11328" max="11520" width="9.28515625" style="44"/>
    <col min="11521" max="11521" width="3.28515625" style="44" customWidth="1"/>
    <col min="11522" max="11522" width="32.28515625" style="44" customWidth="1"/>
    <col min="11523" max="11523" width="9.7109375" style="44" customWidth="1"/>
    <col min="11524" max="11524" width="10.140625" style="44" customWidth="1"/>
    <col min="11525" max="11529" width="0" style="44" hidden="1" customWidth="1"/>
    <col min="11530" max="11530" width="9.28515625" style="44"/>
    <col min="11531" max="11531" width="8.7109375" style="44" customWidth="1"/>
    <col min="11532" max="11532" width="6.7109375" style="44" customWidth="1"/>
    <col min="11533" max="11533" width="9.5703125" style="44" customWidth="1"/>
    <col min="11534" max="11534" width="6.7109375" style="44" customWidth="1"/>
    <col min="11535" max="11535" width="6.85546875" style="44" customWidth="1"/>
    <col min="11536" max="11536" width="9" style="44" customWidth="1"/>
    <col min="11537" max="11537" width="8.140625" style="44" customWidth="1"/>
    <col min="11538" max="11538" width="8" style="44" customWidth="1"/>
    <col min="11539" max="11539" width="9.140625" style="44" customWidth="1"/>
    <col min="11540" max="11540" width="7.7109375" style="44" customWidth="1"/>
    <col min="11541" max="11541" width="9.140625" style="44" customWidth="1"/>
    <col min="11542" max="11542" width="7.28515625" style="44" customWidth="1"/>
    <col min="11543" max="11543" width="7.140625" style="44" customWidth="1"/>
    <col min="11544" max="11544" width="8.7109375" style="44" customWidth="1"/>
    <col min="11545" max="11546" width="9.28515625" style="44"/>
    <col min="11547" max="11547" width="9.7109375" style="44" customWidth="1"/>
    <col min="11548" max="11548" width="6.7109375" style="44" customWidth="1"/>
    <col min="11549" max="11549" width="7" style="44" customWidth="1"/>
    <col min="11550" max="11550" width="5.28515625" style="44" customWidth="1"/>
    <col min="11551" max="11551" width="6.5703125" style="44" bestFit="1" customWidth="1"/>
    <col min="11552" max="11552" width="8.28515625" style="44" customWidth="1"/>
    <col min="11553" max="11553" width="8" style="44" customWidth="1"/>
    <col min="11554" max="11554" width="6.5703125" style="44" customWidth="1"/>
    <col min="11555" max="11555" width="8.28515625" style="44" customWidth="1"/>
    <col min="11556" max="11556" width="7.28515625" style="44" customWidth="1"/>
    <col min="11557" max="11557" width="8.140625" style="44" customWidth="1"/>
    <col min="11558" max="11558" width="7.42578125" style="44" customWidth="1"/>
    <col min="11559" max="11559" width="7.5703125" style="44" customWidth="1"/>
    <col min="11560" max="11560" width="6.5703125" style="44" customWidth="1"/>
    <col min="11561" max="11561" width="6.28515625" style="44" customWidth="1"/>
    <col min="11562" max="11562" width="7.7109375" style="44" customWidth="1"/>
    <col min="11563" max="11563" width="6.140625" style="44" customWidth="1"/>
    <col min="11564" max="11564" width="6.28515625" style="44" bestFit="1" customWidth="1"/>
    <col min="11565" max="11566" width="6.7109375" style="44" customWidth="1"/>
    <col min="11567" max="11567" width="6.5703125" style="44" customWidth="1"/>
    <col min="11568" max="11568" width="7.7109375" style="44" customWidth="1"/>
    <col min="11569" max="11569" width="5.7109375" style="44" customWidth="1"/>
    <col min="11570" max="11570" width="5.85546875" style="44" customWidth="1"/>
    <col min="11571" max="11571" width="6.7109375" style="44" customWidth="1"/>
    <col min="11572" max="11572" width="6.28515625" style="44" customWidth="1"/>
    <col min="11573" max="11573" width="7.5703125" style="44" customWidth="1"/>
    <col min="11574" max="11574" width="5.28515625" style="44" customWidth="1"/>
    <col min="11575" max="11575" width="6.140625" style="44" customWidth="1"/>
    <col min="11576" max="11577" width="6.28515625" style="44" customWidth="1"/>
    <col min="11578" max="11578" width="6.5703125" style="44" bestFit="1" customWidth="1"/>
    <col min="11579" max="11579" width="6.42578125" style="44" customWidth="1"/>
    <col min="11580" max="11580" width="6" style="44" customWidth="1"/>
    <col min="11581" max="11582" width="5.5703125" style="44" customWidth="1"/>
    <col min="11583" max="11583" width="5.7109375" style="44" customWidth="1"/>
    <col min="11584" max="11776" width="9.28515625" style="44"/>
    <col min="11777" max="11777" width="3.28515625" style="44" customWidth="1"/>
    <col min="11778" max="11778" width="32.28515625" style="44" customWidth="1"/>
    <col min="11779" max="11779" width="9.7109375" style="44" customWidth="1"/>
    <col min="11780" max="11780" width="10.140625" style="44" customWidth="1"/>
    <col min="11781" max="11785" width="0" style="44" hidden="1" customWidth="1"/>
    <col min="11786" max="11786" width="9.28515625" style="44"/>
    <col min="11787" max="11787" width="8.7109375" style="44" customWidth="1"/>
    <col min="11788" max="11788" width="6.7109375" style="44" customWidth="1"/>
    <col min="11789" max="11789" width="9.5703125" style="44" customWidth="1"/>
    <col min="11790" max="11790" width="6.7109375" style="44" customWidth="1"/>
    <col min="11791" max="11791" width="6.85546875" style="44" customWidth="1"/>
    <col min="11792" max="11792" width="9" style="44" customWidth="1"/>
    <col min="11793" max="11793" width="8.140625" style="44" customWidth="1"/>
    <col min="11794" max="11794" width="8" style="44" customWidth="1"/>
    <col min="11795" max="11795" width="9.140625" style="44" customWidth="1"/>
    <col min="11796" max="11796" width="7.7109375" style="44" customWidth="1"/>
    <col min="11797" max="11797" width="9.140625" style="44" customWidth="1"/>
    <col min="11798" max="11798" width="7.28515625" style="44" customWidth="1"/>
    <col min="11799" max="11799" width="7.140625" style="44" customWidth="1"/>
    <col min="11800" max="11800" width="8.7109375" style="44" customWidth="1"/>
    <col min="11801" max="11802" width="9.28515625" style="44"/>
    <col min="11803" max="11803" width="9.7109375" style="44" customWidth="1"/>
    <col min="11804" max="11804" width="6.7109375" style="44" customWidth="1"/>
    <col min="11805" max="11805" width="7" style="44" customWidth="1"/>
    <col min="11806" max="11806" width="5.28515625" style="44" customWidth="1"/>
    <col min="11807" max="11807" width="6.5703125" style="44" bestFit="1" customWidth="1"/>
    <col min="11808" max="11808" width="8.28515625" style="44" customWidth="1"/>
    <col min="11809" max="11809" width="8" style="44" customWidth="1"/>
    <col min="11810" max="11810" width="6.5703125" style="44" customWidth="1"/>
    <col min="11811" max="11811" width="8.28515625" style="44" customWidth="1"/>
    <col min="11812" max="11812" width="7.28515625" style="44" customWidth="1"/>
    <col min="11813" max="11813" width="8.140625" style="44" customWidth="1"/>
    <col min="11814" max="11814" width="7.42578125" style="44" customWidth="1"/>
    <col min="11815" max="11815" width="7.5703125" style="44" customWidth="1"/>
    <col min="11816" max="11816" width="6.5703125" style="44" customWidth="1"/>
    <col min="11817" max="11817" width="6.28515625" style="44" customWidth="1"/>
    <col min="11818" max="11818" width="7.7109375" style="44" customWidth="1"/>
    <col min="11819" max="11819" width="6.140625" style="44" customWidth="1"/>
    <col min="11820" max="11820" width="6.28515625" style="44" bestFit="1" customWidth="1"/>
    <col min="11821" max="11822" width="6.7109375" style="44" customWidth="1"/>
    <col min="11823" max="11823" width="6.5703125" style="44" customWidth="1"/>
    <col min="11824" max="11824" width="7.7109375" style="44" customWidth="1"/>
    <col min="11825" max="11825" width="5.7109375" style="44" customWidth="1"/>
    <col min="11826" max="11826" width="5.85546875" style="44" customWidth="1"/>
    <col min="11827" max="11827" width="6.7109375" style="44" customWidth="1"/>
    <col min="11828" max="11828" width="6.28515625" style="44" customWidth="1"/>
    <col min="11829" max="11829" width="7.5703125" style="44" customWidth="1"/>
    <col min="11830" max="11830" width="5.28515625" style="44" customWidth="1"/>
    <col min="11831" max="11831" width="6.140625" style="44" customWidth="1"/>
    <col min="11832" max="11833" width="6.28515625" style="44" customWidth="1"/>
    <col min="11834" max="11834" width="6.5703125" style="44" bestFit="1" customWidth="1"/>
    <col min="11835" max="11835" width="6.42578125" style="44" customWidth="1"/>
    <col min="11836" max="11836" width="6" style="44" customWidth="1"/>
    <col min="11837" max="11838" width="5.5703125" style="44" customWidth="1"/>
    <col min="11839" max="11839" width="5.7109375" style="44" customWidth="1"/>
    <col min="11840" max="12032" width="9.28515625" style="44"/>
    <col min="12033" max="12033" width="3.28515625" style="44" customWidth="1"/>
    <col min="12034" max="12034" width="32.28515625" style="44" customWidth="1"/>
    <col min="12035" max="12035" width="9.7109375" style="44" customWidth="1"/>
    <col min="12036" max="12036" width="10.140625" style="44" customWidth="1"/>
    <col min="12037" max="12041" width="0" style="44" hidden="1" customWidth="1"/>
    <col min="12042" max="12042" width="9.28515625" style="44"/>
    <col min="12043" max="12043" width="8.7109375" style="44" customWidth="1"/>
    <col min="12044" max="12044" width="6.7109375" style="44" customWidth="1"/>
    <col min="12045" max="12045" width="9.5703125" style="44" customWidth="1"/>
    <col min="12046" max="12046" width="6.7109375" style="44" customWidth="1"/>
    <col min="12047" max="12047" width="6.85546875" style="44" customWidth="1"/>
    <col min="12048" max="12048" width="9" style="44" customWidth="1"/>
    <col min="12049" max="12049" width="8.140625" style="44" customWidth="1"/>
    <col min="12050" max="12050" width="8" style="44" customWidth="1"/>
    <col min="12051" max="12051" width="9.140625" style="44" customWidth="1"/>
    <col min="12052" max="12052" width="7.7109375" style="44" customWidth="1"/>
    <col min="12053" max="12053" width="9.140625" style="44" customWidth="1"/>
    <col min="12054" max="12054" width="7.28515625" style="44" customWidth="1"/>
    <col min="12055" max="12055" width="7.140625" style="44" customWidth="1"/>
    <col min="12056" max="12056" width="8.7109375" style="44" customWidth="1"/>
    <col min="12057" max="12058" width="9.28515625" style="44"/>
    <col min="12059" max="12059" width="9.7109375" style="44" customWidth="1"/>
    <col min="12060" max="12060" width="6.7109375" style="44" customWidth="1"/>
    <col min="12061" max="12061" width="7" style="44" customWidth="1"/>
    <col min="12062" max="12062" width="5.28515625" style="44" customWidth="1"/>
    <col min="12063" max="12063" width="6.5703125" style="44" bestFit="1" customWidth="1"/>
    <col min="12064" max="12064" width="8.28515625" style="44" customWidth="1"/>
    <col min="12065" max="12065" width="8" style="44" customWidth="1"/>
    <col min="12066" max="12066" width="6.5703125" style="44" customWidth="1"/>
    <col min="12067" max="12067" width="8.28515625" style="44" customWidth="1"/>
    <col min="12068" max="12068" width="7.28515625" style="44" customWidth="1"/>
    <col min="12069" max="12069" width="8.140625" style="44" customWidth="1"/>
    <col min="12070" max="12070" width="7.42578125" style="44" customWidth="1"/>
    <col min="12071" max="12071" width="7.5703125" style="44" customWidth="1"/>
    <col min="12072" max="12072" width="6.5703125" style="44" customWidth="1"/>
    <col min="12073" max="12073" width="6.28515625" style="44" customWidth="1"/>
    <col min="12074" max="12074" width="7.7109375" style="44" customWidth="1"/>
    <col min="12075" max="12075" width="6.140625" style="44" customWidth="1"/>
    <col min="12076" max="12076" width="6.28515625" style="44" bestFit="1" customWidth="1"/>
    <col min="12077" max="12078" width="6.7109375" style="44" customWidth="1"/>
    <col min="12079" max="12079" width="6.5703125" style="44" customWidth="1"/>
    <col min="12080" max="12080" width="7.7109375" style="44" customWidth="1"/>
    <col min="12081" max="12081" width="5.7109375" style="44" customWidth="1"/>
    <col min="12082" max="12082" width="5.85546875" style="44" customWidth="1"/>
    <col min="12083" max="12083" width="6.7109375" style="44" customWidth="1"/>
    <col min="12084" max="12084" width="6.28515625" style="44" customWidth="1"/>
    <col min="12085" max="12085" width="7.5703125" style="44" customWidth="1"/>
    <col min="12086" max="12086" width="5.28515625" style="44" customWidth="1"/>
    <col min="12087" max="12087" width="6.140625" style="44" customWidth="1"/>
    <col min="12088" max="12089" width="6.28515625" style="44" customWidth="1"/>
    <col min="12090" max="12090" width="6.5703125" style="44" bestFit="1" customWidth="1"/>
    <col min="12091" max="12091" width="6.42578125" style="44" customWidth="1"/>
    <col min="12092" max="12092" width="6" style="44" customWidth="1"/>
    <col min="12093" max="12094" width="5.5703125" style="44" customWidth="1"/>
    <col min="12095" max="12095" width="5.7109375" style="44" customWidth="1"/>
    <col min="12096" max="12288" width="9.28515625" style="44"/>
    <col min="12289" max="12289" width="3.28515625" style="44" customWidth="1"/>
    <col min="12290" max="12290" width="32.28515625" style="44" customWidth="1"/>
    <col min="12291" max="12291" width="9.7109375" style="44" customWidth="1"/>
    <col min="12292" max="12292" width="10.140625" style="44" customWidth="1"/>
    <col min="12293" max="12297" width="0" style="44" hidden="1" customWidth="1"/>
    <col min="12298" max="12298" width="9.28515625" style="44"/>
    <col min="12299" max="12299" width="8.7109375" style="44" customWidth="1"/>
    <col min="12300" max="12300" width="6.7109375" style="44" customWidth="1"/>
    <col min="12301" max="12301" width="9.5703125" style="44" customWidth="1"/>
    <col min="12302" max="12302" width="6.7109375" style="44" customWidth="1"/>
    <col min="12303" max="12303" width="6.85546875" style="44" customWidth="1"/>
    <col min="12304" max="12304" width="9" style="44" customWidth="1"/>
    <col min="12305" max="12305" width="8.140625" style="44" customWidth="1"/>
    <col min="12306" max="12306" width="8" style="44" customWidth="1"/>
    <col min="12307" max="12307" width="9.140625" style="44" customWidth="1"/>
    <col min="12308" max="12308" width="7.7109375" style="44" customWidth="1"/>
    <col min="12309" max="12309" width="9.140625" style="44" customWidth="1"/>
    <col min="12310" max="12310" width="7.28515625" style="44" customWidth="1"/>
    <col min="12311" max="12311" width="7.140625" style="44" customWidth="1"/>
    <col min="12312" max="12312" width="8.7109375" style="44" customWidth="1"/>
    <col min="12313" max="12314" width="9.28515625" style="44"/>
    <col min="12315" max="12315" width="9.7109375" style="44" customWidth="1"/>
    <col min="12316" max="12316" width="6.7109375" style="44" customWidth="1"/>
    <col min="12317" max="12317" width="7" style="44" customWidth="1"/>
    <col min="12318" max="12318" width="5.28515625" style="44" customWidth="1"/>
    <col min="12319" max="12319" width="6.5703125" style="44" bestFit="1" customWidth="1"/>
    <col min="12320" max="12320" width="8.28515625" style="44" customWidth="1"/>
    <col min="12321" max="12321" width="8" style="44" customWidth="1"/>
    <col min="12322" max="12322" width="6.5703125" style="44" customWidth="1"/>
    <col min="12323" max="12323" width="8.28515625" style="44" customWidth="1"/>
    <col min="12324" max="12324" width="7.28515625" style="44" customWidth="1"/>
    <col min="12325" max="12325" width="8.140625" style="44" customWidth="1"/>
    <col min="12326" max="12326" width="7.42578125" style="44" customWidth="1"/>
    <col min="12327" max="12327" width="7.5703125" style="44" customWidth="1"/>
    <col min="12328" max="12328" width="6.5703125" style="44" customWidth="1"/>
    <col min="12329" max="12329" width="6.28515625" style="44" customWidth="1"/>
    <col min="12330" max="12330" width="7.7109375" style="44" customWidth="1"/>
    <col min="12331" max="12331" width="6.140625" style="44" customWidth="1"/>
    <col min="12332" max="12332" width="6.28515625" style="44" bestFit="1" customWidth="1"/>
    <col min="12333" max="12334" width="6.7109375" style="44" customWidth="1"/>
    <col min="12335" max="12335" width="6.5703125" style="44" customWidth="1"/>
    <col min="12336" max="12336" width="7.7109375" style="44" customWidth="1"/>
    <col min="12337" max="12337" width="5.7109375" style="44" customWidth="1"/>
    <col min="12338" max="12338" width="5.85546875" style="44" customWidth="1"/>
    <col min="12339" max="12339" width="6.7109375" style="44" customWidth="1"/>
    <col min="12340" max="12340" width="6.28515625" style="44" customWidth="1"/>
    <col min="12341" max="12341" width="7.5703125" style="44" customWidth="1"/>
    <col min="12342" max="12342" width="5.28515625" style="44" customWidth="1"/>
    <col min="12343" max="12343" width="6.140625" style="44" customWidth="1"/>
    <col min="12344" max="12345" width="6.28515625" style="44" customWidth="1"/>
    <col min="12346" max="12346" width="6.5703125" style="44" bestFit="1" customWidth="1"/>
    <col min="12347" max="12347" width="6.42578125" style="44" customWidth="1"/>
    <col min="12348" max="12348" width="6" style="44" customWidth="1"/>
    <col min="12349" max="12350" width="5.5703125" style="44" customWidth="1"/>
    <col min="12351" max="12351" width="5.7109375" style="44" customWidth="1"/>
    <col min="12352" max="12544" width="9.28515625" style="44"/>
    <col min="12545" max="12545" width="3.28515625" style="44" customWidth="1"/>
    <col min="12546" max="12546" width="32.28515625" style="44" customWidth="1"/>
    <col min="12547" max="12547" width="9.7109375" style="44" customWidth="1"/>
    <col min="12548" max="12548" width="10.140625" style="44" customWidth="1"/>
    <col min="12549" max="12553" width="0" style="44" hidden="1" customWidth="1"/>
    <col min="12554" max="12554" width="9.28515625" style="44"/>
    <col min="12555" max="12555" width="8.7109375" style="44" customWidth="1"/>
    <col min="12556" max="12556" width="6.7109375" style="44" customWidth="1"/>
    <col min="12557" max="12557" width="9.5703125" style="44" customWidth="1"/>
    <col min="12558" max="12558" width="6.7109375" style="44" customWidth="1"/>
    <col min="12559" max="12559" width="6.85546875" style="44" customWidth="1"/>
    <col min="12560" max="12560" width="9" style="44" customWidth="1"/>
    <col min="12561" max="12561" width="8.140625" style="44" customWidth="1"/>
    <col min="12562" max="12562" width="8" style="44" customWidth="1"/>
    <col min="12563" max="12563" width="9.140625" style="44" customWidth="1"/>
    <col min="12564" max="12564" width="7.7109375" style="44" customWidth="1"/>
    <col min="12565" max="12565" width="9.140625" style="44" customWidth="1"/>
    <col min="12566" max="12566" width="7.28515625" style="44" customWidth="1"/>
    <col min="12567" max="12567" width="7.140625" style="44" customWidth="1"/>
    <col min="12568" max="12568" width="8.7109375" style="44" customWidth="1"/>
    <col min="12569" max="12570" width="9.28515625" style="44"/>
    <col min="12571" max="12571" width="9.7109375" style="44" customWidth="1"/>
    <col min="12572" max="12572" width="6.7109375" style="44" customWidth="1"/>
    <col min="12573" max="12573" width="7" style="44" customWidth="1"/>
    <col min="12574" max="12574" width="5.28515625" style="44" customWidth="1"/>
    <col min="12575" max="12575" width="6.5703125" style="44" bestFit="1" customWidth="1"/>
    <col min="12576" max="12576" width="8.28515625" style="44" customWidth="1"/>
    <col min="12577" max="12577" width="8" style="44" customWidth="1"/>
    <col min="12578" max="12578" width="6.5703125" style="44" customWidth="1"/>
    <col min="12579" max="12579" width="8.28515625" style="44" customWidth="1"/>
    <col min="12580" max="12580" width="7.28515625" style="44" customWidth="1"/>
    <col min="12581" max="12581" width="8.140625" style="44" customWidth="1"/>
    <col min="12582" max="12582" width="7.42578125" style="44" customWidth="1"/>
    <col min="12583" max="12583" width="7.5703125" style="44" customWidth="1"/>
    <col min="12584" max="12584" width="6.5703125" style="44" customWidth="1"/>
    <col min="12585" max="12585" width="6.28515625" style="44" customWidth="1"/>
    <col min="12586" max="12586" width="7.7109375" style="44" customWidth="1"/>
    <col min="12587" max="12587" width="6.140625" style="44" customWidth="1"/>
    <col min="12588" max="12588" width="6.28515625" style="44" bestFit="1" customWidth="1"/>
    <col min="12589" max="12590" width="6.7109375" style="44" customWidth="1"/>
    <col min="12591" max="12591" width="6.5703125" style="44" customWidth="1"/>
    <col min="12592" max="12592" width="7.7109375" style="44" customWidth="1"/>
    <col min="12593" max="12593" width="5.7109375" style="44" customWidth="1"/>
    <col min="12594" max="12594" width="5.85546875" style="44" customWidth="1"/>
    <col min="12595" max="12595" width="6.7109375" style="44" customWidth="1"/>
    <col min="12596" max="12596" width="6.28515625" style="44" customWidth="1"/>
    <col min="12597" max="12597" width="7.5703125" style="44" customWidth="1"/>
    <col min="12598" max="12598" width="5.28515625" style="44" customWidth="1"/>
    <col min="12599" max="12599" width="6.140625" style="44" customWidth="1"/>
    <col min="12600" max="12601" width="6.28515625" style="44" customWidth="1"/>
    <col min="12602" max="12602" width="6.5703125" style="44" bestFit="1" customWidth="1"/>
    <col min="12603" max="12603" width="6.42578125" style="44" customWidth="1"/>
    <col min="12604" max="12604" width="6" style="44" customWidth="1"/>
    <col min="12605" max="12606" width="5.5703125" style="44" customWidth="1"/>
    <col min="12607" max="12607" width="5.7109375" style="44" customWidth="1"/>
    <col min="12608" max="12800" width="9.28515625" style="44"/>
    <col min="12801" max="12801" width="3.28515625" style="44" customWidth="1"/>
    <col min="12802" max="12802" width="32.28515625" style="44" customWidth="1"/>
    <col min="12803" max="12803" width="9.7109375" style="44" customWidth="1"/>
    <col min="12804" max="12804" width="10.140625" style="44" customWidth="1"/>
    <col min="12805" max="12809" width="0" style="44" hidden="1" customWidth="1"/>
    <col min="12810" max="12810" width="9.28515625" style="44"/>
    <col min="12811" max="12811" width="8.7109375" style="44" customWidth="1"/>
    <col min="12812" max="12812" width="6.7109375" style="44" customWidth="1"/>
    <col min="12813" max="12813" width="9.5703125" style="44" customWidth="1"/>
    <col min="12814" max="12814" width="6.7109375" style="44" customWidth="1"/>
    <col min="12815" max="12815" width="6.85546875" style="44" customWidth="1"/>
    <col min="12816" max="12816" width="9" style="44" customWidth="1"/>
    <col min="12817" max="12817" width="8.140625" style="44" customWidth="1"/>
    <col min="12818" max="12818" width="8" style="44" customWidth="1"/>
    <col min="12819" max="12819" width="9.140625" style="44" customWidth="1"/>
    <col min="12820" max="12820" width="7.7109375" style="44" customWidth="1"/>
    <col min="12821" max="12821" width="9.140625" style="44" customWidth="1"/>
    <col min="12822" max="12822" width="7.28515625" style="44" customWidth="1"/>
    <col min="12823" max="12823" width="7.140625" style="44" customWidth="1"/>
    <col min="12824" max="12824" width="8.7109375" style="44" customWidth="1"/>
    <col min="12825" max="12826" width="9.28515625" style="44"/>
    <col min="12827" max="12827" width="9.7109375" style="44" customWidth="1"/>
    <col min="12828" max="12828" width="6.7109375" style="44" customWidth="1"/>
    <col min="12829" max="12829" width="7" style="44" customWidth="1"/>
    <col min="12830" max="12830" width="5.28515625" style="44" customWidth="1"/>
    <col min="12831" max="12831" width="6.5703125" style="44" bestFit="1" customWidth="1"/>
    <col min="12832" max="12832" width="8.28515625" style="44" customWidth="1"/>
    <col min="12833" max="12833" width="8" style="44" customWidth="1"/>
    <col min="12834" max="12834" width="6.5703125" style="44" customWidth="1"/>
    <col min="12835" max="12835" width="8.28515625" style="44" customWidth="1"/>
    <col min="12836" max="12836" width="7.28515625" style="44" customWidth="1"/>
    <col min="12837" max="12837" width="8.140625" style="44" customWidth="1"/>
    <col min="12838" max="12838" width="7.42578125" style="44" customWidth="1"/>
    <col min="12839" max="12839" width="7.5703125" style="44" customWidth="1"/>
    <col min="12840" max="12840" width="6.5703125" style="44" customWidth="1"/>
    <col min="12841" max="12841" width="6.28515625" style="44" customWidth="1"/>
    <col min="12842" max="12842" width="7.7109375" style="44" customWidth="1"/>
    <col min="12843" max="12843" width="6.140625" style="44" customWidth="1"/>
    <col min="12844" max="12844" width="6.28515625" style="44" bestFit="1" customWidth="1"/>
    <col min="12845" max="12846" width="6.7109375" style="44" customWidth="1"/>
    <col min="12847" max="12847" width="6.5703125" style="44" customWidth="1"/>
    <col min="12848" max="12848" width="7.7109375" style="44" customWidth="1"/>
    <col min="12849" max="12849" width="5.7109375" style="44" customWidth="1"/>
    <col min="12850" max="12850" width="5.85546875" style="44" customWidth="1"/>
    <col min="12851" max="12851" width="6.7109375" style="44" customWidth="1"/>
    <col min="12852" max="12852" width="6.28515625" style="44" customWidth="1"/>
    <col min="12853" max="12853" width="7.5703125" style="44" customWidth="1"/>
    <col min="12854" max="12854" width="5.28515625" style="44" customWidth="1"/>
    <col min="12855" max="12855" width="6.140625" style="44" customWidth="1"/>
    <col min="12856" max="12857" width="6.28515625" style="44" customWidth="1"/>
    <col min="12858" max="12858" width="6.5703125" style="44" bestFit="1" customWidth="1"/>
    <col min="12859" max="12859" width="6.42578125" style="44" customWidth="1"/>
    <col min="12860" max="12860" width="6" style="44" customWidth="1"/>
    <col min="12861" max="12862" width="5.5703125" style="44" customWidth="1"/>
    <col min="12863" max="12863" width="5.7109375" style="44" customWidth="1"/>
    <col min="12864" max="13056" width="9.28515625" style="44"/>
    <col min="13057" max="13057" width="3.28515625" style="44" customWidth="1"/>
    <col min="13058" max="13058" width="32.28515625" style="44" customWidth="1"/>
    <col min="13059" max="13059" width="9.7109375" style="44" customWidth="1"/>
    <col min="13060" max="13060" width="10.140625" style="44" customWidth="1"/>
    <col min="13061" max="13065" width="0" style="44" hidden="1" customWidth="1"/>
    <col min="13066" max="13066" width="9.28515625" style="44"/>
    <col min="13067" max="13067" width="8.7109375" style="44" customWidth="1"/>
    <col min="13068" max="13068" width="6.7109375" style="44" customWidth="1"/>
    <col min="13069" max="13069" width="9.5703125" style="44" customWidth="1"/>
    <col min="13070" max="13070" width="6.7109375" style="44" customWidth="1"/>
    <col min="13071" max="13071" width="6.85546875" style="44" customWidth="1"/>
    <col min="13072" max="13072" width="9" style="44" customWidth="1"/>
    <col min="13073" max="13073" width="8.140625" style="44" customWidth="1"/>
    <col min="13074" max="13074" width="8" style="44" customWidth="1"/>
    <col min="13075" max="13075" width="9.140625" style="44" customWidth="1"/>
    <col min="13076" max="13076" width="7.7109375" style="44" customWidth="1"/>
    <col min="13077" max="13077" width="9.140625" style="44" customWidth="1"/>
    <col min="13078" max="13078" width="7.28515625" style="44" customWidth="1"/>
    <col min="13079" max="13079" width="7.140625" style="44" customWidth="1"/>
    <col min="13080" max="13080" width="8.7109375" style="44" customWidth="1"/>
    <col min="13081" max="13082" width="9.28515625" style="44"/>
    <col min="13083" max="13083" width="9.7109375" style="44" customWidth="1"/>
    <col min="13084" max="13084" width="6.7109375" style="44" customWidth="1"/>
    <col min="13085" max="13085" width="7" style="44" customWidth="1"/>
    <col min="13086" max="13086" width="5.28515625" style="44" customWidth="1"/>
    <col min="13087" max="13087" width="6.5703125" style="44" bestFit="1" customWidth="1"/>
    <col min="13088" max="13088" width="8.28515625" style="44" customWidth="1"/>
    <col min="13089" max="13089" width="8" style="44" customWidth="1"/>
    <col min="13090" max="13090" width="6.5703125" style="44" customWidth="1"/>
    <col min="13091" max="13091" width="8.28515625" style="44" customWidth="1"/>
    <col min="13092" max="13092" width="7.28515625" style="44" customWidth="1"/>
    <col min="13093" max="13093" width="8.140625" style="44" customWidth="1"/>
    <col min="13094" max="13094" width="7.42578125" style="44" customWidth="1"/>
    <col min="13095" max="13095" width="7.5703125" style="44" customWidth="1"/>
    <col min="13096" max="13096" width="6.5703125" style="44" customWidth="1"/>
    <col min="13097" max="13097" width="6.28515625" style="44" customWidth="1"/>
    <col min="13098" max="13098" width="7.7109375" style="44" customWidth="1"/>
    <col min="13099" max="13099" width="6.140625" style="44" customWidth="1"/>
    <col min="13100" max="13100" width="6.28515625" style="44" bestFit="1" customWidth="1"/>
    <col min="13101" max="13102" width="6.7109375" style="44" customWidth="1"/>
    <col min="13103" max="13103" width="6.5703125" style="44" customWidth="1"/>
    <col min="13104" max="13104" width="7.7109375" style="44" customWidth="1"/>
    <col min="13105" max="13105" width="5.7109375" style="44" customWidth="1"/>
    <col min="13106" max="13106" width="5.85546875" style="44" customWidth="1"/>
    <col min="13107" max="13107" width="6.7109375" style="44" customWidth="1"/>
    <col min="13108" max="13108" width="6.28515625" style="44" customWidth="1"/>
    <col min="13109" max="13109" width="7.5703125" style="44" customWidth="1"/>
    <col min="13110" max="13110" width="5.28515625" style="44" customWidth="1"/>
    <col min="13111" max="13111" width="6.140625" style="44" customWidth="1"/>
    <col min="13112" max="13113" width="6.28515625" style="44" customWidth="1"/>
    <col min="13114" max="13114" width="6.5703125" style="44" bestFit="1" customWidth="1"/>
    <col min="13115" max="13115" width="6.42578125" style="44" customWidth="1"/>
    <col min="13116" max="13116" width="6" style="44" customWidth="1"/>
    <col min="13117" max="13118" width="5.5703125" style="44" customWidth="1"/>
    <col min="13119" max="13119" width="5.7109375" style="44" customWidth="1"/>
    <col min="13120" max="13312" width="9.28515625" style="44"/>
    <col min="13313" max="13313" width="3.28515625" style="44" customWidth="1"/>
    <col min="13314" max="13314" width="32.28515625" style="44" customWidth="1"/>
    <col min="13315" max="13315" width="9.7109375" style="44" customWidth="1"/>
    <col min="13316" max="13316" width="10.140625" style="44" customWidth="1"/>
    <col min="13317" max="13321" width="0" style="44" hidden="1" customWidth="1"/>
    <col min="13322" max="13322" width="9.28515625" style="44"/>
    <col min="13323" max="13323" width="8.7109375" style="44" customWidth="1"/>
    <col min="13324" max="13324" width="6.7109375" style="44" customWidth="1"/>
    <col min="13325" max="13325" width="9.5703125" style="44" customWidth="1"/>
    <col min="13326" max="13326" width="6.7109375" style="44" customWidth="1"/>
    <col min="13327" max="13327" width="6.85546875" style="44" customWidth="1"/>
    <col min="13328" max="13328" width="9" style="44" customWidth="1"/>
    <col min="13329" max="13329" width="8.140625" style="44" customWidth="1"/>
    <col min="13330" max="13330" width="8" style="44" customWidth="1"/>
    <col min="13331" max="13331" width="9.140625" style="44" customWidth="1"/>
    <col min="13332" max="13332" width="7.7109375" style="44" customWidth="1"/>
    <col min="13333" max="13333" width="9.140625" style="44" customWidth="1"/>
    <col min="13334" max="13334" width="7.28515625" style="44" customWidth="1"/>
    <col min="13335" max="13335" width="7.140625" style="44" customWidth="1"/>
    <col min="13336" max="13336" width="8.7109375" style="44" customWidth="1"/>
    <col min="13337" max="13338" width="9.28515625" style="44"/>
    <col min="13339" max="13339" width="9.7109375" style="44" customWidth="1"/>
    <col min="13340" max="13340" width="6.7109375" style="44" customWidth="1"/>
    <col min="13341" max="13341" width="7" style="44" customWidth="1"/>
    <col min="13342" max="13342" width="5.28515625" style="44" customWidth="1"/>
    <col min="13343" max="13343" width="6.5703125" style="44" bestFit="1" customWidth="1"/>
    <col min="13344" max="13344" width="8.28515625" style="44" customWidth="1"/>
    <col min="13345" max="13345" width="8" style="44" customWidth="1"/>
    <col min="13346" max="13346" width="6.5703125" style="44" customWidth="1"/>
    <col min="13347" max="13347" width="8.28515625" style="44" customWidth="1"/>
    <col min="13348" max="13348" width="7.28515625" style="44" customWidth="1"/>
    <col min="13349" max="13349" width="8.140625" style="44" customWidth="1"/>
    <col min="13350" max="13350" width="7.42578125" style="44" customWidth="1"/>
    <col min="13351" max="13351" width="7.5703125" style="44" customWidth="1"/>
    <col min="13352" max="13352" width="6.5703125" style="44" customWidth="1"/>
    <col min="13353" max="13353" width="6.28515625" style="44" customWidth="1"/>
    <col min="13354" max="13354" width="7.7109375" style="44" customWidth="1"/>
    <col min="13355" max="13355" width="6.140625" style="44" customWidth="1"/>
    <col min="13356" max="13356" width="6.28515625" style="44" bestFit="1" customWidth="1"/>
    <col min="13357" max="13358" width="6.7109375" style="44" customWidth="1"/>
    <col min="13359" max="13359" width="6.5703125" style="44" customWidth="1"/>
    <col min="13360" max="13360" width="7.7109375" style="44" customWidth="1"/>
    <col min="13361" max="13361" width="5.7109375" style="44" customWidth="1"/>
    <col min="13362" max="13362" width="5.85546875" style="44" customWidth="1"/>
    <col min="13363" max="13363" width="6.7109375" style="44" customWidth="1"/>
    <col min="13364" max="13364" width="6.28515625" style="44" customWidth="1"/>
    <col min="13365" max="13365" width="7.5703125" style="44" customWidth="1"/>
    <col min="13366" max="13366" width="5.28515625" style="44" customWidth="1"/>
    <col min="13367" max="13367" width="6.140625" style="44" customWidth="1"/>
    <col min="13368" max="13369" width="6.28515625" style="44" customWidth="1"/>
    <col min="13370" max="13370" width="6.5703125" style="44" bestFit="1" customWidth="1"/>
    <col min="13371" max="13371" width="6.42578125" style="44" customWidth="1"/>
    <col min="13372" max="13372" width="6" style="44" customWidth="1"/>
    <col min="13373" max="13374" width="5.5703125" style="44" customWidth="1"/>
    <col min="13375" max="13375" width="5.7109375" style="44" customWidth="1"/>
    <col min="13376" max="13568" width="9.28515625" style="44"/>
    <col min="13569" max="13569" width="3.28515625" style="44" customWidth="1"/>
    <col min="13570" max="13570" width="32.28515625" style="44" customWidth="1"/>
    <col min="13571" max="13571" width="9.7109375" style="44" customWidth="1"/>
    <col min="13572" max="13572" width="10.140625" style="44" customWidth="1"/>
    <col min="13573" max="13577" width="0" style="44" hidden="1" customWidth="1"/>
    <col min="13578" max="13578" width="9.28515625" style="44"/>
    <col min="13579" max="13579" width="8.7109375" style="44" customWidth="1"/>
    <col min="13580" max="13580" width="6.7109375" style="44" customWidth="1"/>
    <col min="13581" max="13581" width="9.5703125" style="44" customWidth="1"/>
    <col min="13582" max="13582" width="6.7109375" style="44" customWidth="1"/>
    <col min="13583" max="13583" width="6.85546875" style="44" customWidth="1"/>
    <col min="13584" max="13584" width="9" style="44" customWidth="1"/>
    <col min="13585" max="13585" width="8.140625" style="44" customWidth="1"/>
    <col min="13586" max="13586" width="8" style="44" customWidth="1"/>
    <col min="13587" max="13587" width="9.140625" style="44" customWidth="1"/>
    <col min="13588" max="13588" width="7.7109375" style="44" customWidth="1"/>
    <col min="13589" max="13589" width="9.140625" style="44" customWidth="1"/>
    <col min="13590" max="13590" width="7.28515625" style="44" customWidth="1"/>
    <col min="13591" max="13591" width="7.140625" style="44" customWidth="1"/>
    <col min="13592" max="13592" width="8.7109375" style="44" customWidth="1"/>
    <col min="13593" max="13594" width="9.28515625" style="44"/>
    <col min="13595" max="13595" width="9.7109375" style="44" customWidth="1"/>
    <col min="13596" max="13596" width="6.7109375" style="44" customWidth="1"/>
    <col min="13597" max="13597" width="7" style="44" customWidth="1"/>
    <col min="13598" max="13598" width="5.28515625" style="44" customWidth="1"/>
    <col min="13599" max="13599" width="6.5703125" style="44" bestFit="1" customWidth="1"/>
    <col min="13600" max="13600" width="8.28515625" style="44" customWidth="1"/>
    <col min="13601" max="13601" width="8" style="44" customWidth="1"/>
    <col min="13602" max="13602" width="6.5703125" style="44" customWidth="1"/>
    <col min="13603" max="13603" width="8.28515625" style="44" customWidth="1"/>
    <col min="13604" max="13604" width="7.28515625" style="44" customWidth="1"/>
    <col min="13605" max="13605" width="8.140625" style="44" customWidth="1"/>
    <col min="13606" max="13606" width="7.42578125" style="44" customWidth="1"/>
    <col min="13607" max="13607" width="7.5703125" style="44" customWidth="1"/>
    <col min="13608" max="13608" width="6.5703125" style="44" customWidth="1"/>
    <col min="13609" max="13609" width="6.28515625" style="44" customWidth="1"/>
    <col min="13610" max="13610" width="7.7109375" style="44" customWidth="1"/>
    <col min="13611" max="13611" width="6.140625" style="44" customWidth="1"/>
    <col min="13612" max="13612" width="6.28515625" style="44" bestFit="1" customWidth="1"/>
    <col min="13613" max="13614" width="6.7109375" style="44" customWidth="1"/>
    <col min="13615" max="13615" width="6.5703125" style="44" customWidth="1"/>
    <col min="13616" max="13616" width="7.7109375" style="44" customWidth="1"/>
    <col min="13617" max="13617" width="5.7109375" style="44" customWidth="1"/>
    <col min="13618" max="13618" width="5.85546875" style="44" customWidth="1"/>
    <col min="13619" max="13619" width="6.7109375" style="44" customWidth="1"/>
    <col min="13620" max="13620" width="6.28515625" style="44" customWidth="1"/>
    <col min="13621" max="13621" width="7.5703125" style="44" customWidth="1"/>
    <col min="13622" max="13622" width="5.28515625" style="44" customWidth="1"/>
    <col min="13623" max="13623" width="6.140625" style="44" customWidth="1"/>
    <col min="13624" max="13625" width="6.28515625" style="44" customWidth="1"/>
    <col min="13626" max="13626" width="6.5703125" style="44" bestFit="1" customWidth="1"/>
    <col min="13627" max="13627" width="6.42578125" style="44" customWidth="1"/>
    <col min="13628" max="13628" width="6" style="44" customWidth="1"/>
    <col min="13629" max="13630" width="5.5703125" style="44" customWidth="1"/>
    <col min="13631" max="13631" width="5.7109375" style="44" customWidth="1"/>
    <col min="13632" max="13824" width="9.28515625" style="44"/>
    <col min="13825" max="13825" width="3.28515625" style="44" customWidth="1"/>
    <col min="13826" max="13826" width="32.28515625" style="44" customWidth="1"/>
    <col min="13827" max="13827" width="9.7109375" style="44" customWidth="1"/>
    <col min="13828" max="13828" width="10.140625" style="44" customWidth="1"/>
    <col min="13829" max="13833" width="0" style="44" hidden="1" customWidth="1"/>
    <col min="13834" max="13834" width="9.28515625" style="44"/>
    <col min="13835" max="13835" width="8.7109375" style="44" customWidth="1"/>
    <col min="13836" max="13836" width="6.7109375" style="44" customWidth="1"/>
    <col min="13837" max="13837" width="9.5703125" style="44" customWidth="1"/>
    <col min="13838" max="13838" width="6.7109375" style="44" customWidth="1"/>
    <col min="13839" max="13839" width="6.85546875" style="44" customWidth="1"/>
    <col min="13840" max="13840" width="9" style="44" customWidth="1"/>
    <col min="13841" max="13841" width="8.140625" style="44" customWidth="1"/>
    <col min="13842" max="13842" width="8" style="44" customWidth="1"/>
    <col min="13843" max="13843" width="9.140625" style="44" customWidth="1"/>
    <col min="13844" max="13844" width="7.7109375" style="44" customWidth="1"/>
    <col min="13845" max="13845" width="9.140625" style="44" customWidth="1"/>
    <col min="13846" max="13846" width="7.28515625" style="44" customWidth="1"/>
    <col min="13847" max="13847" width="7.140625" style="44" customWidth="1"/>
    <col min="13848" max="13848" width="8.7109375" style="44" customWidth="1"/>
    <col min="13849" max="13850" width="9.28515625" style="44"/>
    <col min="13851" max="13851" width="9.7109375" style="44" customWidth="1"/>
    <col min="13852" max="13852" width="6.7109375" style="44" customWidth="1"/>
    <col min="13853" max="13853" width="7" style="44" customWidth="1"/>
    <col min="13854" max="13854" width="5.28515625" style="44" customWidth="1"/>
    <col min="13855" max="13855" width="6.5703125" style="44" bestFit="1" customWidth="1"/>
    <col min="13856" max="13856" width="8.28515625" style="44" customWidth="1"/>
    <col min="13857" max="13857" width="8" style="44" customWidth="1"/>
    <col min="13858" max="13858" width="6.5703125" style="44" customWidth="1"/>
    <col min="13859" max="13859" width="8.28515625" style="44" customWidth="1"/>
    <col min="13860" max="13860" width="7.28515625" style="44" customWidth="1"/>
    <col min="13861" max="13861" width="8.140625" style="44" customWidth="1"/>
    <col min="13862" max="13862" width="7.42578125" style="44" customWidth="1"/>
    <col min="13863" max="13863" width="7.5703125" style="44" customWidth="1"/>
    <col min="13864" max="13864" width="6.5703125" style="44" customWidth="1"/>
    <col min="13865" max="13865" width="6.28515625" style="44" customWidth="1"/>
    <col min="13866" max="13866" width="7.7109375" style="44" customWidth="1"/>
    <col min="13867" max="13867" width="6.140625" style="44" customWidth="1"/>
    <col min="13868" max="13868" width="6.28515625" style="44" bestFit="1" customWidth="1"/>
    <col min="13869" max="13870" width="6.7109375" style="44" customWidth="1"/>
    <col min="13871" max="13871" width="6.5703125" style="44" customWidth="1"/>
    <col min="13872" max="13872" width="7.7109375" style="44" customWidth="1"/>
    <col min="13873" max="13873" width="5.7109375" style="44" customWidth="1"/>
    <col min="13874" max="13874" width="5.85546875" style="44" customWidth="1"/>
    <col min="13875" max="13875" width="6.7109375" style="44" customWidth="1"/>
    <col min="13876" max="13876" width="6.28515625" style="44" customWidth="1"/>
    <col min="13877" max="13877" width="7.5703125" style="44" customWidth="1"/>
    <col min="13878" max="13878" width="5.28515625" style="44" customWidth="1"/>
    <col min="13879" max="13879" width="6.140625" style="44" customWidth="1"/>
    <col min="13880" max="13881" width="6.28515625" style="44" customWidth="1"/>
    <col min="13882" max="13882" width="6.5703125" style="44" bestFit="1" customWidth="1"/>
    <col min="13883" max="13883" width="6.42578125" style="44" customWidth="1"/>
    <col min="13884" max="13884" width="6" style="44" customWidth="1"/>
    <col min="13885" max="13886" width="5.5703125" style="44" customWidth="1"/>
    <col min="13887" max="13887" width="5.7109375" style="44" customWidth="1"/>
    <col min="13888" max="14080" width="9.28515625" style="44"/>
    <col min="14081" max="14081" width="3.28515625" style="44" customWidth="1"/>
    <col min="14082" max="14082" width="32.28515625" style="44" customWidth="1"/>
    <col min="14083" max="14083" width="9.7109375" style="44" customWidth="1"/>
    <col min="14084" max="14084" width="10.140625" style="44" customWidth="1"/>
    <col min="14085" max="14089" width="0" style="44" hidden="1" customWidth="1"/>
    <col min="14090" max="14090" width="9.28515625" style="44"/>
    <col min="14091" max="14091" width="8.7109375" style="44" customWidth="1"/>
    <col min="14092" max="14092" width="6.7109375" style="44" customWidth="1"/>
    <col min="14093" max="14093" width="9.5703125" style="44" customWidth="1"/>
    <col min="14094" max="14094" width="6.7109375" style="44" customWidth="1"/>
    <col min="14095" max="14095" width="6.85546875" style="44" customWidth="1"/>
    <col min="14096" max="14096" width="9" style="44" customWidth="1"/>
    <col min="14097" max="14097" width="8.140625" style="44" customWidth="1"/>
    <col min="14098" max="14098" width="8" style="44" customWidth="1"/>
    <col min="14099" max="14099" width="9.140625" style="44" customWidth="1"/>
    <col min="14100" max="14100" width="7.7109375" style="44" customWidth="1"/>
    <col min="14101" max="14101" width="9.140625" style="44" customWidth="1"/>
    <col min="14102" max="14102" width="7.28515625" style="44" customWidth="1"/>
    <col min="14103" max="14103" width="7.140625" style="44" customWidth="1"/>
    <col min="14104" max="14104" width="8.7109375" style="44" customWidth="1"/>
    <col min="14105" max="14106" width="9.28515625" style="44"/>
    <col min="14107" max="14107" width="9.7109375" style="44" customWidth="1"/>
    <col min="14108" max="14108" width="6.7109375" style="44" customWidth="1"/>
    <col min="14109" max="14109" width="7" style="44" customWidth="1"/>
    <col min="14110" max="14110" width="5.28515625" style="44" customWidth="1"/>
    <col min="14111" max="14111" width="6.5703125" style="44" bestFit="1" customWidth="1"/>
    <col min="14112" max="14112" width="8.28515625" style="44" customWidth="1"/>
    <col min="14113" max="14113" width="8" style="44" customWidth="1"/>
    <col min="14114" max="14114" width="6.5703125" style="44" customWidth="1"/>
    <col min="14115" max="14115" width="8.28515625" style="44" customWidth="1"/>
    <col min="14116" max="14116" width="7.28515625" style="44" customWidth="1"/>
    <col min="14117" max="14117" width="8.140625" style="44" customWidth="1"/>
    <col min="14118" max="14118" width="7.42578125" style="44" customWidth="1"/>
    <col min="14119" max="14119" width="7.5703125" style="44" customWidth="1"/>
    <col min="14120" max="14120" width="6.5703125" style="44" customWidth="1"/>
    <col min="14121" max="14121" width="6.28515625" style="44" customWidth="1"/>
    <col min="14122" max="14122" width="7.7109375" style="44" customWidth="1"/>
    <col min="14123" max="14123" width="6.140625" style="44" customWidth="1"/>
    <col min="14124" max="14124" width="6.28515625" style="44" bestFit="1" customWidth="1"/>
    <col min="14125" max="14126" width="6.7109375" style="44" customWidth="1"/>
    <col min="14127" max="14127" width="6.5703125" style="44" customWidth="1"/>
    <col min="14128" max="14128" width="7.7109375" style="44" customWidth="1"/>
    <col min="14129" max="14129" width="5.7109375" style="44" customWidth="1"/>
    <col min="14130" max="14130" width="5.85546875" style="44" customWidth="1"/>
    <col min="14131" max="14131" width="6.7109375" style="44" customWidth="1"/>
    <col min="14132" max="14132" width="6.28515625" style="44" customWidth="1"/>
    <col min="14133" max="14133" width="7.5703125" style="44" customWidth="1"/>
    <col min="14134" max="14134" width="5.28515625" style="44" customWidth="1"/>
    <col min="14135" max="14135" width="6.140625" style="44" customWidth="1"/>
    <col min="14136" max="14137" width="6.28515625" style="44" customWidth="1"/>
    <col min="14138" max="14138" width="6.5703125" style="44" bestFit="1" customWidth="1"/>
    <col min="14139" max="14139" width="6.42578125" style="44" customWidth="1"/>
    <col min="14140" max="14140" width="6" style="44" customWidth="1"/>
    <col min="14141" max="14142" width="5.5703125" style="44" customWidth="1"/>
    <col min="14143" max="14143" width="5.7109375" style="44" customWidth="1"/>
    <col min="14144" max="14336" width="9.28515625" style="44"/>
    <col min="14337" max="14337" width="3.28515625" style="44" customWidth="1"/>
    <col min="14338" max="14338" width="32.28515625" style="44" customWidth="1"/>
    <col min="14339" max="14339" width="9.7109375" style="44" customWidth="1"/>
    <col min="14340" max="14340" width="10.140625" style="44" customWidth="1"/>
    <col min="14341" max="14345" width="0" style="44" hidden="1" customWidth="1"/>
    <col min="14346" max="14346" width="9.28515625" style="44"/>
    <col min="14347" max="14347" width="8.7109375" style="44" customWidth="1"/>
    <col min="14348" max="14348" width="6.7109375" style="44" customWidth="1"/>
    <col min="14349" max="14349" width="9.5703125" style="44" customWidth="1"/>
    <col min="14350" max="14350" width="6.7109375" style="44" customWidth="1"/>
    <col min="14351" max="14351" width="6.85546875" style="44" customWidth="1"/>
    <col min="14352" max="14352" width="9" style="44" customWidth="1"/>
    <col min="14353" max="14353" width="8.140625" style="44" customWidth="1"/>
    <col min="14354" max="14354" width="8" style="44" customWidth="1"/>
    <col min="14355" max="14355" width="9.140625" style="44" customWidth="1"/>
    <col min="14356" max="14356" width="7.7109375" style="44" customWidth="1"/>
    <col min="14357" max="14357" width="9.140625" style="44" customWidth="1"/>
    <col min="14358" max="14358" width="7.28515625" style="44" customWidth="1"/>
    <col min="14359" max="14359" width="7.140625" style="44" customWidth="1"/>
    <col min="14360" max="14360" width="8.7109375" style="44" customWidth="1"/>
    <col min="14361" max="14362" width="9.28515625" style="44"/>
    <col min="14363" max="14363" width="9.7109375" style="44" customWidth="1"/>
    <col min="14364" max="14364" width="6.7109375" style="44" customWidth="1"/>
    <col min="14365" max="14365" width="7" style="44" customWidth="1"/>
    <col min="14366" max="14366" width="5.28515625" style="44" customWidth="1"/>
    <col min="14367" max="14367" width="6.5703125" style="44" bestFit="1" customWidth="1"/>
    <col min="14368" max="14368" width="8.28515625" style="44" customWidth="1"/>
    <col min="14369" max="14369" width="8" style="44" customWidth="1"/>
    <col min="14370" max="14370" width="6.5703125" style="44" customWidth="1"/>
    <col min="14371" max="14371" width="8.28515625" style="44" customWidth="1"/>
    <col min="14372" max="14372" width="7.28515625" style="44" customWidth="1"/>
    <col min="14373" max="14373" width="8.140625" style="44" customWidth="1"/>
    <col min="14374" max="14374" width="7.42578125" style="44" customWidth="1"/>
    <col min="14375" max="14375" width="7.5703125" style="44" customWidth="1"/>
    <col min="14376" max="14376" width="6.5703125" style="44" customWidth="1"/>
    <col min="14377" max="14377" width="6.28515625" style="44" customWidth="1"/>
    <col min="14378" max="14378" width="7.7109375" style="44" customWidth="1"/>
    <col min="14379" max="14379" width="6.140625" style="44" customWidth="1"/>
    <col min="14380" max="14380" width="6.28515625" style="44" bestFit="1" customWidth="1"/>
    <col min="14381" max="14382" width="6.7109375" style="44" customWidth="1"/>
    <col min="14383" max="14383" width="6.5703125" style="44" customWidth="1"/>
    <col min="14384" max="14384" width="7.7109375" style="44" customWidth="1"/>
    <col min="14385" max="14385" width="5.7109375" style="44" customWidth="1"/>
    <col min="14386" max="14386" width="5.85546875" style="44" customWidth="1"/>
    <col min="14387" max="14387" width="6.7109375" style="44" customWidth="1"/>
    <col min="14388" max="14388" width="6.28515625" style="44" customWidth="1"/>
    <col min="14389" max="14389" width="7.5703125" style="44" customWidth="1"/>
    <col min="14390" max="14390" width="5.28515625" style="44" customWidth="1"/>
    <col min="14391" max="14391" width="6.140625" style="44" customWidth="1"/>
    <col min="14392" max="14393" width="6.28515625" style="44" customWidth="1"/>
    <col min="14394" max="14394" width="6.5703125" style="44" bestFit="1" customWidth="1"/>
    <col min="14395" max="14395" width="6.42578125" style="44" customWidth="1"/>
    <col min="14396" max="14396" width="6" style="44" customWidth="1"/>
    <col min="14397" max="14398" width="5.5703125" style="44" customWidth="1"/>
    <col min="14399" max="14399" width="5.7109375" style="44" customWidth="1"/>
    <col min="14400" max="14592" width="9.28515625" style="44"/>
    <col min="14593" max="14593" width="3.28515625" style="44" customWidth="1"/>
    <col min="14594" max="14594" width="32.28515625" style="44" customWidth="1"/>
    <col min="14595" max="14595" width="9.7109375" style="44" customWidth="1"/>
    <col min="14596" max="14596" width="10.140625" style="44" customWidth="1"/>
    <col min="14597" max="14601" width="0" style="44" hidden="1" customWidth="1"/>
    <col min="14602" max="14602" width="9.28515625" style="44"/>
    <col min="14603" max="14603" width="8.7109375" style="44" customWidth="1"/>
    <col min="14604" max="14604" width="6.7109375" style="44" customWidth="1"/>
    <col min="14605" max="14605" width="9.5703125" style="44" customWidth="1"/>
    <col min="14606" max="14606" width="6.7109375" style="44" customWidth="1"/>
    <col min="14607" max="14607" width="6.85546875" style="44" customWidth="1"/>
    <col min="14608" max="14608" width="9" style="44" customWidth="1"/>
    <col min="14609" max="14609" width="8.140625" style="44" customWidth="1"/>
    <col min="14610" max="14610" width="8" style="44" customWidth="1"/>
    <col min="14611" max="14611" width="9.140625" style="44" customWidth="1"/>
    <col min="14612" max="14612" width="7.7109375" style="44" customWidth="1"/>
    <col min="14613" max="14613" width="9.140625" style="44" customWidth="1"/>
    <col min="14614" max="14614" width="7.28515625" style="44" customWidth="1"/>
    <col min="14615" max="14615" width="7.140625" style="44" customWidth="1"/>
    <col min="14616" max="14616" width="8.7109375" style="44" customWidth="1"/>
    <col min="14617" max="14618" width="9.28515625" style="44"/>
    <col min="14619" max="14619" width="9.7109375" style="44" customWidth="1"/>
    <col min="14620" max="14620" width="6.7109375" style="44" customWidth="1"/>
    <col min="14621" max="14621" width="7" style="44" customWidth="1"/>
    <col min="14622" max="14622" width="5.28515625" style="44" customWidth="1"/>
    <col min="14623" max="14623" width="6.5703125" style="44" bestFit="1" customWidth="1"/>
    <col min="14624" max="14624" width="8.28515625" style="44" customWidth="1"/>
    <col min="14625" max="14625" width="8" style="44" customWidth="1"/>
    <col min="14626" max="14626" width="6.5703125" style="44" customWidth="1"/>
    <col min="14627" max="14627" width="8.28515625" style="44" customWidth="1"/>
    <col min="14628" max="14628" width="7.28515625" style="44" customWidth="1"/>
    <col min="14629" max="14629" width="8.140625" style="44" customWidth="1"/>
    <col min="14630" max="14630" width="7.42578125" style="44" customWidth="1"/>
    <col min="14631" max="14631" width="7.5703125" style="44" customWidth="1"/>
    <col min="14632" max="14632" width="6.5703125" style="44" customWidth="1"/>
    <col min="14633" max="14633" width="6.28515625" style="44" customWidth="1"/>
    <col min="14634" max="14634" width="7.7109375" style="44" customWidth="1"/>
    <col min="14635" max="14635" width="6.140625" style="44" customWidth="1"/>
    <col min="14636" max="14636" width="6.28515625" style="44" bestFit="1" customWidth="1"/>
    <col min="14637" max="14638" width="6.7109375" style="44" customWidth="1"/>
    <col min="14639" max="14639" width="6.5703125" style="44" customWidth="1"/>
    <col min="14640" max="14640" width="7.7109375" style="44" customWidth="1"/>
    <col min="14641" max="14641" width="5.7109375" style="44" customWidth="1"/>
    <col min="14642" max="14642" width="5.85546875" style="44" customWidth="1"/>
    <col min="14643" max="14643" width="6.7109375" style="44" customWidth="1"/>
    <col min="14644" max="14644" width="6.28515625" style="44" customWidth="1"/>
    <col min="14645" max="14645" width="7.5703125" style="44" customWidth="1"/>
    <col min="14646" max="14646" width="5.28515625" style="44" customWidth="1"/>
    <col min="14647" max="14647" width="6.140625" style="44" customWidth="1"/>
    <col min="14648" max="14649" width="6.28515625" style="44" customWidth="1"/>
    <col min="14650" max="14650" width="6.5703125" style="44" bestFit="1" customWidth="1"/>
    <col min="14651" max="14651" width="6.42578125" style="44" customWidth="1"/>
    <col min="14652" max="14652" width="6" style="44" customWidth="1"/>
    <col min="14653" max="14654" width="5.5703125" style="44" customWidth="1"/>
    <col min="14655" max="14655" width="5.7109375" style="44" customWidth="1"/>
    <col min="14656" max="14848" width="9.28515625" style="44"/>
    <col min="14849" max="14849" width="3.28515625" style="44" customWidth="1"/>
    <col min="14850" max="14850" width="32.28515625" style="44" customWidth="1"/>
    <col min="14851" max="14851" width="9.7109375" style="44" customWidth="1"/>
    <col min="14852" max="14852" width="10.140625" style="44" customWidth="1"/>
    <col min="14853" max="14857" width="0" style="44" hidden="1" customWidth="1"/>
    <col min="14858" max="14858" width="9.28515625" style="44"/>
    <col min="14859" max="14859" width="8.7109375" style="44" customWidth="1"/>
    <col min="14860" max="14860" width="6.7109375" style="44" customWidth="1"/>
    <col min="14861" max="14861" width="9.5703125" style="44" customWidth="1"/>
    <col min="14862" max="14862" width="6.7109375" style="44" customWidth="1"/>
    <col min="14863" max="14863" width="6.85546875" style="44" customWidth="1"/>
    <col min="14864" max="14864" width="9" style="44" customWidth="1"/>
    <col min="14865" max="14865" width="8.140625" style="44" customWidth="1"/>
    <col min="14866" max="14866" width="8" style="44" customWidth="1"/>
    <col min="14867" max="14867" width="9.140625" style="44" customWidth="1"/>
    <col min="14868" max="14868" width="7.7109375" style="44" customWidth="1"/>
    <col min="14869" max="14869" width="9.140625" style="44" customWidth="1"/>
    <col min="14870" max="14870" width="7.28515625" style="44" customWidth="1"/>
    <col min="14871" max="14871" width="7.140625" style="44" customWidth="1"/>
    <col min="14872" max="14872" width="8.7109375" style="44" customWidth="1"/>
    <col min="14873" max="14874" width="9.28515625" style="44"/>
    <col min="14875" max="14875" width="9.7109375" style="44" customWidth="1"/>
    <col min="14876" max="14876" width="6.7109375" style="44" customWidth="1"/>
    <col min="14877" max="14877" width="7" style="44" customWidth="1"/>
    <col min="14878" max="14878" width="5.28515625" style="44" customWidth="1"/>
    <col min="14879" max="14879" width="6.5703125" style="44" bestFit="1" customWidth="1"/>
    <col min="14880" max="14880" width="8.28515625" style="44" customWidth="1"/>
    <col min="14881" max="14881" width="8" style="44" customWidth="1"/>
    <col min="14882" max="14882" width="6.5703125" style="44" customWidth="1"/>
    <col min="14883" max="14883" width="8.28515625" style="44" customWidth="1"/>
    <col min="14884" max="14884" width="7.28515625" style="44" customWidth="1"/>
    <col min="14885" max="14885" width="8.140625" style="44" customWidth="1"/>
    <col min="14886" max="14886" width="7.42578125" style="44" customWidth="1"/>
    <col min="14887" max="14887" width="7.5703125" style="44" customWidth="1"/>
    <col min="14888" max="14888" width="6.5703125" style="44" customWidth="1"/>
    <col min="14889" max="14889" width="6.28515625" style="44" customWidth="1"/>
    <col min="14890" max="14890" width="7.7109375" style="44" customWidth="1"/>
    <col min="14891" max="14891" width="6.140625" style="44" customWidth="1"/>
    <col min="14892" max="14892" width="6.28515625" style="44" bestFit="1" customWidth="1"/>
    <col min="14893" max="14894" width="6.7109375" style="44" customWidth="1"/>
    <col min="14895" max="14895" width="6.5703125" style="44" customWidth="1"/>
    <col min="14896" max="14896" width="7.7109375" style="44" customWidth="1"/>
    <col min="14897" max="14897" width="5.7109375" style="44" customWidth="1"/>
    <col min="14898" max="14898" width="5.85546875" style="44" customWidth="1"/>
    <col min="14899" max="14899" width="6.7109375" style="44" customWidth="1"/>
    <col min="14900" max="14900" width="6.28515625" style="44" customWidth="1"/>
    <col min="14901" max="14901" width="7.5703125" style="44" customWidth="1"/>
    <col min="14902" max="14902" width="5.28515625" style="44" customWidth="1"/>
    <col min="14903" max="14903" width="6.140625" style="44" customWidth="1"/>
    <col min="14904" max="14905" width="6.28515625" style="44" customWidth="1"/>
    <col min="14906" max="14906" width="6.5703125" style="44" bestFit="1" customWidth="1"/>
    <col min="14907" max="14907" width="6.42578125" style="44" customWidth="1"/>
    <col min="14908" max="14908" width="6" style="44" customWidth="1"/>
    <col min="14909" max="14910" width="5.5703125" style="44" customWidth="1"/>
    <col min="14911" max="14911" width="5.7109375" style="44" customWidth="1"/>
    <col min="14912" max="15104" width="9.28515625" style="44"/>
    <col min="15105" max="15105" width="3.28515625" style="44" customWidth="1"/>
    <col min="15106" max="15106" width="32.28515625" style="44" customWidth="1"/>
    <col min="15107" max="15107" width="9.7109375" style="44" customWidth="1"/>
    <col min="15108" max="15108" width="10.140625" style="44" customWidth="1"/>
    <col min="15109" max="15113" width="0" style="44" hidden="1" customWidth="1"/>
    <col min="15114" max="15114" width="9.28515625" style="44"/>
    <col min="15115" max="15115" width="8.7109375" style="44" customWidth="1"/>
    <col min="15116" max="15116" width="6.7109375" style="44" customWidth="1"/>
    <col min="15117" max="15117" width="9.5703125" style="44" customWidth="1"/>
    <col min="15118" max="15118" width="6.7109375" style="44" customWidth="1"/>
    <col min="15119" max="15119" width="6.85546875" style="44" customWidth="1"/>
    <col min="15120" max="15120" width="9" style="44" customWidth="1"/>
    <col min="15121" max="15121" width="8.140625" style="44" customWidth="1"/>
    <col min="15122" max="15122" width="8" style="44" customWidth="1"/>
    <col min="15123" max="15123" width="9.140625" style="44" customWidth="1"/>
    <col min="15124" max="15124" width="7.7109375" style="44" customWidth="1"/>
    <col min="15125" max="15125" width="9.140625" style="44" customWidth="1"/>
    <col min="15126" max="15126" width="7.28515625" style="44" customWidth="1"/>
    <col min="15127" max="15127" width="7.140625" style="44" customWidth="1"/>
    <col min="15128" max="15128" width="8.7109375" style="44" customWidth="1"/>
    <col min="15129" max="15130" width="9.28515625" style="44"/>
    <col min="15131" max="15131" width="9.7109375" style="44" customWidth="1"/>
    <col min="15132" max="15132" width="6.7109375" style="44" customWidth="1"/>
    <col min="15133" max="15133" width="7" style="44" customWidth="1"/>
    <col min="15134" max="15134" width="5.28515625" style="44" customWidth="1"/>
    <col min="15135" max="15135" width="6.5703125" style="44" bestFit="1" customWidth="1"/>
    <col min="15136" max="15136" width="8.28515625" style="44" customWidth="1"/>
    <col min="15137" max="15137" width="8" style="44" customWidth="1"/>
    <col min="15138" max="15138" width="6.5703125" style="44" customWidth="1"/>
    <col min="15139" max="15139" width="8.28515625" style="44" customWidth="1"/>
    <col min="15140" max="15140" width="7.28515625" style="44" customWidth="1"/>
    <col min="15141" max="15141" width="8.140625" style="44" customWidth="1"/>
    <col min="15142" max="15142" width="7.42578125" style="44" customWidth="1"/>
    <col min="15143" max="15143" width="7.5703125" style="44" customWidth="1"/>
    <col min="15144" max="15144" width="6.5703125" style="44" customWidth="1"/>
    <col min="15145" max="15145" width="6.28515625" style="44" customWidth="1"/>
    <col min="15146" max="15146" width="7.7109375" style="44" customWidth="1"/>
    <col min="15147" max="15147" width="6.140625" style="44" customWidth="1"/>
    <col min="15148" max="15148" width="6.28515625" style="44" bestFit="1" customWidth="1"/>
    <col min="15149" max="15150" width="6.7109375" style="44" customWidth="1"/>
    <col min="15151" max="15151" width="6.5703125" style="44" customWidth="1"/>
    <col min="15152" max="15152" width="7.7109375" style="44" customWidth="1"/>
    <col min="15153" max="15153" width="5.7109375" style="44" customWidth="1"/>
    <col min="15154" max="15154" width="5.85546875" style="44" customWidth="1"/>
    <col min="15155" max="15155" width="6.7109375" style="44" customWidth="1"/>
    <col min="15156" max="15156" width="6.28515625" style="44" customWidth="1"/>
    <col min="15157" max="15157" width="7.5703125" style="44" customWidth="1"/>
    <col min="15158" max="15158" width="5.28515625" style="44" customWidth="1"/>
    <col min="15159" max="15159" width="6.140625" style="44" customWidth="1"/>
    <col min="15160" max="15161" width="6.28515625" style="44" customWidth="1"/>
    <col min="15162" max="15162" width="6.5703125" style="44" bestFit="1" customWidth="1"/>
    <col min="15163" max="15163" width="6.42578125" style="44" customWidth="1"/>
    <col min="15164" max="15164" width="6" style="44" customWidth="1"/>
    <col min="15165" max="15166" width="5.5703125" style="44" customWidth="1"/>
    <col min="15167" max="15167" width="5.7109375" style="44" customWidth="1"/>
    <col min="15168" max="15360" width="9.28515625" style="44"/>
    <col min="15361" max="15361" width="3.28515625" style="44" customWidth="1"/>
    <col min="15362" max="15362" width="32.28515625" style="44" customWidth="1"/>
    <col min="15363" max="15363" width="9.7109375" style="44" customWidth="1"/>
    <col min="15364" max="15364" width="10.140625" style="44" customWidth="1"/>
    <col min="15365" max="15369" width="0" style="44" hidden="1" customWidth="1"/>
    <col min="15370" max="15370" width="9.28515625" style="44"/>
    <col min="15371" max="15371" width="8.7109375" style="44" customWidth="1"/>
    <col min="15372" max="15372" width="6.7109375" style="44" customWidth="1"/>
    <col min="15373" max="15373" width="9.5703125" style="44" customWidth="1"/>
    <col min="15374" max="15374" width="6.7109375" style="44" customWidth="1"/>
    <col min="15375" max="15375" width="6.85546875" style="44" customWidth="1"/>
    <col min="15376" max="15376" width="9" style="44" customWidth="1"/>
    <col min="15377" max="15377" width="8.140625" style="44" customWidth="1"/>
    <col min="15378" max="15378" width="8" style="44" customWidth="1"/>
    <col min="15379" max="15379" width="9.140625" style="44" customWidth="1"/>
    <col min="15380" max="15380" width="7.7109375" style="44" customWidth="1"/>
    <col min="15381" max="15381" width="9.140625" style="44" customWidth="1"/>
    <col min="15382" max="15382" width="7.28515625" style="44" customWidth="1"/>
    <col min="15383" max="15383" width="7.140625" style="44" customWidth="1"/>
    <col min="15384" max="15384" width="8.7109375" style="44" customWidth="1"/>
    <col min="15385" max="15386" width="9.28515625" style="44"/>
    <col min="15387" max="15387" width="9.7109375" style="44" customWidth="1"/>
    <col min="15388" max="15388" width="6.7109375" style="44" customWidth="1"/>
    <col min="15389" max="15389" width="7" style="44" customWidth="1"/>
    <col min="15390" max="15390" width="5.28515625" style="44" customWidth="1"/>
    <col min="15391" max="15391" width="6.5703125" style="44" bestFit="1" customWidth="1"/>
    <col min="15392" max="15392" width="8.28515625" style="44" customWidth="1"/>
    <col min="15393" max="15393" width="8" style="44" customWidth="1"/>
    <col min="15394" max="15394" width="6.5703125" style="44" customWidth="1"/>
    <col min="15395" max="15395" width="8.28515625" style="44" customWidth="1"/>
    <col min="15396" max="15396" width="7.28515625" style="44" customWidth="1"/>
    <col min="15397" max="15397" width="8.140625" style="44" customWidth="1"/>
    <col min="15398" max="15398" width="7.42578125" style="44" customWidth="1"/>
    <col min="15399" max="15399" width="7.5703125" style="44" customWidth="1"/>
    <col min="15400" max="15400" width="6.5703125" style="44" customWidth="1"/>
    <col min="15401" max="15401" width="6.28515625" style="44" customWidth="1"/>
    <col min="15402" max="15402" width="7.7109375" style="44" customWidth="1"/>
    <col min="15403" max="15403" width="6.140625" style="44" customWidth="1"/>
    <col min="15404" max="15404" width="6.28515625" style="44" bestFit="1" customWidth="1"/>
    <col min="15405" max="15406" width="6.7109375" style="44" customWidth="1"/>
    <col min="15407" max="15407" width="6.5703125" style="44" customWidth="1"/>
    <col min="15408" max="15408" width="7.7109375" style="44" customWidth="1"/>
    <col min="15409" max="15409" width="5.7109375" style="44" customWidth="1"/>
    <col min="15410" max="15410" width="5.85546875" style="44" customWidth="1"/>
    <col min="15411" max="15411" width="6.7109375" style="44" customWidth="1"/>
    <col min="15412" max="15412" width="6.28515625" style="44" customWidth="1"/>
    <col min="15413" max="15413" width="7.5703125" style="44" customWidth="1"/>
    <col min="15414" max="15414" width="5.28515625" style="44" customWidth="1"/>
    <col min="15415" max="15415" width="6.140625" style="44" customWidth="1"/>
    <col min="15416" max="15417" width="6.28515625" style="44" customWidth="1"/>
    <col min="15418" max="15418" width="6.5703125" style="44" bestFit="1" customWidth="1"/>
    <col min="15419" max="15419" width="6.42578125" style="44" customWidth="1"/>
    <col min="15420" max="15420" width="6" style="44" customWidth="1"/>
    <col min="15421" max="15422" width="5.5703125" style="44" customWidth="1"/>
    <col min="15423" max="15423" width="5.7109375" style="44" customWidth="1"/>
    <col min="15424" max="15616" width="9.28515625" style="44"/>
    <col min="15617" max="15617" width="3.28515625" style="44" customWidth="1"/>
    <col min="15618" max="15618" width="32.28515625" style="44" customWidth="1"/>
    <col min="15619" max="15619" width="9.7109375" style="44" customWidth="1"/>
    <col min="15620" max="15620" width="10.140625" style="44" customWidth="1"/>
    <col min="15621" max="15625" width="0" style="44" hidden="1" customWidth="1"/>
    <col min="15626" max="15626" width="9.28515625" style="44"/>
    <col min="15627" max="15627" width="8.7109375" style="44" customWidth="1"/>
    <col min="15628" max="15628" width="6.7109375" style="44" customWidth="1"/>
    <col min="15629" max="15629" width="9.5703125" style="44" customWidth="1"/>
    <col min="15630" max="15630" width="6.7109375" style="44" customWidth="1"/>
    <col min="15631" max="15631" width="6.85546875" style="44" customWidth="1"/>
    <col min="15632" max="15632" width="9" style="44" customWidth="1"/>
    <col min="15633" max="15633" width="8.140625" style="44" customWidth="1"/>
    <col min="15634" max="15634" width="8" style="44" customWidth="1"/>
    <col min="15635" max="15635" width="9.140625" style="44" customWidth="1"/>
    <col min="15636" max="15636" width="7.7109375" style="44" customWidth="1"/>
    <col min="15637" max="15637" width="9.140625" style="44" customWidth="1"/>
    <col min="15638" max="15638" width="7.28515625" style="44" customWidth="1"/>
    <col min="15639" max="15639" width="7.140625" style="44" customWidth="1"/>
    <col min="15640" max="15640" width="8.7109375" style="44" customWidth="1"/>
    <col min="15641" max="15642" width="9.28515625" style="44"/>
    <col min="15643" max="15643" width="9.7109375" style="44" customWidth="1"/>
    <col min="15644" max="15644" width="6.7109375" style="44" customWidth="1"/>
    <col min="15645" max="15645" width="7" style="44" customWidth="1"/>
    <col min="15646" max="15646" width="5.28515625" style="44" customWidth="1"/>
    <col min="15647" max="15647" width="6.5703125" style="44" bestFit="1" customWidth="1"/>
    <col min="15648" max="15648" width="8.28515625" style="44" customWidth="1"/>
    <col min="15649" max="15649" width="8" style="44" customWidth="1"/>
    <col min="15650" max="15650" width="6.5703125" style="44" customWidth="1"/>
    <col min="15651" max="15651" width="8.28515625" style="44" customWidth="1"/>
    <col min="15652" max="15652" width="7.28515625" style="44" customWidth="1"/>
    <col min="15653" max="15653" width="8.140625" style="44" customWidth="1"/>
    <col min="15654" max="15654" width="7.42578125" style="44" customWidth="1"/>
    <col min="15655" max="15655" width="7.5703125" style="44" customWidth="1"/>
    <col min="15656" max="15656" width="6.5703125" style="44" customWidth="1"/>
    <col min="15657" max="15657" width="6.28515625" style="44" customWidth="1"/>
    <col min="15658" max="15658" width="7.7109375" style="44" customWidth="1"/>
    <col min="15659" max="15659" width="6.140625" style="44" customWidth="1"/>
    <col min="15660" max="15660" width="6.28515625" style="44" bestFit="1" customWidth="1"/>
    <col min="15661" max="15662" width="6.7109375" style="44" customWidth="1"/>
    <col min="15663" max="15663" width="6.5703125" style="44" customWidth="1"/>
    <col min="15664" max="15664" width="7.7109375" style="44" customWidth="1"/>
    <col min="15665" max="15665" width="5.7109375" style="44" customWidth="1"/>
    <col min="15666" max="15666" width="5.85546875" style="44" customWidth="1"/>
    <col min="15667" max="15667" width="6.7109375" style="44" customWidth="1"/>
    <col min="15668" max="15668" width="6.28515625" style="44" customWidth="1"/>
    <col min="15669" max="15669" width="7.5703125" style="44" customWidth="1"/>
    <col min="15670" max="15670" width="5.28515625" style="44" customWidth="1"/>
    <col min="15671" max="15671" width="6.140625" style="44" customWidth="1"/>
    <col min="15672" max="15673" width="6.28515625" style="44" customWidth="1"/>
    <col min="15674" max="15674" width="6.5703125" style="44" bestFit="1" customWidth="1"/>
    <col min="15675" max="15675" width="6.42578125" style="44" customWidth="1"/>
    <col min="15676" max="15676" width="6" style="44" customWidth="1"/>
    <col min="15677" max="15678" width="5.5703125" style="44" customWidth="1"/>
    <col min="15679" max="15679" width="5.7109375" style="44" customWidth="1"/>
    <col min="15680" max="15872" width="9.28515625" style="44"/>
    <col min="15873" max="15873" width="3.28515625" style="44" customWidth="1"/>
    <col min="15874" max="15874" width="32.28515625" style="44" customWidth="1"/>
    <col min="15875" max="15875" width="9.7109375" style="44" customWidth="1"/>
    <col min="15876" max="15876" width="10.140625" style="44" customWidth="1"/>
    <col min="15877" max="15881" width="0" style="44" hidden="1" customWidth="1"/>
    <col min="15882" max="15882" width="9.28515625" style="44"/>
    <col min="15883" max="15883" width="8.7109375" style="44" customWidth="1"/>
    <col min="15884" max="15884" width="6.7109375" style="44" customWidth="1"/>
    <col min="15885" max="15885" width="9.5703125" style="44" customWidth="1"/>
    <col min="15886" max="15886" width="6.7109375" style="44" customWidth="1"/>
    <col min="15887" max="15887" width="6.85546875" style="44" customWidth="1"/>
    <col min="15888" max="15888" width="9" style="44" customWidth="1"/>
    <col min="15889" max="15889" width="8.140625" style="44" customWidth="1"/>
    <col min="15890" max="15890" width="8" style="44" customWidth="1"/>
    <col min="15891" max="15891" width="9.140625" style="44" customWidth="1"/>
    <col min="15892" max="15892" width="7.7109375" style="44" customWidth="1"/>
    <col min="15893" max="15893" width="9.140625" style="44" customWidth="1"/>
    <col min="15894" max="15894" width="7.28515625" style="44" customWidth="1"/>
    <col min="15895" max="15895" width="7.140625" style="44" customWidth="1"/>
    <col min="15896" max="15896" width="8.7109375" style="44" customWidth="1"/>
    <col min="15897" max="15898" width="9.28515625" style="44"/>
    <col min="15899" max="15899" width="9.7109375" style="44" customWidth="1"/>
    <col min="15900" max="15900" width="6.7109375" style="44" customWidth="1"/>
    <col min="15901" max="15901" width="7" style="44" customWidth="1"/>
    <col min="15902" max="15902" width="5.28515625" style="44" customWidth="1"/>
    <col min="15903" max="15903" width="6.5703125" style="44" bestFit="1" customWidth="1"/>
    <col min="15904" max="15904" width="8.28515625" style="44" customWidth="1"/>
    <col min="15905" max="15905" width="8" style="44" customWidth="1"/>
    <col min="15906" max="15906" width="6.5703125" style="44" customWidth="1"/>
    <col min="15907" max="15907" width="8.28515625" style="44" customWidth="1"/>
    <col min="15908" max="15908" width="7.28515625" style="44" customWidth="1"/>
    <col min="15909" max="15909" width="8.140625" style="44" customWidth="1"/>
    <col min="15910" max="15910" width="7.42578125" style="44" customWidth="1"/>
    <col min="15911" max="15911" width="7.5703125" style="44" customWidth="1"/>
    <col min="15912" max="15912" width="6.5703125" style="44" customWidth="1"/>
    <col min="15913" max="15913" width="6.28515625" style="44" customWidth="1"/>
    <col min="15914" max="15914" width="7.7109375" style="44" customWidth="1"/>
    <col min="15915" max="15915" width="6.140625" style="44" customWidth="1"/>
    <col min="15916" max="15916" width="6.28515625" style="44" bestFit="1" customWidth="1"/>
    <col min="15917" max="15918" width="6.7109375" style="44" customWidth="1"/>
    <col min="15919" max="15919" width="6.5703125" style="44" customWidth="1"/>
    <col min="15920" max="15920" width="7.7109375" style="44" customWidth="1"/>
    <col min="15921" max="15921" width="5.7109375" style="44" customWidth="1"/>
    <col min="15922" max="15922" width="5.85546875" style="44" customWidth="1"/>
    <col min="15923" max="15923" width="6.7109375" style="44" customWidth="1"/>
    <col min="15924" max="15924" width="6.28515625" style="44" customWidth="1"/>
    <col min="15925" max="15925" width="7.5703125" style="44" customWidth="1"/>
    <col min="15926" max="15926" width="5.28515625" style="44" customWidth="1"/>
    <col min="15927" max="15927" width="6.140625" style="44" customWidth="1"/>
    <col min="15928" max="15929" width="6.28515625" style="44" customWidth="1"/>
    <col min="15930" max="15930" width="6.5703125" style="44" bestFit="1" customWidth="1"/>
    <col min="15931" max="15931" width="6.42578125" style="44" customWidth="1"/>
    <col min="15932" max="15932" width="6" style="44" customWidth="1"/>
    <col min="15933" max="15934" width="5.5703125" style="44" customWidth="1"/>
    <col min="15935" max="15935" width="5.7109375" style="44" customWidth="1"/>
    <col min="15936" max="16128" width="9.28515625" style="44"/>
    <col min="16129" max="16129" width="3.28515625" style="44" customWidth="1"/>
    <col min="16130" max="16130" width="32.28515625" style="44" customWidth="1"/>
    <col min="16131" max="16131" width="9.7109375" style="44" customWidth="1"/>
    <col min="16132" max="16132" width="10.140625" style="44" customWidth="1"/>
    <col min="16133" max="16137" width="0" style="44" hidden="1" customWidth="1"/>
    <col min="16138" max="16138" width="9.28515625" style="44"/>
    <col min="16139" max="16139" width="8.7109375" style="44" customWidth="1"/>
    <col min="16140" max="16140" width="6.7109375" style="44" customWidth="1"/>
    <col min="16141" max="16141" width="9.5703125" style="44" customWidth="1"/>
    <col min="16142" max="16142" width="6.7109375" style="44" customWidth="1"/>
    <col min="16143" max="16143" width="6.85546875" style="44" customWidth="1"/>
    <col min="16144" max="16144" width="9" style="44" customWidth="1"/>
    <col min="16145" max="16145" width="8.140625" style="44" customWidth="1"/>
    <col min="16146" max="16146" width="8" style="44" customWidth="1"/>
    <col min="16147" max="16147" width="9.140625" style="44" customWidth="1"/>
    <col min="16148" max="16148" width="7.7109375" style="44" customWidth="1"/>
    <col min="16149" max="16149" width="9.140625" style="44" customWidth="1"/>
    <col min="16150" max="16150" width="7.28515625" style="44" customWidth="1"/>
    <col min="16151" max="16151" width="7.140625" style="44" customWidth="1"/>
    <col min="16152" max="16152" width="8.7109375" style="44" customWidth="1"/>
    <col min="16153" max="16154" width="9.28515625" style="44"/>
    <col min="16155" max="16155" width="9.7109375" style="44" customWidth="1"/>
    <col min="16156" max="16156" width="6.7109375" style="44" customWidth="1"/>
    <col min="16157" max="16157" width="7" style="44" customWidth="1"/>
    <col min="16158" max="16158" width="5.28515625" style="44" customWidth="1"/>
    <col min="16159" max="16159" width="6.5703125" style="44" bestFit="1" customWidth="1"/>
    <col min="16160" max="16160" width="8.28515625" style="44" customWidth="1"/>
    <col min="16161" max="16161" width="8" style="44" customWidth="1"/>
    <col min="16162" max="16162" width="6.5703125" style="44" customWidth="1"/>
    <col min="16163" max="16163" width="8.28515625" style="44" customWidth="1"/>
    <col min="16164" max="16164" width="7.28515625" style="44" customWidth="1"/>
    <col min="16165" max="16165" width="8.140625" style="44" customWidth="1"/>
    <col min="16166" max="16166" width="7.42578125" style="44" customWidth="1"/>
    <col min="16167" max="16167" width="7.5703125" style="44" customWidth="1"/>
    <col min="16168" max="16168" width="6.5703125" style="44" customWidth="1"/>
    <col min="16169" max="16169" width="6.28515625" style="44" customWidth="1"/>
    <col min="16170" max="16170" width="7.7109375" style="44" customWidth="1"/>
    <col min="16171" max="16171" width="6.140625" style="44" customWidth="1"/>
    <col min="16172" max="16172" width="6.28515625" style="44" bestFit="1" customWidth="1"/>
    <col min="16173" max="16174" width="6.7109375" style="44" customWidth="1"/>
    <col min="16175" max="16175" width="6.5703125" style="44" customWidth="1"/>
    <col min="16176" max="16176" width="7.7109375" style="44" customWidth="1"/>
    <col min="16177" max="16177" width="5.7109375" style="44" customWidth="1"/>
    <col min="16178" max="16178" width="5.85546875" style="44" customWidth="1"/>
    <col min="16179" max="16179" width="6.7109375" style="44" customWidth="1"/>
    <col min="16180" max="16180" width="6.28515625" style="44" customWidth="1"/>
    <col min="16181" max="16181" width="7.5703125" style="44" customWidth="1"/>
    <col min="16182" max="16182" width="5.28515625" style="44" customWidth="1"/>
    <col min="16183" max="16183" width="6.140625" style="44" customWidth="1"/>
    <col min="16184" max="16185" width="6.28515625" style="44" customWidth="1"/>
    <col min="16186" max="16186" width="6.5703125" style="44" bestFit="1" customWidth="1"/>
    <col min="16187" max="16187" width="6.42578125" style="44" customWidth="1"/>
    <col min="16188" max="16188" width="6" style="44" customWidth="1"/>
    <col min="16189" max="16190" width="5.5703125" style="44" customWidth="1"/>
    <col min="16191" max="16191" width="5.7109375" style="44" customWidth="1"/>
    <col min="16192" max="16384" width="9.28515625" style="44"/>
  </cols>
  <sheetData>
    <row r="1" spans="1:63" ht="13.15" customHeight="1" x14ac:dyDescent="0.2">
      <c r="B1" s="167"/>
      <c r="C1" s="139" t="s">
        <v>52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/>
      <c r="AI1" s="139"/>
      <c r="AJ1" s="139"/>
      <c r="AK1" s="203"/>
      <c r="AL1" s="203"/>
      <c r="AM1" s="203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97" t="s">
        <v>53</v>
      </c>
      <c r="BI1" s="197"/>
      <c r="BJ1" s="197"/>
      <c r="BK1" s="197"/>
    </row>
    <row r="2" spans="1:63" ht="13.15" customHeight="1" x14ac:dyDescent="0.2">
      <c r="B2" s="167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0"/>
      <c r="S2" s="141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40"/>
      <c r="AI2" s="139"/>
      <c r="AJ2" s="139"/>
      <c r="AK2" s="81"/>
      <c r="AL2" s="81"/>
      <c r="AM2" s="81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</row>
    <row r="3" spans="1:63" ht="12.75" customHeight="1" x14ac:dyDescent="0.2">
      <c r="A3" s="168"/>
      <c r="B3" s="169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42"/>
      <c r="S3" s="78"/>
      <c r="T3" s="78"/>
      <c r="U3" s="78"/>
      <c r="V3" s="78"/>
      <c r="W3" s="78"/>
      <c r="X3" s="78"/>
      <c r="Y3" s="78"/>
      <c r="Z3" s="78"/>
      <c r="AA3" s="78"/>
      <c r="AB3" s="203" t="s">
        <v>54</v>
      </c>
      <c r="AC3" s="203"/>
      <c r="AD3" s="203"/>
      <c r="AE3" s="203"/>
      <c r="AF3" s="78"/>
      <c r="AG3" s="78"/>
      <c r="AH3" s="142"/>
      <c r="AI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203"/>
      <c r="BI3" s="203"/>
      <c r="BJ3" s="203"/>
      <c r="BK3" s="203"/>
    </row>
    <row r="4" spans="1:63" ht="24" customHeight="1" x14ac:dyDescent="0.2">
      <c r="A4" s="204"/>
      <c r="B4" s="205"/>
      <c r="C4" s="204" t="s">
        <v>55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 t="s">
        <v>56</v>
      </c>
      <c r="Q4" s="204"/>
      <c r="R4" s="204"/>
      <c r="S4" s="204"/>
      <c r="T4" s="204"/>
      <c r="U4" s="204"/>
      <c r="V4" s="204"/>
      <c r="W4" s="204"/>
      <c r="X4" s="204" t="s">
        <v>57</v>
      </c>
      <c r="Y4" s="204"/>
      <c r="Z4" s="204"/>
      <c r="AA4" s="204"/>
      <c r="AB4" s="204"/>
      <c r="AC4" s="204"/>
      <c r="AD4" s="204"/>
      <c r="AE4" s="204"/>
      <c r="AF4" s="206" t="s">
        <v>58</v>
      </c>
      <c r="AG4" s="206"/>
      <c r="AH4" s="206"/>
      <c r="AI4" s="206"/>
      <c r="AJ4" s="206"/>
      <c r="AK4" s="206"/>
      <c r="AL4" s="206"/>
      <c r="AM4" s="206"/>
      <c r="AN4" s="204" t="s">
        <v>59</v>
      </c>
      <c r="AO4" s="204"/>
      <c r="AP4" s="204"/>
      <c r="AQ4" s="204"/>
      <c r="AR4" s="204"/>
      <c r="AS4" s="204"/>
      <c r="AT4" s="204"/>
      <c r="AU4" s="204"/>
      <c r="AV4" s="204" t="s">
        <v>60</v>
      </c>
      <c r="AW4" s="204"/>
      <c r="AX4" s="204"/>
      <c r="AY4" s="204"/>
      <c r="AZ4" s="204"/>
      <c r="BA4" s="204"/>
      <c r="BB4" s="204"/>
      <c r="BC4" s="204"/>
      <c r="BD4" s="204" t="s">
        <v>61</v>
      </c>
      <c r="BE4" s="204"/>
      <c r="BF4" s="204"/>
      <c r="BG4" s="204"/>
      <c r="BH4" s="204"/>
      <c r="BI4" s="204"/>
      <c r="BJ4" s="204"/>
      <c r="BK4" s="204"/>
    </row>
    <row r="5" spans="1:63" ht="13.15" customHeight="1" x14ac:dyDescent="0.2">
      <c r="A5" s="204"/>
      <c r="B5" s="205"/>
      <c r="C5" s="198">
        <v>2022</v>
      </c>
      <c r="D5" s="199"/>
      <c r="E5" s="199"/>
      <c r="F5" s="199"/>
      <c r="G5" s="199"/>
      <c r="H5" s="199"/>
      <c r="I5" s="199"/>
      <c r="J5" s="207">
        <v>2021</v>
      </c>
      <c r="K5" s="208"/>
      <c r="L5" s="200" t="s">
        <v>62</v>
      </c>
      <c r="M5" s="202"/>
      <c r="N5" s="200" t="s">
        <v>63</v>
      </c>
      <c r="O5" s="202"/>
      <c r="P5" s="198">
        <v>2022</v>
      </c>
      <c r="Q5" s="199"/>
      <c r="R5" s="198">
        <v>2021</v>
      </c>
      <c r="S5" s="199"/>
      <c r="T5" s="200" t="s">
        <v>62</v>
      </c>
      <c r="U5" s="202"/>
      <c r="V5" s="200" t="s">
        <v>63</v>
      </c>
      <c r="W5" s="202"/>
      <c r="X5" s="198">
        <v>2022</v>
      </c>
      <c r="Y5" s="199"/>
      <c r="Z5" s="198">
        <v>2021</v>
      </c>
      <c r="AA5" s="199"/>
      <c r="AB5" s="200" t="s">
        <v>62</v>
      </c>
      <c r="AC5" s="202"/>
      <c r="AD5" s="200" t="s">
        <v>63</v>
      </c>
      <c r="AE5" s="202"/>
      <c r="AF5" s="198">
        <v>2022</v>
      </c>
      <c r="AG5" s="199"/>
      <c r="AH5" s="198">
        <v>2021</v>
      </c>
      <c r="AI5" s="199"/>
      <c r="AJ5" s="200" t="s">
        <v>62</v>
      </c>
      <c r="AK5" s="202"/>
      <c r="AL5" s="200" t="s">
        <v>63</v>
      </c>
      <c r="AM5" s="202"/>
      <c r="AN5" s="198">
        <v>2022</v>
      </c>
      <c r="AO5" s="199"/>
      <c r="AP5" s="198">
        <v>2021</v>
      </c>
      <c r="AQ5" s="199"/>
      <c r="AR5" s="200" t="s">
        <v>62</v>
      </c>
      <c r="AS5" s="202"/>
      <c r="AT5" s="200" t="s">
        <v>63</v>
      </c>
      <c r="AU5" s="202"/>
      <c r="AV5" s="198">
        <v>2022</v>
      </c>
      <c r="AW5" s="199"/>
      <c r="AX5" s="198">
        <v>2021</v>
      </c>
      <c r="AY5" s="199"/>
      <c r="AZ5" s="200" t="s">
        <v>62</v>
      </c>
      <c r="BA5" s="202"/>
      <c r="BB5" s="200" t="s">
        <v>63</v>
      </c>
      <c r="BC5" s="202"/>
      <c r="BD5" s="198">
        <v>2022</v>
      </c>
      <c r="BE5" s="199"/>
      <c r="BF5" s="198">
        <v>2021</v>
      </c>
      <c r="BG5" s="199"/>
      <c r="BH5" s="200" t="s">
        <v>62</v>
      </c>
      <c r="BI5" s="202"/>
      <c r="BJ5" s="200" t="s">
        <v>63</v>
      </c>
      <c r="BK5" s="202"/>
    </row>
    <row r="6" spans="1:63" ht="13.15" customHeight="1" x14ac:dyDescent="0.2">
      <c r="A6" s="204"/>
      <c r="B6" s="205"/>
      <c r="C6" s="200"/>
      <c r="D6" s="201"/>
      <c r="E6" s="201"/>
      <c r="F6" s="201"/>
      <c r="G6" s="201"/>
      <c r="H6" s="201"/>
      <c r="I6" s="201"/>
      <c r="J6" s="200"/>
      <c r="K6" s="202"/>
      <c r="L6" s="196" t="s">
        <v>64</v>
      </c>
      <c r="M6" s="196"/>
      <c r="N6" s="196" t="s">
        <v>64</v>
      </c>
      <c r="O6" s="196"/>
      <c r="P6" s="200"/>
      <c r="Q6" s="201"/>
      <c r="R6" s="200"/>
      <c r="S6" s="201"/>
      <c r="T6" s="196" t="s">
        <v>64</v>
      </c>
      <c r="U6" s="196"/>
      <c r="V6" s="196" t="s">
        <v>64</v>
      </c>
      <c r="W6" s="196"/>
      <c r="X6" s="200"/>
      <c r="Y6" s="201"/>
      <c r="Z6" s="200"/>
      <c r="AA6" s="201"/>
      <c r="AB6" s="196" t="s">
        <v>64</v>
      </c>
      <c r="AC6" s="196"/>
      <c r="AD6" s="196" t="s">
        <v>64</v>
      </c>
      <c r="AE6" s="196"/>
      <c r="AF6" s="200"/>
      <c r="AG6" s="201"/>
      <c r="AH6" s="200"/>
      <c r="AI6" s="201"/>
      <c r="AJ6" s="196" t="s">
        <v>64</v>
      </c>
      <c r="AK6" s="196"/>
      <c r="AL6" s="196" t="s">
        <v>64</v>
      </c>
      <c r="AM6" s="196"/>
      <c r="AN6" s="200"/>
      <c r="AO6" s="201"/>
      <c r="AP6" s="200"/>
      <c r="AQ6" s="201"/>
      <c r="AR6" s="196" t="s">
        <v>64</v>
      </c>
      <c r="AS6" s="196"/>
      <c r="AT6" s="196" t="s">
        <v>64</v>
      </c>
      <c r="AU6" s="196"/>
      <c r="AV6" s="200"/>
      <c r="AW6" s="201"/>
      <c r="AX6" s="200"/>
      <c r="AY6" s="201"/>
      <c r="AZ6" s="196" t="s">
        <v>64</v>
      </c>
      <c r="BA6" s="196"/>
      <c r="BB6" s="196" t="s">
        <v>64</v>
      </c>
      <c r="BC6" s="196"/>
      <c r="BD6" s="200"/>
      <c r="BE6" s="201"/>
      <c r="BF6" s="200"/>
      <c r="BG6" s="201"/>
      <c r="BH6" s="196" t="s">
        <v>64</v>
      </c>
      <c r="BI6" s="196"/>
      <c r="BJ6" s="196" t="s">
        <v>64</v>
      </c>
      <c r="BK6" s="196"/>
    </row>
    <row r="7" spans="1:63" s="166" customFormat="1" ht="39.75" customHeight="1" x14ac:dyDescent="0.25">
      <c r="A7" s="204"/>
      <c r="B7" s="205"/>
      <c r="C7" s="86" t="s">
        <v>62</v>
      </c>
      <c r="D7" s="143" t="s">
        <v>63</v>
      </c>
      <c r="E7" s="86" t="s">
        <v>62</v>
      </c>
      <c r="F7" s="86"/>
      <c r="G7" s="143" t="s">
        <v>63</v>
      </c>
      <c r="H7" s="143"/>
      <c r="I7" s="143"/>
      <c r="J7" s="86" t="s">
        <v>62</v>
      </c>
      <c r="K7" s="143" t="s">
        <v>63</v>
      </c>
      <c r="L7" s="86" t="s">
        <v>65</v>
      </c>
      <c r="M7" s="86" t="s">
        <v>66</v>
      </c>
      <c r="N7" s="86" t="s">
        <v>65</v>
      </c>
      <c r="O7" s="86" t="s">
        <v>66</v>
      </c>
      <c r="P7" s="86" t="s">
        <v>62</v>
      </c>
      <c r="Q7" s="143" t="s">
        <v>63</v>
      </c>
      <c r="R7" s="86" t="s">
        <v>62</v>
      </c>
      <c r="S7" s="143" t="s">
        <v>63</v>
      </c>
      <c r="T7" s="86" t="s">
        <v>65</v>
      </c>
      <c r="U7" s="86" t="s">
        <v>66</v>
      </c>
      <c r="V7" s="86" t="s">
        <v>65</v>
      </c>
      <c r="W7" s="86" t="s">
        <v>66</v>
      </c>
      <c r="X7" s="86" t="s">
        <v>62</v>
      </c>
      <c r="Y7" s="143" t="s">
        <v>63</v>
      </c>
      <c r="Z7" s="86" t="s">
        <v>62</v>
      </c>
      <c r="AA7" s="143" t="s">
        <v>63</v>
      </c>
      <c r="AB7" s="86" t="s">
        <v>65</v>
      </c>
      <c r="AC7" s="86" t="s">
        <v>66</v>
      </c>
      <c r="AD7" s="86" t="s">
        <v>65</v>
      </c>
      <c r="AE7" s="86" t="s">
        <v>66</v>
      </c>
      <c r="AF7" s="86" t="s">
        <v>62</v>
      </c>
      <c r="AG7" s="143" t="s">
        <v>63</v>
      </c>
      <c r="AH7" s="86" t="s">
        <v>62</v>
      </c>
      <c r="AI7" s="143" t="s">
        <v>63</v>
      </c>
      <c r="AJ7" s="86" t="s">
        <v>65</v>
      </c>
      <c r="AK7" s="86" t="s">
        <v>66</v>
      </c>
      <c r="AL7" s="86" t="s">
        <v>65</v>
      </c>
      <c r="AM7" s="86" t="s">
        <v>66</v>
      </c>
      <c r="AN7" s="86" t="s">
        <v>62</v>
      </c>
      <c r="AO7" s="143" t="s">
        <v>63</v>
      </c>
      <c r="AP7" s="86" t="s">
        <v>62</v>
      </c>
      <c r="AQ7" s="143" t="s">
        <v>63</v>
      </c>
      <c r="AR7" s="86" t="s">
        <v>65</v>
      </c>
      <c r="AS7" s="86" t="s">
        <v>66</v>
      </c>
      <c r="AT7" s="86" t="s">
        <v>65</v>
      </c>
      <c r="AU7" s="86" t="s">
        <v>66</v>
      </c>
      <c r="AV7" s="86" t="s">
        <v>62</v>
      </c>
      <c r="AW7" s="143" t="s">
        <v>63</v>
      </c>
      <c r="AX7" s="86" t="s">
        <v>62</v>
      </c>
      <c r="AY7" s="143" t="s">
        <v>63</v>
      </c>
      <c r="AZ7" s="86" t="s">
        <v>65</v>
      </c>
      <c r="BA7" s="86" t="s">
        <v>66</v>
      </c>
      <c r="BB7" s="86" t="s">
        <v>65</v>
      </c>
      <c r="BC7" s="86" t="s">
        <v>66</v>
      </c>
      <c r="BD7" s="86" t="s">
        <v>62</v>
      </c>
      <c r="BE7" s="143" t="s">
        <v>63</v>
      </c>
      <c r="BF7" s="86" t="s">
        <v>62</v>
      </c>
      <c r="BG7" s="143" t="s">
        <v>63</v>
      </c>
      <c r="BH7" s="86" t="s">
        <v>65</v>
      </c>
      <c r="BI7" s="86" t="s">
        <v>66</v>
      </c>
      <c r="BJ7" s="86" t="s">
        <v>65</v>
      </c>
      <c r="BK7" s="86" t="s">
        <v>66</v>
      </c>
    </row>
    <row r="8" spans="1:63" s="78" customFormat="1" ht="13.15" customHeight="1" x14ac:dyDescent="0.15">
      <c r="A8" s="170">
        <v>1</v>
      </c>
      <c r="B8" s="170">
        <v>2</v>
      </c>
      <c r="C8" s="93">
        <v>3</v>
      </c>
      <c r="D8" s="93">
        <v>4</v>
      </c>
      <c r="E8" s="93"/>
      <c r="F8" s="93"/>
      <c r="G8" s="93"/>
      <c r="H8" s="93"/>
      <c r="I8" s="93"/>
      <c r="J8" s="93">
        <v>5</v>
      </c>
      <c r="K8" s="93">
        <v>6</v>
      </c>
      <c r="L8" s="93">
        <v>7</v>
      </c>
      <c r="M8" s="93">
        <v>8</v>
      </c>
      <c r="N8" s="93">
        <v>9</v>
      </c>
      <c r="O8" s="93">
        <v>10</v>
      </c>
      <c r="P8" s="93">
        <v>11</v>
      </c>
      <c r="Q8" s="93">
        <v>12</v>
      </c>
      <c r="R8" s="93">
        <v>13</v>
      </c>
      <c r="S8" s="93">
        <v>14</v>
      </c>
      <c r="T8" s="93">
        <v>15</v>
      </c>
      <c r="U8" s="93">
        <v>16</v>
      </c>
      <c r="V8" s="93">
        <v>17</v>
      </c>
      <c r="W8" s="93">
        <v>18</v>
      </c>
      <c r="X8" s="93">
        <v>19</v>
      </c>
      <c r="Y8" s="93">
        <v>20</v>
      </c>
      <c r="Z8" s="93">
        <v>21</v>
      </c>
      <c r="AA8" s="93">
        <v>22</v>
      </c>
      <c r="AB8" s="93">
        <v>23</v>
      </c>
      <c r="AC8" s="93">
        <v>24</v>
      </c>
      <c r="AD8" s="93">
        <v>25</v>
      </c>
      <c r="AE8" s="93">
        <v>26</v>
      </c>
      <c r="AF8" s="93">
        <v>27</v>
      </c>
      <c r="AG8" s="93">
        <v>28</v>
      </c>
      <c r="AH8" s="93">
        <v>29</v>
      </c>
      <c r="AI8" s="93">
        <v>30</v>
      </c>
      <c r="AJ8" s="93">
        <v>31</v>
      </c>
      <c r="AK8" s="93">
        <v>32</v>
      </c>
      <c r="AL8" s="93">
        <v>33</v>
      </c>
      <c r="AM8" s="93">
        <v>34</v>
      </c>
      <c r="AN8" s="93">
        <v>35</v>
      </c>
      <c r="AO8" s="93">
        <v>36</v>
      </c>
      <c r="AP8" s="93">
        <v>37</v>
      </c>
      <c r="AQ8" s="93">
        <v>38</v>
      </c>
      <c r="AR8" s="93">
        <v>39</v>
      </c>
      <c r="AS8" s="93">
        <v>40</v>
      </c>
      <c r="AT8" s="93">
        <v>41</v>
      </c>
      <c r="AU8" s="93">
        <v>42</v>
      </c>
      <c r="AV8" s="93">
        <v>43</v>
      </c>
      <c r="AW8" s="93">
        <v>44</v>
      </c>
      <c r="AX8" s="93">
        <v>45</v>
      </c>
      <c r="AY8" s="93">
        <v>46</v>
      </c>
      <c r="AZ8" s="93">
        <v>47</v>
      </c>
      <c r="BA8" s="93">
        <v>48</v>
      </c>
      <c r="BB8" s="93">
        <v>49</v>
      </c>
      <c r="BC8" s="93">
        <v>50</v>
      </c>
      <c r="BD8" s="93">
        <v>51</v>
      </c>
      <c r="BE8" s="93">
        <v>52</v>
      </c>
      <c r="BF8" s="93">
        <v>53</v>
      </c>
      <c r="BG8" s="93">
        <v>54</v>
      </c>
      <c r="BH8" s="93">
        <v>55</v>
      </c>
      <c r="BI8" s="171">
        <v>56</v>
      </c>
      <c r="BJ8" s="93">
        <v>57</v>
      </c>
      <c r="BK8" s="93">
        <v>58</v>
      </c>
    </row>
    <row r="9" spans="1:63" ht="12" customHeight="1" x14ac:dyDescent="0.2">
      <c r="A9" s="172">
        <v>1</v>
      </c>
      <c r="B9" s="144" t="s">
        <v>67</v>
      </c>
      <c r="C9" s="145">
        <f>+P9+X9+AF9+AN9+AV9+BD9</f>
        <v>771.20000000000016</v>
      </c>
      <c r="D9" s="145">
        <f t="shared" ref="C9:D24" si="0">+Q9+Y9+AG9+AO9+AW9+BE9</f>
        <v>667.1</v>
      </c>
      <c r="E9" s="145">
        <f>+'[1]2019-2018'!$J5</f>
        <v>537</v>
      </c>
      <c r="F9" s="145">
        <f t="shared" ref="F9:F16" si="1">+E9-C9</f>
        <v>-234.20000000000016</v>
      </c>
      <c r="G9" s="145">
        <f>+'[1]2019-2018'!$M5</f>
        <v>444.7</v>
      </c>
      <c r="H9" s="145" t="e">
        <f>G9-D9-#REF!</f>
        <v>#REF!</v>
      </c>
      <c r="I9" s="145"/>
      <c r="J9" s="145">
        <f t="shared" ref="J9:K16" si="2">+R9+Z9+AH9+AP9+AX9+BF9</f>
        <v>655.20000000000005</v>
      </c>
      <c r="K9" s="145">
        <f t="shared" si="2"/>
        <v>573.09999999999991</v>
      </c>
      <c r="L9" s="145">
        <f t="shared" ref="L9:L71" si="3">+C9/J9*100</f>
        <v>117.70451770451773</v>
      </c>
      <c r="M9" s="145">
        <f t="shared" ref="M9:M16" si="4">+C9-J9</f>
        <v>116.00000000000011</v>
      </c>
      <c r="N9" s="145">
        <f t="shared" ref="N9:N71" si="5">+D9/K9*100</f>
        <v>116.40202407956728</v>
      </c>
      <c r="O9" s="145">
        <f t="shared" ref="O9:O16" si="6">D9-K9</f>
        <v>94.000000000000114</v>
      </c>
      <c r="P9" s="145">
        <v>391.7</v>
      </c>
      <c r="Q9" s="145">
        <v>337.4</v>
      </c>
      <c r="R9" s="145">
        <v>328.5</v>
      </c>
      <c r="S9" s="145">
        <v>287.2</v>
      </c>
      <c r="T9" s="145">
        <f t="shared" ref="T9:T71" si="7">+P9/R9*100</f>
        <v>119.23896499238964</v>
      </c>
      <c r="U9" s="145">
        <f t="shared" ref="U9:U16" si="8">+P9-R9</f>
        <v>63.199999999999989</v>
      </c>
      <c r="V9" s="145">
        <f t="shared" ref="V9:V71" si="9">+Q9/S9*100</f>
        <v>117.47910863509749</v>
      </c>
      <c r="W9" s="145">
        <f t="shared" ref="W9:W16" si="10">Q9-S9</f>
        <v>50.199999999999989</v>
      </c>
      <c r="X9" s="145">
        <v>316</v>
      </c>
      <c r="Y9" s="145">
        <v>305.5</v>
      </c>
      <c r="Z9" s="145">
        <v>289.8</v>
      </c>
      <c r="AA9" s="145">
        <v>280.89999999999998</v>
      </c>
      <c r="AB9" s="145">
        <f t="shared" ref="AB9:AB34" si="11">+X9/Z9*100</f>
        <v>109.0407177363699</v>
      </c>
      <c r="AC9" s="145">
        <f t="shared" ref="AC9:AC16" si="12">+X9-Z9</f>
        <v>26.199999999999989</v>
      </c>
      <c r="AD9" s="145">
        <f t="shared" ref="AD9:AD34" si="13">+Y9/AA9*100</f>
        <v>108.75756496974014</v>
      </c>
      <c r="AE9" s="145">
        <f t="shared" ref="AE9:AE16" si="14">Y9-AA9</f>
        <v>24.600000000000023</v>
      </c>
      <c r="AF9" s="145">
        <v>24.6</v>
      </c>
      <c r="AG9" s="145">
        <v>24.2</v>
      </c>
      <c r="AH9" s="145">
        <v>5.0999999999999996</v>
      </c>
      <c r="AI9" s="145">
        <v>5</v>
      </c>
      <c r="AJ9" s="145"/>
      <c r="AK9" s="145">
        <f t="shared" ref="AK9:AK16" si="15">+AF9-AH9</f>
        <v>19.5</v>
      </c>
      <c r="AL9" s="145"/>
      <c r="AM9" s="145">
        <f t="shared" ref="AM9:AM16" si="16">+AG9-AI9</f>
        <v>19.2</v>
      </c>
      <c r="AN9" s="145">
        <v>0.2</v>
      </c>
      <c r="AO9" s="145"/>
      <c r="AP9" s="145">
        <v>0.1</v>
      </c>
      <c r="AQ9" s="145"/>
      <c r="AR9" s="145" t="s">
        <v>68</v>
      </c>
      <c r="AS9" s="145">
        <f t="shared" ref="AS9:AS16" si="17">+AN9-AP9</f>
        <v>0.1</v>
      </c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>
        <v>38.700000000000003</v>
      </c>
      <c r="BE9" s="145"/>
      <c r="BF9" s="145">
        <v>31.7</v>
      </c>
      <c r="BG9" s="145"/>
      <c r="BH9" s="145">
        <f t="shared" ref="BH9:BH17" si="18">+BD9/BF9*100</f>
        <v>122.08201892744481</v>
      </c>
      <c r="BI9" s="145">
        <f t="shared" ref="BI9:BI16" si="19">+BD9-BF9</f>
        <v>7.0000000000000036</v>
      </c>
      <c r="BJ9" s="145"/>
      <c r="BK9" s="145"/>
    </row>
    <row r="10" spans="1:63" ht="12" customHeight="1" x14ac:dyDescent="0.2">
      <c r="A10" s="172">
        <v>2</v>
      </c>
      <c r="B10" s="144" t="s">
        <v>69</v>
      </c>
      <c r="C10" s="145">
        <f t="shared" si="0"/>
        <v>820.1</v>
      </c>
      <c r="D10" s="145">
        <f t="shared" si="0"/>
        <v>702.3</v>
      </c>
      <c r="E10" s="145">
        <f>+'[1]2019-2018'!$J6</f>
        <v>585.79999999999995</v>
      </c>
      <c r="F10" s="145">
        <f t="shared" si="1"/>
        <v>-234.30000000000007</v>
      </c>
      <c r="G10" s="145">
        <f>+'[1]2019-2018'!$M6</f>
        <v>491.4</v>
      </c>
      <c r="H10" s="145" t="e">
        <f>G10-D10-#REF!</f>
        <v>#REF!</v>
      </c>
      <c r="I10" s="146"/>
      <c r="J10" s="145">
        <f t="shared" si="2"/>
        <v>705.20000000000016</v>
      </c>
      <c r="K10" s="145">
        <f t="shared" si="2"/>
        <v>607.79999999999995</v>
      </c>
      <c r="L10" s="145">
        <f t="shared" si="3"/>
        <v>116.29325014180371</v>
      </c>
      <c r="M10" s="145">
        <f t="shared" si="4"/>
        <v>114.89999999999986</v>
      </c>
      <c r="N10" s="145">
        <f t="shared" si="5"/>
        <v>115.54787759131293</v>
      </c>
      <c r="O10" s="145">
        <f t="shared" si="6"/>
        <v>94.5</v>
      </c>
      <c r="P10" s="145">
        <v>398</v>
      </c>
      <c r="Q10" s="145">
        <v>336.8</v>
      </c>
      <c r="R10" s="145">
        <f>357+0.1</f>
        <v>357.1</v>
      </c>
      <c r="S10" s="145">
        <v>302.3</v>
      </c>
      <c r="T10" s="145">
        <f t="shared" si="7"/>
        <v>111.45337440492857</v>
      </c>
      <c r="U10" s="145">
        <f t="shared" si="8"/>
        <v>40.899999999999977</v>
      </c>
      <c r="V10" s="145">
        <f t="shared" si="9"/>
        <v>111.41250413496526</v>
      </c>
      <c r="W10" s="145">
        <f t="shared" si="10"/>
        <v>34.5</v>
      </c>
      <c r="X10" s="145">
        <v>357.5</v>
      </c>
      <c r="Y10" s="145">
        <v>346</v>
      </c>
      <c r="Z10" s="145">
        <v>305.8</v>
      </c>
      <c r="AA10" s="145">
        <v>295.5</v>
      </c>
      <c r="AB10" s="145">
        <f t="shared" si="11"/>
        <v>116.90647482014388</v>
      </c>
      <c r="AC10" s="145">
        <f t="shared" si="12"/>
        <v>51.699999999999989</v>
      </c>
      <c r="AD10" s="145">
        <f t="shared" si="13"/>
        <v>117.08967851099831</v>
      </c>
      <c r="AE10" s="145">
        <f t="shared" si="14"/>
        <v>50.5</v>
      </c>
      <c r="AF10" s="145">
        <v>19.8</v>
      </c>
      <c r="AG10" s="145">
        <v>19.5</v>
      </c>
      <c r="AH10" s="145">
        <v>10.1</v>
      </c>
      <c r="AI10" s="145">
        <v>10</v>
      </c>
      <c r="AJ10" s="145">
        <f t="shared" ref="AJ10:AJ16" si="20">+AF10/AH10*100</f>
        <v>196.03960396039605</v>
      </c>
      <c r="AK10" s="145">
        <f t="shared" si="15"/>
        <v>9.7000000000000011</v>
      </c>
      <c r="AL10" s="145">
        <f>+AG10/AI10*100</f>
        <v>195</v>
      </c>
      <c r="AM10" s="145">
        <f t="shared" si="16"/>
        <v>9.5</v>
      </c>
      <c r="AN10" s="145">
        <v>0.6</v>
      </c>
      <c r="AO10" s="145"/>
      <c r="AP10" s="145">
        <v>0.1</v>
      </c>
      <c r="AQ10" s="145"/>
      <c r="AR10" s="145" t="s">
        <v>70</v>
      </c>
      <c r="AS10" s="145">
        <f t="shared" si="17"/>
        <v>0.5</v>
      </c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>
        <v>44.2</v>
      </c>
      <c r="BE10" s="145"/>
      <c r="BF10" s="145">
        <v>32.1</v>
      </c>
      <c r="BG10" s="145"/>
      <c r="BH10" s="145">
        <f t="shared" si="18"/>
        <v>137.69470404984423</v>
      </c>
      <c r="BI10" s="145">
        <f t="shared" si="19"/>
        <v>12.100000000000001</v>
      </c>
      <c r="BJ10" s="145"/>
      <c r="BK10" s="145"/>
    </row>
    <row r="11" spans="1:63" ht="12" customHeight="1" x14ac:dyDescent="0.2">
      <c r="A11" s="172">
        <v>3</v>
      </c>
      <c r="B11" s="144" t="s">
        <v>71</v>
      </c>
      <c r="C11" s="145">
        <f t="shared" si="0"/>
        <v>792.19999999999993</v>
      </c>
      <c r="D11" s="145">
        <f t="shared" si="0"/>
        <v>664.80000000000007</v>
      </c>
      <c r="E11" s="145">
        <f>+'[1]2019-2018'!$J7</f>
        <v>565.19999999999993</v>
      </c>
      <c r="F11" s="145">
        <f t="shared" si="1"/>
        <v>-227</v>
      </c>
      <c r="G11" s="145">
        <f>+'[1]2019-2018'!$M7</f>
        <v>455.9</v>
      </c>
      <c r="H11" s="145" t="e">
        <f>G11-D11-#REF!</f>
        <v>#REF!</v>
      </c>
      <c r="I11" s="146"/>
      <c r="J11" s="145">
        <f t="shared" si="2"/>
        <v>686.4</v>
      </c>
      <c r="K11" s="145">
        <f t="shared" si="2"/>
        <v>582.20000000000005</v>
      </c>
      <c r="L11" s="145">
        <f t="shared" si="3"/>
        <v>115.41375291375292</v>
      </c>
      <c r="M11" s="145">
        <f t="shared" si="4"/>
        <v>105.79999999999995</v>
      </c>
      <c r="N11" s="145">
        <f t="shared" si="5"/>
        <v>114.18756441085537</v>
      </c>
      <c r="O11" s="145">
        <f t="shared" si="6"/>
        <v>82.600000000000023</v>
      </c>
      <c r="P11" s="145">
        <v>365.9</v>
      </c>
      <c r="Q11" s="145">
        <v>300.10000000000002</v>
      </c>
      <c r="R11" s="145">
        <v>337.3</v>
      </c>
      <c r="S11" s="145">
        <v>286.10000000000002</v>
      </c>
      <c r="T11" s="145">
        <f t="shared" si="7"/>
        <v>108.47909872517046</v>
      </c>
      <c r="U11" s="145">
        <f t="shared" si="8"/>
        <v>28.599999999999966</v>
      </c>
      <c r="V11" s="145">
        <f t="shared" si="9"/>
        <v>104.89339391821042</v>
      </c>
      <c r="W11" s="145">
        <f t="shared" si="10"/>
        <v>14</v>
      </c>
      <c r="X11" s="145">
        <v>365.7</v>
      </c>
      <c r="Y11" s="145">
        <v>348.6</v>
      </c>
      <c r="Z11" s="145">
        <v>307.8</v>
      </c>
      <c r="AA11" s="145">
        <v>296.10000000000002</v>
      </c>
      <c r="AB11" s="145">
        <f t="shared" si="11"/>
        <v>118.81091617933723</v>
      </c>
      <c r="AC11" s="145">
        <f t="shared" si="12"/>
        <v>57.899999999999977</v>
      </c>
      <c r="AD11" s="145">
        <f t="shared" si="13"/>
        <v>117.7304964539007</v>
      </c>
      <c r="AE11" s="145">
        <f t="shared" si="14"/>
        <v>52.5</v>
      </c>
      <c r="AF11" s="145">
        <f>16.3-0.1</f>
        <v>16.2</v>
      </c>
      <c r="AG11" s="145">
        <v>16.100000000000001</v>
      </c>
      <c r="AH11" s="145"/>
      <c r="AI11" s="145"/>
      <c r="AJ11" s="145"/>
      <c r="AK11" s="145">
        <f t="shared" si="15"/>
        <v>16.2</v>
      </c>
      <c r="AL11" s="145"/>
      <c r="AM11" s="145">
        <f t="shared" si="16"/>
        <v>16.100000000000001</v>
      </c>
      <c r="AN11" s="145">
        <v>2.4</v>
      </c>
      <c r="AO11" s="145"/>
      <c r="AP11" s="145">
        <v>0.9</v>
      </c>
      <c r="AQ11" s="145"/>
      <c r="AR11" s="145" t="s">
        <v>72</v>
      </c>
      <c r="AS11" s="145">
        <f t="shared" si="17"/>
        <v>1.5</v>
      </c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>
        <v>42</v>
      </c>
      <c r="BE11" s="145"/>
      <c r="BF11" s="145">
        <f>40.5-0.1</f>
        <v>40.4</v>
      </c>
      <c r="BG11" s="145"/>
      <c r="BH11" s="145">
        <f t="shared" si="18"/>
        <v>103.96039603960396</v>
      </c>
      <c r="BI11" s="145">
        <f t="shared" si="19"/>
        <v>1.6000000000000014</v>
      </c>
      <c r="BJ11" s="145"/>
      <c r="BK11" s="145"/>
    </row>
    <row r="12" spans="1:63" ht="12" customHeight="1" x14ac:dyDescent="0.2">
      <c r="A12" s="172">
        <v>4</v>
      </c>
      <c r="B12" s="144" t="s">
        <v>73</v>
      </c>
      <c r="C12" s="145">
        <f t="shared" si="0"/>
        <v>846.6</v>
      </c>
      <c r="D12" s="145">
        <f t="shared" si="0"/>
        <v>695.4</v>
      </c>
      <c r="E12" s="145">
        <f>+'[1]2019-2018'!$J8</f>
        <v>608.70000000000005</v>
      </c>
      <c r="F12" s="145">
        <f t="shared" si="1"/>
        <v>-237.89999999999998</v>
      </c>
      <c r="G12" s="145">
        <f>+'[1]2019-2018'!$M8</f>
        <v>488.6</v>
      </c>
      <c r="H12" s="145" t="e">
        <f>G12-D12-#REF!</f>
        <v>#REF!</v>
      </c>
      <c r="I12" s="146"/>
      <c r="J12" s="145">
        <f t="shared" si="2"/>
        <v>750.3</v>
      </c>
      <c r="K12" s="145">
        <f t="shared" si="2"/>
        <v>618.79999999999995</v>
      </c>
      <c r="L12" s="145">
        <f t="shared" si="3"/>
        <v>112.83486605357858</v>
      </c>
      <c r="M12" s="145">
        <f t="shared" si="4"/>
        <v>96.300000000000068</v>
      </c>
      <c r="N12" s="145">
        <f t="shared" si="5"/>
        <v>112.37879767291533</v>
      </c>
      <c r="O12" s="145">
        <f t="shared" si="6"/>
        <v>76.600000000000023</v>
      </c>
      <c r="P12" s="145">
        <v>367.5</v>
      </c>
      <c r="Q12" s="145">
        <v>299.2</v>
      </c>
      <c r="R12" s="145">
        <v>344.3</v>
      </c>
      <c r="S12" s="145">
        <v>278</v>
      </c>
      <c r="T12" s="145">
        <f t="shared" si="7"/>
        <v>106.73830961370898</v>
      </c>
      <c r="U12" s="145">
        <f t="shared" si="8"/>
        <v>23.199999999999989</v>
      </c>
      <c r="V12" s="145">
        <f t="shared" si="9"/>
        <v>107.62589928057554</v>
      </c>
      <c r="W12" s="145">
        <f t="shared" si="10"/>
        <v>21.199999999999989</v>
      </c>
      <c r="X12" s="145">
        <v>416.5</v>
      </c>
      <c r="Y12" s="145">
        <v>387.1</v>
      </c>
      <c r="Z12" s="145">
        <v>359.8</v>
      </c>
      <c r="AA12" s="145">
        <v>340.8</v>
      </c>
      <c r="AB12" s="145">
        <f t="shared" si="11"/>
        <v>115.75875486381322</v>
      </c>
      <c r="AC12" s="145">
        <f t="shared" si="12"/>
        <v>56.699999999999989</v>
      </c>
      <c r="AD12" s="145">
        <f t="shared" si="13"/>
        <v>113.5856807511737</v>
      </c>
      <c r="AE12" s="145">
        <f t="shared" si="14"/>
        <v>46.300000000000011</v>
      </c>
      <c r="AF12" s="145">
        <v>9.1999999999999993</v>
      </c>
      <c r="AG12" s="145">
        <v>9.1</v>
      </c>
      <c r="AH12" s="145">
        <v>2</v>
      </c>
      <c r="AI12" s="145"/>
      <c r="AJ12" s="145" t="s">
        <v>74</v>
      </c>
      <c r="AK12" s="145">
        <f t="shared" si="15"/>
        <v>7.1999999999999993</v>
      </c>
      <c r="AL12" s="145"/>
      <c r="AM12" s="145">
        <f t="shared" si="16"/>
        <v>9.1</v>
      </c>
      <c r="AN12" s="145"/>
      <c r="AO12" s="145"/>
      <c r="AP12" s="145"/>
      <c r="AQ12" s="145"/>
      <c r="AR12" s="145"/>
      <c r="AS12" s="145">
        <f t="shared" si="17"/>
        <v>0</v>
      </c>
      <c r="AT12" s="145"/>
      <c r="AU12" s="145"/>
      <c r="AV12" s="145">
        <v>0.1</v>
      </c>
      <c r="AW12" s="145"/>
      <c r="AX12" s="145">
        <v>0.3</v>
      </c>
      <c r="AY12" s="145"/>
      <c r="AZ12" s="145">
        <f>+AV12/AX12*100</f>
        <v>33.333333333333336</v>
      </c>
      <c r="BA12" s="145">
        <f>+AV12-AX12</f>
        <v>-0.19999999999999998</v>
      </c>
      <c r="BB12" s="145"/>
      <c r="BC12" s="145"/>
      <c r="BD12" s="145">
        <v>53.3</v>
      </c>
      <c r="BE12" s="145"/>
      <c r="BF12" s="145">
        <v>43.9</v>
      </c>
      <c r="BG12" s="145"/>
      <c r="BH12" s="145">
        <f t="shared" si="18"/>
        <v>121.4123006833713</v>
      </c>
      <c r="BI12" s="145">
        <f t="shared" si="19"/>
        <v>9.3999999999999986</v>
      </c>
      <c r="BJ12" s="145"/>
      <c r="BK12" s="145"/>
    </row>
    <row r="13" spans="1:63" ht="12" customHeight="1" x14ac:dyDescent="0.2">
      <c r="A13" s="172">
        <v>5</v>
      </c>
      <c r="B13" s="144" t="s">
        <v>75</v>
      </c>
      <c r="C13" s="145">
        <f t="shared" si="0"/>
        <v>846.6</v>
      </c>
      <c r="D13" s="145">
        <f t="shared" si="0"/>
        <v>685.7</v>
      </c>
      <c r="E13" s="145">
        <f>+'[1]2019-2018'!$J9</f>
        <v>617.9</v>
      </c>
      <c r="F13" s="145">
        <f t="shared" si="1"/>
        <v>-228.70000000000005</v>
      </c>
      <c r="G13" s="145">
        <f>+'[1]2019-2018'!$M9</f>
        <v>493.3</v>
      </c>
      <c r="H13" s="145" t="e">
        <f>G13-D13-#REF!</f>
        <v>#REF!</v>
      </c>
      <c r="I13" s="146"/>
      <c r="J13" s="145">
        <f t="shared" si="2"/>
        <v>753</v>
      </c>
      <c r="K13" s="145">
        <f t="shared" si="2"/>
        <v>597</v>
      </c>
      <c r="L13" s="145">
        <f t="shared" si="3"/>
        <v>112.43027888446215</v>
      </c>
      <c r="M13" s="145">
        <f t="shared" si="4"/>
        <v>93.600000000000023</v>
      </c>
      <c r="N13" s="145">
        <f t="shared" si="5"/>
        <v>114.85762144053602</v>
      </c>
      <c r="O13" s="145">
        <f t="shared" si="6"/>
        <v>88.700000000000045</v>
      </c>
      <c r="P13" s="145">
        <v>385.5</v>
      </c>
      <c r="Q13" s="145">
        <v>310.8</v>
      </c>
      <c r="R13" s="145">
        <f>357-0.1</f>
        <v>356.9</v>
      </c>
      <c r="S13" s="145">
        <v>275.89999999999998</v>
      </c>
      <c r="T13" s="145">
        <f t="shared" si="7"/>
        <v>108.01344914541889</v>
      </c>
      <c r="U13" s="145">
        <f t="shared" si="8"/>
        <v>28.600000000000023</v>
      </c>
      <c r="V13" s="145">
        <f t="shared" si="9"/>
        <v>112.64951069227982</v>
      </c>
      <c r="W13" s="145">
        <f t="shared" si="10"/>
        <v>34.900000000000034</v>
      </c>
      <c r="X13" s="145">
        <v>386.5</v>
      </c>
      <c r="Y13" s="145">
        <v>360.1</v>
      </c>
      <c r="Z13" s="145">
        <v>345.5</v>
      </c>
      <c r="AA13" s="145">
        <v>321.10000000000002</v>
      </c>
      <c r="AB13" s="145">
        <f t="shared" si="11"/>
        <v>111.86685962373373</v>
      </c>
      <c r="AC13" s="145">
        <f t="shared" si="12"/>
        <v>41</v>
      </c>
      <c r="AD13" s="145">
        <f t="shared" si="13"/>
        <v>112.14574898785426</v>
      </c>
      <c r="AE13" s="145">
        <f t="shared" si="14"/>
        <v>39</v>
      </c>
      <c r="AF13" s="145">
        <v>15</v>
      </c>
      <c r="AG13" s="145">
        <v>14.8</v>
      </c>
      <c r="AH13" s="145">
        <v>1.8</v>
      </c>
      <c r="AI13" s="145"/>
      <c r="AJ13" s="145" t="s">
        <v>76</v>
      </c>
      <c r="AK13" s="145">
        <f t="shared" si="15"/>
        <v>13.2</v>
      </c>
      <c r="AL13" s="145"/>
      <c r="AM13" s="145">
        <f t="shared" si="16"/>
        <v>14.8</v>
      </c>
      <c r="AN13" s="145">
        <v>1.4</v>
      </c>
      <c r="AO13" s="145"/>
      <c r="AP13" s="145">
        <v>0.7</v>
      </c>
      <c r="AQ13" s="145"/>
      <c r="AR13" s="145" t="s">
        <v>68</v>
      </c>
      <c r="AS13" s="145">
        <f t="shared" si="17"/>
        <v>0.7</v>
      </c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>
        <v>58.2</v>
      </c>
      <c r="BE13" s="145"/>
      <c r="BF13" s="145">
        <v>48.1</v>
      </c>
      <c r="BG13" s="145"/>
      <c r="BH13" s="145">
        <f t="shared" si="18"/>
        <v>120.997920997921</v>
      </c>
      <c r="BI13" s="145">
        <f t="shared" si="19"/>
        <v>10.100000000000001</v>
      </c>
      <c r="BJ13" s="145"/>
      <c r="BK13" s="145"/>
    </row>
    <row r="14" spans="1:63" ht="12" customHeight="1" x14ac:dyDescent="0.2">
      <c r="A14" s="172">
        <v>6</v>
      </c>
      <c r="B14" s="144" t="s">
        <v>77</v>
      </c>
      <c r="C14" s="145">
        <f t="shared" si="0"/>
        <v>914.1</v>
      </c>
      <c r="D14" s="145">
        <f t="shared" si="0"/>
        <v>783.30000000000007</v>
      </c>
      <c r="E14" s="145">
        <f>+'[1]2019-2018'!$J10</f>
        <v>557.5</v>
      </c>
      <c r="F14" s="145">
        <f t="shared" si="1"/>
        <v>-356.6</v>
      </c>
      <c r="G14" s="145">
        <f>+'[1]2019-2018'!$M10</f>
        <v>481.3</v>
      </c>
      <c r="H14" s="145" t="e">
        <f>G14-D14-#REF!</f>
        <v>#REF!</v>
      </c>
      <c r="I14" s="146"/>
      <c r="J14" s="145">
        <f t="shared" si="2"/>
        <v>787.40000000000009</v>
      </c>
      <c r="K14" s="145">
        <f t="shared" si="2"/>
        <v>664.9</v>
      </c>
      <c r="L14" s="145">
        <f t="shared" si="3"/>
        <v>116.09093218186435</v>
      </c>
      <c r="M14" s="145">
        <f t="shared" si="4"/>
        <v>126.69999999999993</v>
      </c>
      <c r="N14" s="145">
        <f t="shared" si="5"/>
        <v>117.80718905098513</v>
      </c>
      <c r="O14" s="145">
        <f t="shared" si="6"/>
        <v>118.40000000000009</v>
      </c>
      <c r="P14" s="145">
        <v>450.2</v>
      </c>
      <c r="Q14" s="145">
        <v>376.5</v>
      </c>
      <c r="R14" s="145">
        <v>436.9</v>
      </c>
      <c r="S14" s="145">
        <v>363.4</v>
      </c>
      <c r="T14" s="145">
        <f t="shared" si="7"/>
        <v>103.04417486839095</v>
      </c>
      <c r="U14" s="145">
        <f t="shared" si="8"/>
        <v>13.300000000000011</v>
      </c>
      <c r="V14" s="145">
        <f t="shared" si="9"/>
        <v>103.60484314804623</v>
      </c>
      <c r="W14" s="145">
        <f t="shared" si="10"/>
        <v>13.100000000000023</v>
      </c>
      <c r="X14" s="145">
        <v>397.8</v>
      </c>
      <c r="Y14" s="145">
        <v>380.1</v>
      </c>
      <c r="Z14" s="145">
        <v>307.3</v>
      </c>
      <c r="AA14" s="145">
        <v>291.5</v>
      </c>
      <c r="AB14" s="145">
        <f t="shared" si="11"/>
        <v>129.45004881223559</v>
      </c>
      <c r="AC14" s="145">
        <f t="shared" si="12"/>
        <v>90.5</v>
      </c>
      <c r="AD14" s="145">
        <f t="shared" si="13"/>
        <v>130.39451114922812</v>
      </c>
      <c r="AE14" s="145">
        <f t="shared" si="14"/>
        <v>88.600000000000023</v>
      </c>
      <c r="AF14" s="145">
        <v>30.3</v>
      </c>
      <c r="AG14" s="145">
        <v>26.7</v>
      </c>
      <c r="AH14" s="145">
        <v>14.9</v>
      </c>
      <c r="AI14" s="145">
        <v>10</v>
      </c>
      <c r="AJ14" s="145" t="s">
        <v>68</v>
      </c>
      <c r="AK14" s="145">
        <f t="shared" si="15"/>
        <v>15.4</v>
      </c>
      <c r="AL14" s="145" t="s">
        <v>72</v>
      </c>
      <c r="AM14" s="145">
        <f t="shared" si="16"/>
        <v>16.7</v>
      </c>
      <c r="AN14" s="145">
        <v>0.7</v>
      </c>
      <c r="AO14" s="145"/>
      <c r="AP14" s="145">
        <v>0.2</v>
      </c>
      <c r="AQ14" s="145"/>
      <c r="AR14" s="145" t="s">
        <v>78</v>
      </c>
      <c r="AS14" s="145">
        <f t="shared" si="17"/>
        <v>0.49999999999999994</v>
      </c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>
        <v>35.1</v>
      </c>
      <c r="BE14" s="145"/>
      <c r="BF14" s="145">
        <v>28.1</v>
      </c>
      <c r="BG14" s="145"/>
      <c r="BH14" s="145">
        <f t="shared" si="18"/>
        <v>124.91103202846976</v>
      </c>
      <c r="BI14" s="145">
        <f t="shared" si="19"/>
        <v>7</v>
      </c>
      <c r="BJ14" s="145"/>
      <c r="BK14" s="145"/>
    </row>
    <row r="15" spans="1:63" ht="12" customHeight="1" x14ac:dyDescent="0.2">
      <c r="A15" s="172">
        <v>7</v>
      </c>
      <c r="B15" s="144" t="s">
        <v>79</v>
      </c>
      <c r="C15" s="145">
        <f t="shared" si="0"/>
        <v>873.00000000000011</v>
      </c>
      <c r="D15" s="145">
        <f t="shared" si="0"/>
        <v>729.1</v>
      </c>
      <c r="E15" s="145">
        <f>+'[1]2019-2018'!$J11</f>
        <v>600.29999999999995</v>
      </c>
      <c r="F15" s="145">
        <f t="shared" si="1"/>
        <v>-272.70000000000016</v>
      </c>
      <c r="G15" s="145">
        <f>+'[1]2019-2018'!$M11</f>
        <v>477.5</v>
      </c>
      <c r="H15" s="145" t="e">
        <f>G15-D15-#REF!</f>
        <v>#REF!</v>
      </c>
      <c r="I15" s="146"/>
      <c r="J15" s="145">
        <f t="shared" si="2"/>
        <v>767.2</v>
      </c>
      <c r="K15" s="145">
        <f t="shared" si="2"/>
        <v>642.80000000000007</v>
      </c>
      <c r="L15" s="145">
        <f t="shared" si="3"/>
        <v>113.79040667361835</v>
      </c>
      <c r="M15" s="145">
        <f t="shared" si="4"/>
        <v>105.80000000000007</v>
      </c>
      <c r="N15" s="145">
        <f t="shared" si="5"/>
        <v>113.42563783447417</v>
      </c>
      <c r="O15" s="145">
        <f t="shared" si="6"/>
        <v>86.299999999999955</v>
      </c>
      <c r="P15" s="145">
        <v>408.3</v>
      </c>
      <c r="Q15" s="145">
        <v>333</v>
      </c>
      <c r="R15" s="145">
        <v>378.4</v>
      </c>
      <c r="S15" s="145">
        <v>310.10000000000002</v>
      </c>
      <c r="T15" s="145">
        <f t="shared" si="7"/>
        <v>107.90169133192391</v>
      </c>
      <c r="U15" s="145">
        <f t="shared" si="8"/>
        <v>29.900000000000034</v>
      </c>
      <c r="V15" s="145">
        <f t="shared" si="9"/>
        <v>107.3847146081909</v>
      </c>
      <c r="W15" s="145">
        <f t="shared" si="10"/>
        <v>22.899999999999977</v>
      </c>
      <c r="X15" s="145">
        <v>391.1</v>
      </c>
      <c r="Y15" s="145">
        <v>377.1</v>
      </c>
      <c r="Z15" s="145">
        <v>335.9</v>
      </c>
      <c r="AA15" s="145">
        <v>323</v>
      </c>
      <c r="AB15" s="145">
        <f t="shared" si="11"/>
        <v>116.43346233998216</v>
      </c>
      <c r="AC15" s="145">
        <f t="shared" si="12"/>
        <v>55.200000000000045</v>
      </c>
      <c r="AD15" s="145">
        <f t="shared" si="13"/>
        <v>116.74922600619195</v>
      </c>
      <c r="AE15" s="145">
        <f t="shared" si="14"/>
        <v>54.100000000000023</v>
      </c>
      <c r="AF15" s="145">
        <v>19.3</v>
      </c>
      <c r="AG15" s="145">
        <v>19</v>
      </c>
      <c r="AH15" s="145">
        <v>13.5</v>
      </c>
      <c r="AI15" s="145">
        <v>9.6999999999999993</v>
      </c>
      <c r="AJ15" s="145">
        <f t="shared" si="20"/>
        <v>142.96296296296296</v>
      </c>
      <c r="AK15" s="145">
        <f t="shared" si="15"/>
        <v>5.8000000000000007</v>
      </c>
      <c r="AL15" s="145"/>
      <c r="AM15" s="145">
        <f t="shared" si="16"/>
        <v>9.3000000000000007</v>
      </c>
      <c r="AN15" s="145">
        <v>0.6</v>
      </c>
      <c r="AO15" s="145"/>
      <c r="AP15" s="145">
        <v>0.2</v>
      </c>
      <c r="AQ15" s="145"/>
      <c r="AR15" s="145" t="s">
        <v>80</v>
      </c>
      <c r="AS15" s="145">
        <f t="shared" si="17"/>
        <v>0.39999999999999997</v>
      </c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>
        <v>53.7</v>
      </c>
      <c r="BE15" s="145"/>
      <c r="BF15" s="145">
        <v>39.200000000000003</v>
      </c>
      <c r="BG15" s="145"/>
      <c r="BH15" s="145">
        <f t="shared" si="18"/>
        <v>136.98979591836735</v>
      </c>
      <c r="BI15" s="145">
        <f t="shared" si="19"/>
        <v>14.5</v>
      </c>
      <c r="BJ15" s="145"/>
      <c r="BK15" s="145"/>
    </row>
    <row r="16" spans="1:63" ht="13.5" customHeight="1" x14ac:dyDescent="0.2">
      <c r="A16" s="172">
        <v>8</v>
      </c>
      <c r="B16" s="147" t="s">
        <v>81</v>
      </c>
      <c r="C16" s="145">
        <f t="shared" si="0"/>
        <v>865.7</v>
      </c>
      <c r="D16" s="145">
        <f t="shared" si="0"/>
        <v>719.5</v>
      </c>
      <c r="E16" s="145">
        <f>+'[1]2019-2018'!$J12</f>
        <v>561.20000000000005</v>
      </c>
      <c r="F16" s="145">
        <f t="shared" si="1"/>
        <v>-304.5</v>
      </c>
      <c r="G16" s="145">
        <f>+'[1]2019-2018'!$M12</f>
        <v>473</v>
      </c>
      <c r="H16" s="145" t="e">
        <f>G16-D16-#REF!</f>
        <v>#REF!</v>
      </c>
      <c r="I16" s="146"/>
      <c r="J16" s="145">
        <f t="shared" si="2"/>
        <v>715</v>
      </c>
      <c r="K16" s="145">
        <f t="shared" si="2"/>
        <v>614.4</v>
      </c>
      <c r="L16" s="145">
        <f t="shared" si="3"/>
        <v>121.07692307692308</v>
      </c>
      <c r="M16" s="145">
        <f t="shared" si="4"/>
        <v>150.70000000000005</v>
      </c>
      <c r="N16" s="145">
        <f t="shared" si="5"/>
        <v>117.10611979166667</v>
      </c>
      <c r="O16" s="145">
        <f t="shared" si="6"/>
        <v>105.10000000000002</v>
      </c>
      <c r="P16" s="145">
        <v>380.2</v>
      </c>
      <c r="Q16" s="145">
        <v>292.7</v>
      </c>
      <c r="R16" s="145">
        <v>326.10000000000002</v>
      </c>
      <c r="S16" s="145">
        <v>271.2</v>
      </c>
      <c r="T16" s="145">
        <f t="shared" si="7"/>
        <v>116.59000306654399</v>
      </c>
      <c r="U16" s="145">
        <f t="shared" si="8"/>
        <v>54.099999999999966</v>
      </c>
      <c r="V16" s="145">
        <f t="shared" si="9"/>
        <v>107.92772861356931</v>
      </c>
      <c r="W16" s="145">
        <f t="shared" si="10"/>
        <v>21.5</v>
      </c>
      <c r="X16" s="145">
        <v>424</v>
      </c>
      <c r="Y16" s="145">
        <v>405.7</v>
      </c>
      <c r="Z16" s="145">
        <v>348.9</v>
      </c>
      <c r="AA16" s="145">
        <v>332.2</v>
      </c>
      <c r="AB16" s="145">
        <f t="shared" si="11"/>
        <v>121.52479220406993</v>
      </c>
      <c r="AC16" s="145">
        <f t="shared" si="12"/>
        <v>75.100000000000023</v>
      </c>
      <c r="AD16" s="145">
        <f t="shared" si="13"/>
        <v>122.12522576760986</v>
      </c>
      <c r="AE16" s="145">
        <f t="shared" si="14"/>
        <v>73.5</v>
      </c>
      <c r="AF16" s="145">
        <v>21.4</v>
      </c>
      <c r="AG16" s="145">
        <v>21.1</v>
      </c>
      <c r="AH16" s="145">
        <v>13</v>
      </c>
      <c r="AI16" s="145">
        <v>11</v>
      </c>
      <c r="AJ16" s="145">
        <f t="shared" si="20"/>
        <v>164.61538461538461</v>
      </c>
      <c r="AK16" s="145">
        <f t="shared" si="15"/>
        <v>8.3999999999999986</v>
      </c>
      <c r="AL16" s="145"/>
      <c r="AM16" s="145">
        <f t="shared" si="16"/>
        <v>10.100000000000001</v>
      </c>
      <c r="AN16" s="145"/>
      <c r="AO16" s="145"/>
      <c r="AP16" s="145"/>
      <c r="AQ16" s="145"/>
      <c r="AR16" s="145"/>
      <c r="AS16" s="145">
        <f t="shared" si="17"/>
        <v>0</v>
      </c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>
        <f>40.2-0.1</f>
        <v>40.1</v>
      </c>
      <c r="BE16" s="145"/>
      <c r="BF16" s="145">
        <v>27</v>
      </c>
      <c r="BG16" s="145"/>
      <c r="BH16" s="145">
        <f t="shared" si="18"/>
        <v>148.5185185185185</v>
      </c>
      <c r="BI16" s="145">
        <f t="shared" si="19"/>
        <v>13.100000000000001</v>
      </c>
      <c r="BJ16" s="145"/>
      <c r="BK16" s="145"/>
    </row>
    <row r="17" spans="1:63" ht="12" customHeight="1" x14ac:dyDescent="0.2">
      <c r="A17" s="172">
        <v>9</v>
      </c>
      <c r="B17" s="173" t="s">
        <v>82</v>
      </c>
      <c r="C17" s="149">
        <f>SUM(C9:C16)</f>
        <v>6729.5</v>
      </c>
      <c r="D17" s="148">
        <f t="shared" si="0"/>
        <v>5647.2</v>
      </c>
      <c r="E17" s="149">
        <f t="shared" ref="E17:K17" si="21">SUM(E9:E16)</f>
        <v>4633.5999999999995</v>
      </c>
      <c r="F17" s="149">
        <f t="shared" si="21"/>
        <v>-2095.9000000000005</v>
      </c>
      <c r="G17" s="149">
        <f t="shared" si="21"/>
        <v>3805.7000000000003</v>
      </c>
      <c r="H17" s="149" t="e">
        <f t="shared" si="21"/>
        <v>#REF!</v>
      </c>
      <c r="I17" s="149">
        <f t="shared" si="21"/>
        <v>0</v>
      </c>
      <c r="J17" s="149">
        <f t="shared" si="21"/>
        <v>5819.7</v>
      </c>
      <c r="K17" s="149">
        <f t="shared" si="21"/>
        <v>4900.9999999999991</v>
      </c>
      <c r="L17" s="148">
        <f t="shared" si="3"/>
        <v>115.63310823581972</v>
      </c>
      <c r="M17" s="149">
        <f>SUM(M9:M16)</f>
        <v>909.80000000000007</v>
      </c>
      <c r="N17" s="148">
        <f t="shared" si="5"/>
        <v>115.22546419098146</v>
      </c>
      <c r="O17" s="149">
        <f>SUM(O9:O16)</f>
        <v>746.20000000000027</v>
      </c>
      <c r="P17" s="149">
        <f>SUM(P9:P16)</f>
        <v>3147.2999999999997</v>
      </c>
      <c r="Q17" s="149">
        <f>SUM(Q9:Q16)</f>
        <v>2586.5</v>
      </c>
      <c r="R17" s="149">
        <f>SUM(R9:R16)</f>
        <v>2865.5</v>
      </c>
      <c r="S17" s="149">
        <f>SUM(S9:S16)</f>
        <v>2374.1999999999998</v>
      </c>
      <c r="T17" s="148">
        <f t="shared" si="7"/>
        <v>109.83423486302564</v>
      </c>
      <c r="U17" s="149">
        <f>SUM(U9:U16)</f>
        <v>281.79999999999995</v>
      </c>
      <c r="V17" s="148">
        <f t="shared" si="9"/>
        <v>108.94195939684947</v>
      </c>
      <c r="W17" s="149">
        <f>SUM(W9:W16)</f>
        <v>212.3</v>
      </c>
      <c r="X17" s="149">
        <f>SUM(X9:X16)</f>
        <v>3055.1</v>
      </c>
      <c r="Y17" s="149">
        <f>SUM(Y9:Y16)</f>
        <v>2910.2</v>
      </c>
      <c r="Z17" s="149">
        <f>SUM(Z9:Z16)</f>
        <v>2600.8000000000002</v>
      </c>
      <c r="AA17" s="149">
        <f>SUM(AA9:AA16)</f>
        <v>2481.1</v>
      </c>
      <c r="AB17" s="148">
        <f t="shared" si="11"/>
        <v>117.46770224546293</v>
      </c>
      <c r="AC17" s="149">
        <f>SUM(AC9:AC16)</f>
        <v>454.3</v>
      </c>
      <c r="AD17" s="148">
        <f t="shared" si="13"/>
        <v>117.29474829712628</v>
      </c>
      <c r="AE17" s="149">
        <f>SUM(AE9:AE16)</f>
        <v>429.10000000000008</v>
      </c>
      <c r="AF17" s="149">
        <f>SUM(AF9:AF16)</f>
        <v>155.80000000000001</v>
      </c>
      <c r="AG17" s="149">
        <f>SUM(AG9:AG16)</f>
        <v>150.5</v>
      </c>
      <c r="AH17" s="149">
        <f>SUM(AH9:AH16)</f>
        <v>60.4</v>
      </c>
      <c r="AI17" s="149">
        <f>SUM(AI9:AI16)</f>
        <v>45.7</v>
      </c>
      <c r="AJ17" s="148">
        <f>+AF17/AH17*100</f>
        <v>257.94701986754973</v>
      </c>
      <c r="AK17" s="149">
        <f>SUM(AK9:AK16)</f>
        <v>95.4</v>
      </c>
      <c r="AL17" s="148">
        <f>+AG17/AI17*100</f>
        <v>329.32166301969363</v>
      </c>
      <c r="AM17" s="149">
        <f>SUM(AM9:AM16)</f>
        <v>104.80000000000001</v>
      </c>
      <c r="AN17" s="149">
        <f>SUM(AN9:AN16)</f>
        <v>5.8999999999999995</v>
      </c>
      <c r="AO17" s="149"/>
      <c r="AP17" s="149">
        <f>SUM(AP9:AP16)</f>
        <v>2.2000000000000002</v>
      </c>
      <c r="AQ17" s="149"/>
      <c r="AR17" s="148" t="s">
        <v>72</v>
      </c>
      <c r="AS17" s="149">
        <f>SUM(AS9:AS16)</f>
        <v>3.6999999999999997</v>
      </c>
      <c r="AT17" s="148"/>
      <c r="AU17" s="149"/>
      <c r="AV17" s="149">
        <f>SUM(AV9:AV16)</f>
        <v>0.1</v>
      </c>
      <c r="AW17" s="150">
        <f>SUM(AW9:AW16)</f>
        <v>0</v>
      </c>
      <c r="AX17" s="149">
        <f>SUM(AX9:AX16)</f>
        <v>0.3</v>
      </c>
      <c r="AY17" s="150">
        <f>SUM(AY9:AY16)</f>
        <v>0</v>
      </c>
      <c r="AZ17" s="148">
        <f t="shared" ref="AZ17:AZ22" si="22">+AV17/AX17*100</f>
        <v>33.333333333333336</v>
      </c>
      <c r="BA17" s="149">
        <f>SUM(BA9:BA16)</f>
        <v>-0.19999999999999998</v>
      </c>
      <c r="BB17" s="148"/>
      <c r="BC17" s="145"/>
      <c r="BD17" s="149">
        <f>SUM(BD9:BD16)</f>
        <v>365.3</v>
      </c>
      <c r="BE17" s="149">
        <f>SUM(BE9:BE16)</f>
        <v>0</v>
      </c>
      <c r="BF17" s="149">
        <f>SUM(BF9:BF16)</f>
        <v>290.5</v>
      </c>
      <c r="BG17" s="149">
        <f>SUM(BG9:BG16)</f>
        <v>0</v>
      </c>
      <c r="BH17" s="148">
        <f t="shared" si="18"/>
        <v>125.74870912220311</v>
      </c>
      <c r="BI17" s="149">
        <f>SUM(BI9:BI16)</f>
        <v>74.800000000000011</v>
      </c>
      <c r="BJ17" s="148"/>
      <c r="BK17" s="149"/>
    </row>
    <row r="18" spans="1:63" ht="12" customHeight="1" x14ac:dyDescent="0.2">
      <c r="A18" s="172">
        <v>10</v>
      </c>
      <c r="B18" s="144" t="s">
        <v>83</v>
      </c>
      <c r="C18" s="145">
        <f t="shared" ref="C18:D38" si="23">+P18+X18+AF18+AN18+AV18+BD18</f>
        <v>1595.7</v>
      </c>
      <c r="D18" s="145">
        <f t="shared" si="0"/>
        <v>1420.8999999999999</v>
      </c>
      <c r="E18" s="145">
        <f>+'[1]2019-2018'!$J14</f>
        <v>1119.0999999999999</v>
      </c>
      <c r="F18" s="145">
        <f t="shared" ref="F18:F38" si="24">+E18-C18</f>
        <v>-476.60000000000014</v>
      </c>
      <c r="G18" s="145">
        <f>+'[1]2019-2018'!$M14</f>
        <v>1021.9</v>
      </c>
      <c r="H18" s="145" t="e">
        <f>G18-D18-#REF!</f>
        <v>#REF!</v>
      </c>
      <c r="I18" s="146"/>
      <c r="J18" s="145">
        <f t="shared" ref="J18:K38" si="25">+R18+Z18+AH18+AP18+AX18+BF18</f>
        <v>1361.8</v>
      </c>
      <c r="K18" s="145">
        <f t="shared" si="25"/>
        <v>1230.7</v>
      </c>
      <c r="L18" s="145">
        <f t="shared" si="3"/>
        <v>117.17579673960934</v>
      </c>
      <c r="M18" s="145">
        <f t="shared" ref="M18:M38" si="26">+C18-J18</f>
        <v>233.90000000000009</v>
      </c>
      <c r="N18" s="145">
        <f t="shared" si="5"/>
        <v>115.45461932233687</v>
      </c>
      <c r="O18" s="145">
        <f t="shared" ref="O18:O38" si="27">D18-K18</f>
        <v>190.19999999999982</v>
      </c>
      <c r="P18" s="145">
        <v>395.7</v>
      </c>
      <c r="Q18" s="145">
        <v>294.5</v>
      </c>
      <c r="R18" s="145">
        <v>330.3</v>
      </c>
      <c r="S18" s="145">
        <v>256.3</v>
      </c>
      <c r="T18" s="145">
        <f t="shared" si="7"/>
        <v>119.80018165304267</v>
      </c>
      <c r="U18" s="145">
        <f t="shared" ref="U18:U38" si="28">+P18-R18</f>
        <v>65.399999999999977</v>
      </c>
      <c r="V18" s="145">
        <f t="shared" si="9"/>
        <v>114.9044088958252</v>
      </c>
      <c r="W18" s="145">
        <f t="shared" ref="W18:W38" si="29">Q18-S18</f>
        <v>38.199999999999989</v>
      </c>
      <c r="X18" s="145">
        <v>1174.5999999999999</v>
      </c>
      <c r="Y18" s="145">
        <v>1117.5999999999999</v>
      </c>
      <c r="Z18" s="145">
        <v>1012.6</v>
      </c>
      <c r="AA18" s="145">
        <v>963.5</v>
      </c>
      <c r="AB18" s="145">
        <f t="shared" si="11"/>
        <v>115.99841990914477</v>
      </c>
      <c r="AC18" s="145">
        <f t="shared" ref="AC18:AC38" si="30">+X18-Z18</f>
        <v>161.99999999999989</v>
      </c>
      <c r="AD18" s="145">
        <f t="shared" si="13"/>
        <v>115.99377270368447</v>
      </c>
      <c r="AE18" s="145">
        <f t="shared" ref="AE18:AE38" si="31">Y18-AA18</f>
        <v>154.09999999999991</v>
      </c>
      <c r="AF18" s="145">
        <v>8.9</v>
      </c>
      <c r="AG18" s="145">
        <v>8.8000000000000007</v>
      </c>
      <c r="AH18" s="145">
        <v>11.1</v>
      </c>
      <c r="AI18" s="145">
        <v>10.9</v>
      </c>
      <c r="AJ18" s="145">
        <f t="shared" ref="AJ18:AJ33" si="32">+AF18/AH18*100</f>
        <v>80.180180180180187</v>
      </c>
      <c r="AK18" s="145">
        <f t="shared" ref="AK18:AK38" si="33">+AF18-AH18</f>
        <v>-2.1999999999999993</v>
      </c>
      <c r="AL18" s="145">
        <f t="shared" ref="AL18:AL32" si="34">+AG18/AI18*100</f>
        <v>80.733944954128447</v>
      </c>
      <c r="AM18" s="145">
        <f t="shared" ref="AM18:AM27" si="35">+AG18-AI18</f>
        <v>-2.0999999999999996</v>
      </c>
      <c r="AN18" s="145">
        <v>8</v>
      </c>
      <c r="AO18" s="145"/>
      <c r="AP18" s="145">
        <v>4.5</v>
      </c>
      <c r="AQ18" s="145"/>
      <c r="AR18" s="145">
        <f>+AN18/AP18*100</f>
        <v>177.77777777777777</v>
      </c>
      <c r="AS18" s="145">
        <f t="shared" ref="AS18:AS24" si="36">+AN18-AP18</f>
        <v>3.5</v>
      </c>
      <c r="AT18" s="145"/>
      <c r="AU18" s="145"/>
      <c r="AV18" s="145">
        <v>8.5</v>
      </c>
      <c r="AW18" s="145"/>
      <c r="AX18" s="145">
        <v>3.3</v>
      </c>
      <c r="AY18" s="145"/>
      <c r="AZ18" s="145" t="s">
        <v>84</v>
      </c>
      <c r="BA18" s="145">
        <f t="shared" ref="BA18:BA25" si="37">+AV18-AX18</f>
        <v>5.2</v>
      </c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</row>
    <row r="19" spans="1:63" ht="12" customHeight="1" x14ac:dyDescent="0.2">
      <c r="A19" s="172">
        <v>11</v>
      </c>
      <c r="B19" s="144" t="s">
        <v>85</v>
      </c>
      <c r="C19" s="145">
        <f t="shared" si="23"/>
        <v>1520.1</v>
      </c>
      <c r="D19" s="145">
        <f t="shared" si="0"/>
        <v>1337.8999999999999</v>
      </c>
      <c r="E19" s="145">
        <f>+'[1]2019-2018'!$J15</f>
        <v>1022.5000000000001</v>
      </c>
      <c r="F19" s="145">
        <f t="shared" si="24"/>
        <v>-497.5999999999998</v>
      </c>
      <c r="G19" s="145">
        <f>+'[1]2019-2018'!$M15</f>
        <v>929.6</v>
      </c>
      <c r="H19" s="145" t="e">
        <f>G19-D19-#REF!</f>
        <v>#REF!</v>
      </c>
      <c r="I19" s="146"/>
      <c r="J19" s="145">
        <f>+R19+Z19+AH19+AP19+AX19+BF19</f>
        <v>1277.7999999999997</v>
      </c>
      <c r="K19" s="145">
        <f t="shared" si="25"/>
        <v>1135.6999999999998</v>
      </c>
      <c r="L19" s="145">
        <f t="shared" si="3"/>
        <v>118.96227891688842</v>
      </c>
      <c r="M19" s="145">
        <f t="shared" si="26"/>
        <v>242.30000000000018</v>
      </c>
      <c r="N19" s="145">
        <f t="shared" si="5"/>
        <v>117.8039975345602</v>
      </c>
      <c r="O19" s="145">
        <f t="shared" si="27"/>
        <v>202.20000000000005</v>
      </c>
      <c r="P19" s="145">
        <f>360.3-0.1</f>
        <v>360.2</v>
      </c>
      <c r="Q19" s="145">
        <v>238.3</v>
      </c>
      <c r="R19" s="145">
        <v>298.2</v>
      </c>
      <c r="S19" s="145">
        <v>213.2</v>
      </c>
      <c r="T19" s="145">
        <f t="shared" si="7"/>
        <v>120.79141515761233</v>
      </c>
      <c r="U19" s="145">
        <f t="shared" si="28"/>
        <v>62</v>
      </c>
      <c r="V19" s="145">
        <f t="shared" si="9"/>
        <v>111.77298311444655</v>
      </c>
      <c r="W19" s="145">
        <f t="shared" si="29"/>
        <v>25.100000000000023</v>
      </c>
      <c r="X19" s="145">
        <v>1151.8</v>
      </c>
      <c r="Y19" s="145">
        <v>1097</v>
      </c>
      <c r="Z19" s="145">
        <v>958.5</v>
      </c>
      <c r="AA19" s="145">
        <v>911.4</v>
      </c>
      <c r="AB19" s="145">
        <f t="shared" si="11"/>
        <v>120.16692749087115</v>
      </c>
      <c r="AC19" s="145">
        <f t="shared" si="30"/>
        <v>193.29999999999995</v>
      </c>
      <c r="AD19" s="145">
        <f t="shared" si="13"/>
        <v>120.36427474215492</v>
      </c>
      <c r="AE19" s="145">
        <f t="shared" si="31"/>
        <v>185.60000000000002</v>
      </c>
      <c r="AF19" s="145">
        <v>2.6</v>
      </c>
      <c r="AG19" s="145">
        <v>2.6</v>
      </c>
      <c r="AH19" s="145">
        <f>11.2-0.1</f>
        <v>11.1</v>
      </c>
      <c r="AI19" s="145">
        <v>11.1</v>
      </c>
      <c r="AJ19" s="145">
        <f t="shared" si="32"/>
        <v>23.423423423423426</v>
      </c>
      <c r="AK19" s="145">
        <f t="shared" si="33"/>
        <v>-8.5</v>
      </c>
      <c r="AL19" s="145">
        <f t="shared" si="34"/>
        <v>23.423423423423426</v>
      </c>
      <c r="AM19" s="145">
        <f t="shared" si="35"/>
        <v>-8.5</v>
      </c>
      <c r="AN19" s="145"/>
      <c r="AO19" s="145"/>
      <c r="AP19" s="145">
        <v>0.1</v>
      </c>
      <c r="AQ19" s="145"/>
      <c r="AR19" s="145"/>
      <c r="AS19" s="145">
        <f t="shared" si="36"/>
        <v>-0.1</v>
      </c>
      <c r="AT19" s="145"/>
      <c r="AU19" s="145"/>
      <c r="AV19" s="145">
        <v>0.3</v>
      </c>
      <c r="AW19" s="145"/>
      <c r="AX19" s="145">
        <v>0.3</v>
      </c>
      <c r="AY19" s="145"/>
      <c r="AZ19" s="145">
        <f t="shared" si="22"/>
        <v>100</v>
      </c>
      <c r="BA19" s="145">
        <f t="shared" si="37"/>
        <v>0</v>
      </c>
      <c r="BB19" s="145"/>
      <c r="BC19" s="145"/>
      <c r="BD19" s="145">
        <v>5.2</v>
      </c>
      <c r="BE19" s="145"/>
      <c r="BF19" s="145">
        <v>9.6</v>
      </c>
      <c r="BG19" s="145"/>
      <c r="BH19" s="145">
        <f t="shared" ref="BH19:BH28" si="38">+BD19/BF19*100</f>
        <v>54.166666666666671</v>
      </c>
      <c r="BI19" s="145">
        <f t="shared" ref="BI19:BI28" si="39">+BD19-BF19</f>
        <v>-4.3999999999999995</v>
      </c>
      <c r="BJ19" s="145"/>
      <c r="BK19" s="145"/>
    </row>
    <row r="20" spans="1:63" x14ac:dyDescent="0.2">
      <c r="A20" s="172">
        <v>12</v>
      </c>
      <c r="B20" s="151" t="s">
        <v>86</v>
      </c>
      <c r="C20" s="145">
        <f t="shared" si="23"/>
        <v>1804.1000000000001</v>
      </c>
      <c r="D20" s="145">
        <f t="shared" si="0"/>
        <v>1539.1000000000001</v>
      </c>
      <c r="E20" s="145">
        <f>+'[1]2019-2018'!$J16</f>
        <v>1316.7</v>
      </c>
      <c r="F20" s="145">
        <f t="shared" si="24"/>
        <v>-487.40000000000009</v>
      </c>
      <c r="G20" s="145">
        <f>+'[1]2019-2018'!$M16</f>
        <v>1160</v>
      </c>
      <c r="H20" s="145" t="e">
        <f>G20-D20-#REF!</f>
        <v>#REF!</v>
      </c>
      <c r="I20" s="146"/>
      <c r="J20" s="145">
        <f t="shared" si="25"/>
        <v>1552.9</v>
      </c>
      <c r="K20" s="145">
        <f t="shared" si="25"/>
        <v>1364</v>
      </c>
      <c r="L20" s="145">
        <f t="shared" si="3"/>
        <v>116.17618648979328</v>
      </c>
      <c r="M20" s="145">
        <f t="shared" si="26"/>
        <v>251.20000000000005</v>
      </c>
      <c r="N20" s="145">
        <f t="shared" si="5"/>
        <v>112.83724340175954</v>
      </c>
      <c r="O20" s="145">
        <f t="shared" si="27"/>
        <v>175.10000000000014</v>
      </c>
      <c r="P20" s="145">
        <v>781.5</v>
      </c>
      <c r="Q20" s="145">
        <v>600.20000000000005</v>
      </c>
      <c r="R20" s="145">
        <v>683.1</v>
      </c>
      <c r="S20" s="145">
        <v>557.20000000000005</v>
      </c>
      <c r="T20" s="145">
        <f t="shared" si="7"/>
        <v>114.40491875274483</v>
      </c>
      <c r="U20" s="145">
        <f t="shared" si="28"/>
        <v>98.399999999999977</v>
      </c>
      <c r="V20" s="145">
        <f t="shared" si="9"/>
        <v>107.71715721464466</v>
      </c>
      <c r="W20" s="145">
        <f t="shared" si="29"/>
        <v>43</v>
      </c>
      <c r="X20" s="145">
        <v>977.9</v>
      </c>
      <c r="Y20" s="145">
        <v>921.6</v>
      </c>
      <c r="Z20" s="145">
        <v>834.6</v>
      </c>
      <c r="AA20" s="145">
        <v>790.8</v>
      </c>
      <c r="AB20" s="145">
        <f t="shared" si="11"/>
        <v>117.16990174934099</v>
      </c>
      <c r="AC20" s="145">
        <f t="shared" si="30"/>
        <v>143.29999999999995</v>
      </c>
      <c r="AD20" s="145">
        <f t="shared" si="13"/>
        <v>116.5402124430956</v>
      </c>
      <c r="AE20" s="145">
        <f t="shared" si="31"/>
        <v>130.80000000000007</v>
      </c>
      <c r="AF20" s="145">
        <v>17.2</v>
      </c>
      <c r="AG20" s="145">
        <v>17</v>
      </c>
      <c r="AH20" s="145">
        <v>17.3</v>
      </c>
      <c r="AI20" s="145">
        <v>15.9</v>
      </c>
      <c r="AJ20" s="145">
        <f t="shared" si="32"/>
        <v>99.421965317919074</v>
      </c>
      <c r="AK20" s="145">
        <f t="shared" si="33"/>
        <v>-0.10000000000000142</v>
      </c>
      <c r="AL20" s="145">
        <f t="shared" si="34"/>
        <v>106.91823899371069</v>
      </c>
      <c r="AM20" s="145">
        <f t="shared" si="35"/>
        <v>1.0999999999999996</v>
      </c>
      <c r="AN20" s="145">
        <v>0.9</v>
      </c>
      <c r="AO20" s="145"/>
      <c r="AP20" s="145">
        <v>0.7</v>
      </c>
      <c r="AQ20" s="145"/>
      <c r="AR20" s="145">
        <f>+AN20/AP20*100</f>
        <v>128.57142857142858</v>
      </c>
      <c r="AS20" s="145">
        <f t="shared" si="36"/>
        <v>0.20000000000000007</v>
      </c>
      <c r="AT20" s="145"/>
      <c r="AU20" s="145"/>
      <c r="AV20" s="145">
        <v>0.6</v>
      </c>
      <c r="AW20" s="145">
        <v>0.3</v>
      </c>
      <c r="AX20" s="145">
        <v>0.2</v>
      </c>
      <c r="AY20" s="145">
        <v>0.1</v>
      </c>
      <c r="AZ20" s="145" t="s">
        <v>80</v>
      </c>
      <c r="BA20" s="145">
        <f t="shared" si="37"/>
        <v>0.39999999999999997</v>
      </c>
      <c r="BB20" s="145" t="s">
        <v>80</v>
      </c>
      <c r="BC20" s="145">
        <f>AW20-AY20</f>
        <v>0.19999999999999998</v>
      </c>
      <c r="BD20" s="145">
        <v>26</v>
      </c>
      <c r="BE20" s="145"/>
      <c r="BF20" s="145">
        <v>17</v>
      </c>
      <c r="BG20" s="145"/>
      <c r="BH20" s="145">
        <f t="shared" si="38"/>
        <v>152.94117647058823</v>
      </c>
      <c r="BI20" s="145">
        <f t="shared" si="39"/>
        <v>9</v>
      </c>
      <c r="BJ20" s="145"/>
      <c r="BK20" s="145"/>
    </row>
    <row r="21" spans="1:63" ht="12" customHeight="1" x14ac:dyDescent="0.2">
      <c r="A21" s="172">
        <v>13</v>
      </c>
      <c r="B21" s="151" t="s">
        <v>87</v>
      </c>
      <c r="C21" s="145">
        <f t="shared" si="23"/>
        <v>1138.9000000000001</v>
      </c>
      <c r="D21" s="145">
        <f t="shared" si="0"/>
        <v>994.2</v>
      </c>
      <c r="E21" s="145">
        <f>+'[1]2019-2018'!$J17</f>
        <v>1016.3000000000001</v>
      </c>
      <c r="F21" s="145">
        <f t="shared" si="24"/>
        <v>-122.60000000000002</v>
      </c>
      <c r="G21" s="145">
        <f>+'[1]2019-2018'!$M17</f>
        <v>921.1</v>
      </c>
      <c r="H21" s="145" t="e">
        <f>G21-D21-#REF!</f>
        <v>#REF!</v>
      </c>
      <c r="I21" s="146"/>
      <c r="J21" s="145">
        <f t="shared" si="25"/>
        <v>902.80000000000007</v>
      </c>
      <c r="K21" s="145">
        <f t="shared" si="25"/>
        <v>808</v>
      </c>
      <c r="L21" s="145">
        <f t="shared" si="3"/>
        <v>126.15197164377491</v>
      </c>
      <c r="M21" s="145">
        <f t="shared" si="26"/>
        <v>236.10000000000002</v>
      </c>
      <c r="N21" s="145">
        <f t="shared" si="5"/>
        <v>123.04455445544555</v>
      </c>
      <c r="O21" s="145">
        <f t="shared" si="27"/>
        <v>186.20000000000005</v>
      </c>
      <c r="P21" s="145">
        <v>367.4</v>
      </c>
      <c r="Q21" s="145">
        <v>264.39999999999998</v>
      </c>
      <c r="R21" s="145">
        <v>313.10000000000002</v>
      </c>
      <c r="S21" s="145">
        <v>245.1</v>
      </c>
      <c r="T21" s="145">
        <f t="shared" si="7"/>
        <v>117.34270201213668</v>
      </c>
      <c r="U21" s="145">
        <f t="shared" si="28"/>
        <v>54.299999999999955</v>
      </c>
      <c r="V21" s="145">
        <f t="shared" si="9"/>
        <v>107.87433700530396</v>
      </c>
      <c r="W21" s="145">
        <f t="shared" si="29"/>
        <v>19.299999999999983</v>
      </c>
      <c r="X21" s="145">
        <v>762.9</v>
      </c>
      <c r="Y21" s="145">
        <v>722.6</v>
      </c>
      <c r="Z21" s="145">
        <v>582</v>
      </c>
      <c r="AA21" s="145">
        <v>557</v>
      </c>
      <c r="AB21" s="145">
        <f t="shared" si="11"/>
        <v>131.08247422680412</v>
      </c>
      <c r="AC21" s="145">
        <f t="shared" si="30"/>
        <v>180.89999999999998</v>
      </c>
      <c r="AD21" s="145">
        <f t="shared" si="13"/>
        <v>129.73070017953322</v>
      </c>
      <c r="AE21" s="145">
        <f t="shared" si="31"/>
        <v>165.60000000000002</v>
      </c>
      <c r="AF21" s="145">
        <v>7.2</v>
      </c>
      <c r="AG21" s="145">
        <v>7.2</v>
      </c>
      <c r="AH21" s="145">
        <v>6</v>
      </c>
      <c r="AI21" s="145">
        <v>5.9</v>
      </c>
      <c r="AJ21" s="145">
        <f>+AF21/AH21*100</f>
        <v>120</v>
      </c>
      <c r="AK21" s="145">
        <f t="shared" si="33"/>
        <v>1.2000000000000002</v>
      </c>
      <c r="AL21" s="145">
        <f t="shared" si="34"/>
        <v>122.03389830508473</v>
      </c>
      <c r="AM21" s="145">
        <f t="shared" si="35"/>
        <v>1.2999999999999998</v>
      </c>
      <c r="AN21" s="145"/>
      <c r="AO21" s="145"/>
      <c r="AP21" s="145"/>
      <c r="AQ21" s="145"/>
      <c r="AR21" s="145"/>
      <c r="AS21" s="145">
        <f t="shared" si="36"/>
        <v>0</v>
      </c>
      <c r="AT21" s="145"/>
      <c r="AU21" s="145"/>
      <c r="AV21" s="145">
        <v>0.4</v>
      </c>
      <c r="AW21" s="145"/>
      <c r="AX21" s="145">
        <v>1</v>
      </c>
      <c r="AY21" s="145"/>
      <c r="AZ21" s="145"/>
      <c r="BA21" s="145">
        <f t="shared" si="37"/>
        <v>-0.6</v>
      </c>
      <c r="BB21" s="145"/>
      <c r="BC21" s="145"/>
      <c r="BD21" s="145">
        <v>1</v>
      </c>
      <c r="BE21" s="145"/>
      <c r="BF21" s="145">
        <v>0.7</v>
      </c>
      <c r="BG21" s="145"/>
      <c r="BH21" s="145">
        <f t="shared" si="38"/>
        <v>142.85714285714286</v>
      </c>
      <c r="BI21" s="145">
        <f t="shared" si="39"/>
        <v>0.30000000000000004</v>
      </c>
      <c r="BJ21" s="145"/>
      <c r="BK21" s="145"/>
    </row>
    <row r="22" spans="1:63" ht="21.75" customHeight="1" x14ac:dyDescent="0.2">
      <c r="A22" s="172">
        <v>14</v>
      </c>
      <c r="B22" s="151" t="s">
        <v>88</v>
      </c>
      <c r="C22" s="145">
        <f t="shared" si="23"/>
        <v>1689</v>
      </c>
      <c r="D22" s="145">
        <f t="shared" si="0"/>
        <v>1438.3000000000002</v>
      </c>
      <c r="E22" s="145">
        <f>+'[1]2019-2018'!$J18</f>
        <v>1162.8999999999999</v>
      </c>
      <c r="F22" s="145">
        <f t="shared" si="24"/>
        <v>-526.10000000000014</v>
      </c>
      <c r="G22" s="145">
        <f>+'[1]2019-2018'!$M18</f>
        <v>1026.0999999999999</v>
      </c>
      <c r="H22" s="145" t="e">
        <f>G22-D22-#REF!</f>
        <v>#REF!</v>
      </c>
      <c r="I22" s="146"/>
      <c r="J22" s="145">
        <f t="shared" si="25"/>
        <v>1457.8</v>
      </c>
      <c r="K22" s="145">
        <f t="shared" si="25"/>
        <v>1253.8</v>
      </c>
      <c r="L22" s="145">
        <f t="shared" si="3"/>
        <v>115.85951433667169</v>
      </c>
      <c r="M22" s="145">
        <f t="shared" si="26"/>
        <v>231.20000000000005</v>
      </c>
      <c r="N22" s="145">
        <f t="shared" si="5"/>
        <v>114.71526559259853</v>
      </c>
      <c r="O22" s="145">
        <f t="shared" si="27"/>
        <v>184.50000000000023</v>
      </c>
      <c r="P22" s="145">
        <v>778</v>
      </c>
      <c r="Q22" s="145">
        <v>598.4</v>
      </c>
      <c r="R22" s="145">
        <v>683.9</v>
      </c>
      <c r="S22" s="145">
        <v>543.20000000000005</v>
      </c>
      <c r="T22" s="145">
        <f t="shared" si="7"/>
        <v>113.75932153823658</v>
      </c>
      <c r="U22" s="145">
        <f t="shared" si="28"/>
        <v>94.100000000000023</v>
      </c>
      <c r="V22" s="145">
        <f t="shared" si="9"/>
        <v>110.16200294550809</v>
      </c>
      <c r="W22" s="145">
        <f t="shared" si="29"/>
        <v>55.199999999999932</v>
      </c>
      <c r="X22" s="145">
        <v>861.5</v>
      </c>
      <c r="Y22" s="145">
        <v>824</v>
      </c>
      <c r="Z22" s="145">
        <v>726.3</v>
      </c>
      <c r="AA22" s="145">
        <v>694.8</v>
      </c>
      <c r="AB22" s="145">
        <f t="shared" si="11"/>
        <v>118.61489742530635</v>
      </c>
      <c r="AC22" s="145">
        <f t="shared" si="30"/>
        <v>135.20000000000005</v>
      </c>
      <c r="AD22" s="145">
        <f t="shared" si="13"/>
        <v>118.59527921704087</v>
      </c>
      <c r="AE22" s="145">
        <f t="shared" si="31"/>
        <v>129.20000000000005</v>
      </c>
      <c r="AF22" s="145">
        <v>36.5</v>
      </c>
      <c r="AG22" s="145">
        <v>15.9</v>
      </c>
      <c r="AH22" s="145">
        <v>36.200000000000003</v>
      </c>
      <c r="AI22" s="145">
        <v>15.8</v>
      </c>
      <c r="AJ22" s="145">
        <f t="shared" si="32"/>
        <v>100.82872928176793</v>
      </c>
      <c r="AK22" s="145">
        <f t="shared" si="33"/>
        <v>0.29999999999999716</v>
      </c>
      <c r="AL22" s="145">
        <f t="shared" si="34"/>
        <v>100.63291139240506</v>
      </c>
      <c r="AM22" s="145">
        <f t="shared" si="35"/>
        <v>9.9999999999999645E-2</v>
      </c>
      <c r="AN22" s="145"/>
      <c r="AO22" s="145"/>
      <c r="AP22" s="145"/>
      <c r="AQ22" s="145"/>
      <c r="AR22" s="145"/>
      <c r="AS22" s="145">
        <f t="shared" si="36"/>
        <v>0</v>
      </c>
      <c r="AT22" s="145"/>
      <c r="AU22" s="145"/>
      <c r="AV22" s="145">
        <v>1.9</v>
      </c>
      <c r="AW22" s="145"/>
      <c r="AX22" s="145">
        <v>1</v>
      </c>
      <c r="AY22" s="145"/>
      <c r="AZ22" s="145">
        <f t="shared" si="22"/>
        <v>190</v>
      </c>
      <c r="BA22" s="145">
        <f t="shared" si="37"/>
        <v>0.89999999999999991</v>
      </c>
      <c r="BB22" s="145"/>
      <c r="BC22" s="145"/>
      <c r="BD22" s="145">
        <v>11.1</v>
      </c>
      <c r="BE22" s="145"/>
      <c r="BF22" s="145">
        <v>10.4</v>
      </c>
      <c r="BG22" s="145"/>
      <c r="BH22" s="145">
        <f t="shared" si="38"/>
        <v>106.73076923076923</v>
      </c>
      <c r="BI22" s="145">
        <f t="shared" si="39"/>
        <v>0.69999999999999929</v>
      </c>
      <c r="BJ22" s="145"/>
      <c r="BK22" s="145"/>
    </row>
    <row r="23" spans="1:63" ht="12" customHeight="1" x14ac:dyDescent="0.2">
      <c r="A23" s="172">
        <v>15</v>
      </c>
      <c r="B23" s="144" t="s">
        <v>89</v>
      </c>
      <c r="C23" s="145">
        <f t="shared" si="23"/>
        <v>1276.6999999999998</v>
      </c>
      <c r="D23" s="145">
        <f t="shared" si="0"/>
        <v>1045.8999999999999</v>
      </c>
      <c r="E23" s="145">
        <f>+'[1]2019-2018'!$J19</f>
        <v>793.8</v>
      </c>
      <c r="F23" s="145">
        <f t="shared" si="24"/>
        <v>-482.89999999999986</v>
      </c>
      <c r="G23" s="145">
        <f>+'[1]2019-2018'!$M19</f>
        <v>704</v>
      </c>
      <c r="H23" s="145" t="e">
        <f>G23-D23-#REF!</f>
        <v>#REF!</v>
      </c>
      <c r="I23" s="146"/>
      <c r="J23" s="145">
        <f t="shared" si="25"/>
        <v>951.9</v>
      </c>
      <c r="K23" s="145">
        <f t="shared" si="25"/>
        <v>815.59999999999991</v>
      </c>
      <c r="L23" s="145">
        <f t="shared" si="3"/>
        <v>134.12123122176698</v>
      </c>
      <c r="M23" s="145">
        <f t="shared" si="26"/>
        <v>324.79999999999984</v>
      </c>
      <c r="N23" s="145">
        <f t="shared" si="5"/>
        <v>128.23688082393329</v>
      </c>
      <c r="O23" s="145">
        <f t="shared" si="27"/>
        <v>230.29999999999995</v>
      </c>
      <c r="P23" s="145">
        <v>479.9</v>
      </c>
      <c r="Q23" s="145">
        <v>344</v>
      </c>
      <c r="R23" s="145">
        <v>372.9</v>
      </c>
      <c r="S23" s="145">
        <v>263.89999999999998</v>
      </c>
      <c r="T23" s="145">
        <f t="shared" si="7"/>
        <v>128.6940198444623</v>
      </c>
      <c r="U23" s="145">
        <f t="shared" si="28"/>
        <v>107</v>
      </c>
      <c r="V23" s="145">
        <f t="shared" si="9"/>
        <v>130.3524062144752</v>
      </c>
      <c r="W23" s="145">
        <f t="shared" si="29"/>
        <v>80.100000000000023</v>
      </c>
      <c r="X23" s="145">
        <v>720.8</v>
      </c>
      <c r="Y23" s="145">
        <v>692.6</v>
      </c>
      <c r="Z23" s="145">
        <v>561.20000000000005</v>
      </c>
      <c r="AA23" s="145">
        <v>536.29999999999995</v>
      </c>
      <c r="AB23" s="145">
        <f t="shared" si="11"/>
        <v>128.4390591589451</v>
      </c>
      <c r="AC23" s="145">
        <f t="shared" si="30"/>
        <v>159.59999999999991</v>
      </c>
      <c r="AD23" s="145">
        <f t="shared" si="13"/>
        <v>129.14413574491888</v>
      </c>
      <c r="AE23" s="145">
        <f t="shared" si="31"/>
        <v>156.30000000000007</v>
      </c>
      <c r="AF23" s="145">
        <v>72.8</v>
      </c>
      <c r="AG23" s="145">
        <v>9.3000000000000007</v>
      </c>
      <c r="AH23" s="145">
        <v>17.399999999999999</v>
      </c>
      <c r="AI23" s="145">
        <v>15.4</v>
      </c>
      <c r="AJ23" s="145" t="s">
        <v>90</v>
      </c>
      <c r="AK23" s="145">
        <f t="shared" si="33"/>
        <v>55.4</v>
      </c>
      <c r="AL23" s="145">
        <f t="shared" si="34"/>
        <v>60.389610389610397</v>
      </c>
      <c r="AM23" s="145">
        <f t="shared" si="35"/>
        <v>-6.1</v>
      </c>
      <c r="AN23" s="145">
        <v>0.9</v>
      </c>
      <c r="AO23" s="145"/>
      <c r="AP23" s="145"/>
      <c r="AQ23" s="145"/>
      <c r="AR23" s="145"/>
      <c r="AS23" s="145">
        <f t="shared" si="36"/>
        <v>0.9</v>
      </c>
      <c r="AT23" s="145"/>
      <c r="AU23" s="145"/>
      <c r="AV23" s="145">
        <v>0.6</v>
      </c>
      <c r="AW23" s="145"/>
      <c r="AX23" s="145">
        <v>0.1</v>
      </c>
      <c r="AY23" s="145"/>
      <c r="AZ23" s="145" t="s">
        <v>70</v>
      </c>
      <c r="BA23" s="145">
        <f t="shared" si="37"/>
        <v>0.5</v>
      </c>
      <c r="BB23" s="145"/>
      <c r="BC23" s="145"/>
      <c r="BD23" s="145">
        <v>1.7</v>
      </c>
      <c r="BE23" s="145"/>
      <c r="BF23" s="145">
        <v>0.3</v>
      </c>
      <c r="BG23" s="145"/>
      <c r="BH23" s="145" t="s">
        <v>91</v>
      </c>
      <c r="BI23" s="145">
        <f t="shared" si="39"/>
        <v>1.4</v>
      </c>
      <c r="BJ23" s="145"/>
      <c r="BK23" s="145"/>
    </row>
    <row r="24" spans="1:63" ht="22.5" x14ac:dyDescent="0.2">
      <c r="A24" s="172">
        <v>16</v>
      </c>
      <c r="B24" s="151" t="s">
        <v>92</v>
      </c>
      <c r="C24" s="145">
        <f>+P24+X24+AF24+AN24+AV24+BD24</f>
        <v>2266.3000000000006</v>
      </c>
      <c r="D24" s="145">
        <f t="shared" si="0"/>
        <v>1971.6</v>
      </c>
      <c r="E24" s="145">
        <f>+'[1]2019-2018'!$J20</f>
        <v>1554.7999999999997</v>
      </c>
      <c r="F24" s="145">
        <f t="shared" si="24"/>
        <v>-711.50000000000091</v>
      </c>
      <c r="G24" s="145">
        <f>+'[1]2019-2018'!$M20</f>
        <v>1372.3</v>
      </c>
      <c r="H24" s="145" t="e">
        <f>G24-D24-#REF!</f>
        <v>#REF!</v>
      </c>
      <c r="I24" s="146"/>
      <c r="J24" s="145">
        <f t="shared" si="25"/>
        <v>1940.8</v>
      </c>
      <c r="K24" s="145">
        <f t="shared" si="25"/>
        <v>1669.8999999999999</v>
      </c>
      <c r="L24" s="145">
        <f t="shared" si="3"/>
        <v>116.77143446001652</v>
      </c>
      <c r="M24" s="145">
        <f t="shared" si="26"/>
        <v>325.50000000000068</v>
      </c>
      <c r="N24" s="145">
        <f t="shared" si="5"/>
        <v>118.06695011677346</v>
      </c>
      <c r="O24" s="145">
        <f t="shared" si="27"/>
        <v>301.70000000000005</v>
      </c>
      <c r="P24" s="145">
        <v>580.6</v>
      </c>
      <c r="Q24" s="145">
        <v>401.8</v>
      </c>
      <c r="R24" s="145">
        <v>502.7</v>
      </c>
      <c r="S24" s="145">
        <v>351.9</v>
      </c>
      <c r="T24" s="145">
        <f t="shared" si="7"/>
        <v>115.49631987268749</v>
      </c>
      <c r="U24" s="145">
        <f t="shared" si="28"/>
        <v>77.900000000000034</v>
      </c>
      <c r="V24" s="145">
        <f t="shared" si="9"/>
        <v>114.18016481955102</v>
      </c>
      <c r="W24" s="145">
        <f t="shared" si="29"/>
        <v>49.900000000000034</v>
      </c>
      <c r="X24" s="145">
        <v>1659.7</v>
      </c>
      <c r="Y24" s="145">
        <v>1553.3</v>
      </c>
      <c r="Z24" s="145">
        <v>1415.9</v>
      </c>
      <c r="AA24" s="145">
        <v>1297.2</v>
      </c>
      <c r="AB24" s="145">
        <f t="shared" si="11"/>
        <v>117.21873013630906</v>
      </c>
      <c r="AC24" s="145">
        <f t="shared" si="30"/>
        <v>243.79999999999995</v>
      </c>
      <c r="AD24" s="145">
        <f t="shared" si="13"/>
        <v>119.74252235584335</v>
      </c>
      <c r="AE24" s="145">
        <f t="shared" si="31"/>
        <v>256.09999999999991</v>
      </c>
      <c r="AF24" s="145">
        <v>16.8</v>
      </c>
      <c r="AG24" s="145">
        <v>16.5</v>
      </c>
      <c r="AH24" s="145">
        <v>21</v>
      </c>
      <c r="AI24" s="145">
        <v>20.8</v>
      </c>
      <c r="AJ24" s="145">
        <f t="shared" si="32"/>
        <v>80</v>
      </c>
      <c r="AK24" s="145">
        <f t="shared" si="33"/>
        <v>-4.1999999999999993</v>
      </c>
      <c r="AL24" s="145">
        <f t="shared" si="34"/>
        <v>79.326923076923066</v>
      </c>
      <c r="AM24" s="145">
        <f t="shared" si="35"/>
        <v>-4.3000000000000007</v>
      </c>
      <c r="AN24" s="145"/>
      <c r="AO24" s="145"/>
      <c r="AP24" s="145">
        <v>0.1</v>
      </c>
      <c r="AQ24" s="145"/>
      <c r="AR24" s="145">
        <f>+AN24/AP24*100</f>
        <v>0</v>
      </c>
      <c r="AS24" s="145">
        <f t="shared" si="36"/>
        <v>-0.1</v>
      </c>
      <c r="AT24" s="145"/>
      <c r="AU24" s="145"/>
      <c r="AV24" s="145">
        <v>8.9</v>
      </c>
      <c r="AW24" s="145"/>
      <c r="AX24" s="145">
        <v>1.1000000000000001</v>
      </c>
      <c r="AY24" s="145"/>
      <c r="AZ24" s="145" t="s">
        <v>93</v>
      </c>
      <c r="BA24" s="145">
        <f t="shared" si="37"/>
        <v>7.8000000000000007</v>
      </c>
      <c r="BB24" s="145"/>
      <c r="BC24" s="145"/>
      <c r="BD24" s="145">
        <v>0.3</v>
      </c>
      <c r="BE24" s="145"/>
      <c r="BF24" s="145"/>
      <c r="BG24" s="145"/>
      <c r="BH24" s="145"/>
      <c r="BI24" s="145">
        <f t="shared" si="39"/>
        <v>0.3</v>
      </c>
      <c r="BJ24" s="145"/>
      <c r="BK24" s="145"/>
    </row>
    <row r="25" spans="1:63" ht="12" customHeight="1" x14ac:dyDescent="0.2">
      <c r="A25" s="172">
        <v>17</v>
      </c>
      <c r="B25" s="144" t="s">
        <v>94</v>
      </c>
      <c r="C25" s="145">
        <f t="shared" si="23"/>
        <v>2139.7999999999993</v>
      </c>
      <c r="D25" s="145">
        <f t="shared" si="23"/>
        <v>1870.1</v>
      </c>
      <c r="E25" s="145">
        <f>+'[1]2019-2018'!$J21</f>
        <v>1533.1999999999998</v>
      </c>
      <c r="F25" s="145">
        <f t="shared" si="24"/>
        <v>-606.59999999999945</v>
      </c>
      <c r="G25" s="145">
        <f>+'[1]2019-2018'!$M21</f>
        <v>1419.1</v>
      </c>
      <c r="H25" s="145" t="e">
        <f>G25-D25-#REF!</f>
        <v>#REF!</v>
      </c>
      <c r="I25" s="146"/>
      <c r="J25" s="145">
        <f t="shared" si="25"/>
        <v>1867</v>
      </c>
      <c r="K25" s="145">
        <f t="shared" si="25"/>
        <v>1669.2</v>
      </c>
      <c r="L25" s="145">
        <f t="shared" si="3"/>
        <v>114.61167648634169</v>
      </c>
      <c r="M25" s="145">
        <f t="shared" si="26"/>
        <v>272.79999999999927</v>
      </c>
      <c r="N25" s="145">
        <f t="shared" si="5"/>
        <v>112.03570572729451</v>
      </c>
      <c r="O25" s="145">
        <f t="shared" si="27"/>
        <v>200.89999999999986</v>
      </c>
      <c r="P25" s="145">
        <v>413.9</v>
      </c>
      <c r="Q25" s="145">
        <v>289.10000000000002</v>
      </c>
      <c r="R25" s="145">
        <v>345.4</v>
      </c>
      <c r="S25" s="145">
        <v>254.7</v>
      </c>
      <c r="T25" s="145">
        <f t="shared" si="7"/>
        <v>119.83207874927619</v>
      </c>
      <c r="U25" s="145">
        <f t="shared" si="28"/>
        <v>68.5</v>
      </c>
      <c r="V25" s="145">
        <f t="shared" si="9"/>
        <v>113.50608559089126</v>
      </c>
      <c r="W25" s="145">
        <f t="shared" si="29"/>
        <v>34.400000000000034</v>
      </c>
      <c r="X25" s="145">
        <f>1704.3+0.1</f>
        <v>1704.3999999999999</v>
      </c>
      <c r="Y25" s="145">
        <v>1564.1</v>
      </c>
      <c r="Z25" s="145">
        <v>1500.3</v>
      </c>
      <c r="AA25" s="145">
        <v>1397.3</v>
      </c>
      <c r="AB25" s="145">
        <f t="shared" si="11"/>
        <v>113.60394587749116</v>
      </c>
      <c r="AC25" s="145">
        <f t="shared" si="30"/>
        <v>204.09999999999991</v>
      </c>
      <c r="AD25" s="145">
        <f t="shared" si="13"/>
        <v>111.93730766478207</v>
      </c>
      <c r="AE25" s="145">
        <f t="shared" si="31"/>
        <v>166.79999999999995</v>
      </c>
      <c r="AF25" s="145">
        <v>17.100000000000001</v>
      </c>
      <c r="AG25" s="145">
        <v>16.899999999999999</v>
      </c>
      <c r="AH25" s="145">
        <v>18.899999999999999</v>
      </c>
      <c r="AI25" s="145">
        <v>17.2</v>
      </c>
      <c r="AJ25" s="145">
        <f t="shared" si="32"/>
        <v>90.476190476190482</v>
      </c>
      <c r="AK25" s="145">
        <f t="shared" si="33"/>
        <v>-1.7999999999999972</v>
      </c>
      <c r="AL25" s="145">
        <f t="shared" si="34"/>
        <v>98.255813953488371</v>
      </c>
      <c r="AM25" s="145">
        <f t="shared" si="35"/>
        <v>-0.30000000000000071</v>
      </c>
      <c r="AN25" s="145"/>
      <c r="AO25" s="145"/>
      <c r="AP25" s="145"/>
      <c r="AQ25" s="145"/>
      <c r="AR25" s="145"/>
      <c r="AS25" s="145"/>
      <c r="AT25" s="145"/>
      <c r="AU25" s="145"/>
      <c r="AV25" s="145">
        <v>2.2000000000000002</v>
      </c>
      <c r="AW25" s="145"/>
      <c r="AX25" s="145">
        <v>1</v>
      </c>
      <c r="AY25" s="145"/>
      <c r="AZ25" s="145" t="s">
        <v>95</v>
      </c>
      <c r="BA25" s="145">
        <f t="shared" si="37"/>
        <v>1.2000000000000002</v>
      </c>
      <c r="BB25" s="145"/>
      <c r="BC25" s="145"/>
      <c r="BD25" s="145">
        <v>2.2000000000000002</v>
      </c>
      <c r="BE25" s="145"/>
      <c r="BF25" s="145">
        <f>1.3+0.1</f>
        <v>1.4000000000000001</v>
      </c>
      <c r="BG25" s="145"/>
      <c r="BH25" s="145">
        <f t="shared" si="38"/>
        <v>157.14285714285714</v>
      </c>
      <c r="BI25" s="145">
        <f t="shared" si="39"/>
        <v>0.8</v>
      </c>
      <c r="BJ25" s="145"/>
      <c r="BK25" s="145"/>
    </row>
    <row r="26" spans="1:63" ht="12" customHeight="1" x14ac:dyDescent="0.2">
      <c r="A26" s="172">
        <v>18</v>
      </c>
      <c r="B26" s="151" t="s">
        <v>96</v>
      </c>
      <c r="C26" s="145">
        <f t="shared" si="23"/>
        <v>1670.3</v>
      </c>
      <c r="D26" s="145">
        <f t="shared" si="23"/>
        <v>1427.1999999999998</v>
      </c>
      <c r="E26" s="145">
        <f>+'[1]2019-2018'!$J22</f>
        <v>1093</v>
      </c>
      <c r="F26" s="145">
        <f t="shared" si="24"/>
        <v>-577.29999999999995</v>
      </c>
      <c r="G26" s="145">
        <f>+'[1]2019-2018'!$M22</f>
        <v>986.9</v>
      </c>
      <c r="H26" s="145" t="e">
        <f>G26-D26-#REF!</f>
        <v>#REF!</v>
      </c>
      <c r="I26" s="146"/>
      <c r="J26" s="145">
        <f t="shared" si="25"/>
        <v>1344.1999999999998</v>
      </c>
      <c r="K26" s="145">
        <f t="shared" si="25"/>
        <v>1196.5000000000002</v>
      </c>
      <c r="L26" s="145">
        <f t="shared" si="3"/>
        <v>124.25978277042108</v>
      </c>
      <c r="M26" s="145">
        <f t="shared" si="26"/>
        <v>326.10000000000014</v>
      </c>
      <c r="N26" s="145">
        <f t="shared" si="5"/>
        <v>119.28123694107811</v>
      </c>
      <c r="O26" s="145">
        <f t="shared" si="27"/>
        <v>230.69999999999959</v>
      </c>
      <c r="P26" s="145">
        <v>394.1</v>
      </c>
      <c r="Q26" s="145">
        <v>284.60000000000002</v>
      </c>
      <c r="R26" s="145">
        <v>333.4</v>
      </c>
      <c r="S26" s="145">
        <v>247.4</v>
      </c>
      <c r="T26" s="145">
        <f t="shared" si="7"/>
        <v>118.20635872825436</v>
      </c>
      <c r="U26" s="145">
        <f t="shared" si="28"/>
        <v>60.700000000000045</v>
      </c>
      <c r="V26" s="145">
        <f t="shared" si="9"/>
        <v>115.03637833468068</v>
      </c>
      <c r="W26" s="145">
        <f t="shared" si="29"/>
        <v>37.200000000000017</v>
      </c>
      <c r="X26" s="145">
        <v>1177.9000000000001</v>
      </c>
      <c r="Y26" s="145">
        <v>1118.5999999999999</v>
      </c>
      <c r="Z26" s="145">
        <v>991.8</v>
      </c>
      <c r="AA26" s="145">
        <v>936.2</v>
      </c>
      <c r="AB26" s="145">
        <f t="shared" si="11"/>
        <v>118.763863682194</v>
      </c>
      <c r="AC26" s="145">
        <f t="shared" si="30"/>
        <v>186.10000000000014</v>
      </c>
      <c r="AD26" s="145">
        <f t="shared" si="13"/>
        <v>119.48301644947659</v>
      </c>
      <c r="AE26" s="145">
        <f t="shared" si="31"/>
        <v>182.39999999999986</v>
      </c>
      <c r="AF26" s="145">
        <v>86.3</v>
      </c>
      <c r="AG26" s="145">
        <v>24</v>
      </c>
      <c r="AH26" s="145">
        <v>13</v>
      </c>
      <c r="AI26" s="145">
        <v>12.9</v>
      </c>
      <c r="AJ26" s="145" t="s">
        <v>97</v>
      </c>
      <c r="AK26" s="145">
        <f t="shared" si="33"/>
        <v>73.3</v>
      </c>
      <c r="AL26" s="145">
        <f t="shared" si="34"/>
        <v>186.04651162790697</v>
      </c>
      <c r="AM26" s="145">
        <f t="shared" si="35"/>
        <v>11.1</v>
      </c>
      <c r="AN26" s="145">
        <v>4.9000000000000004</v>
      </c>
      <c r="AO26" s="145"/>
      <c r="AP26" s="145">
        <v>2.1</v>
      </c>
      <c r="AQ26" s="145"/>
      <c r="AR26" s="145" t="s">
        <v>98</v>
      </c>
      <c r="AS26" s="145">
        <f>+AN26-AP26</f>
        <v>2.8000000000000003</v>
      </c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>
        <v>7.1</v>
      </c>
      <c r="BE26" s="145"/>
      <c r="BF26" s="145">
        <v>3.9</v>
      </c>
      <c r="BG26" s="145"/>
      <c r="BH26" s="145">
        <f t="shared" si="38"/>
        <v>182.05128205128204</v>
      </c>
      <c r="BI26" s="145">
        <f t="shared" si="39"/>
        <v>3.1999999999999997</v>
      </c>
      <c r="BJ26" s="145"/>
      <c r="BK26" s="145"/>
    </row>
    <row r="27" spans="1:63" ht="12" customHeight="1" x14ac:dyDescent="0.2">
      <c r="A27" s="172">
        <v>19</v>
      </c>
      <c r="B27" s="151" t="s">
        <v>99</v>
      </c>
      <c r="C27" s="145">
        <f t="shared" si="23"/>
        <v>658.6</v>
      </c>
      <c r="D27" s="145">
        <f t="shared" si="23"/>
        <v>596.90000000000009</v>
      </c>
      <c r="E27" s="145">
        <f>+'[1]2019-2018'!$J23</f>
        <v>491.4</v>
      </c>
      <c r="F27" s="145">
        <f t="shared" si="24"/>
        <v>-167.20000000000005</v>
      </c>
      <c r="G27" s="145">
        <f>+'[1]2019-2018'!$M23</f>
        <v>436.2</v>
      </c>
      <c r="H27" s="145" t="e">
        <f>G27-D27-#REF!</f>
        <v>#REF!</v>
      </c>
      <c r="I27" s="146"/>
      <c r="J27" s="145">
        <f t="shared" si="25"/>
        <v>570.29999999999995</v>
      </c>
      <c r="K27" s="145">
        <f t="shared" si="25"/>
        <v>524.5</v>
      </c>
      <c r="L27" s="145">
        <f t="shared" si="3"/>
        <v>115.48307908118535</v>
      </c>
      <c r="M27" s="145">
        <f t="shared" si="26"/>
        <v>88.300000000000068</v>
      </c>
      <c r="N27" s="145">
        <f t="shared" si="5"/>
        <v>113.8036224976168</v>
      </c>
      <c r="O27" s="145">
        <f t="shared" si="27"/>
        <v>72.400000000000091</v>
      </c>
      <c r="P27" s="145">
        <v>247.9</v>
      </c>
      <c r="Q27" s="145">
        <v>197.4</v>
      </c>
      <c r="R27" s="145">
        <v>210.8</v>
      </c>
      <c r="S27" s="145">
        <v>175.8</v>
      </c>
      <c r="T27" s="145">
        <f t="shared" si="7"/>
        <v>117.59962049335864</v>
      </c>
      <c r="U27" s="145">
        <f t="shared" si="28"/>
        <v>37.099999999999994</v>
      </c>
      <c r="V27" s="145">
        <f t="shared" si="9"/>
        <v>112.28668941979522</v>
      </c>
      <c r="W27" s="145">
        <f t="shared" si="29"/>
        <v>21.599999999999994</v>
      </c>
      <c r="X27" s="145">
        <v>409.4</v>
      </c>
      <c r="Y27" s="145">
        <v>398.8</v>
      </c>
      <c r="Z27" s="145">
        <v>357.2</v>
      </c>
      <c r="AA27" s="145">
        <v>346.9</v>
      </c>
      <c r="AB27" s="145">
        <f t="shared" si="11"/>
        <v>114.61366181410975</v>
      </c>
      <c r="AC27" s="145">
        <f t="shared" si="30"/>
        <v>52.199999999999989</v>
      </c>
      <c r="AD27" s="145">
        <f t="shared" si="13"/>
        <v>114.96108388584607</v>
      </c>
      <c r="AE27" s="145">
        <f t="shared" si="31"/>
        <v>51.900000000000034</v>
      </c>
      <c r="AF27" s="145">
        <v>0.7</v>
      </c>
      <c r="AG27" s="145">
        <v>0.7</v>
      </c>
      <c r="AH27" s="145">
        <v>1.8</v>
      </c>
      <c r="AI27" s="145">
        <v>1.8</v>
      </c>
      <c r="AJ27" s="145">
        <f t="shared" si="32"/>
        <v>38.888888888888886</v>
      </c>
      <c r="AK27" s="145">
        <f t="shared" si="33"/>
        <v>-1.1000000000000001</v>
      </c>
      <c r="AL27" s="145">
        <f t="shared" si="34"/>
        <v>38.888888888888886</v>
      </c>
      <c r="AM27" s="145">
        <f t="shared" si="35"/>
        <v>-1.1000000000000001</v>
      </c>
      <c r="AN27" s="145"/>
      <c r="AO27" s="145"/>
      <c r="AP27" s="145"/>
      <c r="AQ27" s="145"/>
      <c r="AR27" s="145"/>
      <c r="AS27" s="145">
        <f>+AN27-AP27</f>
        <v>0</v>
      </c>
      <c r="AT27" s="145"/>
      <c r="AU27" s="145"/>
      <c r="AV27" s="145">
        <v>0.2</v>
      </c>
      <c r="AW27" s="145"/>
      <c r="AX27" s="145">
        <v>0.2</v>
      </c>
      <c r="AY27" s="145"/>
      <c r="AZ27" s="145">
        <f>+AV27/AX27*100</f>
        <v>100</v>
      </c>
      <c r="BA27" s="145">
        <f>+AV27-AX27</f>
        <v>0</v>
      </c>
      <c r="BB27" s="145"/>
      <c r="BC27" s="145"/>
      <c r="BD27" s="145">
        <v>0.4</v>
      </c>
      <c r="BE27" s="145"/>
      <c r="BF27" s="145">
        <v>0.3</v>
      </c>
      <c r="BG27" s="145"/>
      <c r="BH27" s="145">
        <f t="shared" si="38"/>
        <v>133.33333333333334</v>
      </c>
      <c r="BI27" s="145">
        <f t="shared" si="39"/>
        <v>0.10000000000000003</v>
      </c>
      <c r="BJ27" s="145"/>
      <c r="BK27" s="145"/>
    </row>
    <row r="28" spans="1:63" ht="12" customHeight="1" x14ac:dyDescent="0.2">
      <c r="A28" s="172">
        <v>20</v>
      </c>
      <c r="B28" s="151" t="s">
        <v>100</v>
      </c>
      <c r="C28" s="145">
        <f t="shared" si="23"/>
        <v>1645.6999999999998</v>
      </c>
      <c r="D28" s="145">
        <f t="shared" si="23"/>
        <v>1357.1</v>
      </c>
      <c r="E28" s="145">
        <f>+'[1]2019-2018'!$J24</f>
        <v>1120.5999999999999</v>
      </c>
      <c r="F28" s="145">
        <f t="shared" si="24"/>
        <v>-525.09999999999991</v>
      </c>
      <c r="G28" s="145">
        <f>+'[1]2019-2018'!$M24</f>
        <v>940.9</v>
      </c>
      <c r="H28" s="145" t="e">
        <f>G28-D28-#REF!</f>
        <v>#REF!</v>
      </c>
      <c r="I28" s="146"/>
      <c r="J28" s="145">
        <f t="shared" si="25"/>
        <v>1406.8000000000002</v>
      </c>
      <c r="K28" s="145">
        <f t="shared" si="25"/>
        <v>1194.1000000000001</v>
      </c>
      <c r="L28" s="145">
        <f t="shared" si="3"/>
        <v>116.98180267273241</v>
      </c>
      <c r="M28" s="145">
        <f t="shared" si="26"/>
        <v>238.89999999999964</v>
      </c>
      <c r="N28" s="145">
        <f t="shared" si="5"/>
        <v>113.65044803617785</v>
      </c>
      <c r="O28" s="145">
        <f t="shared" si="27"/>
        <v>162.99999999999977</v>
      </c>
      <c r="P28" s="145">
        <v>722.4</v>
      </c>
      <c r="Q28" s="145">
        <v>513.20000000000005</v>
      </c>
      <c r="R28" s="145">
        <v>608</v>
      </c>
      <c r="S28" s="145">
        <v>468.3</v>
      </c>
      <c r="T28" s="145">
        <f t="shared" si="7"/>
        <v>118.81578947368421</v>
      </c>
      <c r="U28" s="145">
        <f t="shared" si="28"/>
        <v>114.39999999999998</v>
      </c>
      <c r="V28" s="145">
        <f t="shared" si="9"/>
        <v>109.58787102284862</v>
      </c>
      <c r="W28" s="145">
        <f t="shared" si="29"/>
        <v>44.900000000000034</v>
      </c>
      <c r="X28" s="145">
        <v>843.3</v>
      </c>
      <c r="Y28" s="145">
        <v>813.9</v>
      </c>
      <c r="Z28" s="145">
        <v>735.3</v>
      </c>
      <c r="AA28" s="145">
        <v>706.1</v>
      </c>
      <c r="AB28" s="145">
        <f t="shared" si="11"/>
        <v>114.68788249694002</v>
      </c>
      <c r="AC28" s="145">
        <f t="shared" si="30"/>
        <v>108</v>
      </c>
      <c r="AD28" s="145">
        <f t="shared" si="13"/>
        <v>115.2669593541991</v>
      </c>
      <c r="AE28" s="145">
        <f t="shared" si="31"/>
        <v>107.79999999999995</v>
      </c>
      <c r="AF28" s="145">
        <v>30.4</v>
      </c>
      <c r="AG28" s="145">
        <v>30</v>
      </c>
      <c r="AH28" s="145">
        <v>29.4</v>
      </c>
      <c r="AI28" s="145">
        <v>19.7</v>
      </c>
      <c r="AJ28" s="145">
        <f t="shared" si="32"/>
        <v>103.4013605442177</v>
      </c>
      <c r="AK28" s="145">
        <f t="shared" si="33"/>
        <v>1</v>
      </c>
      <c r="AL28" s="145">
        <f t="shared" si="34"/>
        <v>152.28426395939087</v>
      </c>
      <c r="AM28" s="145">
        <f>+AG28-AI28</f>
        <v>10.3</v>
      </c>
      <c r="AN28" s="145">
        <v>1.6</v>
      </c>
      <c r="AO28" s="145"/>
      <c r="AP28" s="145">
        <v>0.4</v>
      </c>
      <c r="AQ28" s="145"/>
      <c r="AR28" s="145" t="s">
        <v>101</v>
      </c>
      <c r="AS28" s="145">
        <f>+AN28-AP28</f>
        <v>1.2000000000000002</v>
      </c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>
        <v>48</v>
      </c>
      <c r="BE28" s="145"/>
      <c r="BF28" s="145">
        <v>33.700000000000003</v>
      </c>
      <c r="BG28" s="145"/>
      <c r="BH28" s="145">
        <f t="shared" si="38"/>
        <v>142.43323442136497</v>
      </c>
      <c r="BI28" s="145">
        <f t="shared" si="39"/>
        <v>14.299999999999997</v>
      </c>
      <c r="BJ28" s="145"/>
      <c r="BK28" s="145"/>
    </row>
    <row r="29" spans="1:63" ht="12" customHeight="1" x14ac:dyDescent="0.2">
      <c r="A29" s="172">
        <v>21</v>
      </c>
      <c r="B29" s="151" t="s">
        <v>102</v>
      </c>
      <c r="C29" s="145">
        <f t="shared" si="23"/>
        <v>507.7</v>
      </c>
      <c r="D29" s="145">
        <f t="shared" si="23"/>
        <v>436.4</v>
      </c>
      <c r="E29" s="145">
        <f>+'[1]2019-2018'!$J25</f>
        <v>387.9</v>
      </c>
      <c r="F29" s="145">
        <f t="shared" si="24"/>
        <v>-119.80000000000001</v>
      </c>
      <c r="G29" s="145">
        <f>+'[1]2019-2018'!$M25</f>
        <v>352.7</v>
      </c>
      <c r="H29" s="145" t="e">
        <f>G29-D29-#REF!</f>
        <v>#REF!</v>
      </c>
      <c r="I29" s="146"/>
      <c r="J29" s="145">
        <f t="shared" si="25"/>
        <v>464.5</v>
      </c>
      <c r="K29" s="145">
        <f t="shared" si="25"/>
        <v>421.79999999999995</v>
      </c>
      <c r="L29" s="145">
        <f t="shared" si="3"/>
        <v>109.30032292787944</v>
      </c>
      <c r="M29" s="145">
        <f t="shared" si="26"/>
        <v>43.199999999999989</v>
      </c>
      <c r="N29" s="145">
        <f t="shared" si="5"/>
        <v>103.46135609293505</v>
      </c>
      <c r="O29" s="145">
        <f t="shared" si="27"/>
        <v>14.600000000000023</v>
      </c>
      <c r="P29" s="145">
        <f>171.7+0.1</f>
        <v>171.79999999999998</v>
      </c>
      <c r="Q29" s="145">
        <v>119.8</v>
      </c>
      <c r="R29" s="145">
        <v>137.69999999999999</v>
      </c>
      <c r="S29" s="145">
        <v>108</v>
      </c>
      <c r="T29" s="145">
        <f t="shared" si="7"/>
        <v>124.76397966594044</v>
      </c>
      <c r="U29" s="145">
        <f t="shared" si="28"/>
        <v>34.099999999999994</v>
      </c>
      <c r="V29" s="145">
        <f t="shared" si="9"/>
        <v>110.92592592592592</v>
      </c>
      <c r="W29" s="145">
        <f t="shared" si="29"/>
        <v>11.799999999999997</v>
      </c>
      <c r="X29" s="145">
        <v>333.7</v>
      </c>
      <c r="Y29" s="145">
        <v>314.39999999999998</v>
      </c>
      <c r="Z29" s="145">
        <v>325.3</v>
      </c>
      <c r="AA29" s="145">
        <v>312.39999999999998</v>
      </c>
      <c r="AB29" s="145">
        <f t="shared" si="11"/>
        <v>102.58223178604365</v>
      </c>
      <c r="AC29" s="145">
        <f t="shared" si="30"/>
        <v>8.3999999999999773</v>
      </c>
      <c r="AD29" s="145">
        <f t="shared" si="13"/>
        <v>100.64020486555698</v>
      </c>
      <c r="AE29" s="145">
        <f t="shared" si="31"/>
        <v>2</v>
      </c>
      <c r="AF29" s="145">
        <v>2.2000000000000002</v>
      </c>
      <c r="AG29" s="145">
        <v>2.2000000000000002</v>
      </c>
      <c r="AH29" s="145">
        <v>1.4</v>
      </c>
      <c r="AI29" s="145">
        <v>1.4</v>
      </c>
      <c r="AJ29" s="145">
        <f t="shared" si="32"/>
        <v>157.14285714285717</v>
      </c>
      <c r="AK29" s="145">
        <f t="shared" si="33"/>
        <v>0.80000000000000027</v>
      </c>
      <c r="AL29" s="145">
        <f t="shared" si="34"/>
        <v>157.14285714285717</v>
      </c>
      <c r="AM29" s="145">
        <f>+AG29-AI29</f>
        <v>0.80000000000000027</v>
      </c>
      <c r="AN29" s="145"/>
      <c r="AO29" s="145"/>
      <c r="AP29" s="145"/>
      <c r="AQ29" s="145"/>
      <c r="AR29" s="145"/>
      <c r="AS29" s="145">
        <f>+AN29-AP29</f>
        <v>0</v>
      </c>
      <c r="AT29" s="145"/>
      <c r="AU29" s="145"/>
      <c r="AV29" s="145"/>
      <c r="AW29" s="145"/>
      <c r="AX29" s="145">
        <v>0.1</v>
      </c>
      <c r="AY29" s="145"/>
      <c r="AZ29" s="145">
        <f>+AV29/AX29*100</f>
        <v>0</v>
      </c>
      <c r="BA29" s="145">
        <f>+AV29-AX29</f>
        <v>-0.1</v>
      </c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</row>
    <row r="30" spans="1:63" ht="23.25" customHeight="1" x14ac:dyDescent="0.2">
      <c r="A30" s="172">
        <v>22</v>
      </c>
      <c r="B30" s="151" t="s">
        <v>103</v>
      </c>
      <c r="C30" s="145">
        <f t="shared" si="23"/>
        <v>598.1</v>
      </c>
      <c r="D30" s="145">
        <f t="shared" si="23"/>
        <v>535.6</v>
      </c>
      <c r="E30" s="145">
        <f>+'[1]2019-2018'!$J26</f>
        <v>427.8</v>
      </c>
      <c r="F30" s="145">
        <f t="shared" si="24"/>
        <v>-170.3</v>
      </c>
      <c r="G30" s="145">
        <f>+'[1]2019-2018'!$M26</f>
        <v>396.7</v>
      </c>
      <c r="H30" s="145" t="e">
        <f>G30-D30-#REF!</f>
        <v>#REF!</v>
      </c>
      <c r="I30" s="146"/>
      <c r="J30" s="145">
        <f t="shared" si="25"/>
        <v>529.20000000000016</v>
      </c>
      <c r="K30" s="145">
        <f t="shared" si="25"/>
        <v>483.2</v>
      </c>
      <c r="L30" s="145">
        <f t="shared" si="3"/>
        <v>113.01965230536656</v>
      </c>
      <c r="M30" s="145">
        <f t="shared" si="26"/>
        <v>68.899999999999864</v>
      </c>
      <c r="N30" s="145">
        <f t="shared" si="5"/>
        <v>110.84437086092716</v>
      </c>
      <c r="O30" s="145">
        <f t="shared" si="27"/>
        <v>52.400000000000034</v>
      </c>
      <c r="P30" s="145">
        <v>219.5</v>
      </c>
      <c r="Q30" s="145">
        <v>172.2</v>
      </c>
      <c r="R30" s="145">
        <v>185.2</v>
      </c>
      <c r="S30" s="145">
        <v>157.5</v>
      </c>
      <c r="T30" s="145">
        <f t="shared" si="7"/>
        <v>118.52051835853132</v>
      </c>
      <c r="U30" s="145">
        <f t="shared" si="28"/>
        <v>34.300000000000011</v>
      </c>
      <c r="V30" s="145">
        <f t="shared" si="9"/>
        <v>109.33333333333333</v>
      </c>
      <c r="W30" s="145">
        <f t="shared" si="29"/>
        <v>14.699999999999989</v>
      </c>
      <c r="X30" s="145">
        <v>367.7</v>
      </c>
      <c r="Y30" s="145">
        <v>354.5</v>
      </c>
      <c r="Z30" s="145">
        <v>338</v>
      </c>
      <c r="AA30" s="145">
        <v>320.8</v>
      </c>
      <c r="AB30" s="145">
        <f t="shared" si="11"/>
        <v>108.7869822485207</v>
      </c>
      <c r="AC30" s="145">
        <f t="shared" si="30"/>
        <v>29.699999999999989</v>
      </c>
      <c r="AD30" s="145">
        <f t="shared" si="13"/>
        <v>110.50498753117206</v>
      </c>
      <c r="AE30" s="145">
        <f t="shared" si="31"/>
        <v>33.699999999999989</v>
      </c>
      <c r="AF30" s="145">
        <v>9</v>
      </c>
      <c r="AG30" s="145">
        <v>8.9</v>
      </c>
      <c r="AH30" s="145">
        <v>5.2</v>
      </c>
      <c r="AI30" s="145">
        <v>4.9000000000000004</v>
      </c>
      <c r="AJ30" s="145">
        <f t="shared" si="32"/>
        <v>173.07692307692307</v>
      </c>
      <c r="AK30" s="145">
        <f t="shared" si="33"/>
        <v>3.8</v>
      </c>
      <c r="AL30" s="145">
        <f t="shared" si="34"/>
        <v>181.63265306122449</v>
      </c>
      <c r="AM30" s="145">
        <f>+AG30-AI30</f>
        <v>4</v>
      </c>
      <c r="AN30" s="145"/>
      <c r="AO30" s="145"/>
      <c r="AP30" s="145">
        <v>0.1</v>
      </c>
      <c r="AQ30" s="145"/>
      <c r="AR30" s="145"/>
      <c r="AS30" s="145">
        <f>+AN30-AP30</f>
        <v>-0.1</v>
      </c>
      <c r="AT30" s="145"/>
      <c r="AU30" s="145"/>
      <c r="AV30" s="145">
        <v>0.1</v>
      </c>
      <c r="AW30" s="145"/>
      <c r="AX30" s="145">
        <v>0.1</v>
      </c>
      <c r="AY30" s="145"/>
      <c r="AZ30" s="145">
        <f>+AV30/AX30*100</f>
        <v>100</v>
      </c>
      <c r="BA30" s="145">
        <f>+AV30-AX30</f>
        <v>0</v>
      </c>
      <c r="BB30" s="145"/>
      <c r="BC30" s="145"/>
      <c r="BD30" s="145">
        <v>1.8</v>
      </c>
      <c r="BE30" s="145"/>
      <c r="BF30" s="145">
        <v>0.6</v>
      </c>
      <c r="BG30" s="145"/>
      <c r="BH30" s="145" t="s">
        <v>80</v>
      </c>
      <c r="BI30" s="145">
        <f>+BD30-BF30</f>
        <v>1.2000000000000002</v>
      </c>
      <c r="BJ30" s="145"/>
      <c r="BK30" s="145"/>
    </row>
    <row r="31" spans="1:63" ht="12" customHeight="1" x14ac:dyDescent="0.2">
      <c r="A31" s="172">
        <v>23</v>
      </c>
      <c r="B31" s="151" t="s">
        <v>104</v>
      </c>
      <c r="C31" s="145">
        <f t="shared" si="23"/>
        <v>436.3</v>
      </c>
      <c r="D31" s="145">
        <f t="shared" si="23"/>
        <v>339.8</v>
      </c>
      <c r="E31" s="145">
        <f>+'[1]2019-2018'!$J27</f>
        <v>406.5</v>
      </c>
      <c r="F31" s="145">
        <f t="shared" si="24"/>
        <v>-29.800000000000011</v>
      </c>
      <c r="G31" s="145">
        <f>+'[1]2019-2018'!$M27</f>
        <v>368.8</v>
      </c>
      <c r="H31" s="145" t="e">
        <f>G31-D31-#REF!</f>
        <v>#REF!</v>
      </c>
      <c r="I31" s="146"/>
      <c r="J31" s="145">
        <f t="shared" si="25"/>
        <v>444.9</v>
      </c>
      <c r="K31" s="145">
        <f t="shared" si="25"/>
        <v>396.09999999999997</v>
      </c>
      <c r="L31" s="145">
        <f t="shared" si="3"/>
        <v>98.066981344122283</v>
      </c>
      <c r="M31" s="145">
        <f t="shared" si="26"/>
        <v>-8.5999999999999659</v>
      </c>
      <c r="N31" s="145">
        <f t="shared" si="5"/>
        <v>85.786417571320385</v>
      </c>
      <c r="O31" s="145">
        <f t="shared" si="27"/>
        <v>-56.299999999999955</v>
      </c>
      <c r="P31" s="145">
        <v>151.4</v>
      </c>
      <c r="Q31" s="145">
        <v>96.4</v>
      </c>
      <c r="R31" s="145">
        <v>172.2</v>
      </c>
      <c r="S31" s="145">
        <v>132.6</v>
      </c>
      <c r="T31" s="145">
        <f t="shared" si="7"/>
        <v>87.921022067363538</v>
      </c>
      <c r="U31" s="145">
        <f t="shared" si="28"/>
        <v>-20.799999999999983</v>
      </c>
      <c r="V31" s="145">
        <f t="shared" si="9"/>
        <v>72.699849170437417</v>
      </c>
      <c r="W31" s="145">
        <f t="shared" si="29"/>
        <v>-36.199999999999989</v>
      </c>
      <c r="X31" s="145">
        <v>245.9</v>
      </c>
      <c r="Y31" s="145">
        <v>241.1</v>
      </c>
      <c r="Z31" s="145">
        <v>266</v>
      </c>
      <c r="AA31" s="145">
        <v>257.2</v>
      </c>
      <c r="AB31" s="145">
        <f t="shared" si="11"/>
        <v>92.443609022556387</v>
      </c>
      <c r="AC31" s="145">
        <f t="shared" si="30"/>
        <v>-20.099999999999994</v>
      </c>
      <c r="AD31" s="145">
        <f t="shared" si="13"/>
        <v>93.740279937791598</v>
      </c>
      <c r="AE31" s="145">
        <f t="shared" si="31"/>
        <v>-16.099999999999994</v>
      </c>
      <c r="AF31" s="145">
        <f>38.9+0.1</f>
        <v>39</v>
      </c>
      <c r="AG31" s="145">
        <v>2.2999999999999998</v>
      </c>
      <c r="AH31" s="145">
        <v>6.4</v>
      </c>
      <c r="AI31" s="145">
        <v>6.3</v>
      </c>
      <c r="AJ31" s="145" t="s">
        <v>70</v>
      </c>
      <c r="AK31" s="145">
        <f t="shared" si="33"/>
        <v>32.6</v>
      </c>
      <c r="AL31" s="145">
        <f t="shared" si="34"/>
        <v>36.507936507936506</v>
      </c>
      <c r="AM31" s="145">
        <f>+AG31-AI31</f>
        <v>-4</v>
      </c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>
        <v>0.3</v>
      </c>
      <c r="AY31" s="145"/>
      <c r="AZ31" s="145">
        <f>+AV31/AX31*100</f>
        <v>0</v>
      </c>
      <c r="BA31" s="145">
        <f>+AV31-AX31</f>
        <v>-0.3</v>
      </c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</row>
    <row r="32" spans="1:63" ht="22.5" x14ac:dyDescent="0.2">
      <c r="A32" s="172">
        <v>24</v>
      </c>
      <c r="B32" s="151" t="s">
        <v>105</v>
      </c>
      <c r="C32" s="145">
        <f t="shared" si="23"/>
        <v>810.7</v>
      </c>
      <c r="D32" s="145">
        <f t="shared" si="23"/>
        <v>638.29999999999984</v>
      </c>
      <c r="E32" s="145">
        <f>+'[1]2019-2018'!$J28</f>
        <v>714.1</v>
      </c>
      <c r="F32" s="145">
        <f t="shared" si="24"/>
        <v>-96.600000000000023</v>
      </c>
      <c r="G32" s="145">
        <f>+'[1]2019-2018'!$M28</f>
        <v>609.70000000000005</v>
      </c>
      <c r="H32" s="145" t="e">
        <f>G32-D32-#REF!</f>
        <v>#REF!</v>
      </c>
      <c r="I32" s="146"/>
      <c r="J32" s="145">
        <f t="shared" si="25"/>
        <v>776.09999999999991</v>
      </c>
      <c r="K32" s="145">
        <f t="shared" si="25"/>
        <v>612.4</v>
      </c>
      <c r="L32" s="145">
        <f t="shared" si="3"/>
        <v>104.45818837778637</v>
      </c>
      <c r="M32" s="145">
        <f t="shared" si="26"/>
        <v>34.600000000000136</v>
      </c>
      <c r="N32" s="145">
        <f t="shared" si="5"/>
        <v>104.2292619203135</v>
      </c>
      <c r="O32" s="145">
        <f t="shared" si="27"/>
        <v>25.899999999999864</v>
      </c>
      <c r="P32" s="145">
        <v>463.4</v>
      </c>
      <c r="Q32" s="145">
        <v>333.8</v>
      </c>
      <c r="R32" s="145">
        <v>389.5</v>
      </c>
      <c r="S32" s="145">
        <v>279.5</v>
      </c>
      <c r="T32" s="145">
        <f>+P32/R32*100</f>
        <v>118.97304236200257</v>
      </c>
      <c r="U32" s="145">
        <f t="shared" si="28"/>
        <v>73.899999999999977</v>
      </c>
      <c r="V32" s="145">
        <f t="shared" si="9"/>
        <v>119.42754919499106</v>
      </c>
      <c r="W32" s="145">
        <f t="shared" si="29"/>
        <v>54.300000000000011</v>
      </c>
      <c r="X32" s="145">
        <v>279.10000000000002</v>
      </c>
      <c r="Y32" s="145">
        <v>262</v>
      </c>
      <c r="Z32" s="145">
        <v>293.89999999999998</v>
      </c>
      <c r="AA32" s="145">
        <v>279.39999999999998</v>
      </c>
      <c r="AB32" s="145">
        <f t="shared" si="11"/>
        <v>94.964273562436219</v>
      </c>
      <c r="AC32" s="145">
        <f t="shared" si="30"/>
        <v>-14.799999999999955</v>
      </c>
      <c r="AD32" s="145">
        <f t="shared" si="13"/>
        <v>93.772369362920543</v>
      </c>
      <c r="AE32" s="145">
        <f t="shared" si="31"/>
        <v>-17.399999999999977</v>
      </c>
      <c r="AF32" s="145">
        <v>12.7</v>
      </c>
      <c r="AG32" s="145">
        <v>7.9</v>
      </c>
      <c r="AH32" s="145">
        <v>49.1</v>
      </c>
      <c r="AI32" s="145">
        <v>26.9</v>
      </c>
      <c r="AJ32" s="145">
        <f t="shared" si="32"/>
        <v>25.865580448065174</v>
      </c>
      <c r="AK32" s="145">
        <f t="shared" si="33"/>
        <v>-36.400000000000006</v>
      </c>
      <c r="AL32" s="145">
        <f t="shared" si="34"/>
        <v>29.368029739776951</v>
      </c>
      <c r="AM32" s="145">
        <f t="shared" ref="AM32:AM38" si="40">AG32-AI32</f>
        <v>-19</v>
      </c>
      <c r="AN32" s="145"/>
      <c r="AO32" s="145"/>
      <c r="AP32" s="145"/>
      <c r="AQ32" s="145"/>
      <c r="AR32" s="145"/>
      <c r="AS32" s="145"/>
      <c r="AT32" s="145"/>
      <c r="AU32" s="145"/>
      <c r="AV32" s="145">
        <f>33.4-0.1</f>
        <v>33.299999999999997</v>
      </c>
      <c r="AW32" s="145">
        <v>28.3</v>
      </c>
      <c r="AX32" s="145">
        <v>21.3</v>
      </c>
      <c r="AY32" s="145">
        <v>20.2</v>
      </c>
      <c r="AZ32" s="145">
        <f>+AV32/AX32*100</f>
        <v>156.33802816901408</v>
      </c>
      <c r="BA32" s="145">
        <f>+AV32-AX32</f>
        <v>11.999999999999996</v>
      </c>
      <c r="BB32" s="145">
        <f>+AW32/AY32*100</f>
        <v>140.09900990099013</v>
      </c>
      <c r="BC32" s="145">
        <f>AW32-AY32</f>
        <v>8.1000000000000014</v>
      </c>
      <c r="BD32" s="145">
        <v>22.2</v>
      </c>
      <c r="BE32" s="145">
        <v>6.3</v>
      </c>
      <c r="BF32" s="145">
        <v>22.3</v>
      </c>
      <c r="BG32" s="145">
        <v>6.4</v>
      </c>
      <c r="BH32" s="145">
        <f t="shared" ref="BH32:BH37" si="41">+BD32/BF32*100</f>
        <v>99.551569506726452</v>
      </c>
      <c r="BI32" s="145">
        <f t="shared" ref="BI32:BI37" si="42">+BD32-BF32</f>
        <v>-0.10000000000000142</v>
      </c>
      <c r="BJ32" s="145">
        <f>+BE32/BG32*100</f>
        <v>98.437499999999986</v>
      </c>
      <c r="BK32" s="145">
        <f>BE32-BG32</f>
        <v>-0.10000000000000053</v>
      </c>
    </row>
    <row r="33" spans="1:63" ht="12" customHeight="1" x14ac:dyDescent="0.2">
      <c r="A33" s="172">
        <v>25</v>
      </c>
      <c r="B33" s="144" t="s">
        <v>106</v>
      </c>
      <c r="C33" s="145">
        <f t="shared" si="23"/>
        <v>1224.3000000000002</v>
      </c>
      <c r="D33" s="145">
        <f t="shared" si="23"/>
        <v>1073.0999999999999</v>
      </c>
      <c r="E33" s="145">
        <f>+'[1]2019-2018'!$J29</f>
        <v>1045.0999999999999</v>
      </c>
      <c r="F33" s="145">
        <f t="shared" si="24"/>
        <v>-179.20000000000027</v>
      </c>
      <c r="G33" s="145">
        <f>+'[1]2019-2018'!$M29</f>
        <v>907</v>
      </c>
      <c r="H33" s="145" t="e">
        <f>G33-D33-#REF!</f>
        <v>#REF!</v>
      </c>
      <c r="I33" s="146"/>
      <c r="J33" s="145">
        <f t="shared" si="25"/>
        <v>1137.8000000000002</v>
      </c>
      <c r="K33" s="145">
        <f t="shared" si="25"/>
        <v>1007.4</v>
      </c>
      <c r="L33" s="145">
        <f t="shared" si="3"/>
        <v>107.60239057830903</v>
      </c>
      <c r="M33" s="145">
        <f t="shared" si="26"/>
        <v>86.5</v>
      </c>
      <c r="N33" s="145">
        <f t="shared" si="5"/>
        <v>106.52173913043477</v>
      </c>
      <c r="O33" s="145">
        <f t="shared" si="27"/>
        <v>65.699999999999932</v>
      </c>
      <c r="P33" s="145">
        <v>39.4</v>
      </c>
      <c r="Q33" s="145"/>
      <c r="R33" s="145">
        <v>16.2</v>
      </c>
      <c r="S33" s="145"/>
      <c r="T33" s="145" t="s">
        <v>107</v>
      </c>
      <c r="U33" s="145">
        <f t="shared" si="28"/>
        <v>23.2</v>
      </c>
      <c r="V33" s="145"/>
      <c r="W33" s="145">
        <f t="shared" si="29"/>
        <v>0</v>
      </c>
      <c r="X33" s="145">
        <v>616.9</v>
      </c>
      <c r="Y33" s="145">
        <v>602.20000000000005</v>
      </c>
      <c r="Z33" s="145">
        <v>558.1</v>
      </c>
      <c r="AA33" s="145">
        <v>544</v>
      </c>
      <c r="AB33" s="145">
        <f t="shared" si="11"/>
        <v>110.53574628202828</v>
      </c>
      <c r="AC33" s="145">
        <f t="shared" si="30"/>
        <v>58.799999999999955</v>
      </c>
      <c r="AD33" s="145">
        <f t="shared" si="13"/>
        <v>110.69852941176472</v>
      </c>
      <c r="AE33" s="145">
        <f t="shared" si="31"/>
        <v>58.200000000000045</v>
      </c>
      <c r="AF33" s="145">
        <v>558.70000000000005</v>
      </c>
      <c r="AG33" s="145">
        <v>470.9</v>
      </c>
      <c r="AH33" s="145">
        <v>556.1</v>
      </c>
      <c r="AI33" s="145">
        <v>463.4</v>
      </c>
      <c r="AJ33" s="145">
        <f t="shared" si="32"/>
        <v>100.46754180902715</v>
      </c>
      <c r="AK33" s="145">
        <f t="shared" si="33"/>
        <v>2.6000000000000227</v>
      </c>
      <c r="AL33" s="145">
        <f>+AG33/AI33*100</f>
        <v>101.61847216227882</v>
      </c>
      <c r="AM33" s="145">
        <f t="shared" si="40"/>
        <v>7.5</v>
      </c>
      <c r="AN33" s="145"/>
      <c r="AO33" s="145"/>
      <c r="AP33" s="145"/>
      <c r="AQ33" s="145"/>
      <c r="AR33" s="145"/>
      <c r="AS33" s="145"/>
      <c r="AT33" s="145"/>
      <c r="AU33" s="145"/>
      <c r="AV33" s="145">
        <v>1.4</v>
      </c>
      <c r="AW33" s="145"/>
      <c r="AX33" s="145">
        <v>0.2</v>
      </c>
      <c r="AY33" s="145"/>
      <c r="AZ33" s="145" t="s">
        <v>108</v>
      </c>
      <c r="BA33" s="145">
        <f>+AV33-AX33</f>
        <v>1.2</v>
      </c>
      <c r="BB33" s="145"/>
      <c r="BC33" s="145"/>
      <c r="BD33" s="145">
        <v>7.9</v>
      </c>
      <c r="BE33" s="145"/>
      <c r="BF33" s="145">
        <v>7.2</v>
      </c>
      <c r="BG33" s="145"/>
      <c r="BH33" s="145">
        <f t="shared" si="41"/>
        <v>109.72222222222223</v>
      </c>
      <c r="BI33" s="145">
        <f t="shared" si="42"/>
        <v>0.70000000000000018</v>
      </c>
      <c r="BJ33" s="145"/>
      <c r="BK33" s="145"/>
    </row>
    <row r="34" spans="1:63" ht="12" customHeight="1" x14ac:dyDescent="0.2">
      <c r="A34" s="172">
        <v>26</v>
      </c>
      <c r="B34" s="144" t="s">
        <v>109</v>
      </c>
      <c r="C34" s="145">
        <f t="shared" si="23"/>
        <v>393.8</v>
      </c>
      <c r="D34" s="145">
        <f t="shared" si="23"/>
        <v>333.29999999999995</v>
      </c>
      <c r="E34" s="145">
        <f>+'[1]2019-2018'!$J30</f>
        <v>215.59999999999997</v>
      </c>
      <c r="F34" s="145">
        <f t="shared" si="24"/>
        <v>-178.20000000000005</v>
      </c>
      <c r="G34" s="145">
        <f>+'[1]2019-2018'!$M30</f>
        <v>185.7</v>
      </c>
      <c r="H34" s="145" t="e">
        <f>G34-D34-#REF!</f>
        <v>#REF!</v>
      </c>
      <c r="I34" s="146"/>
      <c r="J34" s="145">
        <f t="shared" si="25"/>
        <v>312.7</v>
      </c>
      <c r="K34" s="145">
        <f t="shared" si="25"/>
        <v>270</v>
      </c>
      <c r="L34" s="145">
        <f t="shared" si="3"/>
        <v>125.93540134314041</v>
      </c>
      <c r="M34" s="145">
        <f t="shared" si="26"/>
        <v>81.100000000000023</v>
      </c>
      <c r="N34" s="145">
        <f t="shared" si="5"/>
        <v>123.44444444444443</v>
      </c>
      <c r="O34" s="145">
        <f t="shared" si="27"/>
        <v>63.299999999999955</v>
      </c>
      <c r="P34" s="145">
        <v>330.6</v>
      </c>
      <c r="Q34" s="145">
        <v>307.2</v>
      </c>
      <c r="R34" s="145">
        <v>246.7</v>
      </c>
      <c r="S34" s="145">
        <v>241.8</v>
      </c>
      <c r="T34" s="145">
        <f t="shared" si="7"/>
        <v>134.00891771382246</v>
      </c>
      <c r="U34" s="145">
        <f t="shared" si="28"/>
        <v>83.900000000000034</v>
      </c>
      <c r="V34" s="145">
        <f t="shared" si="9"/>
        <v>127.04714640198512</v>
      </c>
      <c r="W34" s="145">
        <f>Q34-S34</f>
        <v>65.399999999999977</v>
      </c>
      <c r="X34" s="145">
        <f>25.3-0.1</f>
        <v>25.2</v>
      </c>
      <c r="Y34" s="145">
        <v>24.9</v>
      </c>
      <c r="Z34" s="145">
        <v>24.2</v>
      </c>
      <c r="AA34" s="145">
        <v>23.9</v>
      </c>
      <c r="AB34" s="145">
        <f t="shared" si="11"/>
        <v>104.13223140495869</v>
      </c>
      <c r="AC34" s="145">
        <f t="shared" si="30"/>
        <v>1</v>
      </c>
      <c r="AD34" s="145">
        <f t="shared" si="13"/>
        <v>104.18410041841004</v>
      </c>
      <c r="AE34" s="145">
        <f t="shared" si="31"/>
        <v>1</v>
      </c>
      <c r="AF34" s="145">
        <v>1.2</v>
      </c>
      <c r="AG34" s="145">
        <v>1.2</v>
      </c>
      <c r="AH34" s="145"/>
      <c r="AI34" s="145"/>
      <c r="AJ34" s="145"/>
      <c r="AK34" s="145">
        <f t="shared" si="33"/>
        <v>1.2</v>
      </c>
      <c r="AL34" s="145"/>
      <c r="AM34" s="145">
        <f t="shared" si="40"/>
        <v>1.2</v>
      </c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>
        <f>36.7+0.1</f>
        <v>36.800000000000004</v>
      </c>
      <c r="BE34" s="145"/>
      <c r="BF34" s="145">
        <v>41.8</v>
      </c>
      <c r="BG34" s="145">
        <v>4.3</v>
      </c>
      <c r="BH34" s="145">
        <f t="shared" si="41"/>
        <v>88.038277511961738</v>
      </c>
      <c r="BI34" s="145">
        <f t="shared" si="42"/>
        <v>-4.9999999999999929</v>
      </c>
      <c r="BJ34" s="145">
        <f>+BE34/BG34*100</f>
        <v>0</v>
      </c>
      <c r="BK34" s="145">
        <f>BE34-BG34</f>
        <v>-4.3</v>
      </c>
    </row>
    <row r="35" spans="1:63" ht="12" customHeight="1" x14ac:dyDescent="0.2">
      <c r="A35" s="172">
        <v>27</v>
      </c>
      <c r="B35" s="144" t="s">
        <v>110</v>
      </c>
      <c r="C35" s="145">
        <f t="shared" si="23"/>
        <v>356.40000000000003</v>
      </c>
      <c r="D35" s="145">
        <f t="shared" si="23"/>
        <v>298.89999999999998</v>
      </c>
      <c r="E35" s="145">
        <f>+'[1]2019-2018'!$J31</f>
        <v>296</v>
      </c>
      <c r="F35" s="145">
        <f t="shared" si="24"/>
        <v>-60.400000000000034</v>
      </c>
      <c r="G35" s="145">
        <f>+'[1]2019-2018'!$M31</f>
        <v>243.6</v>
      </c>
      <c r="H35" s="145" t="e">
        <f>G35-D35-#REF!</f>
        <v>#REF!</v>
      </c>
      <c r="I35" s="146"/>
      <c r="J35" s="145">
        <f t="shared" si="25"/>
        <v>299.80000000000007</v>
      </c>
      <c r="K35" s="145">
        <f t="shared" si="25"/>
        <v>254.7</v>
      </c>
      <c r="L35" s="145">
        <f t="shared" si="3"/>
        <v>118.87925283522347</v>
      </c>
      <c r="M35" s="145">
        <f t="shared" si="26"/>
        <v>56.599999999999966</v>
      </c>
      <c r="N35" s="145">
        <f t="shared" si="5"/>
        <v>117.35374950922655</v>
      </c>
      <c r="O35" s="145">
        <f t="shared" si="27"/>
        <v>44.199999999999989</v>
      </c>
      <c r="P35" s="145">
        <v>305.3</v>
      </c>
      <c r="Q35" s="145">
        <v>295.2</v>
      </c>
      <c r="R35" s="145">
        <v>263.3</v>
      </c>
      <c r="S35" s="145">
        <v>254.7</v>
      </c>
      <c r="T35" s="145">
        <f t="shared" si="7"/>
        <v>115.95138625142422</v>
      </c>
      <c r="U35" s="145">
        <f t="shared" si="28"/>
        <v>42</v>
      </c>
      <c r="V35" s="145">
        <f t="shared" si="9"/>
        <v>115.90106007067138</v>
      </c>
      <c r="W35" s="145">
        <f t="shared" si="29"/>
        <v>40.5</v>
      </c>
      <c r="X35" s="145"/>
      <c r="Y35" s="145"/>
      <c r="Z35" s="145"/>
      <c r="AA35" s="145"/>
      <c r="AB35" s="145"/>
      <c r="AC35" s="145">
        <f t="shared" si="30"/>
        <v>0</v>
      </c>
      <c r="AD35" s="145"/>
      <c r="AE35" s="145">
        <f t="shared" si="31"/>
        <v>0</v>
      </c>
      <c r="AF35" s="145">
        <v>3.7</v>
      </c>
      <c r="AG35" s="145">
        <v>3.7</v>
      </c>
      <c r="AH35" s="145"/>
      <c r="AI35" s="145"/>
      <c r="AJ35" s="145"/>
      <c r="AK35" s="145">
        <f t="shared" si="33"/>
        <v>3.7</v>
      </c>
      <c r="AL35" s="145"/>
      <c r="AM35" s="145">
        <f t="shared" si="40"/>
        <v>3.7</v>
      </c>
      <c r="AN35" s="145">
        <v>0.1</v>
      </c>
      <c r="AO35" s="145"/>
      <c r="AP35" s="145">
        <v>0.1</v>
      </c>
      <c r="AQ35" s="145"/>
      <c r="AR35" s="145">
        <f>+AN35/AP35*100</f>
        <v>100</v>
      </c>
      <c r="AS35" s="145">
        <f>+AN35-AP35</f>
        <v>0</v>
      </c>
      <c r="AT35" s="145"/>
      <c r="AU35" s="145"/>
      <c r="AV35" s="145">
        <v>0.3</v>
      </c>
      <c r="AW35" s="145"/>
      <c r="AX35" s="145">
        <v>0.3</v>
      </c>
      <c r="AY35" s="145"/>
      <c r="AZ35" s="145">
        <f t="shared" ref="AZ35:AZ41" si="43">+AV35/AX35*100</f>
        <v>100</v>
      </c>
      <c r="BA35" s="145">
        <f>+AV35-AX35</f>
        <v>0</v>
      </c>
      <c r="BB35" s="145"/>
      <c r="BC35" s="145"/>
      <c r="BD35" s="145">
        <v>47</v>
      </c>
      <c r="BE35" s="145"/>
      <c r="BF35" s="145">
        <v>36.1</v>
      </c>
      <c r="BG35" s="145"/>
      <c r="BH35" s="145">
        <f t="shared" si="41"/>
        <v>130.19390581717451</v>
      </c>
      <c r="BI35" s="145">
        <f t="shared" si="42"/>
        <v>10.899999999999999</v>
      </c>
      <c r="BJ35" s="145"/>
      <c r="BK35" s="145"/>
    </row>
    <row r="36" spans="1:63" ht="12" customHeight="1" x14ac:dyDescent="0.2">
      <c r="A36" s="172">
        <v>28</v>
      </c>
      <c r="B36" s="144" t="s">
        <v>111</v>
      </c>
      <c r="C36" s="145">
        <f t="shared" si="23"/>
        <v>984.8</v>
      </c>
      <c r="D36" s="145">
        <f t="shared" si="23"/>
        <v>902.69999999999993</v>
      </c>
      <c r="E36" s="145">
        <f>+'[1]2019-2018'!$J32</f>
        <v>779.4</v>
      </c>
      <c r="F36" s="145">
        <f t="shared" si="24"/>
        <v>-205.39999999999998</v>
      </c>
      <c r="G36" s="145">
        <f>+'[1]2019-2018'!$M32</f>
        <v>725.6</v>
      </c>
      <c r="H36" s="145" t="e">
        <f>G36-D36-#REF!</f>
        <v>#REF!</v>
      </c>
      <c r="I36" s="146"/>
      <c r="J36" s="145">
        <f t="shared" si="25"/>
        <v>873.5</v>
      </c>
      <c r="K36" s="145">
        <f t="shared" si="25"/>
        <v>810.69999999999993</v>
      </c>
      <c r="L36" s="145">
        <f t="shared" si="3"/>
        <v>112.74184315970234</v>
      </c>
      <c r="M36" s="145">
        <f t="shared" si="26"/>
        <v>111.29999999999995</v>
      </c>
      <c r="N36" s="145">
        <f t="shared" si="5"/>
        <v>111.34821758973727</v>
      </c>
      <c r="O36" s="145">
        <f t="shared" si="27"/>
        <v>92</v>
      </c>
      <c r="P36" s="145">
        <v>890.6</v>
      </c>
      <c r="Q36" s="145">
        <v>866</v>
      </c>
      <c r="R36" s="145">
        <v>797.1</v>
      </c>
      <c r="S36" s="145">
        <v>779.3</v>
      </c>
      <c r="T36" s="145">
        <f t="shared" si="7"/>
        <v>111.73002132731152</v>
      </c>
      <c r="U36" s="145">
        <f t="shared" si="28"/>
        <v>93.5</v>
      </c>
      <c r="V36" s="145">
        <f t="shared" si="9"/>
        <v>111.12536892082639</v>
      </c>
      <c r="W36" s="145">
        <f t="shared" si="29"/>
        <v>86.700000000000045</v>
      </c>
      <c r="X36" s="145">
        <v>34.799999999999997</v>
      </c>
      <c r="Y36" s="145">
        <v>34.299999999999997</v>
      </c>
      <c r="Z36" s="145">
        <v>31.6</v>
      </c>
      <c r="AA36" s="145">
        <v>31.1</v>
      </c>
      <c r="AB36" s="145">
        <f>+X36/Z36*100</f>
        <v>110.126582278481</v>
      </c>
      <c r="AC36" s="145">
        <f t="shared" si="30"/>
        <v>3.1999999999999957</v>
      </c>
      <c r="AD36" s="145">
        <f>+Y36/AA36*100</f>
        <v>110.2893890675241</v>
      </c>
      <c r="AE36" s="145">
        <f t="shared" si="31"/>
        <v>3.1999999999999957</v>
      </c>
      <c r="AF36" s="145">
        <v>2.4</v>
      </c>
      <c r="AG36" s="145">
        <v>2.4</v>
      </c>
      <c r="AH36" s="145">
        <v>0.3</v>
      </c>
      <c r="AI36" s="145">
        <v>0.3</v>
      </c>
      <c r="AJ36" s="145" t="s">
        <v>93</v>
      </c>
      <c r="AK36" s="145">
        <f t="shared" si="33"/>
        <v>2.1</v>
      </c>
      <c r="AL36" s="145" t="s">
        <v>93</v>
      </c>
      <c r="AM36" s="145">
        <f t="shared" si="40"/>
        <v>2.1</v>
      </c>
      <c r="AN36" s="145">
        <v>5</v>
      </c>
      <c r="AO36" s="145"/>
      <c r="AP36" s="145">
        <v>4.8</v>
      </c>
      <c r="AQ36" s="145"/>
      <c r="AR36" s="145"/>
      <c r="AS36" s="145">
        <f>+AN36-AP36</f>
        <v>0.20000000000000018</v>
      </c>
      <c r="AT36" s="145"/>
      <c r="AU36" s="145"/>
      <c r="AV36" s="145"/>
      <c r="AW36" s="145"/>
      <c r="AX36" s="145"/>
      <c r="AY36" s="145"/>
      <c r="AZ36" s="145"/>
      <c r="BA36" s="145">
        <f>+AV36-AX36</f>
        <v>0</v>
      </c>
      <c r="BB36" s="145"/>
      <c r="BC36" s="145"/>
      <c r="BD36" s="145">
        <v>52</v>
      </c>
      <c r="BE36" s="145"/>
      <c r="BF36" s="145">
        <v>39.700000000000003</v>
      </c>
      <c r="BG36" s="145"/>
      <c r="BH36" s="145">
        <f t="shared" si="41"/>
        <v>130.9823677581864</v>
      </c>
      <c r="BI36" s="145">
        <f t="shared" si="42"/>
        <v>12.299999999999997</v>
      </c>
      <c r="BJ36" s="145"/>
      <c r="BK36" s="145">
        <f>BE36-BG36</f>
        <v>0</v>
      </c>
    </row>
    <row r="37" spans="1:63" ht="12" customHeight="1" x14ac:dyDescent="0.2">
      <c r="A37" s="172">
        <v>29</v>
      </c>
      <c r="B37" s="144" t="s">
        <v>112</v>
      </c>
      <c r="C37" s="145">
        <f t="shared" si="23"/>
        <v>1126.6000000000001</v>
      </c>
      <c r="D37" s="145">
        <f t="shared" si="23"/>
        <v>616.6</v>
      </c>
      <c r="E37" s="145">
        <f>+'[1]2019-2018'!$J33</f>
        <v>686.10000000000014</v>
      </c>
      <c r="F37" s="145">
        <f t="shared" si="24"/>
        <v>-440.5</v>
      </c>
      <c r="G37" s="145">
        <f>+'[1]2019-2018'!$M33</f>
        <v>433.6</v>
      </c>
      <c r="H37" s="145" t="e">
        <f>G37-D37-#REF!</f>
        <v>#REF!</v>
      </c>
      <c r="I37" s="146"/>
      <c r="J37" s="145">
        <f t="shared" si="25"/>
        <v>815.3</v>
      </c>
      <c r="K37" s="145">
        <f t="shared" si="25"/>
        <v>545.80000000000007</v>
      </c>
      <c r="L37" s="145">
        <f t="shared" si="3"/>
        <v>138.18226419722802</v>
      </c>
      <c r="M37" s="145">
        <f t="shared" si="26"/>
        <v>311.30000000000018</v>
      </c>
      <c r="N37" s="145">
        <f t="shared" si="5"/>
        <v>112.97178453646023</v>
      </c>
      <c r="O37" s="145">
        <f t="shared" si="27"/>
        <v>70.799999999999955</v>
      </c>
      <c r="P37" s="145">
        <f>972.5-0.1</f>
        <v>972.4</v>
      </c>
      <c r="Q37" s="145">
        <v>553.1</v>
      </c>
      <c r="R37" s="145">
        <v>716.8</v>
      </c>
      <c r="S37" s="145">
        <v>486.7</v>
      </c>
      <c r="T37" s="145">
        <f t="shared" si="7"/>
        <v>135.65848214285714</v>
      </c>
      <c r="U37" s="145">
        <f t="shared" si="28"/>
        <v>255.60000000000002</v>
      </c>
      <c r="V37" s="145">
        <f t="shared" si="9"/>
        <v>113.64290117115267</v>
      </c>
      <c r="W37" s="145">
        <f t="shared" si="29"/>
        <v>66.400000000000034</v>
      </c>
      <c r="X37" s="145">
        <v>52.9</v>
      </c>
      <c r="Y37" s="145">
        <v>52.1</v>
      </c>
      <c r="Z37" s="145">
        <v>48.6</v>
      </c>
      <c r="AA37" s="145">
        <v>47.9</v>
      </c>
      <c r="AB37" s="145">
        <f>+X37/Z37*100</f>
        <v>108.84773662551439</v>
      </c>
      <c r="AC37" s="145">
        <f t="shared" si="30"/>
        <v>4.2999999999999972</v>
      </c>
      <c r="AD37" s="145">
        <f>+Y37/AA37*100</f>
        <v>108.76826722338204</v>
      </c>
      <c r="AE37" s="145">
        <f t="shared" si="31"/>
        <v>4.2000000000000028</v>
      </c>
      <c r="AF37" s="145">
        <f>2.4</f>
        <v>2.4</v>
      </c>
      <c r="AG37" s="145">
        <v>2.4</v>
      </c>
      <c r="AH37" s="145"/>
      <c r="AI37" s="145"/>
      <c r="AJ37" s="145"/>
      <c r="AK37" s="145">
        <f t="shared" si="33"/>
        <v>2.4</v>
      </c>
      <c r="AL37" s="145"/>
      <c r="AM37" s="145">
        <f t="shared" si="40"/>
        <v>2.4</v>
      </c>
      <c r="AN37" s="145">
        <f>61.4</f>
        <v>61.4</v>
      </c>
      <c r="AO37" s="145">
        <v>9</v>
      </c>
      <c r="AP37" s="145">
        <v>27.5</v>
      </c>
      <c r="AQ37" s="145">
        <v>11.2</v>
      </c>
      <c r="AR37" s="145" t="s">
        <v>95</v>
      </c>
      <c r="AS37" s="145">
        <f>+AN37-AP37</f>
        <v>33.9</v>
      </c>
      <c r="AT37" s="145">
        <f>+AO37/AQ37*100</f>
        <v>80.357142857142861</v>
      </c>
      <c r="AU37" s="145">
        <f>AO37-AQ37</f>
        <v>-2.1999999999999993</v>
      </c>
      <c r="AV37" s="145">
        <v>21.4</v>
      </c>
      <c r="AW37" s="145"/>
      <c r="AX37" s="145">
        <v>12.6</v>
      </c>
      <c r="AY37" s="145"/>
      <c r="AZ37" s="145">
        <f t="shared" si="43"/>
        <v>169.84126984126985</v>
      </c>
      <c r="BA37" s="145">
        <f>+AV37-AX37</f>
        <v>8.7999999999999989</v>
      </c>
      <c r="BB37" s="145"/>
      <c r="BC37" s="145"/>
      <c r="BD37" s="145">
        <v>16.100000000000001</v>
      </c>
      <c r="BE37" s="145"/>
      <c r="BF37" s="145">
        <v>9.8000000000000007</v>
      </c>
      <c r="BG37" s="145"/>
      <c r="BH37" s="145">
        <f t="shared" si="41"/>
        <v>164.28571428571428</v>
      </c>
      <c r="BI37" s="145">
        <f t="shared" si="42"/>
        <v>6.3000000000000007</v>
      </c>
      <c r="BJ37" s="145"/>
      <c r="BK37" s="145"/>
    </row>
    <row r="38" spans="1:63" ht="12" customHeight="1" x14ac:dyDescent="0.2">
      <c r="A38" s="172">
        <v>30</v>
      </c>
      <c r="B38" s="174" t="s">
        <v>113</v>
      </c>
      <c r="C38" s="145">
        <f t="shared" si="23"/>
        <v>731.30000000000007</v>
      </c>
      <c r="D38" s="145">
        <f t="shared" si="23"/>
        <v>430.20000000000005</v>
      </c>
      <c r="E38" s="145">
        <f>+'[1]2019-2018'!$J34</f>
        <v>482.30000000000007</v>
      </c>
      <c r="F38" s="145">
        <f t="shared" si="24"/>
        <v>-249</v>
      </c>
      <c r="G38" s="145">
        <f>+'[1]2019-2018'!$M34</f>
        <v>260.10000000000002</v>
      </c>
      <c r="H38" s="145" t="e">
        <f>G38-D38-#REF!</f>
        <v>#REF!</v>
      </c>
      <c r="I38" s="146"/>
      <c r="J38" s="145">
        <f t="shared" si="25"/>
        <v>679</v>
      </c>
      <c r="K38" s="145">
        <f>+S38+AA38+AI38+AQ38+AY38+BG38</f>
        <v>372.4</v>
      </c>
      <c r="L38" s="145">
        <f t="shared" si="3"/>
        <v>107.70250368188515</v>
      </c>
      <c r="M38" s="145">
        <f t="shared" si="26"/>
        <v>52.300000000000068</v>
      </c>
      <c r="N38" s="145">
        <f t="shared" si="5"/>
        <v>115.52094522019335</v>
      </c>
      <c r="O38" s="145">
        <f t="shared" si="27"/>
        <v>57.800000000000068</v>
      </c>
      <c r="P38" s="145">
        <v>140.19999999999999</v>
      </c>
      <c r="Q38" s="145">
        <v>113.4</v>
      </c>
      <c r="R38" s="145">
        <v>119.6</v>
      </c>
      <c r="S38" s="145">
        <v>106.3</v>
      </c>
      <c r="T38" s="145">
        <f t="shared" si="7"/>
        <v>117.22408026755853</v>
      </c>
      <c r="U38" s="145">
        <f t="shared" si="28"/>
        <v>20.599999999999994</v>
      </c>
      <c r="V38" s="145">
        <f t="shared" si="9"/>
        <v>106.67920978363124</v>
      </c>
      <c r="W38" s="145">
        <f t="shared" si="29"/>
        <v>7.1000000000000085</v>
      </c>
      <c r="X38" s="145">
        <v>323.89999999999998</v>
      </c>
      <c r="Y38" s="145">
        <v>316.8</v>
      </c>
      <c r="Z38" s="145">
        <v>265.3</v>
      </c>
      <c r="AA38" s="145">
        <v>259.2</v>
      </c>
      <c r="AB38" s="145">
        <f>+X38/Z38*100</f>
        <v>122.08820203543158</v>
      </c>
      <c r="AC38" s="145">
        <f t="shared" si="30"/>
        <v>58.599999999999966</v>
      </c>
      <c r="AD38" s="145">
        <f>+Y38/AA38*100</f>
        <v>122.22222222222223</v>
      </c>
      <c r="AE38" s="145">
        <f t="shared" si="31"/>
        <v>57.600000000000023</v>
      </c>
      <c r="AF38" s="145">
        <v>256.10000000000002</v>
      </c>
      <c r="AG38" s="145"/>
      <c r="AH38" s="145">
        <v>279.60000000000002</v>
      </c>
      <c r="AI38" s="145"/>
      <c r="AJ38" s="145">
        <f>+AF38/AH38*100</f>
        <v>91.595135908440625</v>
      </c>
      <c r="AK38" s="145">
        <f t="shared" si="33"/>
        <v>-23.5</v>
      </c>
      <c r="AL38" s="145"/>
      <c r="AM38" s="145">
        <f t="shared" si="40"/>
        <v>0</v>
      </c>
      <c r="AN38" s="145">
        <v>0.2</v>
      </c>
      <c r="AO38" s="145"/>
      <c r="AP38" s="145">
        <v>0.1</v>
      </c>
      <c r="AQ38" s="145"/>
      <c r="AR38" s="145" t="s">
        <v>68</v>
      </c>
      <c r="AS38" s="145">
        <f>+AN38-AP38</f>
        <v>0.1</v>
      </c>
      <c r="AT38" s="145"/>
      <c r="AU38" s="145"/>
      <c r="AV38" s="145">
        <v>10.9</v>
      </c>
      <c r="AW38" s="145"/>
      <c r="AX38" s="145">
        <v>14.4</v>
      </c>
      <c r="AY38" s="145">
        <v>6.9</v>
      </c>
      <c r="AZ38" s="145">
        <f t="shared" si="43"/>
        <v>75.694444444444443</v>
      </c>
      <c r="BA38" s="145">
        <f>+AV38-AX38</f>
        <v>-3.5</v>
      </c>
      <c r="BB38" s="145">
        <f>+AW38/AY38*100</f>
        <v>0</v>
      </c>
      <c r="BC38" s="145">
        <f>+AW38-AY38</f>
        <v>-6.9</v>
      </c>
      <c r="BD38" s="145"/>
      <c r="BE38" s="145"/>
      <c r="BF38" s="145"/>
      <c r="BG38" s="145"/>
      <c r="BH38" s="145"/>
      <c r="BI38" s="145"/>
      <c r="BJ38" s="145"/>
      <c r="BK38" s="145"/>
    </row>
    <row r="39" spans="1:63" ht="12" customHeight="1" x14ac:dyDescent="0.2">
      <c r="A39" s="172">
        <v>31</v>
      </c>
      <c r="B39" s="175" t="s">
        <v>114</v>
      </c>
      <c r="C39" s="149">
        <f>SUM(C18:C38)</f>
        <v>24575.199999999997</v>
      </c>
      <c r="D39" s="148">
        <f t="shared" ref="D39:D71" si="44">+Q39+Y39+AG39+AO39+AW39+BE39</f>
        <v>20604.099999999995</v>
      </c>
      <c r="E39" s="149">
        <f t="shared" ref="E39:K39" si="45">SUM(E18:E38)</f>
        <v>17665.099999999999</v>
      </c>
      <c r="F39" s="149">
        <f t="shared" si="45"/>
        <v>-6910.0999999999995</v>
      </c>
      <c r="G39" s="149">
        <f t="shared" si="45"/>
        <v>15401.600000000004</v>
      </c>
      <c r="H39" s="149" t="e">
        <f t="shared" si="45"/>
        <v>#REF!</v>
      </c>
      <c r="I39" s="149">
        <f t="shared" si="45"/>
        <v>0</v>
      </c>
      <c r="J39" s="149">
        <f t="shared" si="45"/>
        <v>20966.899999999998</v>
      </c>
      <c r="K39" s="149">
        <f t="shared" si="45"/>
        <v>18036.5</v>
      </c>
      <c r="L39" s="148">
        <f t="shared" si="3"/>
        <v>117.20950641248827</v>
      </c>
      <c r="M39" s="149">
        <f>SUM(M18:M38)</f>
        <v>3608.3</v>
      </c>
      <c r="N39" s="148">
        <f t="shared" si="5"/>
        <v>114.23557785601417</v>
      </c>
      <c r="O39" s="149">
        <f>SUM(O18:O38)</f>
        <v>2567.5999999999995</v>
      </c>
      <c r="P39" s="149">
        <f>SUM(P18:P38)</f>
        <v>9206.2000000000007</v>
      </c>
      <c r="Q39" s="149">
        <f>SUM(Q18:Q38)</f>
        <v>6883</v>
      </c>
      <c r="R39" s="149">
        <f>SUM(R18:R38)</f>
        <v>7726.1</v>
      </c>
      <c r="S39" s="149">
        <f>SUM(S18:S38)</f>
        <v>6123.4000000000005</v>
      </c>
      <c r="T39" s="148">
        <f t="shared" si="7"/>
        <v>119.15714267224085</v>
      </c>
      <c r="U39" s="149">
        <f>SUM(U18:U38)</f>
        <v>1480.1</v>
      </c>
      <c r="V39" s="145">
        <f t="shared" si="9"/>
        <v>112.40487310971028</v>
      </c>
      <c r="W39" s="149">
        <f>SUM(W18:W38)</f>
        <v>759.60000000000025</v>
      </c>
      <c r="X39" s="149">
        <f>SUM(X18:X38)</f>
        <v>13724.3</v>
      </c>
      <c r="Y39" s="149">
        <f>SUM(Y18:Y38)</f>
        <v>13026.399999999998</v>
      </c>
      <c r="Z39" s="149">
        <f>SUM(Z18:Z38)</f>
        <v>11826.7</v>
      </c>
      <c r="AA39" s="149">
        <f>SUM(AA18:AA38)</f>
        <v>11213.4</v>
      </c>
      <c r="AB39" s="148">
        <f>+X39/Z39*100</f>
        <v>116.04505060583254</v>
      </c>
      <c r="AC39" s="149">
        <f>SUM(AC18:AC38)</f>
        <v>1897.5999999999997</v>
      </c>
      <c r="AD39" s="148">
        <f>+Y39/AA39*100</f>
        <v>116.16815595626659</v>
      </c>
      <c r="AE39" s="149">
        <f>SUM(AE18:AE38)</f>
        <v>1813.0000000000005</v>
      </c>
      <c r="AF39" s="149">
        <f>SUM(AF18:AF38)</f>
        <v>1183.9000000000001</v>
      </c>
      <c r="AG39" s="149">
        <f>SUM(AG18:AG38)</f>
        <v>650.79999999999995</v>
      </c>
      <c r="AH39" s="149">
        <f>SUM(AH18:AH38)</f>
        <v>1081.3000000000002</v>
      </c>
      <c r="AI39" s="149">
        <f>SUM(AI18:AI38)</f>
        <v>650.59999999999991</v>
      </c>
      <c r="AJ39" s="148">
        <f>+AF39/AH39*100</f>
        <v>109.48857856284103</v>
      </c>
      <c r="AK39" s="149">
        <f>SUM(AK18:AK38)</f>
        <v>102.60000000000002</v>
      </c>
      <c r="AL39" s="148">
        <f>+AG39/AI39*100</f>
        <v>100.03074085459576</v>
      </c>
      <c r="AM39" s="149">
        <f>SUM(AM18:AM38)</f>
        <v>0.20000000000000107</v>
      </c>
      <c r="AN39" s="149">
        <f>SUM(AN18:AN38)</f>
        <v>83</v>
      </c>
      <c r="AO39" s="149">
        <f>SUM(AO18:AO38)</f>
        <v>9</v>
      </c>
      <c r="AP39" s="149">
        <f>SUM(AP18:AP38)</f>
        <v>40.5</v>
      </c>
      <c r="AQ39" s="149">
        <f>SUM(AQ18:AQ38)</f>
        <v>11.2</v>
      </c>
      <c r="AR39" s="148" t="s">
        <v>68</v>
      </c>
      <c r="AS39" s="149">
        <f>SUM(AS18:AS38)</f>
        <v>42.500000000000007</v>
      </c>
      <c r="AT39" s="145">
        <f>+AN39/AP39*100</f>
        <v>204.93827160493828</v>
      </c>
      <c r="AU39" s="149">
        <f>SUM(AU18:AU38)</f>
        <v>-2.1999999999999993</v>
      </c>
      <c r="AV39" s="149">
        <f>SUM(AV18:AV38)</f>
        <v>91</v>
      </c>
      <c r="AW39" s="149">
        <f>SUM(AW18:AW38)</f>
        <v>28.6</v>
      </c>
      <c r="AX39" s="149">
        <f>SUM(AX18:AX38)</f>
        <v>57.5</v>
      </c>
      <c r="AY39" s="149">
        <f>SUM(AY18:AY38)</f>
        <v>27.200000000000003</v>
      </c>
      <c r="AZ39" s="148">
        <f t="shared" si="43"/>
        <v>158.26086956521738</v>
      </c>
      <c r="BA39" s="149">
        <f>SUM(BA18:BA38)</f>
        <v>33.5</v>
      </c>
      <c r="BB39" s="145">
        <f>+AW39/AY39*100</f>
        <v>105.14705882352942</v>
      </c>
      <c r="BC39" s="149">
        <f>SUM(BC18:BC38)</f>
        <v>1.4000000000000004</v>
      </c>
      <c r="BD39" s="149">
        <f>SUM(BD18:BD38)</f>
        <v>286.80000000000007</v>
      </c>
      <c r="BE39" s="149">
        <f>SUM(BE18:BE38)</f>
        <v>6.3</v>
      </c>
      <c r="BF39" s="149">
        <f>SUM(BF18:BF38)</f>
        <v>234.8</v>
      </c>
      <c r="BG39" s="149">
        <f>SUM(BG18:BG38)</f>
        <v>10.7</v>
      </c>
      <c r="BH39" s="148">
        <f>+BD39/BF39*100</f>
        <v>122.14650766609883</v>
      </c>
      <c r="BI39" s="149">
        <f>SUM(BI18:BI38)</f>
        <v>52</v>
      </c>
      <c r="BJ39" s="148">
        <f>+BE39/BG39*100</f>
        <v>58.878504672897201</v>
      </c>
      <c r="BK39" s="149">
        <f>SUM(BK18:BK38)</f>
        <v>-4.4000000000000004</v>
      </c>
    </row>
    <row r="40" spans="1:63" ht="12" customHeight="1" x14ac:dyDescent="0.2">
      <c r="A40" s="172">
        <v>32</v>
      </c>
      <c r="B40" s="144" t="s">
        <v>115</v>
      </c>
      <c r="C40" s="145">
        <f t="shared" ref="C40:C47" si="46">+P40+X40+AF40+AN40+AV40+BD40</f>
        <v>846.1</v>
      </c>
      <c r="D40" s="145">
        <f t="shared" si="44"/>
        <v>601.5</v>
      </c>
      <c r="E40" s="145">
        <f>+'[1]2019-2018'!$J36</f>
        <v>615.79999999999984</v>
      </c>
      <c r="F40" s="145">
        <f t="shared" ref="F40:F47" si="47">+E40-C40</f>
        <v>-230.30000000000018</v>
      </c>
      <c r="G40" s="145">
        <f>+'[1]2019-2018'!$M36</f>
        <v>465.9</v>
      </c>
      <c r="H40" s="145" t="e">
        <f>G40-D40-#REF!</f>
        <v>#REF!</v>
      </c>
      <c r="I40" s="146"/>
      <c r="J40" s="145">
        <f t="shared" ref="J40:K47" si="48">+R40+Z40+AH40+AP40+AX40+BF40</f>
        <v>730.69999999999993</v>
      </c>
      <c r="K40" s="145">
        <f t="shared" si="48"/>
        <v>547.6</v>
      </c>
      <c r="L40" s="145">
        <f t="shared" si="3"/>
        <v>115.7930751334337</v>
      </c>
      <c r="M40" s="145">
        <f t="shared" ref="M40:M47" si="49">+C40-J40</f>
        <v>115.40000000000009</v>
      </c>
      <c r="N40" s="145">
        <f t="shared" si="5"/>
        <v>109.84295105916726</v>
      </c>
      <c r="O40" s="145">
        <f t="shared" ref="O40:O47" si="50">D40-K40</f>
        <v>53.899999999999977</v>
      </c>
      <c r="P40" s="145">
        <v>825.9</v>
      </c>
      <c r="Q40" s="145">
        <v>595.29999999999995</v>
      </c>
      <c r="R40" s="145">
        <v>699.8</v>
      </c>
      <c r="S40" s="145">
        <v>538</v>
      </c>
      <c r="T40" s="145">
        <f t="shared" si="7"/>
        <v>118.01943412403544</v>
      </c>
      <c r="U40" s="145">
        <f t="shared" ref="U40:U47" si="51">+P40-R40</f>
        <v>126.10000000000002</v>
      </c>
      <c r="V40" s="145">
        <f t="shared" si="9"/>
        <v>110.65055762081784</v>
      </c>
      <c r="W40" s="145">
        <f t="shared" ref="W40:W47" si="52">Q40-S40</f>
        <v>57.299999999999955</v>
      </c>
      <c r="X40" s="145"/>
      <c r="Y40" s="145"/>
      <c r="Z40" s="145"/>
      <c r="AA40" s="145"/>
      <c r="AB40" s="145"/>
      <c r="AC40" s="145"/>
      <c r="AD40" s="145"/>
      <c r="AE40" s="145"/>
      <c r="AF40" s="145">
        <v>7.5</v>
      </c>
      <c r="AG40" s="145">
        <v>6.2</v>
      </c>
      <c r="AH40" s="145">
        <v>22.8</v>
      </c>
      <c r="AI40" s="145">
        <v>9.6</v>
      </c>
      <c r="AJ40" s="145">
        <f>+AF40/AH40*100</f>
        <v>32.89473684210526</v>
      </c>
      <c r="AK40" s="145">
        <f>+AF40-AH40</f>
        <v>-15.3</v>
      </c>
      <c r="AL40" s="145"/>
      <c r="AM40" s="145">
        <f>+AG40-AI40</f>
        <v>-3.3999999999999995</v>
      </c>
      <c r="AN40" s="145">
        <v>4</v>
      </c>
      <c r="AO40" s="145"/>
      <c r="AP40" s="145">
        <f>2.1-0.1</f>
        <v>2</v>
      </c>
      <c r="AQ40" s="145"/>
      <c r="AR40" s="145" t="s">
        <v>68</v>
      </c>
      <c r="AS40" s="145">
        <f>+AN40-AP40</f>
        <v>2</v>
      </c>
      <c r="AT40" s="145"/>
      <c r="AU40" s="145"/>
      <c r="AV40" s="145">
        <v>8.6999999999999993</v>
      </c>
      <c r="AW40" s="145"/>
      <c r="AX40" s="145">
        <v>6.1</v>
      </c>
      <c r="AY40" s="145"/>
      <c r="AZ40" s="145">
        <f t="shared" si="43"/>
        <v>142.62295081967213</v>
      </c>
      <c r="BA40" s="145">
        <f t="shared" ref="BA40:BA47" si="53">+AV40-AX40</f>
        <v>2.5999999999999996</v>
      </c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</row>
    <row r="41" spans="1:63" ht="12" customHeight="1" x14ac:dyDescent="0.2">
      <c r="A41" s="172">
        <v>33</v>
      </c>
      <c r="B41" s="144" t="s">
        <v>116</v>
      </c>
      <c r="C41" s="145">
        <f t="shared" si="46"/>
        <v>262.2</v>
      </c>
      <c r="D41" s="145">
        <f t="shared" si="44"/>
        <v>202.3</v>
      </c>
      <c r="E41" s="145">
        <f>+'[1]2019-2018'!$J37</f>
        <v>192.39999999999998</v>
      </c>
      <c r="F41" s="145">
        <f t="shared" si="47"/>
        <v>-69.800000000000011</v>
      </c>
      <c r="G41" s="145">
        <f>+'[1]2019-2018'!$M37</f>
        <v>153.19999999999999</v>
      </c>
      <c r="H41" s="145" t="e">
        <f>G41-D41-#REF!</f>
        <v>#REF!</v>
      </c>
      <c r="I41" s="146"/>
      <c r="J41" s="145">
        <f t="shared" si="48"/>
        <v>225.3</v>
      </c>
      <c r="K41" s="145">
        <f t="shared" si="48"/>
        <v>176.89999999999998</v>
      </c>
      <c r="L41" s="145">
        <f t="shared" si="3"/>
        <v>116.37816245006655</v>
      </c>
      <c r="M41" s="145">
        <f t="shared" si="49"/>
        <v>36.899999999999977</v>
      </c>
      <c r="N41" s="145">
        <f t="shared" si="5"/>
        <v>114.35839457320523</v>
      </c>
      <c r="O41" s="145">
        <f t="shared" si="50"/>
        <v>25.400000000000034</v>
      </c>
      <c r="P41" s="145">
        <v>260.39999999999998</v>
      </c>
      <c r="Q41" s="145">
        <v>202.3</v>
      </c>
      <c r="R41" s="145">
        <v>221.8</v>
      </c>
      <c r="S41" s="145">
        <v>174.2</v>
      </c>
      <c r="T41" s="145">
        <f t="shared" si="7"/>
        <v>117.40306582506761</v>
      </c>
      <c r="U41" s="145">
        <f t="shared" si="51"/>
        <v>38.599999999999966</v>
      </c>
      <c r="V41" s="145">
        <f t="shared" si="9"/>
        <v>116.13088404133181</v>
      </c>
      <c r="W41" s="145">
        <f t="shared" si="52"/>
        <v>28.100000000000023</v>
      </c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>
        <v>2.7</v>
      </c>
      <c r="AI41" s="145">
        <v>2.7</v>
      </c>
      <c r="AJ41" s="145"/>
      <c r="AK41" s="145">
        <f t="shared" ref="AK41:AK54" si="54">+AF41-AH41</f>
        <v>-2.7</v>
      </c>
      <c r="AL41" s="145"/>
      <c r="AM41" s="145"/>
      <c r="AN41" s="145">
        <v>1.3</v>
      </c>
      <c r="AO41" s="145"/>
      <c r="AP41" s="145">
        <v>0.3</v>
      </c>
      <c r="AQ41" s="145"/>
      <c r="AR41" s="145" t="s">
        <v>117</v>
      </c>
      <c r="AS41" s="145">
        <f>+AN41-AP41</f>
        <v>1</v>
      </c>
      <c r="AT41" s="145"/>
      <c r="AU41" s="145"/>
      <c r="AV41" s="145">
        <v>0.5</v>
      </c>
      <c r="AW41" s="145"/>
      <c r="AX41" s="145">
        <v>0.5</v>
      </c>
      <c r="AY41" s="145"/>
      <c r="AZ41" s="145">
        <f t="shared" si="43"/>
        <v>100</v>
      </c>
      <c r="BA41" s="145">
        <f t="shared" si="53"/>
        <v>0</v>
      </c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</row>
    <row r="42" spans="1:63" ht="12" customHeight="1" x14ac:dyDescent="0.2">
      <c r="A42" s="172">
        <v>34</v>
      </c>
      <c r="B42" s="144" t="s">
        <v>118</v>
      </c>
      <c r="C42" s="145">
        <f t="shared" si="46"/>
        <v>184.5</v>
      </c>
      <c r="D42" s="145">
        <f t="shared" si="44"/>
        <v>137.30000000000001</v>
      </c>
      <c r="E42" s="145">
        <f>+'[1]2019-2018'!$J38</f>
        <v>132.89999999999998</v>
      </c>
      <c r="F42" s="145">
        <f t="shared" si="47"/>
        <v>-51.600000000000023</v>
      </c>
      <c r="G42" s="145">
        <f>+'[1]2019-2018'!$M38</f>
        <v>101</v>
      </c>
      <c r="H42" s="145" t="e">
        <f>G42-D42-#REF!</f>
        <v>#REF!</v>
      </c>
      <c r="I42" s="146"/>
      <c r="J42" s="145">
        <f t="shared" si="48"/>
        <v>163.69999999999999</v>
      </c>
      <c r="K42" s="145">
        <f t="shared" si="48"/>
        <v>125.4</v>
      </c>
      <c r="L42" s="145">
        <f t="shared" si="3"/>
        <v>112.70616982284668</v>
      </c>
      <c r="M42" s="145">
        <f t="shared" si="49"/>
        <v>20.800000000000011</v>
      </c>
      <c r="N42" s="145">
        <f t="shared" si="5"/>
        <v>109.4896331738437</v>
      </c>
      <c r="O42" s="145">
        <f t="shared" si="50"/>
        <v>11.900000000000006</v>
      </c>
      <c r="P42" s="145">
        <v>183.6</v>
      </c>
      <c r="Q42" s="145">
        <v>137.30000000000001</v>
      </c>
      <c r="R42" s="145">
        <v>161.69999999999999</v>
      </c>
      <c r="S42" s="145">
        <v>123.7</v>
      </c>
      <c r="T42" s="145">
        <f t="shared" si="7"/>
        <v>113.54359925788498</v>
      </c>
      <c r="U42" s="145">
        <f t="shared" si="51"/>
        <v>21.900000000000006</v>
      </c>
      <c r="V42" s="145">
        <f t="shared" si="9"/>
        <v>110.99434114793856</v>
      </c>
      <c r="W42" s="145">
        <f t="shared" si="52"/>
        <v>13.600000000000009</v>
      </c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>
        <v>1.7</v>
      </c>
      <c r="AI42" s="145">
        <v>1.7</v>
      </c>
      <c r="AJ42" s="145"/>
      <c r="AK42" s="145">
        <f t="shared" si="54"/>
        <v>-1.7</v>
      </c>
      <c r="AL42" s="145"/>
      <c r="AM42" s="145"/>
      <c r="AN42" s="145">
        <v>0.4</v>
      </c>
      <c r="AO42" s="145"/>
      <c r="AP42" s="145">
        <v>0.3</v>
      </c>
      <c r="AQ42" s="145"/>
      <c r="AR42" s="145">
        <f>+AN42/AP42*100</f>
        <v>133.33333333333334</v>
      </c>
      <c r="AS42" s="145">
        <f>+AN42-AP42</f>
        <v>0.10000000000000003</v>
      </c>
      <c r="AT42" s="145"/>
      <c r="AU42" s="145"/>
      <c r="AV42" s="145">
        <v>0.5</v>
      </c>
      <c r="AW42" s="145"/>
      <c r="AX42" s="145"/>
      <c r="AY42" s="145"/>
      <c r="AZ42" s="145"/>
      <c r="BA42" s="145">
        <f t="shared" si="53"/>
        <v>0.5</v>
      </c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</row>
    <row r="43" spans="1:63" ht="12" customHeight="1" x14ac:dyDescent="0.2">
      <c r="A43" s="172">
        <v>35</v>
      </c>
      <c r="B43" s="144" t="s">
        <v>119</v>
      </c>
      <c r="C43" s="145">
        <f t="shared" si="46"/>
        <v>172.5</v>
      </c>
      <c r="D43" s="145">
        <f t="shared" si="44"/>
        <v>130.9</v>
      </c>
      <c r="E43" s="145">
        <f>+'[1]2019-2018'!$J39</f>
        <v>129.29999999999998</v>
      </c>
      <c r="F43" s="145">
        <f t="shared" si="47"/>
        <v>-43.200000000000017</v>
      </c>
      <c r="G43" s="145">
        <f>+'[1]2019-2018'!$M39</f>
        <v>94.5</v>
      </c>
      <c r="H43" s="145" t="e">
        <f>G43-D43-#REF!</f>
        <v>#REF!</v>
      </c>
      <c r="I43" s="146"/>
      <c r="J43" s="145">
        <f t="shared" si="48"/>
        <v>144.69999999999999</v>
      </c>
      <c r="K43" s="145">
        <f t="shared" si="48"/>
        <v>115.4</v>
      </c>
      <c r="L43" s="145">
        <f t="shared" si="3"/>
        <v>119.21216309606082</v>
      </c>
      <c r="M43" s="145">
        <f t="shared" si="49"/>
        <v>27.800000000000011</v>
      </c>
      <c r="N43" s="145">
        <f t="shared" si="5"/>
        <v>113.43154246100519</v>
      </c>
      <c r="O43" s="145">
        <f t="shared" si="50"/>
        <v>15.5</v>
      </c>
      <c r="P43" s="145">
        <v>171.6</v>
      </c>
      <c r="Q43" s="145">
        <v>130.9</v>
      </c>
      <c r="R43" s="145">
        <v>142.69999999999999</v>
      </c>
      <c r="S43" s="145">
        <v>113.9</v>
      </c>
      <c r="T43" s="145">
        <f t="shared" si="7"/>
        <v>120.25227750525578</v>
      </c>
      <c r="U43" s="145">
        <f t="shared" si="51"/>
        <v>28.900000000000006</v>
      </c>
      <c r="V43" s="145">
        <f t="shared" si="9"/>
        <v>114.92537313432835</v>
      </c>
      <c r="W43" s="145">
        <f t="shared" si="52"/>
        <v>17</v>
      </c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>
        <v>1.5</v>
      </c>
      <c r="AI43" s="145">
        <v>1.5</v>
      </c>
      <c r="AJ43" s="145"/>
      <c r="AK43" s="145">
        <f t="shared" si="54"/>
        <v>-1.5</v>
      </c>
      <c r="AL43" s="145"/>
      <c r="AM43" s="145"/>
      <c r="AN43" s="145">
        <v>0.5</v>
      </c>
      <c r="AO43" s="145"/>
      <c r="AP43" s="145">
        <v>0.5</v>
      </c>
      <c r="AQ43" s="145"/>
      <c r="AR43" s="145"/>
      <c r="AS43" s="145">
        <f>+AN43-AP43</f>
        <v>0</v>
      </c>
      <c r="AT43" s="145"/>
      <c r="AU43" s="145"/>
      <c r="AV43" s="145">
        <v>0.4</v>
      </c>
      <c r="AW43" s="145"/>
      <c r="AX43" s="145"/>
      <c r="AY43" s="145"/>
      <c r="AZ43" s="145"/>
      <c r="BA43" s="145">
        <f t="shared" si="53"/>
        <v>0.4</v>
      </c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</row>
    <row r="44" spans="1:63" ht="12" customHeight="1" x14ac:dyDescent="0.2">
      <c r="A44" s="172">
        <v>36</v>
      </c>
      <c r="B44" s="144" t="s">
        <v>120</v>
      </c>
      <c r="C44" s="145">
        <f t="shared" si="46"/>
        <v>117.6</v>
      </c>
      <c r="D44" s="145">
        <f t="shared" si="44"/>
        <v>90.4</v>
      </c>
      <c r="E44" s="145">
        <f>+'[1]2019-2018'!$J40</f>
        <v>84.6</v>
      </c>
      <c r="F44" s="145">
        <f t="shared" si="47"/>
        <v>-33</v>
      </c>
      <c r="G44" s="145">
        <f>+'[1]2019-2018'!$M40</f>
        <v>64.599999999999994</v>
      </c>
      <c r="H44" s="145" t="e">
        <f>G44-D44-#REF!</f>
        <v>#REF!</v>
      </c>
      <c r="I44" s="146"/>
      <c r="J44" s="145">
        <f t="shared" si="48"/>
        <v>100.9</v>
      </c>
      <c r="K44" s="145">
        <f t="shared" si="48"/>
        <v>85.8</v>
      </c>
      <c r="L44" s="145">
        <f t="shared" si="3"/>
        <v>116.55104063429135</v>
      </c>
      <c r="M44" s="145">
        <f t="shared" si="49"/>
        <v>16.699999999999989</v>
      </c>
      <c r="N44" s="145">
        <f t="shared" si="5"/>
        <v>105.36130536130537</v>
      </c>
      <c r="O44" s="145">
        <f t="shared" si="50"/>
        <v>4.6000000000000085</v>
      </c>
      <c r="P44" s="145">
        <v>117.6</v>
      </c>
      <c r="Q44" s="145">
        <v>90.4</v>
      </c>
      <c r="R44" s="145">
        <v>99.5</v>
      </c>
      <c r="S44" s="145">
        <v>84.6</v>
      </c>
      <c r="T44" s="145">
        <f t="shared" si="7"/>
        <v>118.19095477386934</v>
      </c>
      <c r="U44" s="145">
        <f t="shared" si="51"/>
        <v>18.099999999999994</v>
      </c>
      <c r="V44" s="145">
        <f t="shared" si="9"/>
        <v>106.85579196217496</v>
      </c>
      <c r="W44" s="145">
        <f t="shared" si="52"/>
        <v>5.8000000000000114</v>
      </c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>
        <v>1.2</v>
      </c>
      <c r="AI44" s="145">
        <v>1.2</v>
      </c>
      <c r="AJ44" s="145"/>
      <c r="AK44" s="145">
        <f t="shared" si="54"/>
        <v>-1.2</v>
      </c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>
        <v>0.2</v>
      </c>
      <c r="AY44" s="145"/>
      <c r="AZ44" s="145"/>
      <c r="BA44" s="145">
        <f t="shared" si="53"/>
        <v>-0.2</v>
      </c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</row>
    <row r="45" spans="1:63" ht="12" customHeight="1" x14ac:dyDescent="0.2">
      <c r="A45" s="172">
        <v>37</v>
      </c>
      <c r="B45" s="144" t="s">
        <v>121</v>
      </c>
      <c r="C45" s="145">
        <f t="shared" si="46"/>
        <v>105.4</v>
      </c>
      <c r="D45" s="145">
        <f t="shared" si="44"/>
        <v>78</v>
      </c>
      <c r="E45" s="145">
        <f>+'[1]2019-2018'!$J41</f>
        <v>79.7</v>
      </c>
      <c r="F45" s="145">
        <f t="shared" si="47"/>
        <v>-25.700000000000003</v>
      </c>
      <c r="G45" s="145">
        <f>+'[1]2019-2018'!$M41</f>
        <v>64</v>
      </c>
      <c r="H45" s="145" t="e">
        <f>G45-D45-#REF!</f>
        <v>#REF!</v>
      </c>
      <c r="I45" s="146"/>
      <c r="J45" s="145">
        <f t="shared" si="48"/>
        <v>93.899999999999991</v>
      </c>
      <c r="K45" s="145">
        <f t="shared" si="48"/>
        <v>74.2</v>
      </c>
      <c r="L45" s="145">
        <f t="shared" si="3"/>
        <v>112.24707135250267</v>
      </c>
      <c r="M45" s="145">
        <f t="shared" si="49"/>
        <v>11.500000000000014</v>
      </c>
      <c r="N45" s="145">
        <f t="shared" si="5"/>
        <v>105.12129380053908</v>
      </c>
      <c r="O45" s="145">
        <f t="shared" si="50"/>
        <v>3.7999999999999972</v>
      </c>
      <c r="P45" s="145">
        <v>105.4</v>
      </c>
      <c r="Q45" s="145">
        <v>78</v>
      </c>
      <c r="R45" s="145">
        <v>92.6</v>
      </c>
      <c r="S45" s="145">
        <v>73.2</v>
      </c>
      <c r="T45" s="145">
        <f t="shared" si="7"/>
        <v>113.82289416846653</v>
      </c>
      <c r="U45" s="145">
        <f t="shared" si="51"/>
        <v>12.800000000000011</v>
      </c>
      <c r="V45" s="145">
        <f t="shared" si="9"/>
        <v>106.55737704918032</v>
      </c>
      <c r="W45" s="145">
        <f t="shared" si="52"/>
        <v>4.7999999999999972</v>
      </c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>
        <v>1</v>
      </c>
      <c r="AI45" s="145">
        <v>1</v>
      </c>
      <c r="AJ45" s="145"/>
      <c r="AK45" s="145">
        <f t="shared" si="54"/>
        <v>-1</v>
      </c>
      <c r="AL45" s="145"/>
      <c r="AM45" s="145"/>
      <c r="AN45" s="145"/>
      <c r="AO45" s="145"/>
      <c r="AP45" s="145">
        <v>0.1</v>
      </c>
      <c r="AQ45" s="145"/>
      <c r="AR45" s="145"/>
      <c r="AS45" s="145">
        <f>+AN45-AP45</f>
        <v>-0.1</v>
      </c>
      <c r="AT45" s="145"/>
      <c r="AU45" s="145"/>
      <c r="AV45" s="145"/>
      <c r="AW45" s="145"/>
      <c r="AX45" s="145">
        <v>0.2</v>
      </c>
      <c r="AY45" s="145"/>
      <c r="AZ45" s="145">
        <f>+AV45/AX45*100</f>
        <v>0</v>
      </c>
      <c r="BA45" s="145">
        <f t="shared" si="53"/>
        <v>-0.2</v>
      </c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</row>
    <row r="46" spans="1:63" ht="27" customHeight="1" x14ac:dyDescent="0.2">
      <c r="A46" s="172">
        <v>38</v>
      </c>
      <c r="B46" s="151" t="s">
        <v>122</v>
      </c>
      <c r="C46" s="145">
        <f t="shared" si="46"/>
        <v>1144.3999999999999</v>
      </c>
      <c r="D46" s="145">
        <f t="shared" si="44"/>
        <v>901</v>
      </c>
      <c r="E46" s="145">
        <f>+'[1]2019-2018'!$J42</f>
        <v>810.8</v>
      </c>
      <c r="F46" s="145">
        <f t="shared" si="47"/>
        <v>-333.59999999999991</v>
      </c>
      <c r="G46" s="145">
        <f>+'[1]2019-2018'!$M42</f>
        <v>684.4</v>
      </c>
      <c r="H46" s="145" t="e">
        <f>G46-D46-#REF!</f>
        <v>#REF!</v>
      </c>
      <c r="I46" s="146"/>
      <c r="J46" s="145">
        <f t="shared" si="48"/>
        <v>1046.4000000000001</v>
      </c>
      <c r="K46" s="145">
        <f t="shared" si="48"/>
        <v>836.59999999999991</v>
      </c>
      <c r="L46" s="145">
        <f t="shared" si="3"/>
        <v>109.36544342507644</v>
      </c>
      <c r="M46" s="145">
        <f t="shared" si="49"/>
        <v>97.999999999999773</v>
      </c>
      <c r="N46" s="145">
        <f t="shared" si="5"/>
        <v>107.69782452785084</v>
      </c>
      <c r="O46" s="145">
        <f t="shared" si="50"/>
        <v>64.400000000000091</v>
      </c>
      <c r="P46" s="145">
        <v>1072.0999999999999</v>
      </c>
      <c r="Q46" s="145">
        <v>891.5</v>
      </c>
      <c r="R46" s="145">
        <v>973.6</v>
      </c>
      <c r="S46" s="145">
        <v>822.8</v>
      </c>
      <c r="T46" s="145">
        <f t="shared" si="7"/>
        <v>110.11709120788824</v>
      </c>
      <c r="U46" s="145">
        <f t="shared" si="51"/>
        <v>98.499999999999886</v>
      </c>
      <c r="V46" s="145">
        <f t="shared" si="9"/>
        <v>108.34953816237238</v>
      </c>
      <c r="W46" s="145">
        <f t="shared" si="52"/>
        <v>68.700000000000045</v>
      </c>
      <c r="X46" s="145"/>
      <c r="Y46" s="145"/>
      <c r="Z46" s="145"/>
      <c r="AA46" s="145"/>
      <c r="AB46" s="145"/>
      <c r="AC46" s="145"/>
      <c r="AD46" s="145"/>
      <c r="AE46" s="145"/>
      <c r="AF46" s="145">
        <v>65.099999999999994</v>
      </c>
      <c r="AG46" s="145">
        <v>9.5</v>
      </c>
      <c r="AH46" s="145">
        <v>66.8</v>
      </c>
      <c r="AI46" s="145">
        <v>13.8</v>
      </c>
      <c r="AJ46" s="145"/>
      <c r="AK46" s="145">
        <f t="shared" si="54"/>
        <v>-1.7000000000000028</v>
      </c>
      <c r="AL46" s="145"/>
      <c r="AM46" s="145"/>
      <c r="AN46" s="145">
        <v>5.9</v>
      </c>
      <c r="AO46" s="145"/>
      <c r="AP46" s="145">
        <v>5.0999999999999996</v>
      </c>
      <c r="AQ46" s="145"/>
      <c r="AR46" s="145">
        <f>+AN46/AP46*100</f>
        <v>115.68627450980394</v>
      </c>
      <c r="AS46" s="145">
        <f>+AN46-AP46</f>
        <v>0.80000000000000071</v>
      </c>
      <c r="AT46" s="145"/>
      <c r="AU46" s="145"/>
      <c r="AV46" s="145">
        <v>1.3</v>
      </c>
      <c r="AW46" s="145"/>
      <c r="AX46" s="145">
        <v>0.9</v>
      </c>
      <c r="AY46" s="145"/>
      <c r="AZ46" s="145">
        <f>+AV46/AX46*100</f>
        <v>144.44444444444443</v>
      </c>
      <c r="BA46" s="145">
        <f t="shared" si="53"/>
        <v>0.4</v>
      </c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</row>
    <row r="47" spans="1:63" ht="12" customHeight="1" x14ac:dyDescent="0.2">
      <c r="A47" s="172">
        <v>39</v>
      </c>
      <c r="B47" s="144" t="s">
        <v>123</v>
      </c>
      <c r="C47" s="145">
        <f t="shared" si="46"/>
        <v>610.19999999999993</v>
      </c>
      <c r="D47" s="145">
        <f t="shared" si="44"/>
        <v>422.2</v>
      </c>
      <c r="E47" s="145">
        <f>+'[1]2019-2018'!$J43</f>
        <v>517.29999999999995</v>
      </c>
      <c r="F47" s="145">
        <f t="shared" si="47"/>
        <v>-92.899999999999977</v>
      </c>
      <c r="G47" s="145">
        <f>+'[1]2019-2018'!$M43</f>
        <v>340.5</v>
      </c>
      <c r="H47" s="145" t="e">
        <f>G47-D47-#REF!</f>
        <v>#REF!</v>
      </c>
      <c r="I47" s="146"/>
      <c r="J47" s="145">
        <f t="shared" si="48"/>
        <v>1080.2</v>
      </c>
      <c r="K47" s="145">
        <f t="shared" si="48"/>
        <v>424.3</v>
      </c>
      <c r="L47" s="145">
        <f t="shared" si="3"/>
        <v>56.489538974264022</v>
      </c>
      <c r="M47" s="145">
        <f t="shared" si="49"/>
        <v>-470.00000000000011</v>
      </c>
      <c r="N47" s="145">
        <f t="shared" si="5"/>
        <v>99.505067169455558</v>
      </c>
      <c r="O47" s="145">
        <f t="shared" si="50"/>
        <v>-2.1000000000000227</v>
      </c>
      <c r="P47" s="145">
        <f>589.3-0.1</f>
        <v>589.19999999999993</v>
      </c>
      <c r="Q47" s="145">
        <v>419.8</v>
      </c>
      <c r="R47" s="145">
        <v>580.1</v>
      </c>
      <c r="S47" s="145">
        <v>414.3</v>
      </c>
      <c r="T47" s="145">
        <f t="shared" si="7"/>
        <v>101.56869505257713</v>
      </c>
      <c r="U47" s="145">
        <f t="shared" si="51"/>
        <v>9.0999999999999091</v>
      </c>
      <c r="V47" s="145">
        <f t="shared" si="9"/>
        <v>101.32754042964037</v>
      </c>
      <c r="W47" s="145">
        <f t="shared" si="52"/>
        <v>5.5</v>
      </c>
      <c r="X47" s="145"/>
      <c r="Y47" s="145"/>
      <c r="Z47" s="145"/>
      <c r="AA47" s="145"/>
      <c r="AB47" s="145"/>
      <c r="AC47" s="145"/>
      <c r="AD47" s="145"/>
      <c r="AE47" s="145"/>
      <c r="AF47" s="145">
        <v>2.4</v>
      </c>
      <c r="AG47" s="145">
        <v>2.4</v>
      </c>
      <c r="AH47" s="145">
        <v>473.4</v>
      </c>
      <c r="AI47" s="145">
        <v>10</v>
      </c>
      <c r="AJ47" s="145">
        <f>+AF49/AH49*100</f>
        <v>103.2368703108253</v>
      </c>
      <c r="AK47" s="145">
        <f t="shared" si="54"/>
        <v>-471</v>
      </c>
      <c r="AL47" s="145">
        <f t="shared" ref="AL47:AL68" si="55">+AG47/AI47*100</f>
        <v>24</v>
      </c>
      <c r="AM47" s="145">
        <f t="shared" ref="AM47:AM54" si="56">AG47-AI47</f>
        <v>-7.6</v>
      </c>
      <c r="AN47" s="145"/>
      <c r="AO47" s="145"/>
      <c r="AP47" s="145"/>
      <c r="AQ47" s="145"/>
      <c r="AR47" s="145"/>
      <c r="AS47" s="145">
        <f>+AN47-AP47</f>
        <v>0</v>
      </c>
      <c r="AT47" s="145"/>
      <c r="AU47" s="145"/>
      <c r="AV47" s="145">
        <v>18.600000000000001</v>
      </c>
      <c r="AW47" s="145"/>
      <c r="AX47" s="145">
        <v>26.7</v>
      </c>
      <c r="AY47" s="145"/>
      <c r="AZ47" s="145">
        <f>+AV47/AX47*100</f>
        <v>69.662921348314612</v>
      </c>
      <c r="BA47" s="145">
        <f t="shared" si="53"/>
        <v>-8.0999999999999979</v>
      </c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</row>
    <row r="48" spans="1:63" ht="12" customHeight="1" x14ac:dyDescent="0.2">
      <c r="A48" s="172">
        <v>40</v>
      </c>
      <c r="B48" s="175" t="s">
        <v>124</v>
      </c>
      <c r="C48" s="148">
        <f>SUM(C40:C47)</f>
        <v>3442.8999999999996</v>
      </c>
      <c r="D48" s="148">
        <f t="shared" si="44"/>
        <v>2563.6</v>
      </c>
      <c r="E48" s="148">
        <f t="shared" ref="E48:K48" si="57">SUM(E40:E47)</f>
        <v>2562.7999999999997</v>
      </c>
      <c r="F48" s="148">
        <f t="shared" si="57"/>
        <v>-880.1</v>
      </c>
      <c r="G48" s="148">
        <f t="shared" si="57"/>
        <v>1968.1</v>
      </c>
      <c r="H48" s="148" t="e">
        <f t="shared" si="57"/>
        <v>#REF!</v>
      </c>
      <c r="I48" s="148">
        <f t="shared" si="57"/>
        <v>0</v>
      </c>
      <c r="J48" s="148">
        <f t="shared" si="57"/>
        <v>3585.8</v>
      </c>
      <c r="K48" s="148">
        <f t="shared" si="57"/>
        <v>2386.1999999999998</v>
      </c>
      <c r="L48" s="148">
        <f t="shared" si="3"/>
        <v>96.014836298733869</v>
      </c>
      <c r="M48" s="148">
        <f>SUM(M40:M47)</f>
        <v>-142.90000000000026</v>
      </c>
      <c r="N48" s="148">
        <f t="shared" si="5"/>
        <v>107.43441455033107</v>
      </c>
      <c r="O48" s="148">
        <f>SUM(O40:O47)</f>
        <v>177.40000000000009</v>
      </c>
      <c r="P48" s="148">
        <f>SUM(P40:P47)</f>
        <v>3325.7999999999993</v>
      </c>
      <c r="Q48" s="148">
        <f>SUM(Q40:Q47)</f>
        <v>2545.5</v>
      </c>
      <c r="R48" s="148">
        <f>SUM(R40:R47)</f>
        <v>2971.7999999999997</v>
      </c>
      <c r="S48" s="148">
        <f>SUM(S40:S47)</f>
        <v>2344.7000000000003</v>
      </c>
      <c r="T48" s="148">
        <f t="shared" si="7"/>
        <v>111.91197254189377</v>
      </c>
      <c r="U48" s="148">
        <f>SUM(U40:U47)</f>
        <v>353.99999999999977</v>
      </c>
      <c r="V48" s="145">
        <f t="shared" si="9"/>
        <v>108.563995393867</v>
      </c>
      <c r="W48" s="148">
        <f>SUM(W40:W47)</f>
        <v>200.80000000000004</v>
      </c>
      <c r="X48" s="148">
        <f t="shared" ref="X48:AE48" si="58">SUM(X40:X47)</f>
        <v>0</v>
      </c>
      <c r="Y48" s="148">
        <f t="shared" si="58"/>
        <v>0</v>
      </c>
      <c r="Z48" s="148">
        <f>SUM(Z40:Z47)</f>
        <v>0</v>
      </c>
      <c r="AA48" s="148">
        <f>SUM(AA40:AA47)</f>
        <v>0</v>
      </c>
      <c r="AB48" s="148">
        <f t="shared" si="58"/>
        <v>0</v>
      </c>
      <c r="AC48" s="148">
        <f t="shared" si="58"/>
        <v>0</v>
      </c>
      <c r="AD48" s="148">
        <f t="shared" si="58"/>
        <v>0</v>
      </c>
      <c r="AE48" s="148">
        <f t="shared" si="58"/>
        <v>0</v>
      </c>
      <c r="AF48" s="148">
        <f>SUM(AF40:AF47)</f>
        <v>75</v>
      </c>
      <c r="AG48" s="148">
        <f>SUM(AG40:AG47)</f>
        <v>18.099999999999998</v>
      </c>
      <c r="AH48" s="148">
        <f>SUM(AH40:AH47)</f>
        <v>571.09999999999991</v>
      </c>
      <c r="AI48" s="148">
        <f>SUM(AI40:AI47)</f>
        <v>41.5</v>
      </c>
      <c r="AJ48" s="148">
        <f>+AF48/AH48*100</f>
        <v>13.132551216949748</v>
      </c>
      <c r="AK48" s="148">
        <f t="shared" si="54"/>
        <v>-496.09999999999991</v>
      </c>
      <c r="AL48" s="148">
        <f t="shared" si="55"/>
        <v>43.614457831325296</v>
      </c>
      <c r="AM48" s="148">
        <f t="shared" si="56"/>
        <v>-23.400000000000002</v>
      </c>
      <c r="AN48" s="148">
        <f>SUM(AN40:AN47)</f>
        <v>12.100000000000001</v>
      </c>
      <c r="AO48" s="148"/>
      <c r="AP48" s="148">
        <f>SUM(AP40:AP47)</f>
        <v>8.2999999999999989</v>
      </c>
      <c r="AQ48" s="148"/>
      <c r="AR48" s="148">
        <f>+AN48/AP48*100</f>
        <v>145.78313253012053</v>
      </c>
      <c r="AS48" s="148">
        <f>SUM(AS40:AS47)</f>
        <v>3.8000000000000007</v>
      </c>
      <c r="AT48" s="148"/>
      <c r="AU48" s="148"/>
      <c r="AV48" s="148">
        <f>SUM(AV40:AV47)</f>
        <v>30</v>
      </c>
      <c r="AW48" s="148">
        <f>SUM(AW40:AW47)</f>
        <v>0</v>
      </c>
      <c r="AX48" s="148">
        <f>SUM(AX40:AX47)</f>
        <v>34.6</v>
      </c>
      <c r="AY48" s="148">
        <f>SUM(AY40:AY47)</f>
        <v>0</v>
      </c>
      <c r="AZ48" s="148">
        <f>+AV48/AX48*100</f>
        <v>86.705202312138724</v>
      </c>
      <c r="BA48" s="148">
        <f>SUM(BA40:BA47)</f>
        <v>-4.5999999999999988</v>
      </c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</row>
    <row r="49" spans="1:63" ht="12" customHeight="1" x14ac:dyDescent="0.2">
      <c r="A49" s="172">
        <v>41</v>
      </c>
      <c r="B49" s="144" t="s">
        <v>125</v>
      </c>
      <c r="C49" s="145">
        <f t="shared" ref="C49:C54" si="59">+P49+X49+AF49+AN49+AV49+BD49</f>
        <v>1738.3</v>
      </c>
      <c r="D49" s="145">
        <f t="shared" si="44"/>
        <v>1394.1</v>
      </c>
      <c r="E49" s="145">
        <f>+'[1]2019-2018'!$J45</f>
        <v>910.80000000000007</v>
      </c>
      <c r="F49" s="145">
        <f t="shared" ref="F49:F54" si="60">+E49-C49</f>
        <v>-827.49999999999989</v>
      </c>
      <c r="G49" s="145">
        <f>+'[1]2019-2018'!$M45</f>
        <v>698.4</v>
      </c>
      <c r="H49" s="145" t="e">
        <f>G49-D49-#REF!</f>
        <v>#REF!</v>
      </c>
      <c r="I49" s="146"/>
      <c r="J49" s="145">
        <f t="shared" ref="J49:K54" si="61">+R49+Z49+AH49+AP49+AX49+BF49</f>
        <v>1316.8000000000002</v>
      </c>
      <c r="K49" s="145">
        <f t="shared" si="61"/>
        <v>1056.2</v>
      </c>
      <c r="L49" s="145">
        <f t="shared" si="3"/>
        <v>132.0094167679222</v>
      </c>
      <c r="M49" s="145">
        <f t="shared" ref="M49:M54" si="62">+C49-J49</f>
        <v>421.49999999999977</v>
      </c>
      <c r="N49" s="145">
        <f t="shared" si="5"/>
        <v>131.99204696080287</v>
      </c>
      <c r="O49" s="145">
        <f t="shared" ref="O49:O54" si="63">D49-K49</f>
        <v>337.89999999999986</v>
      </c>
      <c r="P49" s="145">
        <v>1206.7</v>
      </c>
      <c r="Q49" s="145">
        <v>932.5</v>
      </c>
      <c r="R49" s="145">
        <v>819.4</v>
      </c>
      <c r="S49" s="145">
        <v>605.6</v>
      </c>
      <c r="T49" s="145">
        <f t="shared" si="7"/>
        <v>147.26629240907982</v>
      </c>
      <c r="U49" s="145">
        <f t="shared" ref="U49:U54" si="64">+P49-R49</f>
        <v>387.30000000000007</v>
      </c>
      <c r="V49" s="145">
        <f t="shared" si="9"/>
        <v>153.97952443857329</v>
      </c>
      <c r="W49" s="145">
        <f t="shared" ref="W49:W54" si="65">Q49-S49</f>
        <v>326.89999999999998</v>
      </c>
      <c r="X49" s="145"/>
      <c r="Y49" s="145"/>
      <c r="Z49" s="145"/>
      <c r="AA49" s="145"/>
      <c r="AB49" s="145"/>
      <c r="AC49" s="145"/>
      <c r="AD49" s="145"/>
      <c r="AE49" s="145"/>
      <c r="AF49" s="145">
        <f>481.7-0.1</f>
        <v>481.59999999999997</v>
      </c>
      <c r="AG49" s="145">
        <v>461.6</v>
      </c>
      <c r="AH49" s="145">
        <v>466.5</v>
      </c>
      <c r="AI49" s="145">
        <v>450.6</v>
      </c>
      <c r="AJ49" s="145">
        <f t="shared" ref="AJ49:AJ68" si="66">+AF49/AH49*100</f>
        <v>103.2368703108253</v>
      </c>
      <c r="AK49" s="145">
        <f t="shared" si="54"/>
        <v>15.099999999999966</v>
      </c>
      <c r="AL49" s="145">
        <f t="shared" si="55"/>
        <v>102.44118952507768</v>
      </c>
      <c r="AM49" s="145">
        <f t="shared" si="56"/>
        <v>11</v>
      </c>
      <c r="AN49" s="145"/>
      <c r="AO49" s="145"/>
      <c r="AP49" s="145"/>
      <c r="AQ49" s="145"/>
      <c r="AR49" s="145"/>
      <c r="AS49" s="145"/>
      <c r="AT49" s="145"/>
      <c r="AU49" s="145"/>
      <c r="AV49" s="145">
        <f>50</f>
        <v>50</v>
      </c>
      <c r="AW49" s="145"/>
      <c r="AX49" s="145">
        <v>30.9</v>
      </c>
      <c r="AY49" s="145"/>
      <c r="AZ49" s="145">
        <f>+AV49/AX49*100</f>
        <v>161.81229773462783</v>
      </c>
      <c r="BA49" s="145">
        <f>+AV49-AX49</f>
        <v>19.100000000000001</v>
      </c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</row>
    <row r="50" spans="1:63" ht="12" customHeight="1" x14ac:dyDescent="0.2">
      <c r="A50" s="172">
        <v>42</v>
      </c>
      <c r="B50" s="144" t="s">
        <v>126</v>
      </c>
      <c r="C50" s="145">
        <f t="shared" si="59"/>
        <v>777.8</v>
      </c>
      <c r="D50" s="145">
        <f t="shared" si="44"/>
        <v>515.4</v>
      </c>
      <c r="E50" s="145">
        <f>+'[1]2019-2018'!$J46</f>
        <v>517.90000000000009</v>
      </c>
      <c r="F50" s="145">
        <f t="shared" si="60"/>
        <v>-259.89999999999986</v>
      </c>
      <c r="G50" s="145">
        <f>+'[1]2019-2018'!$M46</f>
        <v>373</v>
      </c>
      <c r="H50" s="145" t="e">
        <f>G50-D50-#REF!</f>
        <v>#REF!</v>
      </c>
      <c r="I50" s="146"/>
      <c r="J50" s="145">
        <f t="shared" si="61"/>
        <v>630</v>
      </c>
      <c r="K50" s="145">
        <f t="shared" si="61"/>
        <v>456</v>
      </c>
      <c r="L50" s="145">
        <f t="shared" si="3"/>
        <v>123.46031746031744</v>
      </c>
      <c r="M50" s="145">
        <f t="shared" si="62"/>
        <v>147.79999999999995</v>
      </c>
      <c r="N50" s="145">
        <f t="shared" si="5"/>
        <v>113.02631578947368</v>
      </c>
      <c r="O50" s="145">
        <f t="shared" si="63"/>
        <v>59.399999999999977</v>
      </c>
      <c r="P50" s="145">
        <f>284+0.1</f>
        <v>284.10000000000002</v>
      </c>
      <c r="Q50" s="145">
        <v>199.6</v>
      </c>
      <c r="R50" s="145">
        <v>239.3</v>
      </c>
      <c r="S50" s="145">
        <v>183.9</v>
      </c>
      <c r="T50" s="145">
        <f t="shared" si="7"/>
        <v>118.72127037191811</v>
      </c>
      <c r="U50" s="145">
        <f t="shared" si="64"/>
        <v>44.800000000000011</v>
      </c>
      <c r="V50" s="145">
        <f t="shared" si="9"/>
        <v>108.53724850462207</v>
      </c>
      <c r="W50" s="145">
        <f t="shared" si="65"/>
        <v>15.699999999999989</v>
      </c>
      <c r="X50" s="145"/>
      <c r="Y50" s="145"/>
      <c r="Z50" s="145"/>
      <c r="AA50" s="145"/>
      <c r="AB50" s="145"/>
      <c r="AC50" s="145"/>
      <c r="AD50" s="145"/>
      <c r="AE50" s="145"/>
      <c r="AF50" s="145">
        <v>198.7</v>
      </c>
      <c r="AG50" s="145">
        <v>135.30000000000001</v>
      </c>
      <c r="AH50" s="145">
        <v>140.4</v>
      </c>
      <c r="AI50" s="145">
        <v>112.5</v>
      </c>
      <c r="AJ50" s="145">
        <f t="shared" si="66"/>
        <v>141.52421652421651</v>
      </c>
      <c r="AK50" s="145">
        <f t="shared" si="54"/>
        <v>58.299999999999983</v>
      </c>
      <c r="AL50" s="145">
        <f t="shared" si="55"/>
        <v>120.26666666666668</v>
      </c>
      <c r="AM50" s="145">
        <f t="shared" si="56"/>
        <v>22.800000000000011</v>
      </c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>
        <f>295</f>
        <v>295</v>
      </c>
      <c r="BE50" s="145">
        <v>180.5</v>
      </c>
      <c r="BF50" s="145">
        <v>250.3</v>
      </c>
      <c r="BG50" s="145">
        <v>159.6</v>
      </c>
      <c r="BH50" s="145">
        <f>+BD50/BF50*100</f>
        <v>117.85856971634038</v>
      </c>
      <c r="BI50" s="145">
        <f>+BD50-BF50</f>
        <v>44.699999999999989</v>
      </c>
      <c r="BJ50" s="145">
        <f>+BE50/BG50*100</f>
        <v>113.09523809523809</v>
      </c>
      <c r="BK50" s="145">
        <f>BE50-BG50</f>
        <v>20.900000000000006</v>
      </c>
    </row>
    <row r="51" spans="1:63" ht="12" customHeight="1" x14ac:dyDescent="0.2">
      <c r="A51" s="172">
        <v>43</v>
      </c>
      <c r="B51" s="144" t="s">
        <v>127</v>
      </c>
      <c r="C51" s="145">
        <f t="shared" si="59"/>
        <v>950.4</v>
      </c>
      <c r="D51" s="145">
        <f t="shared" si="44"/>
        <v>745.6</v>
      </c>
      <c r="E51" s="145">
        <f>+'[1]2019-2018'!$J47</f>
        <v>556.4</v>
      </c>
      <c r="F51" s="145">
        <f t="shared" si="60"/>
        <v>-394</v>
      </c>
      <c r="G51" s="145">
        <f>+'[1]2019-2018'!$M47</f>
        <v>389.4</v>
      </c>
      <c r="H51" s="145" t="e">
        <f>G51-D51-#REF!</f>
        <v>#REF!</v>
      </c>
      <c r="I51" s="146"/>
      <c r="J51" s="145">
        <f t="shared" si="61"/>
        <v>760.1</v>
      </c>
      <c r="K51" s="145">
        <f t="shared" si="61"/>
        <v>609.1</v>
      </c>
      <c r="L51" s="145">
        <f t="shared" si="3"/>
        <v>125.03617945007235</v>
      </c>
      <c r="M51" s="145">
        <f t="shared" si="62"/>
        <v>190.29999999999995</v>
      </c>
      <c r="N51" s="145">
        <f t="shared" si="5"/>
        <v>122.41011328189131</v>
      </c>
      <c r="O51" s="145">
        <f t="shared" si="63"/>
        <v>136.5</v>
      </c>
      <c r="P51" s="145">
        <v>439.3</v>
      </c>
      <c r="Q51" s="145">
        <v>376.9</v>
      </c>
      <c r="R51" s="145">
        <v>369.4</v>
      </c>
      <c r="S51" s="145">
        <v>320.60000000000002</v>
      </c>
      <c r="T51" s="145">
        <f t="shared" si="7"/>
        <v>118.92257715213862</v>
      </c>
      <c r="U51" s="145">
        <f t="shared" si="64"/>
        <v>69.900000000000034</v>
      </c>
      <c r="V51" s="145">
        <f t="shared" si="9"/>
        <v>117.56082345601995</v>
      </c>
      <c r="W51" s="145">
        <f t="shared" si="65"/>
        <v>56.299999999999955</v>
      </c>
      <c r="X51" s="145">
        <v>132.69999999999999</v>
      </c>
      <c r="Y51" s="145">
        <v>127.7</v>
      </c>
      <c r="Z51" s="145">
        <v>108.6</v>
      </c>
      <c r="AA51" s="145">
        <v>101.9</v>
      </c>
      <c r="AB51" s="145">
        <f>+X51/Z51*100</f>
        <v>122.1915285451197</v>
      </c>
      <c r="AC51" s="145">
        <f>+X51-Z51</f>
        <v>24.099999999999994</v>
      </c>
      <c r="AD51" s="145">
        <f>+Y51/AA51*100</f>
        <v>125.3189401373896</v>
      </c>
      <c r="AE51" s="145">
        <f>Y51-AA51</f>
        <v>25.799999999999997</v>
      </c>
      <c r="AF51" s="145">
        <f>167.2+0.1</f>
        <v>167.29999999999998</v>
      </c>
      <c r="AG51" s="145">
        <v>109.4</v>
      </c>
      <c r="AH51" s="145">
        <v>89</v>
      </c>
      <c r="AI51" s="145">
        <v>66.599999999999994</v>
      </c>
      <c r="AJ51" s="145">
        <f t="shared" si="66"/>
        <v>187.97752808988761</v>
      </c>
      <c r="AK51" s="145">
        <f t="shared" si="54"/>
        <v>78.299999999999983</v>
      </c>
      <c r="AL51" s="145">
        <f t="shared" si="55"/>
        <v>164.26426426426428</v>
      </c>
      <c r="AM51" s="145">
        <f t="shared" si="56"/>
        <v>42.800000000000011</v>
      </c>
      <c r="AN51" s="145"/>
      <c r="AO51" s="145"/>
      <c r="AP51" s="145"/>
      <c r="AQ51" s="145"/>
      <c r="AR51" s="145"/>
      <c r="AS51" s="145">
        <f>+AN51-AP51</f>
        <v>0</v>
      </c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>
        <v>211.1</v>
      </c>
      <c r="BE51" s="145">
        <v>131.6</v>
      </c>
      <c r="BF51" s="145">
        <v>193.1</v>
      </c>
      <c r="BG51" s="145">
        <v>120</v>
      </c>
      <c r="BH51" s="145">
        <f>+BD51/BF51*100</f>
        <v>109.32159502848265</v>
      </c>
      <c r="BI51" s="145">
        <f>+BD51-BF51</f>
        <v>18</v>
      </c>
      <c r="BJ51" s="145">
        <f>+BE51/BG51*100</f>
        <v>109.66666666666667</v>
      </c>
      <c r="BK51" s="145">
        <f>BE51-BG51</f>
        <v>11.599999999999994</v>
      </c>
    </row>
    <row r="52" spans="1:63" ht="12" customHeight="1" x14ac:dyDescent="0.2">
      <c r="A52" s="172">
        <v>44</v>
      </c>
      <c r="B52" s="144" t="s">
        <v>128</v>
      </c>
      <c r="C52" s="145">
        <f t="shared" si="59"/>
        <v>912.09999999999991</v>
      </c>
      <c r="D52" s="145">
        <f t="shared" si="44"/>
        <v>685.19999999999993</v>
      </c>
      <c r="E52" s="145">
        <f>+'[1]2019-2018'!$J48</f>
        <v>634.60000000000014</v>
      </c>
      <c r="F52" s="145">
        <f t="shared" si="60"/>
        <v>-277.49999999999977</v>
      </c>
      <c r="G52" s="145">
        <f>+'[1]2019-2018'!$M48</f>
        <v>422.1</v>
      </c>
      <c r="H52" s="145" t="e">
        <f>G52-D52-#REF!</f>
        <v>#REF!</v>
      </c>
      <c r="I52" s="146"/>
      <c r="J52" s="145">
        <f t="shared" si="61"/>
        <v>765.5</v>
      </c>
      <c r="K52" s="145">
        <f t="shared" si="61"/>
        <v>602.79999999999995</v>
      </c>
      <c r="L52" s="145">
        <f t="shared" si="3"/>
        <v>119.15088177661657</v>
      </c>
      <c r="M52" s="145">
        <f t="shared" si="62"/>
        <v>146.59999999999991</v>
      </c>
      <c r="N52" s="145">
        <f t="shared" si="5"/>
        <v>113.66954213669543</v>
      </c>
      <c r="O52" s="145">
        <f t="shared" si="63"/>
        <v>82.399999999999977</v>
      </c>
      <c r="P52" s="145">
        <v>474</v>
      </c>
      <c r="Q52" s="145">
        <v>386.9</v>
      </c>
      <c r="R52" s="145">
        <v>410.5</v>
      </c>
      <c r="S52" s="145">
        <v>350.4</v>
      </c>
      <c r="T52" s="145">
        <f t="shared" si="7"/>
        <v>115.46894031668697</v>
      </c>
      <c r="U52" s="145">
        <f t="shared" si="64"/>
        <v>63.5</v>
      </c>
      <c r="V52" s="145">
        <f t="shared" si="9"/>
        <v>110.41666666666667</v>
      </c>
      <c r="W52" s="145">
        <f t="shared" si="65"/>
        <v>36.5</v>
      </c>
      <c r="X52" s="145">
        <v>92.3</v>
      </c>
      <c r="Y52" s="145">
        <v>88</v>
      </c>
      <c r="Z52" s="145">
        <v>80.8</v>
      </c>
      <c r="AA52" s="145">
        <v>77.8</v>
      </c>
      <c r="AB52" s="145">
        <f>+X52/Z52*100</f>
        <v>114.23267326732673</v>
      </c>
      <c r="AC52" s="145">
        <f>+X52-Z52</f>
        <v>11.5</v>
      </c>
      <c r="AD52" s="145">
        <f>+Y52/AA52*100</f>
        <v>113.11053984575837</v>
      </c>
      <c r="AE52" s="145">
        <f>Y52-AA52</f>
        <v>10.200000000000003</v>
      </c>
      <c r="AF52" s="145">
        <v>162.80000000000001</v>
      </c>
      <c r="AG52" s="145">
        <v>126</v>
      </c>
      <c r="AH52" s="145">
        <v>92.8</v>
      </c>
      <c r="AI52" s="145">
        <v>84.3</v>
      </c>
      <c r="AJ52" s="145">
        <f t="shared" si="66"/>
        <v>175.43103448275863</v>
      </c>
      <c r="AK52" s="145">
        <f t="shared" si="54"/>
        <v>70.000000000000014</v>
      </c>
      <c r="AL52" s="145">
        <f t="shared" si="55"/>
        <v>149.46619217081852</v>
      </c>
      <c r="AM52" s="145">
        <f t="shared" si="56"/>
        <v>41.7</v>
      </c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>
        <v>183</v>
      </c>
      <c r="BE52" s="145">
        <v>84.3</v>
      </c>
      <c r="BF52" s="145">
        <v>181.4</v>
      </c>
      <c r="BG52" s="145">
        <v>90.3</v>
      </c>
      <c r="BH52" s="145">
        <f>+BD52/BF52*100</f>
        <v>100.88202866593163</v>
      </c>
      <c r="BI52" s="145">
        <f>+BD52-BF52</f>
        <v>1.5999999999999943</v>
      </c>
      <c r="BJ52" s="145">
        <f>+BE52/BG52*100</f>
        <v>93.355481727574755</v>
      </c>
      <c r="BK52" s="145">
        <f>BE52-BG52</f>
        <v>-6</v>
      </c>
    </row>
    <row r="53" spans="1:63" x14ac:dyDescent="0.2">
      <c r="A53" s="172">
        <v>45</v>
      </c>
      <c r="B53" s="144" t="s">
        <v>129</v>
      </c>
      <c r="C53" s="145">
        <f t="shared" si="59"/>
        <v>2297.5</v>
      </c>
      <c r="D53" s="145">
        <f t="shared" si="44"/>
        <v>1932.1</v>
      </c>
      <c r="E53" s="145">
        <f>+'[1]2019-2018'!$J49</f>
        <v>948.30000000000007</v>
      </c>
      <c r="F53" s="145">
        <f t="shared" si="60"/>
        <v>-1349.1999999999998</v>
      </c>
      <c r="G53" s="145">
        <f>+'[1]2019-2018'!$M49</f>
        <v>821.4</v>
      </c>
      <c r="H53" s="145" t="e">
        <f>G53-D53-#REF!</f>
        <v>#REF!</v>
      </c>
      <c r="I53" s="146"/>
      <c r="J53" s="145">
        <f t="shared" si="61"/>
        <v>1813.1000000000001</v>
      </c>
      <c r="K53" s="145">
        <f t="shared" si="61"/>
        <v>1571.6</v>
      </c>
      <c r="L53" s="145">
        <f t="shared" si="3"/>
        <v>126.71667310131818</v>
      </c>
      <c r="M53" s="145">
        <f t="shared" si="62"/>
        <v>484.39999999999986</v>
      </c>
      <c r="N53" s="145">
        <f t="shared" si="5"/>
        <v>122.93840671926699</v>
      </c>
      <c r="O53" s="145">
        <f t="shared" si="63"/>
        <v>360.5</v>
      </c>
      <c r="P53" s="145">
        <v>1289.3</v>
      </c>
      <c r="Q53" s="145">
        <v>968.5</v>
      </c>
      <c r="R53" s="145">
        <v>1015.6</v>
      </c>
      <c r="S53" s="145">
        <v>808.2</v>
      </c>
      <c r="T53" s="145">
        <f t="shared" si="7"/>
        <v>126.94958645135878</v>
      </c>
      <c r="U53" s="145">
        <f t="shared" si="64"/>
        <v>273.69999999999993</v>
      </c>
      <c r="V53" s="145">
        <f t="shared" si="9"/>
        <v>119.83419945558029</v>
      </c>
      <c r="W53" s="145">
        <f t="shared" si="65"/>
        <v>160.29999999999995</v>
      </c>
      <c r="X53" s="145"/>
      <c r="Y53" s="145"/>
      <c r="Z53" s="145"/>
      <c r="AA53" s="145"/>
      <c r="AB53" s="145"/>
      <c r="AC53" s="145"/>
      <c r="AD53" s="145"/>
      <c r="AE53" s="145"/>
      <c r="AF53" s="145">
        <v>1003.2</v>
      </c>
      <c r="AG53" s="145">
        <v>963.6</v>
      </c>
      <c r="AH53" s="145">
        <f>790.6+0.1</f>
        <v>790.7</v>
      </c>
      <c r="AI53" s="145">
        <v>763.4</v>
      </c>
      <c r="AJ53" s="145">
        <f t="shared" si="66"/>
        <v>126.87492095611483</v>
      </c>
      <c r="AK53" s="145">
        <f t="shared" si="54"/>
        <v>212.5</v>
      </c>
      <c r="AL53" s="145">
        <f t="shared" si="55"/>
        <v>126.22478386167148</v>
      </c>
      <c r="AM53" s="145">
        <f t="shared" si="56"/>
        <v>200.20000000000005</v>
      </c>
      <c r="AN53" s="145"/>
      <c r="AO53" s="145"/>
      <c r="AP53" s="145"/>
      <c r="AQ53" s="145"/>
      <c r="AR53" s="145"/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5"/>
      <c r="BD53" s="145">
        <v>5</v>
      </c>
      <c r="BE53" s="145"/>
      <c r="BF53" s="145">
        <v>6.8</v>
      </c>
      <c r="BG53" s="145"/>
      <c r="BH53" s="145">
        <f>+BD53/BF53*100</f>
        <v>73.529411764705884</v>
      </c>
      <c r="BI53" s="145">
        <f>+BD53-BF53</f>
        <v>-1.7999999999999998</v>
      </c>
      <c r="BJ53" s="145"/>
      <c r="BK53" s="145"/>
    </row>
    <row r="54" spans="1:63" ht="24" customHeight="1" x14ac:dyDescent="0.2">
      <c r="A54" s="172">
        <v>46</v>
      </c>
      <c r="B54" s="176" t="s">
        <v>130</v>
      </c>
      <c r="C54" s="145">
        <f t="shared" si="59"/>
        <v>856.19999999999993</v>
      </c>
      <c r="D54" s="145">
        <f t="shared" si="44"/>
        <v>442.4</v>
      </c>
      <c r="E54" s="145">
        <f>+'[1]2019-2018'!$J50</f>
        <v>614.4</v>
      </c>
      <c r="F54" s="145">
        <f t="shared" si="60"/>
        <v>-241.79999999999995</v>
      </c>
      <c r="G54" s="145">
        <f>+'[1]2019-2018'!$M50</f>
        <v>388</v>
      </c>
      <c r="H54" s="145" t="e">
        <f>G54-D54-#REF!</f>
        <v>#REF!</v>
      </c>
      <c r="I54" s="146"/>
      <c r="J54" s="145">
        <f t="shared" si="61"/>
        <v>561.6</v>
      </c>
      <c r="K54" s="145">
        <f t="shared" si="61"/>
        <v>376.1</v>
      </c>
      <c r="L54" s="145">
        <f t="shared" si="3"/>
        <v>152.45726495726495</v>
      </c>
      <c r="M54" s="145">
        <f t="shared" si="62"/>
        <v>294.59999999999991</v>
      </c>
      <c r="N54" s="145">
        <f t="shared" si="5"/>
        <v>117.62829034831161</v>
      </c>
      <c r="O54" s="145">
        <f t="shared" si="63"/>
        <v>66.299999999999955</v>
      </c>
      <c r="P54" s="145">
        <v>128.69999999999999</v>
      </c>
      <c r="Q54" s="145">
        <v>62.5</v>
      </c>
      <c r="R54" s="145">
        <f>58.3-0.1</f>
        <v>58.199999999999996</v>
      </c>
      <c r="S54" s="145">
        <v>57.1</v>
      </c>
      <c r="T54" s="145">
        <f t="shared" si="7"/>
        <v>221.13402061855672</v>
      </c>
      <c r="U54" s="145">
        <f t="shared" si="64"/>
        <v>70.5</v>
      </c>
      <c r="V54" s="145">
        <f t="shared" si="9"/>
        <v>109.45709281961472</v>
      </c>
      <c r="W54" s="145">
        <f t="shared" si="65"/>
        <v>5.3999999999999986</v>
      </c>
      <c r="X54" s="145"/>
      <c r="Y54" s="145"/>
      <c r="Z54" s="145"/>
      <c r="AA54" s="145"/>
      <c r="AB54" s="145"/>
      <c r="AC54" s="145"/>
      <c r="AD54" s="145"/>
      <c r="AE54" s="145"/>
      <c r="AF54" s="145">
        <v>722.1</v>
      </c>
      <c r="AG54" s="145">
        <v>378.7</v>
      </c>
      <c r="AH54" s="145">
        <v>496.7</v>
      </c>
      <c r="AI54" s="145">
        <v>313.3</v>
      </c>
      <c r="AJ54" s="145">
        <f t="shared" si="66"/>
        <v>145.37950473122609</v>
      </c>
      <c r="AK54" s="145">
        <f t="shared" si="54"/>
        <v>225.40000000000003</v>
      </c>
      <c r="AL54" s="145">
        <f t="shared" si="55"/>
        <v>120.87456112352378</v>
      </c>
      <c r="AM54" s="145">
        <f t="shared" si="56"/>
        <v>65.399999999999977</v>
      </c>
      <c r="AN54" s="145"/>
      <c r="AO54" s="145"/>
      <c r="AP54" s="145"/>
      <c r="AQ54" s="145"/>
      <c r="AR54" s="145"/>
      <c r="AS54" s="145"/>
      <c r="AT54" s="145"/>
      <c r="AU54" s="145"/>
      <c r="AV54" s="145">
        <v>5.4</v>
      </c>
      <c r="AW54" s="145">
        <v>1.2</v>
      </c>
      <c r="AX54" s="145">
        <v>6.7</v>
      </c>
      <c r="AY54" s="145">
        <v>5.7</v>
      </c>
      <c r="AZ54" s="145">
        <f t="shared" ref="AZ54:AZ64" si="67">+AV54/AX54*100</f>
        <v>80.597014925373131</v>
      </c>
      <c r="BA54" s="145">
        <f>+AV54-AX54</f>
        <v>-1.2999999999999998</v>
      </c>
      <c r="BB54" s="145">
        <f>+AW54/AY54*100</f>
        <v>21.052631578947366</v>
      </c>
      <c r="BC54" s="145">
        <f>+AW54-AY54</f>
        <v>-4.5</v>
      </c>
      <c r="BD54" s="145"/>
      <c r="BE54" s="145"/>
      <c r="BF54" s="145"/>
      <c r="BG54" s="145"/>
      <c r="BH54" s="145"/>
      <c r="BI54" s="145"/>
      <c r="BJ54" s="145"/>
      <c r="BK54" s="145"/>
    </row>
    <row r="55" spans="1:63" ht="12" customHeight="1" x14ac:dyDescent="0.2">
      <c r="A55" s="172">
        <v>47</v>
      </c>
      <c r="B55" s="175" t="s">
        <v>131</v>
      </c>
      <c r="C55" s="149">
        <f>SUM(C49:C54)</f>
        <v>7532.3</v>
      </c>
      <c r="D55" s="148">
        <f t="shared" si="44"/>
        <v>5714.7999999999993</v>
      </c>
      <c r="E55" s="149">
        <f t="shared" ref="E55:K55" si="68">SUM(E49:E54)</f>
        <v>4182.4000000000005</v>
      </c>
      <c r="F55" s="149">
        <f t="shared" si="68"/>
        <v>-3349.8999999999996</v>
      </c>
      <c r="G55" s="149">
        <f t="shared" si="68"/>
        <v>3092.3</v>
      </c>
      <c r="H55" s="149" t="e">
        <f t="shared" si="68"/>
        <v>#REF!</v>
      </c>
      <c r="I55" s="149">
        <f t="shared" si="68"/>
        <v>0</v>
      </c>
      <c r="J55" s="149">
        <f t="shared" si="68"/>
        <v>5847.1</v>
      </c>
      <c r="K55" s="149">
        <f t="shared" si="68"/>
        <v>4671.8000000000011</v>
      </c>
      <c r="L55" s="148">
        <f t="shared" si="3"/>
        <v>128.82112500213779</v>
      </c>
      <c r="M55" s="149">
        <f>SUM(M49:M54)</f>
        <v>1685.1999999999994</v>
      </c>
      <c r="N55" s="148">
        <f t="shared" si="5"/>
        <v>122.32544201378479</v>
      </c>
      <c r="O55" s="149">
        <f>SUM(O49:O54)</f>
        <v>1042.9999999999998</v>
      </c>
      <c r="P55" s="149">
        <f>SUM(P49:P54)</f>
        <v>3822.1000000000004</v>
      </c>
      <c r="Q55" s="149">
        <f>SUM(Q49:Q54)</f>
        <v>2926.9</v>
      </c>
      <c r="R55" s="149">
        <f>SUM(R49:R54)</f>
        <v>2912.3999999999996</v>
      </c>
      <c r="S55" s="149">
        <f>SUM(S49:S54)</f>
        <v>2325.7999999999997</v>
      </c>
      <c r="T55" s="148">
        <f t="shared" si="7"/>
        <v>131.2354072242824</v>
      </c>
      <c r="U55" s="149">
        <f>SUM(U49:U54)</f>
        <v>909.7</v>
      </c>
      <c r="V55" s="145">
        <f t="shared" si="9"/>
        <v>125.84487058216529</v>
      </c>
      <c r="W55" s="149">
        <f>SUM(W49:W54)</f>
        <v>601.0999999999998</v>
      </c>
      <c r="X55" s="149">
        <f>SUM(X49:X54)</f>
        <v>225</v>
      </c>
      <c r="Y55" s="149">
        <f>SUM(Y49:Y54)</f>
        <v>215.7</v>
      </c>
      <c r="Z55" s="149">
        <f>SUM(Z49:Z54)</f>
        <v>189.39999999999998</v>
      </c>
      <c r="AA55" s="149">
        <f>SUM(AA49:AA54)</f>
        <v>179.7</v>
      </c>
      <c r="AB55" s="148">
        <f>+X55/Z55*100</f>
        <v>118.79619852164731</v>
      </c>
      <c r="AC55" s="149">
        <f>SUM(AC49:AC54)</f>
        <v>35.599999999999994</v>
      </c>
      <c r="AD55" s="148">
        <f>+Y55/AA55*100</f>
        <v>120.03338898163607</v>
      </c>
      <c r="AE55" s="149">
        <f>SUM(AE49:AE54)</f>
        <v>36</v>
      </c>
      <c r="AF55" s="149">
        <f>SUM(AF49:AF54)</f>
        <v>2735.7</v>
      </c>
      <c r="AG55" s="149">
        <f>SUM(AG49:AG54)</f>
        <v>2174.6</v>
      </c>
      <c r="AH55" s="149">
        <f>SUM(AH49:AH54)</f>
        <v>2076.1</v>
      </c>
      <c r="AI55" s="149">
        <f>SUM(AI49:AI54)</f>
        <v>1790.7</v>
      </c>
      <c r="AJ55" s="148">
        <f>+AF55/AH55*100</f>
        <v>131.77110929145994</v>
      </c>
      <c r="AK55" s="149">
        <f>SUM(AK49:AK54)</f>
        <v>659.59999999999991</v>
      </c>
      <c r="AL55" s="148">
        <f t="shared" si="55"/>
        <v>121.43854358630702</v>
      </c>
      <c r="AM55" s="149">
        <f>SUM(AM49:AM54)</f>
        <v>383.90000000000003</v>
      </c>
      <c r="AN55" s="149">
        <f>SUM(AN49:AN54)</f>
        <v>0</v>
      </c>
      <c r="AO55" s="149"/>
      <c r="AP55" s="149">
        <f>SUM(AP49:AP54)</f>
        <v>0</v>
      </c>
      <c r="AQ55" s="149"/>
      <c r="AR55" s="148"/>
      <c r="AS55" s="149">
        <f>SUM(AS49:AS54)</f>
        <v>0</v>
      </c>
      <c r="AT55" s="148"/>
      <c r="AU55" s="149"/>
      <c r="AV55" s="149">
        <f>SUM(AV49:AV54)</f>
        <v>55.4</v>
      </c>
      <c r="AW55" s="149">
        <f>SUM(AW49:AW54)</f>
        <v>1.2</v>
      </c>
      <c r="AX55" s="149">
        <f>SUM(AX49:AX54)</f>
        <v>37.6</v>
      </c>
      <c r="AY55" s="149">
        <f>SUM(AY49:AY54)</f>
        <v>5.7</v>
      </c>
      <c r="AZ55" s="148">
        <f t="shared" si="67"/>
        <v>147.34042553191489</v>
      </c>
      <c r="BA55" s="149">
        <f>SUM(BA49:BA54)</f>
        <v>17.8</v>
      </c>
      <c r="BB55" s="148">
        <f>+AW55/AY55*100</f>
        <v>21.052631578947366</v>
      </c>
      <c r="BC55" s="148">
        <f>SUM(BC49:BC54)</f>
        <v>-4.5</v>
      </c>
      <c r="BD55" s="149">
        <f>SUM(BD49:BD54)</f>
        <v>694.1</v>
      </c>
      <c r="BE55" s="149">
        <f>SUM(BE49:BE54)</f>
        <v>396.40000000000003</v>
      </c>
      <c r="BF55" s="149">
        <f>SUM(BF49:BF54)</f>
        <v>631.59999999999991</v>
      </c>
      <c r="BG55" s="149">
        <f>SUM(BG49:BG54)</f>
        <v>369.90000000000003</v>
      </c>
      <c r="BH55" s="148">
        <f>+BD55/BF55*100</f>
        <v>109.89550348321724</v>
      </c>
      <c r="BI55" s="149">
        <f>SUM(BI49:BI54)</f>
        <v>62.499999999999986</v>
      </c>
      <c r="BJ55" s="148">
        <f>+BE55/BG55*100</f>
        <v>107.16409840497431</v>
      </c>
      <c r="BK55" s="149">
        <f>SUM(BK49:BK54)</f>
        <v>26.5</v>
      </c>
    </row>
    <row r="56" spans="1:63" ht="12" customHeight="1" x14ac:dyDescent="0.2">
      <c r="A56" s="172">
        <v>48</v>
      </c>
      <c r="B56" s="174" t="s">
        <v>258</v>
      </c>
      <c r="C56" s="145">
        <f t="shared" ref="C56:C66" si="69">+P56+X56+AF56+AN56+AV56+BD56</f>
        <v>3404.8</v>
      </c>
      <c r="D56" s="145">
        <f t="shared" si="44"/>
        <v>496.1</v>
      </c>
      <c r="E56" s="145">
        <f>+'[1]2019-2018'!$J52</f>
        <v>2066.1999999999998</v>
      </c>
      <c r="F56" s="145">
        <f t="shared" ref="F56:F70" si="70">+E56-C56</f>
        <v>-1338.6000000000004</v>
      </c>
      <c r="G56" s="145">
        <f>+'[1]2019-2018'!$M52</f>
        <v>375.4</v>
      </c>
      <c r="H56" s="145" t="e">
        <f>G56-D56-#REF!</f>
        <v>#REF!</v>
      </c>
      <c r="I56" s="146"/>
      <c r="J56" s="145">
        <f t="shared" ref="J56:K66" si="71">+R56+Z56+AH56+AP56+AX56+BF56</f>
        <v>2436.2000000000003</v>
      </c>
      <c r="K56" s="145">
        <f t="shared" si="71"/>
        <v>395.3</v>
      </c>
      <c r="L56" s="145">
        <f t="shared" si="3"/>
        <v>139.75864050570559</v>
      </c>
      <c r="M56" s="145">
        <f t="shared" ref="M56:M66" si="72">+C56-J56</f>
        <v>968.59999999999991</v>
      </c>
      <c r="N56" s="145">
        <f t="shared" si="5"/>
        <v>125.499620541361</v>
      </c>
      <c r="O56" s="145">
        <f t="shared" ref="O56:O66" si="73">D56-K56</f>
        <v>100.80000000000001</v>
      </c>
      <c r="P56" s="145">
        <v>2912</v>
      </c>
      <c r="Q56" s="145">
        <v>431.1</v>
      </c>
      <c r="R56" s="145">
        <v>2183.3000000000002</v>
      </c>
      <c r="S56" s="145">
        <v>322</v>
      </c>
      <c r="T56" s="145">
        <f t="shared" si="7"/>
        <v>133.37608207758896</v>
      </c>
      <c r="U56" s="145">
        <f t="shared" ref="U56:U66" si="74">+P56-R56</f>
        <v>728.69999999999982</v>
      </c>
      <c r="V56" s="145">
        <f t="shared" si="9"/>
        <v>133.88198757763976</v>
      </c>
      <c r="W56" s="145">
        <f t="shared" ref="W56:W66" si="75">Q56-S56</f>
        <v>109.10000000000002</v>
      </c>
      <c r="X56" s="145"/>
      <c r="Y56" s="145"/>
      <c r="Z56" s="145"/>
      <c r="AA56" s="145"/>
      <c r="AB56" s="145"/>
      <c r="AC56" s="145"/>
      <c r="AD56" s="145"/>
      <c r="AE56" s="145"/>
      <c r="AF56" s="145">
        <v>480.3</v>
      </c>
      <c r="AG56" s="145">
        <v>65</v>
      </c>
      <c r="AH56" s="145">
        <v>246.8</v>
      </c>
      <c r="AI56" s="145">
        <v>73.3</v>
      </c>
      <c r="AJ56" s="145">
        <f t="shared" si="66"/>
        <v>194.61102106969207</v>
      </c>
      <c r="AK56" s="145">
        <f t="shared" ref="AK56:AK66" si="76">+AF56-AH56</f>
        <v>233.5</v>
      </c>
      <c r="AL56" s="145">
        <f t="shared" si="55"/>
        <v>88.676671214188275</v>
      </c>
      <c r="AM56" s="145">
        <f t="shared" ref="AM56:AM66" si="77">AG56-AI56</f>
        <v>-8.2999999999999972</v>
      </c>
      <c r="AN56" s="145">
        <v>12.4</v>
      </c>
      <c r="AO56" s="145"/>
      <c r="AP56" s="145">
        <v>6</v>
      </c>
      <c r="AQ56" s="145"/>
      <c r="AR56" s="145" t="s">
        <v>68</v>
      </c>
      <c r="AS56" s="145">
        <f t="shared" ref="AS56:AS66" si="78">+AN56-AP56</f>
        <v>6.4</v>
      </c>
      <c r="AT56" s="145"/>
      <c r="AU56" s="145"/>
      <c r="AV56" s="145">
        <v>0.1</v>
      </c>
      <c r="AW56" s="145"/>
      <c r="AX56" s="145">
        <v>0.1</v>
      </c>
      <c r="AY56" s="145"/>
      <c r="AZ56" s="145">
        <f t="shared" si="67"/>
        <v>100</v>
      </c>
      <c r="BA56" s="145">
        <f t="shared" ref="BA56:BA61" si="79">+AV56-AX56</f>
        <v>0</v>
      </c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</row>
    <row r="57" spans="1:63" ht="12" customHeight="1" x14ac:dyDescent="0.2">
      <c r="A57" s="172">
        <v>49</v>
      </c>
      <c r="B57" s="174" t="s">
        <v>259</v>
      </c>
      <c r="C57" s="145">
        <f t="shared" si="69"/>
        <v>850.8</v>
      </c>
      <c r="D57" s="145">
        <f t="shared" si="44"/>
        <v>196.2</v>
      </c>
      <c r="E57" s="145">
        <f>+'[1]2019-2018'!$J53</f>
        <v>441.8</v>
      </c>
      <c r="F57" s="145">
        <f t="shared" si="70"/>
        <v>-408.99999999999994</v>
      </c>
      <c r="G57" s="145">
        <f>+'[1]2019-2018'!$M53</f>
        <v>194</v>
      </c>
      <c r="H57" s="145" t="e">
        <f>G57-D57-#REF!</f>
        <v>#REF!</v>
      </c>
      <c r="I57" s="146"/>
      <c r="J57" s="145">
        <f t="shared" si="71"/>
        <v>483.59999999999997</v>
      </c>
      <c r="K57" s="145">
        <f t="shared" si="71"/>
        <v>176</v>
      </c>
      <c r="L57" s="145">
        <f t="shared" si="3"/>
        <v>175.93052109181141</v>
      </c>
      <c r="M57" s="145">
        <f t="shared" si="72"/>
        <v>367.2</v>
      </c>
      <c r="N57" s="145">
        <f t="shared" si="5"/>
        <v>111.47727272727272</v>
      </c>
      <c r="O57" s="145">
        <f t="shared" si="73"/>
        <v>20.199999999999989</v>
      </c>
      <c r="P57" s="145">
        <v>744.3</v>
      </c>
      <c r="Q57" s="145">
        <v>168.6</v>
      </c>
      <c r="R57" s="145">
        <v>427.9</v>
      </c>
      <c r="S57" s="145">
        <v>153.30000000000001</v>
      </c>
      <c r="T57" s="145">
        <f t="shared" si="7"/>
        <v>173.94250993222715</v>
      </c>
      <c r="U57" s="145">
        <f t="shared" si="74"/>
        <v>316.39999999999998</v>
      </c>
      <c r="V57" s="145">
        <f t="shared" si="9"/>
        <v>109.98043052837572</v>
      </c>
      <c r="W57" s="145">
        <f t="shared" si="75"/>
        <v>15.299999999999983</v>
      </c>
      <c r="X57" s="145"/>
      <c r="Y57" s="145"/>
      <c r="Z57" s="145"/>
      <c r="AA57" s="145"/>
      <c r="AB57" s="145"/>
      <c r="AC57" s="145"/>
      <c r="AD57" s="145"/>
      <c r="AE57" s="145"/>
      <c r="AF57" s="145">
        <f>103.4+0.1</f>
        <v>103.5</v>
      </c>
      <c r="AG57" s="145">
        <v>27.6</v>
      </c>
      <c r="AH57" s="145">
        <v>53.2</v>
      </c>
      <c r="AI57" s="145">
        <v>22.7</v>
      </c>
      <c r="AJ57" s="145">
        <f t="shared" si="66"/>
        <v>194.54887218045113</v>
      </c>
      <c r="AK57" s="145">
        <f t="shared" si="76"/>
        <v>50.3</v>
      </c>
      <c r="AL57" s="145">
        <f t="shared" si="55"/>
        <v>121.58590308370046</v>
      </c>
      <c r="AM57" s="145">
        <f t="shared" si="77"/>
        <v>4.9000000000000021</v>
      </c>
      <c r="AN57" s="145">
        <v>2.9</v>
      </c>
      <c r="AO57" s="145"/>
      <c r="AP57" s="145">
        <v>2</v>
      </c>
      <c r="AQ57" s="145"/>
      <c r="AR57" s="145">
        <f t="shared" ref="AR57:AR65" si="80">+AN57/AP57*100</f>
        <v>145</v>
      </c>
      <c r="AS57" s="145">
        <f t="shared" si="78"/>
        <v>0.89999999999999991</v>
      </c>
      <c r="AT57" s="145"/>
      <c r="AU57" s="145"/>
      <c r="AV57" s="145">
        <v>0.1</v>
      </c>
      <c r="AW57" s="145"/>
      <c r="AX57" s="145">
        <v>0.5</v>
      </c>
      <c r="AY57" s="145"/>
      <c r="AZ57" s="145">
        <f t="shared" si="67"/>
        <v>20</v>
      </c>
      <c r="BA57" s="145">
        <f t="shared" si="79"/>
        <v>-0.4</v>
      </c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</row>
    <row r="58" spans="1:63" ht="12" customHeight="1" x14ac:dyDescent="0.2">
      <c r="A58" s="172">
        <v>50</v>
      </c>
      <c r="B58" s="174" t="s">
        <v>132</v>
      </c>
      <c r="C58" s="145">
        <f t="shared" si="69"/>
        <v>519.9</v>
      </c>
      <c r="D58" s="145">
        <f t="shared" si="44"/>
        <v>185.5</v>
      </c>
      <c r="E58" s="145">
        <f>+'[1]2019-2018'!$J54</f>
        <v>374.8</v>
      </c>
      <c r="F58" s="145">
        <f t="shared" si="70"/>
        <v>-145.09999999999997</v>
      </c>
      <c r="G58" s="145">
        <f>+'[1]2019-2018'!$M54</f>
        <v>190.2</v>
      </c>
      <c r="H58" s="145" t="e">
        <f>G58-D58-#REF!</f>
        <v>#REF!</v>
      </c>
      <c r="I58" s="146"/>
      <c r="J58" s="145">
        <f t="shared" si="71"/>
        <v>357.1</v>
      </c>
      <c r="K58" s="145">
        <f t="shared" si="71"/>
        <v>176.39999999999998</v>
      </c>
      <c r="L58" s="145">
        <f t="shared" si="3"/>
        <v>145.58947073648835</v>
      </c>
      <c r="M58" s="145">
        <f t="shared" si="72"/>
        <v>162.79999999999995</v>
      </c>
      <c r="N58" s="145">
        <f t="shared" si="5"/>
        <v>105.15873015873017</v>
      </c>
      <c r="O58" s="145">
        <f t="shared" si="73"/>
        <v>9.1000000000000227</v>
      </c>
      <c r="P58" s="145">
        <v>468.2</v>
      </c>
      <c r="Q58" s="145">
        <v>166</v>
      </c>
      <c r="R58" s="145">
        <v>332.5</v>
      </c>
      <c r="S58" s="145">
        <v>162.69999999999999</v>
      </c>
      <c r="T58" s="145">
        <f t="shared" si="7"/>
        <v>140.81203007518798</v>
      </c>
      <c r="U58" s="145">
        <f t="shared" si="74"/>
        <v>135.69999999999999</v>
      </c>
      <c r="V58" s="145">
        <f t="shared" si="9"/>
        <v>102.02827289489859</v>
      </c>
      <c r="W58" s="145">
        <f t="shared" si="75"/>
        <v>3.3000000000000114</v>
      </c>
      <c r="X58" s="145"/>
      <c r="Y58" s="145"/>
      <c r="Z58" s="145"/>
      <c r="AA58" s="145"/>
      <c r="AB58" s="145"/>
      <c r="AC58" s="145"/>
      <c r="AD58" s="145"/>
      <c r="AE58" s="145"/>
      <c r="AF58" s="145">
        <v>49.3</v>
      </c>
      <c r="AG58" s="145">
        <v>19.5</v>
      </c>
      <c r="AH58" s="145">
        <f>20.9+0.1</f>
        <v>21</v>
      </c>
      <c r="AI58" s="145">
        <v>13.7</v>
      </c>
      <c r="AJ58" s="145" t="s">
        <v>98</v>
      </c>
      <c r="AK58" s="145">
        <f t="shared" si="76"/>
        <v>28.299999999999997</v>
      </c>
      <c r="AL58" s="145">
        <f t="shared" si="55"/>
        <v>142.33576642335768</v>
      </c>
      <c r="AM58" s="145">
        <f t="shared" si="77"/>
        <v>5.8000000000000007</v>
      </c>
      <c r="AN58" s="145">
        <v>1</v>
      </c>
      <c r="AO58" s="145"/>
      <c r="AP58" s="145">
        <v>1</v>
      </c>
      <c r="AQ58" s="145"/>
      <c r="AR58" s="145">
        <f t="shared" si="80"/>
        <v>100</v>
      </c>
      <c r="AS58" s="145">
        <f t="shared" si="78"/>
        <v>0</v>
      </c>
      <c r="AT58" s="145"/>
      <c r="AU58" s="145"/>
      <c r="AV58" s="145">
        <v>1.4</v>
      </c>
      <c r="AW58" s="145"/>
      <c r="AX58" s="145">
        <v>2.6</v>
      </c>
      <c r="AY58" s="145"/>
      <c r="AZ58" s="145">
        <f t="shared" si="67"/>
        <v>53.846153846153847</v>
      </c>
      <c r="BA58" s="145">
        <f t="shared" si="79"/>
        <v>-1.2000000000000002</v>
      </c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</row>
    <row r="59" spans="1:63" ht="12" customHeight="1" x14ac:dyDescent="0.2">
      <c r="A59" s="172">
        <v>51</v>
      </c>
      <c r="B59" s="174" t="s">
        <v>133</v>
      </c>
      <c r="C59" s="145">
        <f t="shared" si="69"/>
        <v>516.1</v>
      </c>
      <c r="D59" s="145">
        <f t="shared" si="44"/>
        <v>148.80000000000001</v>
      </c>
      <c r="E59" s="145">
        <f>+'[1]2019-2018'!$J55</f>
        <v>275.69999999999993</v>
      </c>
      <c r="F59" s="145">
        <f t="shared" si="70"/>
        <v>-240.40000000000009</v>
      </c>
      <c r="G59" s="145">
        <f>+'[1]2019-2018'!$M55</f>
        <v>149.19999999999999</v>
      </c>
      <c r="H59" s="145" t="e">
        <f>G59-D59-#REF!</f>
        <v>#REF!</v>
      </c>
      <c r="I59" s="146"/>
      <c r="J59" s="145">
        <f t="shared" si="71"/>
        <v>294.89999999999998</v>
      </c>
      <c r="K59" s="145">
        <f t="shared" si="71"/>
        <v>131.19999999999999</v>
      </c>
      <c r="L59" s="145">
        <f t="shared" si="3"/>
        <v>175.00847744998308</v>
      </c>
      <c r="M59" s="145">
        <f t="shared" si="72"/>
        <v>221.20000000000005</v>
      </c>
      <c r="N59" s="145">
        <f t="shared" si="5"/>
        <v>113.41463414634147</v>
      </c>
      <c r="O59" s="145">
        <f t="shared" si="73"/>
        <v>17.600000000000023</v>
      </c>
      <c r="P59" s="145">
        <v>457.8</v>
      </c>
      <c r="Q59" s="145">
        <v>125.3</v>
      </c>
      <c r="R59" s="145">
        <v>250</v>
      </c>
      <c r="S59" s="145">
        <v>108.1</v>
      </c>
      <c r="T59" s="145">
        <f t="shared" si="7"/>
        <v>183.12</v>
      </c>
      <c r="U59" s="145">
        <f t="shared" si="74"/>
        <v>207.8</v>
      </c>
      <c r="V59" s="145">
        <f t="shared" si="9"/>
        <v>115.91119333950046</v>
      </c>
      <c r="W59" s="145">
        <f t="shared" si="75"/>
        <v>17.200000000000003</v>
      </c>
      <c r="X59" s="145"/>
      <c r="Y59" s="145"/>
      <c r="Z59" s="145"/>
      <c r="AA59" s="145"/>
      <c r="AB59" s="145"/>
      <c r="AC59" s="145"/>
      <c r="AD59" s="145"/>
      <c r="AE59" s="145"/>
      <c r="AF59" s="145">
        <v>52.3</v>
      </c>
      <c r="AG59" s="145">
        <v>23.5</v>
      </c>
      <c r="AH59" s="145">
        <v>43.2</v>
      </c>
      <c r="AI59" s="145">
        <v>23.1</v>
      </c>
      <c r="AJ59" s="145">
        <f t="shared" si="66"/>
        <v>121.0648148148148</v>
      </c>
      <c r="AK59" s="145">
        <f t="shared" si="76"/>
        <v>9.0999999999999943</v>
      </c>
      <c r="AL59" s="145">
        <f t="shared" si="55"/>
        <v>101.73160173160171</v>
      </c>
      <c r="AM59" s="145">
        <f t="shared" si="77"/>
        <v>0.39999999999999858</v>
      </c>
      <c r="AN59" s="145">
        <v>5.8</v>
      </c>
      <c r="AO59" s="145"/>
      <c r="AP59" s="145">
        <v>1.7</v>
      </c>
      <c r="AQ59" s="145"/>
      <c r="AR59" s="145" t="s">
        <v>134</v>
      </c>
      <c r="AS59" s="145">
        <f t="shared" si="78"/>
        <v>4.0999999999999996</v>
      </c>
      <c r="AT59" s="145"/>
      <c r="AU59" s="145"/>
      <c r="AV59" s="145">
        <v>0.2</v>
      </c>
      <c r="AW59" s="145"/>
      <c r="AX59" s="145"/>
      <c r="AY59" s="145"/>
      <c r="AZ59" s="145"/>
      <c r="BA59" s="145">
        <f t="shared" si="79"/>
        <v>0.2</v>
      </c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</row>
    <row r="60" spans="1:63" ht="12" customHeight="1" x14ac:dyDescent="0.2">
      <c r="A60" s="172">
        <v>52</v>
      </c>
      <c r="B60" s="174" t="s">
        <v>135</v>
      </c>
      <c r="C60" s="145">
        <f t="shared" si="69"/>
        <v>566.5</v>
      </c>
      <c r="D60" s="145">
        <f t="shared" si="44"/>
        <v>174.79999999999998</v>
      </c>
      <c r="E60" s="145">
        <f>+'[1]2019-2018'!$J56</f>
        <v>387.90000000000009</v>
      </c>
      <c r="F60" s="145">
        <f t="shared" si="70"/>
        <v>-178.59999999999991</v>
      </c>
      <c r="G60" s="145">
        <f>+'[1]2019-2018'!$M56</f>
        <v>178.4</v>
      </c>
      <c r="H60" s="145" t="e">
        <f>G60-D60-#REF!</f>
        <v>#REF!</v>
      </c>
      <c r="I60" s="146"/>
      <c r="J60" s="145">
        <f t="shared" si="71"/>
        <v>350.79999999999995</v>
      </c>
      <c r="K60" s="145">
        <f t="shared" si="71"/>
        <v>172.3</v>
      </c>
      <c r="L60" s="145">
        <f t="shared" si="3"/>
        <v>161.48802736602056</v>
      </c>
      <c r="M60" s="145">
        <f t="shared" si="72"/>
        <v>215.70000000000005</v>
      </c>
      <c r="N60" s="145">
        <f t="shared" si="5"/>
        <v>101.45095763203713</v>
      </c>
      <c r="O60" s="145">
        <f t="shared" si="73"/>
        <v>2.4999999999999716</v>
      </c>
      <c r="P60" s="145">
        <v>506.8</v>
      </c>
      <c r="Q60" s="145">
        <v>147.69999999999999</v>
      </c>
      <c r="R60" s="145">
        <v>305.7</v>
      </c>
      <c r="S60" s="145">
        <v>146.5</v>
      </c>
      <c r="T60" s="145">
        <f t="shared" si="7"/>
        <v>165.78344782466473</v>
      </c>
      <c r="U60" s="145">
        <f t="shared" si="74"/>
        <v>201.10000000000002</v>
      </c>
      <c r="V60" s="145">
        <f t="shared" si="9"/>
        <v>100.81911262798636</v>
      </c>
      <c r="W60" s="145">
        <f t="shared" si="75"/>
        <v>1.1999999999999886</v>
      </c>
      <c r="X60" s="145"/>
      <c r="Y60" s="145"/>
      <c r="Z60" s="145"/>
      <c r="AA60" s="145"/>
      <c r="AB60" s="145"/>
      <c r="AC60" s="145"/>
      <c r="AD60" s="145"/>
      <c r="AE60" s="145"/>
      <c r="AF60" s="145">
        <v>58.3</v>
      </c>
      <c r="AG60" s="145">
        <v>27.1</v>
      </c>
      <c r="AH60" s="145">
        <f>42.9+0.1</f>
        <v>43</v>
      </c>
      <c r="AI60" s="145">
        <v>25.8</v>
      </c>
      <c r="AJ60" s="145">
        <f t="shared" si="66"/>
        <v>135.58139534883719</v>
      </c>
      <c r="AK60" s="145">
        <f t="shared" si="76"/>
        <v>15.299999999999997</v>
      </c>
      <c r="AL60" s="145">
        <f t="shared" si="55"/>
        <v>105.03875968992249</v>
      </c>
      <c r="AM60" s="145">
        <f t="shared" si="77"/>
        <v>1.3000000000000007</v>
      </c>
      <c r="AN60" s="145">
        <v>0.8</v>
      </c>
      <c r="AO60" s="145"/>
      <c r="AP60" s="145">
        <v>0.7</v>
      </c>
      <c r="AQ60" s="145"/>
      <c r="AR60" s="145">
        <f t="shared" si="80"/>
        <v>114.28571428571431</v>
      </c>
      <c r="AS60" s="145">
        <f t="shared" si="78"/>
        <v>0.10000000000000009</v>
      </c>
      <c r="AT60" s="145"/>
      <c r="AU60" s="145"/>
      <c r="AV60" s="145">
        <v>0.6</v>
      </c>
      <c r="AW60" s="145"/>
      <c r="AX60" s="145">
        <v>1.4</v>
      </c>
      <c r="AY60" s="145"/>
      <c r="AZ60" s="145">
        <f t="shared" si="67"/>
        <v>42.857142857142861</v>
      </c>
      <c r="BA60" s="145">
        <f t="shared" si="79"/>
        <v>-0.79999999999999993</v>
      </c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</row>
    <row r="61" spans="1:63" ht="12" customHeight="1" x14ac:dyDescent="0.2">
      <c r="A61" s="172">
        <v>53</v>
      </c>
      <c r="B61" s="174" t="s">
        <v>136</v>
      </c>
      <c r="C61" s="145">
        <f t="shared" si="69"/>
        <v>557.90000000000009</v>
      </c>
      <c r="D61" s="145">
        <f t="shared" si="44"/>
        <v>155.9</v>
      </c>
      <c r="E61" s="145">
        <f>+'[1]2019-2018'!$J57</f>
        <v>279.10000000000002</v>
      </c>
      <c r="F61" s="145">
        <f t="shared" si="70"/>
        <v>-278.80000000000007</v>
      </c>
      <c r="G61" s="145">
        <f>+'[1]2019-2018'!$M57</f>
        <v>151</v>
      </c>
      <c r="H61" s="145" t="e">
        <f>G61-D61-#REF!</f>
        <v>#REF!</v>
      </c>
      <c r="I61" s="146"/>
      <c r="J61" s="145">
        <f t="shared" si="71"/>
        <v>326.10000000000002</v>
      </c>
      <c r="K61" s="145">
        <f t="shared" si="71"/>
        <v>141.1</v>
      </c>
      <c r="L61" s="145">
        <f t="shared" si="3"/>
        <v>171.082490033732</v>
      </c>
      <c r="M61" s="145">
        <f t="shared" si="72"/>
        <v>231.80000000000007</v>
      </c>
      <c r="N61" s="145">
        <f t="shared" si="5"/>
        <v>110.48901488306167</v>
      </c>
      <c r="O61" s="145">
        <f t="shared" si="73"/>
        <v>14.800000000000011</v>
      </c>
      <c r="P61" s="145">
        <v>500.7</v>
      </c>
      <c r="Q61" s="145">
        <v>136.5</v>
      </c>
      <c r="R61" s="145">
        <v>283</v>
      </c>
      <c r="S61" s="145">
        <v>120.8</v>
      </c>
      <c r="T61" s="145">
        <f t="shared" si="7"/>
        <v>176.92579505300353</v>
      </c>
      <c r="U61" s="145">
        <f t="shared" si="74"/>
        <v>217.7</v>
      </c>
      <c r="V61" s="145">
        <f t="shared" si="9"/>
        <v>112.99668874172187</v>
      </c>
      <c r="W61" s="145">
        <f t="shared" si="75"/>
        <v>15.700000000000003</v>
      </c>
      <c r="X61" s="145"/>
      <c r="Y61" s="145"/>
      <c r="Z61" s="145"/>
      <c r="AA61" s="145"/>
      <c r="AB61" s="145"/>
      <c r="AC61" s="145"/>
      <c r="AD61" s="145"/>
      <c r="AE61" s="145"/>
      <c r="AF61" s="145">
        <v>53.8</v>
      </c>
      <c r="AG61" s="145">
        <v>19.399999999999999</v>
      </c>
      <c r="AH61" s="145">
        <v>38.799999999999997</v>
      </c>
      <c r="AI61" s="145">
        <v>20.3</v>
      </c>
      <c r="AJ61" s="145">
        <f t="shared" si="66"/>
        <v>138.65979381443299</v>
      </c>
      <c r="AK61" s="145">
        <f t="shared" si="76"/>
        <v>15</v>
      </c>
      <c r="AL61" s="145">
        <f t="shared" si="55"/>
        <v>95.566502463054178</v>
      </c>
      <c r="AM61" s="145">
        <f t="shared" si="77"/>
        <v>-0.90000000000000213</v>
      </c>
      <c r="AN61" s="145">
        <v>3.2</v>
      </c>
      <c r="AO61" s="145"/>
      <c r="AP61" s="145">
        <v>3.2</v>
      </c>
      <c r="AQ61" s="145"/>
      <c r="AR61" s="145">
        <f t="shared" si="80"/>
        <v>100</v>
      </c>
      <c r="AS61" s="145">
        <f t="shared" si="78"/>
        <v>0</v>
      </c>
      <c r="AT61" s="145"/>
      <c r="AU61" s="145"/>
      <c r="AV61" s="145">
        <f>0.1+0.1</f>
        <v>0.2</v>
      </c>
      <c r="AW61" s="145"/>
      <c r="AX61" s="145">
        <v>1.1000000000000001</v>
      </c>
      <c r="AY61" s="145"/>
      <c r="AZ61" s="145">
        <f t="shared" si="67"/>
        <v>18.181818181818183</v>
      </c>
      <c r="BA61" s="145">
        <f t="shared" si="79"/>
        <v>-0.90000000000000013</v>
      </c>
      <c r="BB61" s="145"/>
      <c r="BC61" s="145"/>
      <c r="BD61" s="145"/>
      <c r="BE61" s="145"/>
      <c r="BF61" s="145"/>
      <c r="BG61" s="145"/>
      <c r="BH61" s="145"/>
      <c r="BI61" s="145"/>
      <c r="BJ61" s="145"/>
      <c r="BK61" s="145"/>
    </row>
    <row r="62" spans="1:63" ht="12" customHeight="1" x14ac:dyDescent="0.2">
      <c r="A62" s="172">
        <v>54</v>
      </c>
      <c r="B62" s="174" t="s">
        <v>137</v>
      </c>
      <c r="C62" s="145">
        <f t="shared" si="69"/>
        <v>482.40000000000003</v>
      </c>
      <c r="D62" s="145">
        <f t="shared" si="44"/>
        <v>181.8</v>
      </c>
      <c r="E62" s="145">
        <f>+'[1]2019-2018'!$J58</f>
        <v>227.70000000000002</v>
      </c>
      <c r="F62" s="145">
        <f t="shared" si="70"/>
        <v>-254.70000000000002</v>
      </c>
      <c r="G62" s="145">
        <f>+'[1]2019-2018'!$M58</f>
        <v>118.7</v>
      </c>
      <c r="H62" s="145" t="e">
        <f>G62-D62-#REF!</f>
        <v>#REF!</v>
      </c>
      <c r="I62" s="146"/>
      <c r="J62" s="145">
        <f t="shared" si="71"/>
        <v>326.2</v>
      </c>
      <c r="K62" s="145">
        <f t="shared" si="71"/>
        <v>156.4</v>
      </c>
      <c r="L62" s="145">
        <f t="shared" si="3"/>
        <v>147.88473329245863</v>
      </c>
      <c r="M62" s="145">
        <f t="shared" si="72"/>
        <v>156.20000000000005</v>
      </c>
      <c r="N62" s="145">
        <f t="shared" si="5"/>
        <v>116.24040920716112</v>
      </c>
      <c r="O62" s="145">
        <f t="shared" si="73"/>
        <v>25.400000000000006</v>
      </c>
      <c r="P62" s="145">
        <v>437.6</v>
      </c>
      <c r="Q62" s="145">
        <v>165.4</v>
      </c>
      <c r="R62" s="145">
        <v>306.3</v>
      </c>
      <c r="S62" s="145">
        <v>145.6</v>
      </c>
      <c r="T62" s="145">
        <f t="shared" si="7"/>
        <v>142.86647078028076</v>
      </c>
      <c r="U62" s="145">
        <f t="shared" si="74"/>
        <v>131.30000000000001</v>
      </c>
      <c r="V62" s="145">
        <f t="shared" si="9"/>
        <v>113.59890109890112</v>
      </c>
      <c r="W62" s="145">
        <f t="shared" si="75"/>
        <v>19.800000000000011</v>
      </c>
      <c r="X62" s="145"/>
      <c r="Y62" s="145"/>
      <c r="Z62" s="145"/>
      <c r="AA62" s="145"/>
      <c r="AB62" s="145"/>
      <c r="AC62" s="145"/>
      <c r="AD62" s="145"/>
      <c r="AE62" s="145"/>
      <c r="AF62" s="145">
        <v>44.6</v>
      </c>
      <c r="AG62" s="145">
        <v>16.399999999999999</v>
      </c>
      <c r="AH62" s="145">
        <v>19.899999999999999</v>
      </c>
      <c r="AI62" s="145">
        <v>10.8</v>
      </c>
      <c r="AJ62" s="145" t="s">
        <v>95</v>
      </c>
      <c r="AK62" s="145">
        <f t="shared" si="76"/>
        <v>24.700000000000003</v>
      </c>
      <c r="AL62" s="145">
        <f t="shared" si="55"/>
        <v>151.85185185185185</v>
      </c>
      <c r="AM62" s="145">
        <f>AG62-AI62</f>
        <v>5.5999999999999979</v>
      </c>
      <c r="AN62" s="145">
        <v>0.2</v>
      </c>
      <c r="AO62" s="145"/>
      <c r="AP62" s="145"/>
      <c r="AQ62" s="145"/>
      <c r="AR62" s="145"/>
      <c r="AS62" s="145">
        <f t="shared" si="78"/>
        <v>0.2</v>
      </c>
      <c r="AT62" s="145"/>
      <c r="AU62" s="145"/>
      <c r="AV62" s="145"/>
      <c r="AW62" s="145"/>
      <c r="AX62" s="145"/>
      <c r="AY62" s="145"/>
      <c r="AZ62" s="145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</row>
    <row r="63" spans="1:63" ht="12" customHeight="1" x14ac:dyDescent="0.2">
      <c r="A63" s="172">
        <v>55</v>
      </c>
      <c r="B63" s="174" t="s">
        <v>138</v>
      </c>
      <c r="C63" s="145">
        <f t="shared" si="69"/>
        <v>423</v>
      </c>
      <c r="D63" s="145">
        <f t="shared" si="44"/>
        <v>125.5</v>
      </c>
      <c r="E63" s="145">
        <f>+'[1]2019-2018'!$J59</f>
        <v>305.89999999999998</v>
      </c>
      <c r="F63" s="145">
        <f t="shared" si="70"/>
        <v>-117.10000000000002</v>
      </c>
      <c r="G63" s="145">
        <f>+'[1]2019-2018'!$M59</f>
        <v>156.69999999999999</v>
      </c>
      <c r="H63" s="145" t="e">
        <f>G63-D63-#REF!</f>
        <v>#REF!</v>
      </c>
      <c r="I63" s="146"/>
      <c r="J63" s="145">
        <f t="shared" si="71"/>
        <v>270.29999999999995</v>
      </c>
      <c r="K63" s="145">
        <f t="shared" si="71"/>
        <v>122.9</v>
      </c>
      <c r="L63" s="145">
        <f t="shared" si="3"/>
        <v>156.49278579356275</v>
      </c>
      <c r="M63" s="145">
        <f t="shared" si="72"/>
        <v>152.70000000000005</v>
      </c>
      <c r="N63" s="145">
        <f t="shared" si="5"/>
        <v>102.11554109031734</v>
      </c>
      <c r="O63" s="145">
        <f t="shared" si="73"/>
        <v>2.5999999999999943</v>
      </c>
      <c r="P63" s="145">
        <v>382.3</v>
      </c>
      <c r="Q63" s="145">
        <v>109.9</v>
      </c>
      <c r="R63" s="145">
        <v>249</v>
      </c>
      <c r="S63" s="145">
        <v>109.7</v>
      </c>
      <c r="T63" s="145">
        <f t="shared" si="7"/>
        <v>153.53413654618475</v>
      </c>
      <c r="U63" s="145">
        <f t="shared" si="74"/>
        <v>133.30000000000001</v>
      </c>
      <c r="V63" s="145">
        <f t="shared" si="9"/>
        <v>100.18231540565179</v>
      </c>
      <c r="W63" s="145">
        <f t="shared" si="75"/>
        <v>0.20000000000000284</v>
      </c>
      <c r="X63" s="145"/>
      <c r="Y63" s="145"/>
      <c r="Z63" s="145"/>
      <c r="AA63" s="145"/>
      <c r="AB63" s="145"/>
      <c r="AC63" s="145"/>
      <c r="AD63" s="145"/>
      <c r="AE63" s="145"/>
      <c r="AF63" s="145">
        <v>39.700000000000003</v>
      </c>
      <c r="AG63" s="145">
        <v>15.6</v>
      </c>
      <c r="AH63" s="145">
        <v>20.399999999999999</v>
      </c>
      <c r="AI63" s="145">
        <v>13.2</v>
      </c>
      <c r="AJ63" s="145">
        <f t="shared" si="66"/>
        <v>194.60784313725492</v>
      </c>
      <c r="AK63" s="145">
        <f t="shared" si="76"/>
        <v>19.300000000000004</v>
      </c>
      <c r="AL63" s="145">
        <f t="shared" si="55"/>
        <v>118.18181818181819</v>
      </c>
      <c r="AM63" s="145">
        <f t="shared" si="77"/>
        <v>2.4000000000000004</v>
      </c>
      <c r="AN63" s="145">
        <v>1</v>
      </c>
      <c r="AO63" s="145"/>
      <c r="AP63" s="145">
        <v>0.9</v>
      </c>
      <c r="AQ63" s="145"/>
      <c r="AR63" s="145">
        <f t="shared" si="80"/>
        <v>111.11111111111111</v>
      </c>
      <c r="AS63" s="145">
        <f t="shared" si="78"/>
        <v>9.9999999999999978E-2</v>
      </c>
      <c r="AT63" s="145"/>
      <c r="AU63" s="145"/>
      <c r="AV63" s="145"/>
      <c r="AW63" s="145"/>
      <c r="AX63" s="145"/>
      <c r="AY63" s="145"/>
      <c r="AZ63" s="145"/>
      <c r="BA63" s="145">
        <f>+AV63-AX63</f>
        <v>0</v>
      </c>
      <c r="BB63" s="145"/>
      <c r="BC63" s="145"/>
      <c r="BD63" s="145"/>
      <c r="BE63" s="145"/>
      <c r="BF63" s="145"/>
      <c r="BG63" s="145"/>
      <c r="BH63" s="145"/>
      <c r="BI63" s="145"/>
      <c r="BJ63" s="145"/>
      <c r="BK63" s="145"/>
    </row>
    <row r="64" spans="1:63" ht="12" customHeight="1" x14ac:dyDescent="0.2">
      <c r="A64" s="172">
        <v>56</v>
      </c>
      <c r="B64" s="174" t="s">
        <v>139</v>
      </c>
      <c r="C64" s="145">
        <f t="shared" si="69"/>
        <v>457.70000000000005</v>
      </c>
      <c r="D64" s="145">
        <f t="shared" si="44"/>
        <v>160.20000000000002</v>
      </c>
      <c r="E64" s="145">
        <f>+'[1]2019-2018'!$J60</f>
        <v>297.2</v>
      </c>
      <c r="F64" s="145">
        <f t="shared" si="70"/>
        <v>-160.50000000000006</v>
      </c>
      <c r="G64" s="145">
        <f>+'[1]2019-2018'!$M60</f>
        <v>160.30000000000001</v>
      </c>
      <c r="H64" s="145" t="e">
        <f>G64-D64-#REF!</f>
        <v>#REF!</v>
      </c>
      <c r="I64" s="146"/>
      <c r="J64" s="145">
        <f t="shared" si="71"/>
        <v>304.99999999999994</v>
      </c>
      <c r="K64" s="145">
        <f t="shared" si="71"/>
        <v>140.6</v>
      </c>
      <c r="L64" s="145">
        <f t="shared" si="3"/>
        <v>150.06557377049185</v>
      </c>
      <c r="M64" s="145">
        <f t="shared" si="72"/>
        <v>152.7000000000001</v>
      </c>
      <c r="N64" s="145">
        <f t="shared" si="5"/>
        <v>113.94025604551923</v>
      </c>
      <c r="O64" s="145">
        <f t="shared" si="73"/>
        <v>19.600000000000023</v>
      </c>
      <c r="P64" s="145">
        <v>405</v>
      </c>
      <c r="Q64" s="145">
        <v>140.80000000000001</v>
      </c>
      <c r="R64" s="145">
        <v>274.39999999999998</v>
      </c>
      <c r="S64" s="145">
        <v>127</v>
      </c>
      <c r="T64" s="145">
        <f t="shared" si="7"/>
        <v>147.59475218658892</v>
      </c>
      <c r="U64" s="145">
        <f t="shared" si="74"/>
        <v>130.60000000000002</v>
      </c>
      <c r="V64" s="145">
        <f t="shared" si="9"/>
        <v>110.86614173228347</v>
      </c>
      <c r="W64" s="145">
        <f t="shared" si="75"/>
        <v>13.800000000000011</v>
      </c>
      <c r="X64" s="145"/>
      <c r="Y64" s="145"/>
      <c r="Z64" s="145"/>
      <c r="AA64" s="145"/>
      <c r="AB64" s="145"/>
      <c r="AC64" s="145"/>
      <c r="AD64" s="145"/>
      <c r="AE64" s="145"/>
      <c r="AF64" s="145">
        <v>52.1</v>
      </c>
      <c r="AG64" s="145">
        <v>19.399999999999999</v>
      </c>
      <c r="AH64" s="145">
        <v>29.8</v>
      </c>
      <c r="AI64" s="145">
        <v>13.6</v>
      </c>
      <c r="AJ64" s="145">
        <f t="shared" si="66"/>
        <v>174.83221476510067</v>
      </c>
      <c r="AK64" s="145">
        <f t="shared" si="76"/>
        <v>22.3</v>
      </c>
      <c r="AL64" s="145">
        <f t="shared" si="55"/>
        <v>142.64705882352942</v>
      </c>
      <c r="AM64" s="145">
        <f t="shared" si="77"/>
        <v>5.7999999999999989</v>
      </c>
      <c r="AN64" s="145"/>
      <c r="AO64" s="145"/>
      <c r="AP64" s="145">
        <v>0.4</v>
      </c>
      <c r="AQ64" s="145"/>
      <c r="AR64" s="145">
        <f t="shared" si="80"/>
        <v>0</v>
      </c>
      <c r="AS64" s="145">
        <f t="shared" si="78"/>
        <v>-0.4</v>
      </c>
      <c r="AT64" s="145"/>
      <c r="AU64" s="145"/>
      <c r="AV64" s="145">
        <v>0.6</v>
      </c>
      <c r="AW64" s="145"/>
      <c r="AX64" s="145">
        <v>0.4</v>
      </c>
      <c r="AY64" s="145"/>
      <c r="AZ64" s="145">
        <f t="shared" si="67"/>
        <v>149.99999999999997</v>
      </c>
      <c r="BA64" s="145">
        <f>+AV64-AX64</f>
        <v>0.19999999999999996</v>
      </c>
      <c r="BB64" s="145"/>
      <c r="BC64" s="145"/>
      <c r="BD64" s="145"/>
      <c r="BE64" s="145"/>
      <c r="BF64" s="145"/>
      <c r="BG64" s="145"/>
      <c r="BH64" s="145"/>
      <c r="BI64" s="145"/>
      <c r="BJ64" s="145"/>
      <c r="BK64" s="145"/>
    </row>
    <row r="65" spans="1:64" ht="12" customHeight="1" x14ac:dyDescent="0.2">
      <c r="A65" s="172">
        <v>57</v>
      </c>
      <c r="B65" s="174" t="s">
        <v>140</v>
      </c>
      <c r="C65" s="145">
        <f t="shared" si="69"/>
        <v>352.3</v>
      </c>
      <c r="D65" s="145">
        <f t="shared" si="44"/>
        <v>150.4</v>
      </c>
      <c r="E65" s="145">
        <f>+'[1]2019-2018'!$J61</f>
        <v>246.39999999999998</v>
      </c>
      <c r="F65" s="145">
        <f t="shared" si="70"/>
        <v>-105.90000000000003</v>
      </c>
      <c r="G65" s="145">
        <f>+'[1]2019-2018'!$M61</f>
        <v>150.6</v>
      </c>
      <c r="H65" s="145" t="e">
        <f>G65-D65-#REF!</f>
        <v>#REF!</v>
      </c>
      <c r="I65" s="146"/>
      <c r="J65" s="145">
        <f t="shared" si="71"/>
        <v>257.3</v>
      </c>
      <c r="K65" s="145">
        <f t="shared" si="71"/>
        <v>132</v>
      </c>
      <c r="L65" s="145">
        <f t="shared" si="3"/>
        <v>136.92188107267779</v>
      </c>
      <c r="M65" s="145">
        <f t="shared" si="72"/>
        <v>95</v>
      </c>
      <c r="N65" s="145">
        <f t="shared" si="5"/>
        <v>113.93939393939394</v>
      </c>
      <c r="O65" s="145">
        <f t="shared" si="73"/>
        <v>18.400000000000006</v>
      </c>
      <c r="P65" s="145">
        <v>308</v>
      </c>
      <c r="Q65" s="145">
        <v>133.5</v>
      </c>
      <c r="R65" s="145">
        <v>231.9</v>
      </c>
      <c r="S65" s="145">
        <v>117.7</v>
      </c>
      <c r="T65" s="145">
        <f t="shared" si="7"/>
        <v>132.81586890901249</v>
      </c>
      <c r="U65" s="145">
        <f t="shared" si="74"/>
        <v>76.099999999999994</v>
      </c>
      <c r="V65" s="145">
        <f t="shared" si="9"/>
        <v>113.42395921835174</v>
      </c>
      <c r="W65" s="145">
        <f t="shared" si="75"/>
        <v>15.799999999999997</v>
      </c>
      <c r="X65" s="145"/>
      <c r="Y65" s="145"/>
      <c r="Z65" s="145"/>
      <c r="AA65" s="145"/>
      <c r="AB65" s="145"/>
      <c r="AC65" s="145"/>
      <c r="AD65" s="145"/>
      <c r="AE65" s="145"/>
      <c r="AF65" s="145">
        <f>42.8-0.1</f>
        <v>42.699999999999996</v>
      </c>
      <c r="AG65" s="145">
        <v>16.899999999999999</v>
      </c>
      <c r="AH65" s="145">
        <v>23.4</v>
      </c>
      <c r="AI65" s="145">
        <v>14.3</v>
      </c>
      <c r="AJ65" s="145">
        <f t="shared" si="66"/>
        <v>182.47863247863248</v>
      </c>
      <c r="AK65" s="145">
        <f t="shared" si="76"/>
        <v>19.299999999999997</v>
      </c>
      <c r="AL65" s="145">
        <f t="shared" si="55"/>
        <v>118.18181818181816</v>
      </c>
      <c r="AM65" s="145">
        <f t="shared" si="77"/>
        <v>2.5999999999999979</v>
      </c>
      <c r="AN65" s="145">
        <v>0.1</v>
      </c>
      <c r="AO65" s="145"/>
      <c r="AP65" s="145">
        <v>1.5</v>
      </c>
      <c r="AQ65" s="145"/>
      <c r="AR65" s="145">
        <f t="shared" si="80"/>
        <v>6.666666666666667</v>
      </c>
      <c r="AS65" s="145">
        <f t="shared" si="78"/>
        <v>-1.4</v>
      </c>
      <c r="AT65" s="145"/>
      <c r="AU65" s="145"/>
      <c r="AV65" s="145">
        <v>1.5</v>
      </c>
      <c r="AW65" s="145"/>
      <c r="AX65" s="145">
        <v>0.5</v>
      </c>
      <c r="AY65" s="145"/>
      <c r="AZ65" s="145" t="s">
        <v>80</v>
      </c>
      <c r="BA65" s="145">
        <f>+AV65-AX65</f>
        <v>1</v>
      </c>
      <c r="BB65" s="145"/>
      <c r="BC65" s="145"/>
      <c r="BD65" s="145"/>
      <c r="BE65" s="145"/>
      <c r="BF65" s="145"/>
      <c r="BG65" s="145"/>
      <c r="BH65" s="145"/>
      <c r="BI65" s="145"/>
      <c r="BJ65" s="145"/>
      <c r="BK65" s="145"/>
    </row>
    <row r="66" spans="1:64" ht="12" customHeight="1" x14ac:dyDescent="0.2">
      <c r="A66" s="172">
        <v>58</v>
      </c>
      <c r="B66" s="174" t="s">
        <v>141</v>
      </c>
      <c r="C66" s="145">
        <f t="shared" si="69"/>
        <v>621</v>
      </c>
      <c r="D66" s="145">
        <f t="shared" si="44"/>
        <v>266.7</v>
      </c>
      <c r="E66" s="145">
        <f>+'[1]2019-2018'!$J62</f>
        <v>423.5</v>
      </c>
      <c r="F66" s="145">
        <f t="shared" si="70"/>
        <v>-197.5</v>
      </c>
      <c r="G66" s="145">
        <f>+'[1]2019-2018'!$M62</f>
        <v>253.7</v>
      </c>
      <c r="H66" s="145" t="e">
        <f>G66-D66-#REF!</f>
        <v>#REF!</v>
      </c>
      <c r="I66" s="146"/>
      <c r="J66" s="145">
        <f t="shared" si="71"/>
        <v>424.5</v>
      </c>
      <c r="K66" s="145">
        <f t="shared" si="71"/>
        <v>234.39999999999998</v>
      </c>
      <c r="L66" s="145">
        <f t="shared" si="3"/>
        <v>146.28975265017667</v>
      </c>
      <c r="M66" s="145">
        <f t="shared" si="72"/>
        <v>196.5</v>
      </c>
      <c r="N66" s="145">
        <f t="shared" si="5"/>
        <v>113.77986348122869</v>
      </c>
      <c r="O66" s="145">
        <f t="shared" si="73"/>
        <v>32.300000000000011</v>
      </c>
      <c r="P66" s="145">
        <v>558.70000000000005</v>
      </c>
      <c r="Q66" s="145">
        <v>243.5</v>
      </c>
      <c r="R66" s="145">
        <v>385.6</v>
      </c>
      <c r="S66" s="145">
        <v>212.2</v>
      </c>
      <c r="T66" s="145">
        <f t="shared" si="7"/>
        <v>144.89107883817428</v>
      </c>
      <c r="U66" s="145">
        <f t="shared" si="74"/>
        <v>173.10000000000002</v>
      </c>
      <c r="V66" s="145">
        <f t="shared" si="9"/>
        <v>114.75023562676721</v>
      </c>
      <c r="W66" s="145">
        <f t="shared" si="75"/>
        <v>31.300000000000011</v>
      </c>
      <c r="X66" s="145"/>
      <c r="Y66" s="145"/>
      <c r="Z66" s="145"/>
      <c r="AA66" s="145"/>
      <c r="AB66" s="145"/>
      <c r="AC66" s="145"/>
      <c r="AD66" s="145"/>
      <c r="AE66" s="145"/>
      <c r="AF66" s="145">
        <v>62.3</v>
      </c>
      <c r="AG66" s="145">
        <v>23.2</v>
      </c>
      <c r="AH66" s="145">
        <f>38.6-0.1</f>
        <v>38.5</v>
      </c>
      <c r="AI66" s="145">
        <v>22.2</v>
      </c>
      <c r="AJ66" s="145">
        <f t="shared" si="66"/>
        <v>161.81818181818181</v>
      </c>
      <c r="AK66" s="145">
        <f t="shared" si="76"/>
        <v>23.799999999999997</v>
      </c>
      <c r="AL66" s="145">
        <f t="shared" si="55"/>
        <v>104.5045045045045</v>
      </c>
      <c r="AM66" s="145">
        <f t="shared" si="77"/>
        <v>1</v>
      </c>
      <c r="AN66" s="145"/>
      <c r="AO66" s="145"/>
      <c r="AP66" s="145">
        <v>0.4</v>
      </c>
      <c r="AQ66" s="145"/>
      <c r="AR66" s="145"/>
      <c r="AS66" s="145">
        <f t="shared" si="78"/>
        <v>-0.4</v>
      </c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</row>
    <row r="67" spans="1:64" ht="12" customHeight="1" x14ac:dyDescent="0.2">
      <c r="A67" s="172">
        <v>59</v>
      </c>
      <c r="B67" s="175" t="s">
        <v>142</v>
      </c>
      <c r="C67" s="149">
        <f>SUM(C56:C66)</f>
        <v>8752.4</v>
      </c>
      <c r="D67" s="148">
        <f t="shared" si="44"/>
        <v>2241.9</v>
      </c>
      <c r="E67" s="148">
        <f>SUM(E56:E66)</f>
        <v>5326.1999999999989</v>
      </c>
      <c r="F67" s="145">
        <f t="shared" si="70"/>
        <v>-3426.2000000000007</v>
      </c>
      <c r="G67" s="148">
        <f>+S67+AA67+AI67+AQ67+BA68+BG67</f>
        <v>1979.4</v>
      </c>
      <c r="H67" s="148">
        <f>+T67+AB67+AJ67+AR67+BB68+BH67</f>
        <v>480.55619551531129</v>
      </c>
      <c r="I67" s="148">
        <f>+U67+AC67+AK67+AS67+BC68+BI67</f>
        <v>2922.2999999999997</v>
      </c>
      <c r="J67" s="149">
        <f>SUM(J56:J66)</f>
        <v>5832.0000000000009</v>
      </c>
      <c r="K67" s="149">
        <f>SUM(K56:K66)</f>
        <v>1978.6</v>
      </c>
      <c r="L67" s="148">
        <f t="shared" si="3"/>
        <v>150.07544581618652</v>
      </c>
      <c r="M67" s="149">
        <f>SUM(M56:M66)</f>
        <v>2920.4</v>
      </c>
      <c r="N67" s="148">
        <f t="shared" si="5"/>
        <v>113.30738906297384</v>
      </c>
      <c r="O67" s="149">
        <f>SUM(O56:O66)</f>
        <v>263.30000000000007</v>
      </c>
      <c r="P67" s="149">
        <f>SUM(P56:P66)</f>
        <v>7681.4000000000005</v>
      </c>
      <c r="Q67" s="149">
        <f>SUM(Q56:Q66)</f>
        <v>1968.3000000000002</v>
      </c>
      <c r="R67" s="149">
        <f>SUM(R56:R66)</f>
        <v>5229.6000000000004</v>
      </c>
      <c r="S67" s="149">
        <f>SUM(S56:S66)</f>
        <v>1725.6000000000001</v>
      </c>
      <c r="T67" s="148">
        <f t="shared" si="7"/>
        <v>146.88312681658255</v>
      </c>
      <c r="U67" s="149">
        <f>SUM(U56:U66)</f>
        <v>2451.7999999999997</v>
      </c>
      <c r="V67" s="145">
        <f t="shared" si="9"/>
        <v>114.06467315716273</v>
      </c>
      <c r="W67" s="149">
        <f>SUM(W56:W66)</f>
        <v>242.70000000000005</v>
      </c>
      <c r="X67" s="149">
        <f t="shared" ref="X67:AE67" si="81">SUM(X56:X66)</f>
        <v>0</v>
      </c>
      <c r="Y67" s="149">
        <f t="shared" si="81"/>
        <v>0</v>
      </c>
      <c r="Z67" s="149">
        <f>SUM(Z56:Z66)</f>
        <v>0</v>
      </c>
      <c r="AA67" s="149">
        <f>SUM(AA56:AA66)</f>
        <v>0</v>
      </c>
      <c r="AB67" s="149">
        <f t="shared" si="81"/>
        <v>0</v>
      </c>
      <c r="AC67" s="149">
        <f t="shared" si="81"/>
        <v>0</v>
      </c>
      <c r="AD67" s="149">
        <f t="shared" si="81"/>
        <v>0</v>
      </c>
      <c r="AE67" s="149">
        <f t="shared" si="81"/>
        <v>0</v>
      </c>
      <c r="AF67" s="149">
        <f>SUM(AF56:AF66)</f>
        <v>1038.8999999999999</v>
      </c>
      <c r="AG67" s="149">
        <f>SUM(AG56:AG66)</f>
        <v>273.60000000000002</v>
      </c>
      <c r="AH67" s="149">
        <f>SUM(AH56:AH66)</f>
        <v>577.99999999999989</v>
      </c>
      <c r="AI67" s="149">
        <f>SUM(AI56:AI66)</f>
        <v>253.00000000000003</v>
      </c>
      <c r="AJ67" s="148">
        <f t="shared" si="66"/>
        <v>179.74048442906576</v>
      </c>
      <c r="AK67" s="149">
        <f>SUM(AK56:AK66)</f>
        <v>460.90000000000009</v>
      </c>
      <c r="AL67" s="148">
        <f t="shared" si="55"/>
        <v>108.14229249011858</v>
      </c>
      <c r="AM67" s="149">
        <f>SUM(AM56:AM66)</f>
        <v>20.599999999999998</v>
      </c>
      <c r="AN67" s="149">
        <f>SUM(AN56:AN66)</f>
        <v>27.400000000000002</v>
      </c>
      <c r="AO67" s="149"/>
      <c r="AP67" s="149">
        <f>SUM(AP56:AP66)</f>
        <v>17.799999999999997</v>
      </c>
      <c r="AQ67" s="149"/>
      <c r="AR67" s="148">
        <f>+AN67/AP67*100</f>
        <v>153.93258426966295</v>
      </c>
      <c r="AS67" s="149">
        <f>SUM(AS56:AS66)</f>
        <v>9.5999999999999979</v>
      </c>
      <c r="AT67" s="149"/>
      <c r="AU67" s="149"/>
      <c r="AV67" s="149">
        <f>SUM(AV56:AV66)</f>
        <v>4.7</v>
      </c>
      <c r="AW67" s="149"/>
      <c r="AX67" s="149">
        <f>SUM(AX56:AX66)</f>
        <v>6.6</v>
      </c>
      <c r="AY67" s="149"/>
      <c r="AZ67" s="148">
        <f>+AV67/AX67*100</f>
        <v>71.212121212121218</v>
      </c>
      <c r="BA67" s="149">
        <f>SUM(BA56:BA66)</f>
        <v>-1.9000000000000004</v>
      </c>
      <c r="BB67" s="148"/>
      <c r="BC67" s="149"/>
      <c r="BD67" s="149"/>
      <c r="BE67" s="149"/>
      <c r="BF67" s="149"/>
      <c r="BG67" s="149"/>
      <c r="BH67" s="152"/>
      <c r="BI67" s="149"/>
      <c r="BJ67" s="152"/>
      <c r="BK67" s="149"/>
    </row>
    <row r="68" spans="1:64" ht="12" customHeight="1" x14ac:dyDescent="0.2">
      <c r="A68" s="172">
        <v>60</v>
      </c>
      <c r="B68" s="174" t="s">
        <v>143</v>
      </c>
      <c r="C68" s="145">
        <f t="shared" ref="C68:C134" si="82">+P68+X68+AF68+AN68+AV68+BD68</f>
        <v>1288.9000000000001</v>
      </c>
      <c r="D68" s="145">
        <f t="shared" si="44"/>
        <v>1108.3000000000002</v>
      </c>
      <c r="E68" s="145">
        <f>+'[1]2019-2018'!$J64</f>
        <v>843.1</v>
      </c>
      <c r="F68" s="145">
        <f t="shared" si="70"/>
        <v>-445.80000000000007</v>
      </c>
      <c r="G68" s="145">
        <f>+'[1]2019-2018'!$M64</f>
        <v>726.1</v>
      </c>
      <c r="H68" s="145" t="e">
        <f>G68-D68-#REF!</f>
        <v>#REF!</v>
      </c>
      <c r="I68" s="146"/>
      <c r="J68" s="145">
        <f t="shared" ref="J68:K70" si="83">+R68+Z68+AH68+AP68+AX68+BF68</f>
        <v>1090.8</v>
      </c>
      <c r="K68" s="145">
        <f t="shared" si="83"/>
        <v>1002.9</v>
      </c>
      <c r="L68" s="145">
        <f t="shared" si="3"/>
        <v>118.16098276494318</v>
      </c>
      <c r="M68" s="145">
        <f>+C68-J68</f>
        <v>198.10000000000014</v>
      </c>
      <c r="N68" s="145">
        <f t="shared" si="5"/>
        <v>110.50952238508327</v>
      </c>
      <c r="O68" s="145">
        <f>D68-K68</f>
        <v>105.4000000000002</v>
      </c>
      <c r="P68" s="145">
        <v>79</v>
      </c>
      <c r="Q68" s="145">
        <v>11.9</v>
      </c>
      <c r="R68" s="145">
        <v>16.3</v>
      </c>
      <c r="S68" s="145">
        <v>10.4</v>
      </c>
      <c r="T68" s="145" t="s">
        <v>144</v>
      </c>
      <c r="U68" s="145">
        <f>+P68-R68</f>
        <v>62.7</v>
      </c>
      <c r="V68" s="145">
        <f t="shared" si="9"/>
        <v>114.42307692307692</v>
      </c>
      <c r="W68" s="145">
        <f>Q68-S68</f>
        <v>1.5</v>
      </c>
      <c r="X68" s="145"/>
      <c r="Y68" s="145"/>
      <c r="Z68" s="145"/>
      <c r="AA68" s="145"/>
      <c r="AB68" s="145"/>
      <c r="AC68" s="145"/>
      <c r="AD68" s="145"/>
      <c r="AE68" s="145"/>
      <c r="AF68" s="145">
        <v>1208.9000000000001</v>
      </c>
      <c r="AG68" s="145">
        <v>1096.4000000000001</v>
      </c>
      <c r="AH68" s="145">
        <v>1074.3</v>
      </c>
      <c r="AI68" s="145">
        <v>992.5</v>
      </c>
      <c r="AJ68" s="145">
        <f t="shared" si="66"/>
        <v>112.52908870892675</v>
      </c>
      <c r="AK68" s="145">
        <f>+AF68-AH68</f>
        <v>134.60000000000014</v>
      </c>
      <c r="AL68" s="145">
        <f t="shared" si="55"/>
        <v>110.46851385390428</v>
      </c>
      <c r="AM68" s="145">
        <f>AG68-AI68</f>
        <v>103.90000000000009</v>
      </c>
      <c r="AN68" s="145"/>
      <c r="AO68" s="145"/>
      <c r="AP68" s="145"/>
      <c r="AQ68" s="145"/>
      <c r="AR68" s="145"/>
      <c r="AS68" s="145"/>
      <c r="AT68" s="145"/>
      <c r="AU68" s="145"/>
      <c r="AV68" s="145">
        <v>1</v>
      </c>
      <c r="AW68" s="145"/>
      <c r="AX68" s="145">
        <v>0.2</v>
      </c>
      <c r="AY68" s="145"/>
      <c r="AZ68" s="145" t="s">
        <v>145</v>
      </c>
      <c r="BA68" s="145">
        <f>+AV68-AX68</f>
        <v>0.8</v>
      </c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</row>
    <row r="69" spans="1:64" ht="12" customHeight="1" x14ac:dyDescent="0.2">
      <c r="A69" s="172">
        <v>61</v>
      </c>
      <c r="B69" s="174" t="s">
        <v>146</v>
      </c>
      <c r="C69" s="145">
        <f t="shared" si="82"/>
        <v>154.1</v>
      </c>
      <c r="D69" s="145">
        <f t="shared" si="44"/>
        <v>141.80000000000001</v>
      </c>
      <c r="E69" s="145">
        <f>+'[1]2019-2018'!$J65</f>
        <v>117.89999999999999</v>
      </c>
      <c r="F69" s="145">
        <f t="shared" si="70"/>
        <v>-36.200000000000003</v>
      </c>
      <c r="G69" s="145">
        <f>+'[1]2019-2018'!$M65</f>
        <v>110.5</v>
      </c>
      <c r="H69" s="145" t="e">
        <f>G69-D69-#REF!</f>
        <v>#REF!</v>
      </c>
      <c r="I69" s="146"/>
      <c r="J69" s="145">
        <f t="shared" si="83"/>
        <v>126.5</v>
      </c>
      <c r="K69" s="145">
        <f t="shared" si="83"/>
        <v>118.3</v>
      </c>
      <c r="L69" s="145">
        <f t="shared" si="3"/>
        <v>121.8181818181818</v>
      </c>
      <c r="M69" s="145">
        <f>+C69-J69</f>
        <v>27.599999999999994</v>
      </c>
      <c r="N69" s="145">
        <f t="shared" si="5"/>
        <v>119.86475063398142</v>
      </c>
      <c r="O69" s="145">
        <f>D69-K69</f>
        <v>23.500000000000014</v>
      </c>
      <c r="P69" s="145">
        <v>154.1</v>
      </c>
      <c r="Q69" s="145">
        <v>141.80000000000001</v>
      </c>
      <c r="R69" s="145">
        <v>126.5</v>
      </c>
      <c r="S69" s="145">
        <v>118.3</v>
      </c>
      <c r="T69" s="145">
        <f t="shared" si="7"/>
        <v>121.8181818181818</v>
      </c>
      <c r="U69" s="145">
        <f>+P69-R69</f>
        <v>27.599999999999994</v>
      </c>
      <c r="V69" s="145">
        <f t="shared" si="9"/>
        <v>119.86475063398142</v>
      </c>
      <c r="W69" s="145">
        <f>Q69-S69</f>
        <v>23.500000000000014</v>
      </c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</row>
    <row r="70" spans="1:64" ht="12" customHeight="1" x14ac:dyDescent="0.2">
      <c r="A70" s="172">
        <v>62</v>
      </c>
      <c r="B70" s="176" t="s">
        <v>147</v>
      </c>
      <c r="C70" s="145">
        <f t="shared" si="82"/>
        <v>6972.5000000000009</v>
      </c>
      <c r="D70" s="145">
        <f t="shared" si="44"/>
        <v>3586.3999999999996</v>
      </c>
      <c r="E70" s="145">
        <f>+'[1]2019-2018'!$J66</f>
        <v>4199.7000000000007</v>
      </c>
      <c r="F70" s="145">
        <f t="shared" si="70"/>
        <v>-2772.8</v>
      </c>
      <c r="G70" s="145">
        <f>+'[1]2019-2018'!$M66</f>
        <v>2410.4</v>
      </c>
      <c r="H70" s="145" t="e">
        <f>G70-D70-#REF!</f>
        <v>#REF!</v>
      </c>
      <c r="I70" s="146"/>
      <c r="J70" s="145">
        <f t="shared" si="83"/>
        <v>5713.6</v>
      </c>
      <c r="K70" s="145">
        <f t="shared" si="83"/>
        <v>3205.2</v>
      </c>
      <c r="L70" s="145">
        <f t="shared" si="3"/>
        <v>122.03339400728088</v>
      </c>
      <c r="M70" s="145">
        <f>+C70-J70</f>
        <v>1258.9000000000005</v>
      </c>
      <c r="N70" s="145">
        <f t="shared" si="5"/>
        <v>111.89317359291151</v>
      </c>
      <c r="O70" s="145">
        <f>D70-K70</f>
        <v>381.19999999999982</v>
      </c>
      <c r="P70" s="153">
        <f>15712.5-9892.8</f>
        <v>5819.7000000000007</v>
      </c>
      <c r="Q70" s="145">
        <v>3259.2</v>
      </c>
      <c r="R70" s="153">
        <f>13520.2-8794.5</f>
        <v>4725.7000000000007</v>
      </c>
      <c r="S70" s="145">
        <v>2886.2</v>
      </c>
      <c r="T70" s="145">
        <f t="shared" si="7"/>
        <v>123.15000952239879</v>
      </c>
      <c r="U70" s="145">
        <f>+P70-R70</f>
        <v>1094</v>
      </c>
      <c r="V70" s="145">
        <f t="shared" si="9"/>
        <v>112.92356732035202</v>
      </c>
      <c r="W70" s="145">
        <f>Q70-S70</f>
        <v>373</v>
      </c>
      <c r="X70" s="145"/>
      <c r="Y70" s="145"/>
      <c r="Z70" s="145"/>
      <c r="AA70" s="145"/>
      <c r="AB70" s="145"/>
      <c r="AC70" s="145"/>
      <c r="AD70" s="145"/>
      <c r="AE70" s="145"/>
      <c r="AF70" s="145">
        <f>9368.4-8226.3</f>
        <v>1142.1000000000004</v>
      </c>
      <c r="AG70" s="145">
        <f>327.1+0.1</f>
        <v>327.20000000000005</v>
      </c>
      <c r="AH70" s="145">
        <f>9426.1-8449.6</f>
        <v>976.5</v>
      </c>
      <c r="AI70" s="145">
        <v>319</v>
      </c>
      <c r="AJ70" s="145">
        <f>+AF70/AH70*100</f>
        <v>116.95852534562216</v>
      </c>
      <c r="AK70" s="145">
        <f>+AF70-AH70</f>
        <v>165.60000000000036</v>
      </c>
      <c r="AL70" s="145">
        <f>+AG70/AI70*100</f>
        <v>102.57053291536052</v>
      </c>
      <c r="AM70" s="145">
        <f>AG70-AI70</f>
        <v>8.2000000000000455</v>
      </c>
      <c r="AN70" s="145">
        <f>10.8-0.1</f>
        <v>10.700000000000001</v>
      </c>
      <c r="AO70" s="145"/>
      <c r="AP70" s="145">
        <v>11.4</v>
      </c>
      <c r="AQ70" s="145"/>
      <c r="AR70" s="145">
        <f>+AN70/AP70*100</f>
        <v>93.859649122807014</v>
      </c>
      <c r="AS70" s="145">
        <f>+AN70-AP70</f>
        <v>-0.69999999999999929</v>
      </c>
      <c r="AT70" s="145"/>
      <c r="AU70" s="145"/>
      <c r="AV70" s="145"/>
      <c r="AW70" s="145"/>
      <c r="AX70" s="145"/>
      <c r="AY70" s="145"/>
      <c r="AZ70" s="145"/>
      <c r="BA70" s="145">
        <f>+AV70-AX70</f>
        <v>0</v>
      </c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49"/>
    </row>
    <row r="71" spans="1:64" ht="12" customHeight="1" x14ac:dyDescent="0.2">
      <c r="A71" s="172">
        <v>63</v>
      </c>
      <c r="B71" s="175" t="s">
        <v>148</v>
      </c>
      <c r="C71" s="148">
        <f>+P71+X71+AF71+AN71+AV71+BD71</f>
        <v>59447.799999999996</v>
      </c>
      <c r="D71" s="148">
        <f t="shared" si="44"/>
        <v>41608.099999999991</v>
      </c>
      <c r="E71" s="148">
        <f>+E17+E39+E48+E55+E67+E68+E69+E70</f>
        <v>39530.800000000003</v>
      </c>
      <c r="F71" s="148" t="e">
        <f>+R71+Z71+AH71+AP71+#REF!+BF71</f>
        <v>#REF!</v>
      </c>
      <c r="G71" s="148" t="e">
        <f>+S71+AA71+AI71+AQ71+#REF!+BG71</f>
        <v>#REF!</v>
      </c>
      <c r="H71" s="148" t="e">
        <f>+T71+AB71+AJ71+AR71+#REF!+BH71</f>
        <v>#REF!</v>
      </c>
      <c r="I71" s="148" t="e">
        <f>+U71+AC71+AK71+AS71+#REF!+BI71</f>
        <v>#REF!</v>
      </c>
      <c r="J71" s="148">
        <f>+J17+J39+J48+J55+J67+J68+J69+J70</f>
        <v>48982.400000000001</v>
      </c>
      <c r="K71" s="148">
        <f>+K17+K39+K48+K55+K67+K68+K69+K70</f>
        <v>36300.5</v>
      </c>
      <c r="L71" s="148">
        <f t="shared" si="3"/>
        <v>121.36563337035342</v>
      </c>
      <c r="M71" s="148">
        <f>+M17+M39+M48+M55+M67+M68+M69+M70</f>
        <v>10465.400000000001</v>
      </c>
      <c r="N71" s="148">
        <f t="shared" si="5"/>
        <v>114.62128620817893</v>
      </c>
      <c r="O71" s="148">
        <f>+O17+O39+O48+O55+O67+O68+O69+O70</f>
        <v>5307.6</v>
      </c>
      <c r="P71" s="148">
        <f>+P17+P39+P48+P55+P67+P68+P69+P70</f>
        <v>33235.600000000006</v>
      </c>
      <c r="Q71" s="148">
        <f>+Q67+Q68+Q69+Q70+Q55+Q48+Q39+Q17</f>
        <v>20323.099999999999</v>
      </c>
      <c r="R71" s="148">
        <f>+R17+R39+R48+R55+R67+R68+R69+R70</f>
        <v>26573.9</v>
      </c>
      <c r="S71" s="148">
        <f>+S67+S68+S69+S70+S55+S48+S39+S17</f>
        <v>17908.600000000002</v>
      </c>
      <c r="T71" s="148">
        <f t="shared" si="7"/>
        <v>125.06858233078322</v>
      </c>
      <c r="U71" s="148">
        <f>+U17+U39+U48+U55+U67+U68+U69+U70</f>
        <v>6661.7</v>
      </c>
      <c r="V71" s="148">
        <f t="shared" si="9"/>
        <v>113.48234926236556</v>
      </c>
      <c r="W71" s="148">
        <f>+W17+W39+W48+W55+W67+W68+W69+W70</f>
        <v>2414.5</v>
      </c>
      <c r="X71" s="148">
        <f>+X17+X39+X48+X55+X67+X68+X69+X70</f>
        <v>17004.399999999998</v>
      </c>
      <c r="Y71" s="148">
        <f>+Y17+Y39+Y48+Y55+Y67+Y68+Y69+Y70</f>
        <v>16152.3</v>
      </c>
      <c r="Z71" s="148">
        <f>+Z17+Z39+Z48+Z55+Z67+Z68+Z69+Z70</f>
        <v>14616.9</v>
      </c>
      <c r="AA71" s="148">
        <f>+AA17+AA39+AA48+AA55+AA67+AA68+AA69+AA70</f>
        <v>13874.2</v>
      </c>
      <c r="AB71" s="148">
        <f>+X71/Z71*100</f>
        <v>116.33383275523536</v>
      </c>
      <c r="AC71" s="148">
        <f>+AC17+AC39+AC48+AC55+AC67+AC68+AC69+AC70</f>
        <v>2387.4999999999995</v>
      </c>
      <c r="AD71" s="148">
        <f>+Y71/AA71*100</f>
        <v>116.41968545934178</v>
      </c>
      <c r="AE71" s="148">
        <f>+AE17+AE39+AE48+AE55+AE67+AE68+AE69+AE70</f>
        <v>2278.1000000000004</v>
      </c>
      <c r="AF71" s="148">
        <f>+AF17+AF39+AF48+AF55+AF67+AF68+AF69+AF70</f>
        <v>7540.2999999999993</v>
      </c>
      <c r="AG71" s="148">
        <f>+AG17+AG39+AG48+AG55+AG67+AG68+AG69+AG70</f>
        <v>4691.2</v>
      </c>
      <c r="AH71" s="148">
        <f>+AH17+AH39+AH48+AH55+AH67+AH68+AH69+AH70</f>
        <v>6417.7</v>
      </c>
      <c r="AI71" s="148">
        <f>+AI17+AI39+AI48+AI55+AI67+AI68+AI69+AI70</f>
        <v>4093</v>
      </c>
      <c r="AJ71" s="148">
        <f>+AF71/AH71*100</f>
        <v>117.49224800162051</v>
      </c>
      <c r="AK71" s="148">
        <f>+AK17+AK39+AK48+AK55+AK67+AK68+AK69+AK70</f>
        <v>1122.6000000000006</v>
      </c>
      <c r="AL71" s="148">
        <f>+AG71/AI71*100</f>
        <v>114.61519667725383</v>
      </c>
      <c r="AM71" s="148">
        <f>+AM17+AM39+AM48+AM55+AM67+AM68+AM69+AM70</f>
        <v>598.20000000000027</v>
      </c>
      <c r="AN71" s="148">
        <f>+AN17+AN39+AN48+AN55+AN67+AN68+AN69+AN70</f>
        <v>139.1</v>
      </c>
      <c r="AO71" s="148">
        <f>+AO17+AO39+AO48+AO55+AO67+AO68+AO69+AO70</f>
        <v>9</v>
      </c>
      <c r="AP71" s="148">
        <f>+AP17+AP39+AP48+AP55+AP67+AP68+AP69+AP70</f>
        <v>80.2</v>
      </c>
      <c r="AQ71" s="148">
        <f>+AQ17+AQ39+AQ48+AQ55+AQ67+AQ68+AQ69+AQ70</f>
        <v>11.2</v>
      </c>
      <c r="AR71" s="148">
        <f>+AN71/AP71*100</f>
        <v>173.44139650872816</v>
      </c>
      <c r="AS71" s="148">
        <f>+AS17+AS39+AS48+AS55+AS67+AS68+AS69+AS70</f>
        <v>58.900000000000006</v>
      </c>
      <c r="AT71" s="148">
        <f>+AO71/AQ71*100</f>
        <v>80.357142857142861</v>
      </c>
      <c r="AU71" s="148">
        <f>+AU17+AU39+AU48+AU55+AU67+AU68+AU69+AU70</f>
        <v>-2.1999999999999993</v>
      </c>
      <c r="AV71" s="148">
        <f>+AV17+AV39+AV48+AV55+AV67+AV68+AV69+AV70</f>
        <v>182.2</v>
      </c>
      <c r="AW71" s="148">
        <f>+AW17+AW39+AW48+AW55+AW67+AW68+AW69+AW70</f>
        <v>29.8</v>
      </c>
      <c r="AX71" s="148">
        <f>+AX17+AX39+AX48+AX55+AX67+AX68+AX69+AX70</f>
        <v>136.79999999999998</v>
      </c>
      <c r="AY71" s="148">
        <f>+AY17+AY39+AY48+AY55+AY67+AY68+AY69+AY70</f>
        <v>32.900000000000006</v>
      </c>
      <c r="AZ71" s="148">
        <f>+AV71/AX71*100</f>
        <v>133.18713450292398</v>
      </c>
      <c r="BA71" s="148">
        <f>+BA17+BA39+BA48+BA55+BA67+BA68+BA69+BA70</f>
        <v>45.4</v>
      </c>
      <c r="BB71" s="148">
        <f>+AW71/AY71*100</f>
        <v>90.57750759878418</v>
      </c>
      <c r="BC71" s="148">
        <f>+BC17+BC39+BC48+BC55+BC67+BC68+BC69+BC70</f>
        <v>-3.0999999999999996</v>
      </c>
      <c r="BD71" s="148">
        <f>+BD17+BD39+BD48+BD55+BD67+BD68+BD69+BD70</f>
        <v>1346.2000000000003</v>
      </c>
      <c r="BE71" s="148">
        <f>+BE17+BE39+BE48+BE55+BE67+BE68+BE69+BE70</f>
        <v>402.70000000000005</v>
      </c>
      <c r="BF71" s="148">
        <f>+BF17+BF39+BF48+BF55+BF67+BF68+BF69+BF70</f>
        <v>1156.8999999999999</v>
      </c>
      <c r="BG71" s="148">
        <f>+BG17+BG39+BG48+BG55+BG67+BG68+BG69+BG70</f>
        <v>380.6</v>
      </c>
      <c r="BH71" s="148">
        <f>+BD71/BF71*100</f>
        <v>116.36269340478869</v>
      </c>
      <c r="BI71" s="148">
        <f>+BI17+BI39+BI48+BI55+BI67+BI68+BI69+BI70</f>
        <v>189.3</v>
      </c>
      <c r="BJ71" s="148">
        <f>+BE71/BG71*100</f>
        <v>105.8066211245402</v>
      </c>
      <c r="BK71" s="148">
        <f>+BK17+BK39+BK48+BK55+BK67+BK68+BK69+BK70</f>
        <v>22.1</v>
      </c>
      <c r="BL71" s="49"/>
    </row>
    <row r="72" spans="1:64" ht="23.25" customHeight="1" x14ac:dyDescent="0.2">
      <c r="A72" s="172">
        <v>64</v>
      </c>
      <c r="B72" s="147" t="s">
        <v>149</v>
      </c>
      <c r="C72" s="145">
        <f>+P72+X72+AF72+AN72+AV72+BD72</f>
        <v>63.5</v>
      </c>
      <c r="D72" s="148"/>
      <c r="E72" s="148"/>
      <c r="F72" s="148"/>
      <c r="G72" s="148"/>
      <c r="H72" s="148"/>
      <c r="I72" s="148"/>
      <c r="J72" s="145">
        <f>+R72+Z72+AH72+AP72+AX72+BF72</f>
        <v>45.8</v>
      </c>
      <c r="K72" s="148"/>
      <c r="L72" s="145">
        <v>100</v>
      </c>
      <c r="M72" s="145">
        <f>+C72-J72</f>
        <v>17.700000000000003</v>
      </c>
      <c r="N72" s="148"/>
      <c r="O72" s="148"/>
      <c r="P72" s="145">
        <v>63.5</v>
      </c>
      <c r="Q72" s="148"/>
      <c r="R72" s="145">
        <v>45.8</v>
      </c>
      <c r="S72" s="148"/>
      <c r="T72" s="145">
        <f>+P72/R72*100</f>
        <v>138.64628820960701</v>
      </c>
      <c r="U72" s="145">
        <f>+P72-R72</f>
        <v>17.700000000000003</v>
      </c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54">
        <f>+BO72+BR72+BU72+CA72+CD72+BX72</f>
        <v>0</v>
      </c>
    </row>
    <row r="73" spans="1:64" ht="21" customHeight="1" x14ac:dyDescent="0.2">
      <c r="A73" s="172">
        <v>65</v>
      </c>
      <c r="B73" s="157" t="s">
        <v>150</v>
      </c>
      <c r="C73" s="145">
        <f>+P73+X73+AF73+AN73+AV73+BD73</f>
        <v>50</v>
      </c>
      <c r="D73" s="145"/>
      <c r="E73" s="145">
        <v>25</v>
      </c>
      <c r="F73" s="145">
        <v>0</v>
      </c>
      <c r="G73" s="145" t="e">
        <v>#REF!</v>
      </c>
      <c r="H73" s="145" t="e">
        <v>#REF!</v>
      </c>
      <c r="I73" s="145"/>
      <c r="J73" s="145">
        <f t="shared" ref="J73:J139" si="84">+R73+Z73+AH73+AP73+AX73+BF73</f>
        <v>25</v>
      </c>
      <c r="K73" s="145"/>
      <c r="L73" s="145">
        <v>100</v>
      </c>
      <c r="M73" s="145">
        <f>+C73-J73</f>
        <v>25</v>
      </c>
      <c r="N73" s="145"/>
      <c r="O73" s="145"/>
      <c r="P73" s="145">
        <v>50</v>
      </c>
      <c r="Q73" s="145"/>
      <c r="R73" s="145">
        <v>25</v>
      </c>
      <c r="S73" s="145"/>
      <c r="T73" s="145" t="s">
        <v>68</v>
      </c>
      <c r="U73" s="145">
        <f>+P73-R73</f>
        <v>25</v>
      </c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54">
        <f t="shared" ref="BL73:BL136" si="85">+BO73+BR73+BU73+CA73+CD73+BX73</f>
        <v>0</v>
      </c>
    </row>
    <row r="74" spans="1:64" ht="12.4" customHeight="1" x14ac:dyDescent="0.2">
      <c r="A74" s="172">
        <v>66</v>
      </c>
      <c r="B74" s="155" t="s">
        <v>151</v>
      </c>
      <c r="C74" s="145">
        <f t="shared" si="82"/>
        <v>10</v>
      </c>
      <c r="D74" s="145"/>
      <c r="E74" s="145">
        <f>+'[1]2019-2018'!$J69</f>
        <v>11.3</v>
      </c>
      <c r="F74" s="145">
        <f t="shared" ref="F74:F81" si="86">+E74-C74</f>
        <v>1.3000000000000007</v>
      </c>
      <c r="G74" s="145" t="e">
        <f>+'[1]2019-2018'!$M69</f>
        <v>#REF!</v>
      </c>
      <c r="H74" s="145" t="e">
        <f>G74-D74-#REF!</f>
        <v>#REF!</v>
      </c>
      <c r="I74" s="146"/>
      <c r="J74" s="145">
        <f t="shared" si="84"/>
        <v>7.9</v>
      </c>
      <c r="K74" s="145"/>
      <c r="L74" s="145">
        <f t="shared" ref="L74:L140" si="87">+C74/J74*100</f>
        <v>126.58227848101265</v>
      </c>
      <c r="M74" s="145">
        <f t="shared" ref="M74:M140" si="88">+C74-J74</f>
        <v>2.0999999999999996</v>
      </c>
      <c r="N74" s="145"/>
      <c r="O74" s="145"/>
      <c r="P74" s="145">
        <v>10</v>
      </c>
      <c r="Q74" s="145"/>
      <c r="R74" s="145">
        <v>7.9</v>
      </c>
      <c r="S74" s="145"/>
      <c r="T74" s="145">
        <f t="shared" ref="T74:T84" si="89">+P74/R74*100</f>
        <v>126.58227848101265</v>
      </c>
      <c r="U74" s="145">
        <f t="shared" ref="U74:U137" si="90">+P74-R74</f>
        <v>2.0999999999999996</v>
      </c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54">
        <f t="shared" si="85"/>
        <v>0</v>
      </c>
    </row>
    <row r="75" spans="1:64" ht="22.5" x14ac:dyDescent="0.2">
      <c r="A75" s="172">
        <v>67</v>
      </c>
      <c r="B75" s="177" t="s">
        <v>152</v>
      </c>
      <c r="C75" s="145">
        <f t="shared" si="82"/>
        <v>20</v>
      </c>
      <c r="D75" s="145"/>
      <c r="E75" s="145">
        <f>+'[1]2019-2018'!$J70</f>
        <v>40</v>
      </c>
      <c r="F75" s="145">
        <f t="shared" si="86"/>
        <v>20</v>
      </c>
      <c r="G75" s="145" t="e">
        <f>+'[1]2019-2018'!$M70</f>
        <v>#REF!</v>
      </c>
      <c r="H75" s="145" t="e">
        <f>G75-D75-#REF!</f>
        <v>#REF!</v>
      </c>
      <c r="I75" s="146"/>
      <c r="J75" s="145">
        <f t="shared" si="84"/>
        <v>40</v>
      </c>
      <c r="K75" s="145"/>
      <c r="L75" s="145">
        <f t="shared" si="87"/>
        <v>50</v>
      </c>
      <c r="M75" s="145">
        <f t="shared" si="88"/>
        <v>-20</v>
      </c>
      <c r="N75" s="145"/>
      <c r="O75" s="145"/>
      <c r="P75" s="145">
        <v>20</v>
      </c>
      <c r="Q75" s="145"/>
      <c r="R75" s="145">
        <v>40</v>
      </c>
      <c r="S75" s="145"/>
      <c r="T75" s="145">
        <f t="shared" si="89"/>
        <v>50</v>
      </c>
      <c r="U75" s="145">
        <f t="shared" si="90"/>
        <v>-20</v>
      </c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  <c r="BI75" s="145"/>
      <c r="BJ75" s="145"/>
      <c r="BK75" s="145"/>
      <c r="BL75" s="154">
        <f t="shared" si="85"/>
        <v>0</v>
      </c>
    </row>
    <row r="76" spans="1:64" ht="33.75" customHeight="1" x14ac:dyDescent="0.2">
      <c r="A76" s="172">
        <v>68</v>
      </c>
      <c r="B76" s="156" t="s">
        <v>153</v>
      </c>
      <c r="C76" s="145">
        <f t="shared" si="82"/>
        <v>44.9</v>
      </c>
      <c r="D76" s="145"/>
      <c r="E76" s="145">
        <f>+'[1]2019-2018'!$J72</f>
        <v>30</v>
      </c>
      <c r="F76" s="145">
        <f t="shared" si="86"/>
        <v>-14.899999999999999</v>
      </c>
      <c r="G76" s="145" t="e">
        <f>+'[1]2019-2018'!$M72</f>
        <v>#REF!</v>
      </c>
      <c r="H76" s="145" t="e">
        <f>G76-D76-#REF!</f>
        <v>#REF!</v>
      </c>
      <c r="I76" s="146"/>
      <c r="J76" s="145">
        <f t="shared" si="84"/>
        <v>20</v>
      </c>
      <c r="K76" s="145"/>
      <c r="L76" s="145" t="s">
        <v>95</v>
      </c>
      <c r="M76" s="145">
        <f t="shared" si="88"/>
        <v>24.9</v>
      </c>
      <c r="N76" s="145"/>
      <c r="O76" s="145"/>
      <c r="P76" s="145">
        <v>44.9</v>
      </c>
      <c r="Q76" s="145"/>
      <c r="R76" s="145">
        <v>20</v>
      </c>
      <c r="S76" s="145"/>
      <c r="T76" s="145" t="s">
        <v>95</v>
      </c>
      <c r="U76" s="145">
        <f t="shared" si="90"/>
        <v>24.9</v>
      </c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  <c r="BI76" s="145"/>
      <c r="BJ76" s="145"/>
      <c r="BK76" s="145"/>
      <c r="BL76" s="154">
        <f>+BO76+BR76+BU76+CA76+CD76+BX76</f>
        <v>0</v>
      </c>
    </row>
    <row r="77" spans="1:64" ht="33.75" customHeight="1" x14ac:dyDescent="0.2">
      <c r="A77" s="172">
        <v>69</v>
      </c>
      <c r="B77" s="156" t="s">
        <v>154</v>
      </c>
      <c r="C77" s="145">
        <f t="shared" si="82"/>
        <v>0</v>
      </c>
      <c r="D77" s="145"/>
      <c r="E77" s="145">
        <f>+'[1]2019-2018'!$J74</f>
        <v>0</v>
      </c>
      <c r="F77" s="145">
        <f t="shared" si="86"/>
        <v>0</v>
      </c>
      <c r="G77" s="145" t="e">
        <f>+'[1]2019-2018'!$M74</f>
        <v>#REF!</v>
      </c>
      <c r="H77" s="145" t="e">
        <f>G77-D77-#REF!</f>
        <v>#REF!</v>
      </c>
      <c r="I77" s="146"/>
      <c r="J77" s="145">
        <f t="shared" si="84"/>
        <v>10.9</v>
      </c>
      <c r="K77" s="145"/>
      <c r="L77" s="145">
        <f t="shared" si="87"/>
        <v>0</v>
      </c>
      <c r="M77" s="145">
        <f t="shared" si="88"/>
        <v>-10.9</v>
      </c>
      <c r="N77" s="152"/>
      <c r="O77" s="145"/>
      <c r="P77" s="145">
        <v>0</v>
      </c>
      <c r="Q77" s="145"/>
      <c r="R77" s="145">
        <v>10.9</v>
      </c>
      <c r="S77" s="145"/>
      <c r="T77" s="145">
        <f t="shared" si="89"/>
        <v>0</v>
      </c>
      <c r="U77" s="145">
        <f t="shared" si="90"/>
        <v>-10.9</v>
      </c>
      <c r="V77" s="152"/>
      <c r="W77" s="145"/>
      <c r="X77" s="145"/>
      <c r="Y77" s="145"/>
      <c r="Z77" s="145"/>
      <c r="AA77" s="145"/>
      <c r="AB77" s="152"/>
      <c r="AC77" s="145"/>
      <c r="AD77" s="152"/>
      <c r="AE77" s="145"/>
      <c r="AF77" s="145"/>
      <c r="AG77" s="145"/>
      <c r="AH77" s="145"/>
      <c r="AI77" s="145"/>
      <c r="AJ77" s="152"/>
      <c r="AK77" s="145"/>
      <c r="AL77" s="152"/>
      <c r="AM77" s="145"/>
      <c r="AN77" s="145"/>
      <c r="AO77" s="145"/>
      <c r="AP77" s="145"/>
      <c r="AQ77" s="145"/>
      <c r="AR77" s="152"/>
      <c r="AS77" s="145"/>
      <c r="AT77" s="152"/>
      <c r="AU77" s="145"/>
      <c r="AV77" s="145"/>
      <c r="AW77" s="145"/>
      <c r="AX77" s="145"/>
      <c r="AY77" s="145"/>
      <c r="AZ77" s="152"/>
      <c r="BA77" s="145"/>
      <c r="BB77" s="152"/>
      <c r="BC77" s="145"/>
      <c r="BD77" s="145"/>
      <c r="BE77" s="145"/>
      <c r="BF77" s="145"/>
      <c r="BG77" s="145"/>
      <c r="BH77" s="152"/>
      <c r="BI77" s="145"/>
      <c r="BJ77" s="152"/>
      <c r="BK77" s="145"/>
      <c r="BL77" s="154">
        <f t="shared" ref="BL77:BL92" si="91">+BO77+BR77+BU77+CA77+CD77+BX77</f>
        <v>0</v>
      </c>
    </row>
    <row r="78" spans="1:64" ht="33.75" x14ac:dyDescent="0.2">
      <c r="A78" s="172">
        <v>70</v>
      </c>
      <c r="B78" s="156" t="s">
        <v>155</v>
      </c>
      <c r="C78" s="145">
        <f t="shared" si="82"/>
        <v>26.2</v>
      </c>
      <c r="D78" s="145"/>
      <c r="E78" s="145">
        <f>+'[1]2019-2018'!$J79</f>
        <v>41.9</v>
      </c>
      <c r="F78" s="145">
        <f t="shared" si="86"/>
        <v>15.7</v>
      </c>
      <c r="G78" s="145" t="e">
        <f>+'[1]2019-2018'!$M79</f>
        <v>#REF!</v>
      </c>
      <c r="H78" s="145" t="e">
        <f>G78-D78-#REF!</f>
        <v>#REF!</v>
      </c>
      <c r="I78" s="146"/>
      <c r="J78" s="145">
        <f t="shared" si="84"/>
        <v>42.8</v>
      </c>
      <c r="K78" s="145"/>
      <c r="L78" s="145">
        <f t="shared" si="87"/>
        <v>61.214953271028037</v>
      </c>
      <c r="M78" s="145">
        <f t="shared" si="88"/>
        <v>-16.599999999999998</v>
      </c>
      <c r="N78" s="152"/>
      <c r="O78" s="145"/>
      <c r="P78" s="145">
        <v>26.2</v>
      </c>
      <c r="Q78" s="145"/>
      <c r="R78" s="145">
        <f>42.9-0.1</f>
        <v>42.8</v>
      </c>
      <c r="S78" s="145"/>
      <c r="T78" s="145">
        <f t="shared" si="89"/>
        <v>61.214953271028037</v>
      </c>
      <c r="U78" s="145">
        <f t="shared" si="90"/>
        <v>-16.599999999999998</v>
      </c>
      <c r="V78" s="152"/>
      <c r="W78" s="145"/>
      <c r="X78" s="145"/>
      <c r="Y78" s="145"/>
      <c r="Z78" s="145"/>
      <c r="AA78" s="145"/>
      <c r="AB78" s="152"/>
      <c r="AC78" s="145"/>
      <c r="AD78" s="152"/>
      <c r="AE78" s="145"/>
      <c r="AF78" s="145"/>
      <c r="AG78" s="145"/>
      <c r="AH78" s="145"/>
      <c r="AI78" s="145"/>
      <c r="AJ78" s="152"/>
      <c r="AK78" s="145"/>
      <c r="AL78" s="152"/>
      <c r="AM78" s="145"/>
      <c r="AN78" s="145"/>
      <c r="AO78" s="145"/>
      <c r="AP78" s="145"/>
      <c r="AQ78" s="145"/>
      <c r="AR78" s="152"/>
      <c r="AS78" s="145"/>
      <c r="AT78" s="152"/>
      <c r="AU78" s="145"/>
      <c r="AV78" s="145"/>
      <c r="AW78" s="145"/>
      <c r="AX78" s="145"/>
      <c r="AY78" s="145"/>
      <c r="AZ78" s="152"/>
      <c r="BA78" s="145"/>
      <c r="BB78" s="152"/>
      <c r="BC78" s="145"/>
      <c r="BD78" s="145"/>
      <c r="BE78" s="145"/>
      <c r="BF78" s="145"/>
      <c r="BG78" s="145"/>
      <c r="BH78" s="152"/>
      <c r="BI78" s="145"/>
      <c r="BJ78" s="152"/>
      <c r="BK78" s="145"/>
      <c r="BL78" s="154">
        <f t="shared" si="91"/>
        <v>0</v>
      </c>
    </row>
    <row r="79" spans="1:64" ht="33.75" x14ac:dyDescent="0.2">
      <c r="A79" s="172">
        <v>71</v>
      </c>
      <c r="B79" s="156" t="s">
        <v>156</v>
      </c>
      <c r="C79" s="145">
        <f t="shared" si="82"/>
        <v>5.2</v>
      </c>
      <c r="D79" s="145"/>
      <c r="E79" s="145">
        <f>+'[1]2019-2018'!$J80</f>
        <v>10.3</v>
      </c>
      <c r="F79" s="145">
        <f t="shared" si="86"/>
        <v>5.1000000000000005</v>
      </c>
      <c r="G79" s="145" t="e">
        <f>+'[1]2019-2018'!$M80</f>
        <v>#REF!</v>
      </c>
      <c r="H79" s="145" t="e">
        <f>G79-D79-#REF!</f>
        <v>#REF!</v>
      </c>
      <c r="I79" s="146"/>
      <c r="J79" s="145">
        <f t="shared" si="84"/>
        <v>10.3</v>
      </c>
      <c r="K79" s="145"/>
      <c r="L79" s="145">
        <f t="shared" si="87"/>
        <v>50.485436893203882</v>
      </c>
      <c r="M79" s="145">
        <f t="shared" si="88"/>
        <v>-5.1000000000000005</v>
      </c>
      <c r="N79" s="152"/>
      <c r="O79" s="145"/>
      <c r="P79" s="145">
        <v>5.2</v>
      </c>
      <c r="Q79" s="145"/>
      <c r="R79" s="145">
        <v>10.3</v>
      </c>
      <c r="S79" s="145"/>
      <c r="T79" s="145">
        <f t="shared" si="89"/>
        <v>50.485436893203882</v>
      </c>
      <c r="U79" s="145">
        <f t="shared" si="90"/>
        <v>-5.1000000000000005</v>
      </c>
      <c r="V79" s="152"/>
      <c r="W79" s="145"/>
      <c r="X79" s="145"/>
      <c r="Y79" s="145"/>
      <c r="Z79" s="145"/>
      <c r="AA79" s="145"/>
      <c r="AB79" s="152"/>
      <c r="AC79" s="145"/>
      <c r="AD79" s="152"/>
      <c r="AE79" s="145"/>
      <c r="AF79" s="145"/>
      <c r="AG79" s="145"/>
      <c r="AH79" s="145"/>
      <c r="AI79" s="145"/>
      <c r="AJ79" s="152"/>
      <c r="AK79" s="145"/>
      <c r="AL79" s="152"/>
      <c r="AM79" s="145"/>
      <c r="AN79" s="145"/>
      <c r="AO79" s="145"/>
      <c r="AP79" s="145"/>
      <c r="AQ79" s="145"/>
      <c r="AR79" s="152"/>
      <c r="AS79" s="145"/>
      <c r="AT79" s="152"/>
      <c r="AU79" s="145"/>
      <c r="AV79" s="145"/>
      <c r="AW79" s="145"/>
      <c r="AX79" s="145"/>
      <c r="AY79" s="145"/>
      <c r="AZ79" s="152"/>
      <c r="BA79" s="145"/>
      <c r="BB79" s="152"/>
      <c r="BC79" s="145"/>
      <c r="BD79" s="145"/>
      <c r="BE79" s="145"/>
      <c r="BF79" s="145"/>
      <c r="BG79" s="145"/>
      <c r="BH79" s="152"/>
      <c r="BI79" s="145"/>
      <c r="BJ79" s="152"/>
      <c r="BK79" s="145"/>
      <c r="BL79" s="154">
        <f t="shared" si="91"/>
        <v>0</v>
      </c>
    </row>
    <row r="80" spans="1:64" ht="45" customHeight="1" x14ac:dyDescent="0.2">
      <c r="A80" s="172">
        <v>72</v>
      </c>
      <c r="B80" s="156" t="s">
        <v>157</v>
      </c>
      <c r="C80" s="145">
        <f t="shared" si="82"/>
        <v>95.3</v>
      </c>
      <c r="D80" s="145"/>
      <c r="E80" s="145">
        <f>+'[1]2019-2018'!$J81</f>
        <v>50</v>
      </c>
      <c r="F80" s="145">
        <f t="shared" si="86"/>
        <v>-45.3</v>
      </c>
      <c r="G80" s="145" t="e">
        <f>+'[1]2019-2018'!$M81</f>
        <v>#REF!</v>
      </c>
      <c r="H80" s="145" t="e">
        <f>G80-D80-#REF!</f>
        <v>#REF!</v>
      </c>
      <c r="I80" s="146"/>
      <c r="J80" s="145">
        <f t="shared" si="84"/>
        <v>20</v>
      </c>
      <c r="K80" s="145"/>
      <c r="L80" s="145" t="s">
        <v>144</v>
      </c>
      <c r="M80" s="145">
        <f t="shared" si="88"/>
        <v>75.3</v>
      </c>
      <c r="N80" s="152"/>
      <c r="O80" s="145"/>
      <c r="P80" s="145">
        <v>95.3</v>
      </c>
      <c r="Q80" s="145"/>
      <c r="R80" s="145">
        <v>20</v>
      </c>
      <c r="S80" s="145"/>
      <c r="T80" s="145" t="s">
        <v>144</v>
      </c>
      <c r="U80" s="145">
        <f t="shared" si="90"/>
        <v>75.3</v>
      </c>
      <c r="V80" s="152"/>
      <c r="W80" s="145"/>
      <c r="X80" s="145"/>
      <c r="Y80" s="145"/>
      <c r="Z80" s="145"/>
      <c r="AA80" s="145"/>
      <c r="AB80" s="152"/>
      <c r="AC80" s="145"/>
      <c r="AD80" s="152"/>
      <c r="AE80" s="145"/>
      <c r="AF80" s="145"/>
      <c r="AG80" s="145"/>
      <c r="AH80" s="145"/>
      <c r="AI80" s="145"/>
      <c r="AJ80" s="152"/>
      <c r="AK80" s="145"/>
      <c r="AL80" s="152"/>
      <c r="AM80" s="145"/>
      <c r="AN80" s="145"/>
      <c r="AO80" s="145"/>
      <c r="AP80" s="145"/>
      <c r="AQ80" s="145"/>
      <c r="AR80" s="152"/>
      <c r="AS80" s="145"/>
      <c r="AT80" s="152"/>
      <c r="AU80" s="145"/>
      <c r="AV80" s="145"/>
      <c r="AW80" s="145"/>
      <c r="AX80" s="145"/>
      <c r="AY80" s="145"/>
      <c r="AZ80" s="152"/>
      <c r="BA80" s="145"/>
      <c r="BB80" s="152"/>
      <c r="BC80" s="145"/>
      <c r="BD80" s="145"/>
      <c r="BE80" s="145"/>
      <c r="BF80" s="145"/>
      <c r="BG80" s="145"/>
      <c r="BH80" s="152"/>
      <c r="BI80" s="145"/>
      <c r="BJ80" s="152"/>
      <c r="BK80" s="145"/>
      <c r="BL80" s="154">
        <f t="shared" si="91"/>
        <v>0</v>
      </c>
    </row>
    <row r="81" spans="1:64" ht="42.75" customHeight="1" x14ac:dyDescent="0.2">
      <c r="A81" s="172">
        <v>73</v>
      </c>
      <c r="B81" s="156" t="s">
        <v>158</v>
      </c>
      <c r="C81" s="145">
        <f t="shared" si="82"/>
        <v>6</v>
      </c>
      <c r="D81" s="145"/>
      <c r="E81" s="145">
        <f>+'[1]2019-2018'!$J85</f>
        <v>13.5</v>
      </c>
      <c r="F81" s="145">
        <f t="shared" si="86"/>
        <v>7.5</v>
      </c>
      <c r="G81" s="145" t="e">
        <f>+'[1]2019-2018'!$M85</f>
        <v>#REF!</v>
      </c>
      <c r="H81" s="145" t="e">
        <f>G81-D81-#REF!</f>
        <v>#REF!</v>
      </c>
      <c r="I81" s="145"/>
      <c r="J81" s="145">
        <f t="shared" si="84"/>
        <v>8</v>
      </c>
      <c r="K81" s="145"/>
      <c r="L81" s="145">
        <f t="shared" si="87"/>
        <v>75</v>
      </c>
      <c r="M81" s="145">
        <f t="shared" si="88"/>
        <v>-2</v>
      </c>
      <c r="N81" s="145"/>
      <c r="O81" s="145"/>
      <c r="P81" s="145">
        <v>6</v>
      </c>
      <c r="Q81" s="145"/>
      <c r="R81" s="145">
        <v>8</v>
      </c>
      <c r="S81" s="145"/>
      <c r="T81" s="145">
        <f t="shared" si="89"/>
        <v>75</v>
      </c>
      <c r="U81" s="145">
        <f t="shared" si="90"/>
        <v>-2</v>
      </c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45"/>
      <c r="BG81" s="145"/>
      <c r="BH81" s="145"/>
      <c r="BI81" s="145"/>
      <c r="BJ81" s="145"/>
      <c r="BK81" s="145"/>
      <c r="BL81" s="154">
        <f t="shared" si="91"/>
        <v>0</v>
      </c>
    </row>
    <row r="82" spans="1:64" ht="36" customHeight="1" x14ac:dyDescent="0.2">
      <c r="A82" s="172">
        <v>74</v>
      </c>
      <c r="B82" s="156" t="s">
        <v>159</v>
      </c>
      <c r="C82" s="145">
        <f t="shared" si="82"/>
        <v>0</v>
      </c>
      <c r="D82" s="145"/>
      <c r="E82" s="145"/>
      <c r="F82" s="145"/>
      <c r="G82" s="145"/>
      <c r="H82" s="145"/>
      <c r="I82" s="145"/>
      <c r="J82" s="145">
        <f t="shared" si="84"/>
        <v>36.1</v>
      </c>
      <c r="K82" s="145"/>
      <c r="L82" s="145">
        <f t="shared" si="87"/>
        <v>0</v>
      </c>
      <c r="M82" s="145">
        <f t="shared" si="88"/>
        <v>-36.1</v>
      </c>
      <c r="N82" s="145"/>
      <c r="O82" s="145"/>
      <c r="P82" s="145">
        <v>0</v>
      </c>
      <c r="Q82" s="145"/>
      <c r="R82" s="145">
        <v>36.1</v>
      </c>
      <c r="S82" s="145"/>
      <c r="T82" s="145">
        <f t="shared" si="89"/>
        <v>0</v>
      </c>
      <c r="U82" s="145">
        <f t="shared" si="90"/>
        <v>-36.1</v>
      </c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54">
        <f t="shared" si="91"/>
        <v>0</v>
      </c>
    </row>
    <row r="83" spans="1:64" ht="37.15" customHeight="1" x14ac:dyDescent="0.2">
      <c r="A83" s="172">
        <v>75</v>
      </c>
      <c r="B83" s="156" t="s">
        <v>160</v>
      </c>
      <c r="C83" s="145">
        <f t="shared" si="82"/>
        <v>21.1</v>
      </c>
      <c r="D83" s="145"/>
      <c r="E83" s="145"/>
      <c r="F83" s="145"/>
      <c r="G83" s="145"/>
      <c r="H83" s="145"/>
      <c r="I83" s="145"/>
      <c r="J83" s="145">
        <f t="shared" si="84"/>
        <v>21.1</v>
      </c>
      <c r="K83" s="145"/>
      <c r="L83" s="145">
        <f t="shared" si="87"/>
        <v>100</v>
      </c>
      <c r="M83" s="145">
        <f t="shared" si="88"/>
        <v>0</v>
      </c>
      <c r="N83" s="145"/>
      <c r="O83" s="145"/>
      <c r="P83" s="145">
        <v>21.1</v>
      </c>
      <c r="Q83" s="145"/>
      <c r="R83" s="145">
        <v>21.1</v>
      </c>
      <c r="S83" s="145"/>
      <c r="T83" s="145">
        <f t="shared" si="89"/>
        <v>100</v>
      </c>
      <c r="U83" s="145">
        <f t="shared" si="90"/>
        <v>0</v>
      </c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54">
        <f t="shared" si="91"/>
        <v>0</v>
      </c>
    </row>
    <row r="84" spans="1:64" ht="36" customHeight="1" x14ac:dyDescent="0.2">
      <c r="A84" s="172">
        <v>76</v>
      </c>
      <c r="B84" s="156" t="s">
        <v>161</v>
      </c>
      <c r="C84" s="145">
        <f t="shared" si="82"/>
        <v>19.100000000000001</v>
      </c>
      <c r="D84" s="145"/>
      <c r="E84" s="145"/>
      <c r="F84" s="145"/>
      <c r="G84" s="145"/>
      <c r="H84" s="145"/>
      <c r="I84" s="145"/>
      <c r="J84" s="145">
        <f t="shared" si="84"/>
        <v>19.100000000000001</v>
      </c>
      <c r="K84" s="145"/>
      <c r="L84" s="145">
        <f t="shared" si="87"/>
        <v>100</v>
      </c>
      <c r="M84" s="145">
        <f t="shared" si="88"/>
        <v>0</v>
      </c>
      <c r="N84" s="145"/>
      <c r="O84" s="145"/>
      <c r="P84" s="145">
        <v>19.100000000000001</v>
      </c>
      <c r="Q84" s="145"/>
      <c r="R84" s="145">
        <v>19.100000000000001</v>
      </c>
      <c r="S84" s="145"/>
      <c r="T84" s="145">
        <f t="shared" si="89"/>
        <v>100</v>
      </c>
      <c r="U84" s="145">
        <f t="shared" si="90"/>
        <v>0</v>
      </c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45"/>
      <c r="BG84" s="145"/>
      <c r="BH84" s="145"/>
      <c r="BI84" s="145"/>
      <c r="BJ84" s="145"/>
      <c r="BK84" s="145"/>
      <c r="BL84" s="154">
        <f t="shared" si="91"/>
        <v>0</v>
      </c>
    </row>
    <row r="85" spans="1:64" ht="47.45" customHeight="1" x14ac:dyDescent="0.2">
      <c r="A85" s="172">
        <v>77</v>
      </c>
      <c r="B85" s="178" t="s">
        <v>162</v>
      </c>
      <c r="C85" s="145">
        <f>+P85+X85+AF85+AN85+AV85+BD85</f>
        <v>8.3000000000000007</v>
      </c>
      <c r="D85" s="145"/>
      <c r="E85" s="145">
        <f>+'[1]2019-2018'!$J73</f>
        <v>17.899999999999999</v>
      </c>
      <c r="F85" s="145">
        <f>+E85-C85</f>
        <v>9.5999999999999979</v>
      </c>
      <c r="G85" s="145" t="e">
        <f>+'[1]2019-2018'!$M73</f>
        <v>#REF!</v>
      </c>
      <c r="H85" s="145" t="e">
        <f>G85-D85-#REF!</f>
        <v>#REF!</v>
      </c>
      <c r="I85" s="146"/>
      <c r="J85" s="145">
        <f>+R85+Z85+AH85+AP85+AX85+BF85</f>
        <v>0</v>
      </c>
      <c r="K85" s="145"/>
      <c r="L85" s="145"/>
      <c r="M85" s="145">
        <f>+C85-J85</f>
        <v>8.3000000000000007</v>
      </c>
      <c r="N85" s="145"/>
      <c r="O85" s="145"/>
      <c r="P85" s="145">
        <v>8.3000000000000007</v>
      </c>
      <c r="Q85" s="145"/>
      <c r="R85" s="145"/>
      <c r="S85" s="145"/>
      <c r="T85" s="145"/>
      <c r="U85" s="145">
        <f>+P85-R85</f>
        <v>8.3000000000000007</v>
      </c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5"/>
      <c r="AU85" s="145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45"/>
      <c r="BG85" s="145"/>
      <c r="BH85" s="145"/>
      <c r="BI85" s="145"/>
      <c r="BJ85" s="145"/>
      <c r="BK85" s="145"/>
      <c r="BL85" s="154">
        <f t="shared" si="91"/>
        <v>0</v>
      </c>
    </row>
    <row r="86" spans="1:64" ht="25.15" customHeight="1" x14ac:dyDescent="0.2">
      <c r="A86" s="172">
        <v>78</v>
      </c>
      <c r="B86" s="178" t="s">
        <v>163</v>
      </c>
      <c r="C86" s="145">
        <f>+P86+X86+AF86+AN86+AV86+BD86</f>
        <v>12.5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>
        <f>+C86-J86</f>
        <v>12.5</v>
      </c>
      <c r="N86" s="145"/>
      <c r="O86" s="145"/>
      <c r="P86" s="145">
        <v>12.5</v>
      </c>
      <c r="Q86" s="145"/>
      <c r="R86" s="145"/>
      <c r="S86" s="145"/>
      <c r="T86" s="145"/>
      <c r="U86" s="145">
        <f>+P86-R86</f>
        <v>12.5</v>
      </c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54">
        <f t="shared" si="91"/>
        <v>0</v>
      </c>
    </row>
    <row r="87" spans="1:64" ht="36" customHeight="1" x14ac:dyDescent="0.2">
      <c r="A87" s="172">
        <v>79</v>
      </c>
      <c r="B87" s="178" t="s">
        <v>164</v>
      </c>
      <c r="C87" s="145">
        <f>+P87+X87+AF87+AN87+AV87+BD87</f>
        <v>31.8</v>
      </c>
      <c r="D87" s="145"/>
      <c r="E87" s="145"/>
      <c r="F87" s="145"/>
      <c r="G87" s="145"/>
      <c r="H87" s="145"/>
      <c r="I87" s="145"/>
      <c r="J87" s="145"/>
      <c r="K87" s="145"/>
      <c r="L87" s="145"/>
      <c r="M87" s="145">
        <f>+C87-J87</f>
        <v>31.8</v>
      </c>
      <c r="N87" s="145"/>
      <c r="O87" s="145"/>
      <c r="P87" s="145">
        <v>31.8</v>
      </c>
      <c r="Q87" s="145"/>
      <c r="R87" s="145"/>
      <c r="S87" s="145"/>
      <c r="T87" s="145"/>
      <c r="U87" s="145">
        <f>+P87-R87</f>
        <v>31.8</v>
      </c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  <c r="AQ87" s="145"/>
      <c r="AR87" s="145"/>
      <c r="AS87" s="145"/>
      <c r="AT87" s="145"/>
      <c r="AU87" s="145"/>
      <c r="AV87" s="145"/>
      <c r="AW87" s="145"/>
      <c r="AX87" s="145"/>
      <c r="AY87" s="145"/>
      <c r="AZ87" s="145"/>
      <c r="BA87" s="145"/>
      <c r="BB87" s="145"/>
      <c r="BC87" s="145"/>
      <c r="BD87" s="145"/>
      <c r="BE87" s="145"/>
      <c r="BF87" s="145"/>
      <c r="BG87" s="145"/>
      <c r="BH87" s="145"/>
      <c r="BI87" s="145"/>
      <c r="BJ87" s="145"/>
      <c r="BK87" s="145"/>
      <c r="BL87" s="154">
        <f t="shared" si="91"/>
        <v>0</v>
      </c>
    </row>
    <row r="88" spans="1:64" ht="35.25" customHeight="1" x14ac:dyDescent="0.2">
      <c r="A88" s="172">
        <v>80</v>
      </c>
      <c r="B88" s="178" t="s">
        <v>165</v>
      </c>
      <c r="C88" s="145">
        <f>+P88+X88+AF88+AN88+AV88+BD88</f>
        <v>31.9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>
        <f>+C88-J88</f>
        <v>31.9</v>
      </c>
      <c r="N88" s="145"/>
      <c r="O88" s="145"/>
      <c r="P88" s="145">
        <v>31.9</v>
      </c>
      <c r="Q88" s="145"/>
      <c r="R88" s="145"/>
      <c r="S88" s="145"/>
      <c r="T88" s="145"/>
      <c r="U88" s="145">
        <f>+P88-R88</f>
        <v>31.9</v>
      </c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5"/>
      <c r="BE88" s="145"/>
      <c r="BF88" s="145"/>
      <c r="BG88" s="145"/>
      <c r="BH88" s="145"/>
      <c r="BI88" s="145"/>
      <c r="BJ88" s="145"/>
      <c r="BK88" s="145"/>
      <c r="BL88" s="154">
        <f t="shared" si="91"/>
        <v>0</v>
      </c>
    </row>
    <row r="89" spans="1:64" ht="45.75" customHeight="1" x14ac:dyDescent="0.2">
      <c r="A89" s="172">
        <v>81</v>
      </c>
      <c r="B89" s="178" t="s">
        <v>166</v>
      </c>
      <c r="C89" s="145">
        <f>+P89+X89+AF89+AN89+AV89+BD89</f>
        <v>38.299999999999997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>
        <f>+C89-J89</f>
        <v>38.299999999999997</v>
      </c>
      <c r="N89" s="145"/>
      <c r="O89" s="145"/>
      <c r="P89" s="145">
        <v>38.299999999999997</v>
      </c>
      <c r="Q89" s="145"/>
      <c r="R89" s="145"/>
      <c r="S89" s="145"/>
      <c r="T89" s="145"/>
      <c r="U89" s="145">
        <f>+P89-R89</f>
        <v>38.299999999999997</v>
      </c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54">
        <f t="shared" si="91"/>
        <v>0</v>
      </c>
    </row>
    <row r="90" spans="1:64" ht="24.75" customHeight="1" x14ac:dyDescent="0.2">
      <c r="A90" s="172">
        <v>82</v>
      </c>
      <c r="B90" s="157" t="s">
        <v>167</v>
      </c>
      <c r="C90" s="145">
        <f t="shared" si="82"/>
        <v>61</v>
      </c>
      <c r="D90" s="145"/>
      <c r="E90" s="145">
        <f>+'[1]2019-2018'!$J86</f>
        <v>43.2</v>
      </c>
      <c r="F90" s="145">
        <f t="shared" ref="F90:F97" si="92">+E90-C90</f>
        <v>-17.799999999999997</v>
      </c>
      <c r="G90" s="145" t="e">
        <f>+'[1]2019-2018'!$M86</f>
        <v>#REF!</v>
      </c>
      <c r="H90" s="145" t="e">
        <f>G90-D90-#REF!</f>
        <v>#REF!</v>
      </c>
      <c r="I90" s="146"/>
      <c r="J90" s="145">
        <f t="shared" si="84"/>
        <v>33.4</v>
      </c>
      <c r="K90" s="145"/>
      <c r="L90" s="145">
        <f t="shared" si="87"/>
        <v>182.63473053892216</v>
      </c>
      <c r="M90" s="145">
        <f t="shared" si="88"/>
        <v>27.6</v>
      </c>
      <c r="N90" s="145"/>
      <c r="O90" s="145"/>
      <c r="P90" s="145">
        <v>61</v>
      </c>
      <c r="Q90" s="145"/>
      <c r="R90" s="145">
        <v>33.4</v>
      </c>
      <c r="S90" s="145"/>
      <c r="T90" s="145">
        <f>+P90/R90*100</f>
        <v>182.63473053892216</v>
      </c>
      <c r="U90" s="145">
        <f t="shared" si="90"/>
        <v>27.6</v>
      </c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  <c r="AQ90" s="145"/>
      <c r="AR90" s="145"/>
      <c r="AS90" s="145"/>
      <c r="AT90" s="145"/>
      <c r="AU90" s="145"/>
      <c r="AV90" s="145"/>
      <c r="AW90" s="145"/>
      <c r="AX90" s="145"/>
      <c r="AY90" s="145"/>
      <c r="AZ90" s="145"/>
      <c r="BA90" s="145"/>
      <c r="BB90" s="145"/>
      <c r="BC90" s="145"/>
      <c r="BD90" s="145"/>
      <c r="BE90" s="145"/>
      <c r="BF90" s="145"/>
      <c r="BG90" s="145"/>
      <c r="BH90" s="145"/>
      <c r="BI90" s="145"/>
      <c r="BJ90" s="145"/>
      <c r="BK90" s="145"/>
      <c r="BL90" s="154">
        <f t="shared" si="91"/>
        <v>0</v>
      </c>
    </row>
    <row r="91" spans="1:64" ht="22.5" x14ac:dyDescent="0.2">
      <c r="A91" s="172">
        <v>83</v>
      </c>
      <c r="B91" s="156" t="s">
        <v>168</v>
      </c>
      <c r="C91" s="145">
        <f t="shared" si="82"/>
        <v>223</v>
      </c>
      <c r="D91" s="145"/>
      <c r="E91" s="145">
        <f>+'[1]2019-2018'!$J87</f>
        <v>66.3</v>
      </c>
      <c r="F91" s="145">
        <f t="shared" si="92"/>
        <v>-156.69999999999999</v>
      </c>
      <c r="G91" s="145" t="e">
        <f>+'[1]2019-2018'!$M87</f>
        <v>#REF!</v>
      </c>
      <c r="H91" s="145" t="e">
        <f>G91-D91-#REF!</f>
        <v>#REF!</v>
      </c>
      <c r="I91" s="146"/>
      <c r="J91" s="145">
        <f t="shared" si="84"/>
        <v>115</v>
      </c>
      <c r="K91" s="145"/>
      <c r="L91" s="145">
        <f t="shared" si="87"/>
        <v>193.91304347826087</v>
      </c>
      <c r="M91" s="145">
        <f t="shared" si="88"/>
        <v>108</v>
      </c>
      <c r="N91" s="145"/>
      <c r="O91" s="145"/>
      <c r="P91" s="145">
        <v>223</v>
      </c>
      <c r="Q91" s="145"/>
      <c r="R91" s="145">
        <v>115</v>
      </c>
      <c r="S91" s="145"/>
      <c r="T91" s="145">
        <f>+P91/R91*100</f>
        <v>193.91304347826087</v>
      </c>
      <c r="U91" s="145">
        <f t="shared" si="90"/>
        <v>108</v>
      </c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5"/>
      <c r="AU91" s="145"/>
      <c r="AV91" s="145"/>
      <c r="AW91" s="145"/>
      <c r="AX91" s="145"/>
      <c r="AY91" s="145"/>
      <c r="AZ91" s="145"/>
      <c r="BA91" s="145"/>
      <c r="BB91" s="145"/>
      <c r="BC91" s="145"/>
      <c r="BD91" s="145"/>
      <c r="BE91" s="145"/>
      <c r="BF91" s="145"/>
      <c r="BG91" s="145"/>
      <c r="BH91" s="145"/>
      <c r="BI91" s="145"/>
      <c r="BJ91" s="145"/>
      <c r="BK91" s="145"/>
      <c r="BL91" s="154">
        <f t="shared" si="91"/>
        <v>0</v>
      </c>
    </row>
    <row r="92" spans="1:64" ht="34.5" customHeight="1" x14ac:dyDescent="0.2">
      <c r="A92" s="172">
        <v>84</v>
      </c>
      <c r="B92" s="158" t="s">
        <v>169</v>
      </c>
      <c r="C92" s="145">
        <f>+P92+X92+AF92+AN92+AV92+BD92</f>
        <v>16</v>
      </c>
      <c r="D92" s="145"/>
      <c r="E92" s="145">
        <f>+'[1]2019-2018'!$J95</f>
        <v>14.9</v>
      </c>
      <c r="F92" s="145">
        <f>+E92-C92</f>
        <v>-1.0999999999999996</v>
      </c>
      <c r="G92" s="145" t="e">
        <f>+'[1]2019-2018'!$M95</f>
        <v>#REF!</v>
      </c>
      <c r="H92" s="145" t="e">
        <f>G92-D92-#REF!</f>
        <v>#REF!</v>
      </c>
      <c r="I92" s="146"/>
      <c r="J92" s="145">
        <f>+R92+Z92+AH92+AP92+AX92+BF92</f>
        <v>16</v>
      </c>
      <c r="K92" s="145"/>
      <c r="L92" s="145">
        <f>+C92/J92*100</f>
        <v>100</v>
      </c>
      <c r="M92" s="145">
        <f t="shared" si="88"/>
        <v>0</v>
      </c>
      <c r="N92" s="145"/>
      <c r="O92" s="145"/>
      <c r="P92" s="145">
        <v>16</v>
      </c>
      <c r="Q92" s="145"/>
      <c r="R92" s="145">
        <v>16</v>
      </c>
      <c r="S92" s="145"/>
      <c r="T92" s="145">
        <f>+P92/R92*100</f>
        <v>100</v>
      </c>
      <c r="U92" s="145">
        <f>+P92-R92</f>
        <v>0</v>
      </c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54">
        <f t="shared" si="91"/>
        <v>0</v>
      </c>
    </row>
    <row r="93" spans="1:64" ht="12.4" customHeight="1" x14ac:dyDescent="0.2">
      <c r="A93" s="172">
        <v>85</v>
      </c>
      <c r="B93" s="158" t="s">
        <v>170</v>
      </c>
      <c r="C93" s="145">
        <f t="shared" si="82"/>
        <v>120.7</v>
      </c>
      <c r="D93" s="145"/>
      <c r="E93" s="145">
        <f>+'[1]2019-2018'!$J90</f>
        <v>52</v>
      </c>
      <c r="F93" s="145">
        <f t="shared" si="92"/>
        <v>-68.7</v>
      </c>
      <c r="G93" s="145" t="e">
        <f>+'[1]2019-2018'!$M90</f>
        <v>#REF!</v>
      </c>
      <c r="H93" s="145" t="e">
        <f>G93-D93-#REF!</f>
        <v>#REF!</v>
      </c>
      <c r="I93" s="146"/>
      <c r="J93" s="145">
        <f t="shared" si="84"/>
        <v>64.3</v>
      </c>
      <c r="K93" s="145"/>
      <c r="L93" s="145">
        <f t="shared" si="87"/>
        <v>187.71384136858478</v>
      </c>
      <c r="M93" s="145">
        <f t="shared" si="88"/>
        <v>56.400000000000006</v>
      </c>
      <c r="N93" s="145"/>
      <c r="O93" s="145"/>
      <c r="P93" s="145">
        <v>120.7</v>
      </c>
      <c r="Q93" s="145"/>
      <c r="R93" s="145">
        <v>64.3</v>
      </c>
      <c r="S93" s="145"/>
      <c r="T93" s="145">
        <f t="shared" ref="T93:T116" si="93">+P93/R93*100</f>
        <v>187.71384136858478</v>
      </c>
      <c r="U93" s="145">
        <f t="shared" si="90"/>
        <v>56.400000000000006</v>
      </c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54">
        <f t="shared" si="85"/>
        <v>0</v>
      </c>
    </row>
    <row r="94" spans="1:64" ht="26.25" customHeight="1" x14ac:dyDescent="0.2">
      <c r="A94" s="172">
        <v>86</v>
      </c>
      <c r="B94" s="158" t="s">
        <v>171</v>
      </c>
      <c r="C94" s="145">
        <f t="shared" si="82"/>
        <v>130</v>
      </c>
      <c r="D94" s="145"/>
      <c r="E94" s="145">
        <f>+'[1]2019-2018'!$J91</f>
        <v>124.89999999999999</v>
      </c>
      <c r="F94" s="145">
        <f t="shared" si="92"/>
        <v>-5.1000000000000085</v>
      </c>
      <c r="G94" s="145" t="e">
        <f>+'[1]2019-2018'!$M91</f>
        <v>#REF!</v>
      </c>
      <c r="H94" s="145" t="e">
        <f>G94-D94-#REF!</f>
        <v>#REF!</v>
      </c>
      <c r="I94" s="146"/>
      <c r="J94" s="145">
        <f t="shared" si="84"/>
        <v>131.6</v>
      </c>
      <c r="K94" s="145"/>
      <c r="L94" s="145">
        <f t="shared" si="87"/>
        <v>98.784194528875375</v>
      </c>
      <c r="M94" s="145">
        <f t="shared" si="88"/>
        <v>-1.5999999999999943</v>
      </c>
      <c r="N94" s="145"/>
      <c r="O94" s="145"/>
      <c r="P94" s="145">
        <v>130</v>
      </c>
      <c r="Q94" s="145"/>
      <c r="R94" s="145">
        <v>131.6</v>
      </c>
      <c r="S94" s="145"/>
      <c r="T94" s="145">
        <f t="shared" si="93"/>
        <v>98.784194528875375</v>
      </c>
      <c r="U94" s="145">
        <f t="shared" si="90"/>
        <v>-1.5999999999999943</v>
      </c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54">
        <f t="shared" si="85"/>
        <v>0</v>
      </c>
    </row>
    <row r="95" spans="1:64" ht="10.5" customHeight="1" x14ac:dyDescent="0.2">
      <c r="A95" s="172">
        <v>87</v>
      </c>
      <c r="B95" s="179" t="s">
        <v>172</v>
      </c>
      <c r="C95" s="145">
        <f t="shared" si="82"/>
        <v>366.1</v>
      </c>
      <c r="D95" s="145"/>
      <c r="E95" s="145">
        <f>+'[1]2019-2018'!$J92</f>
        <v>344.2</v>
      </c>
      <c r="F95" s="145">
        <f t="shared" si="92"/>
        <v>-21.900000000000034</v>
      </c>
      <c r="G95" s="145" t="e">
        <f>+'[1]2019-2018'!$M92</f>
        <v>#REF!</v>
      </c>
      <c r="H95" s="145" t="e">
        <f>G95-D95-#REF!</f>
        <v>#REF!</v>
      </c>
      <c r="I95" s="146"/>
      <c r="J95" s="145">
        <f t="shared" si="84"/>
        <v>274.60000000000002</v>
      </c>
      <c r="K95" s="145"/>
      <c r="L95" s="145">
        <f t="shared" si="87"/>
        <v>133.3211944646759</v>
      </c>
      <c r="M95" s="145">
        <f t="shared" si="88"/>
        <v>91.5</v>
      </c>
      <c r="N95" s="145"/>
      <c r="O95" s="145"/>
      <c r="P95" s="145">
        <v>366.1</v>
      </c>
      <c r="Q95" s="145"/>
      <c r="R95" s="145">
        <v>274.60000000000002</v>
      </c>
      <c r="S95" s="145"/>
      <c r="T95" s="145">
        <f t="shared" si="93"/>
        <v>133.3211944646759</v>
      </c>
      <c r="U95" s="145">
        <f t="shared" si="90"/>
        <v>91.5</v>
      </c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54">
        <f t="shared" si="85"/>
        <v>0</v>
      </c>
    </row>
    <row r="96" spans="1:64" ht="22.5" x14ac:dyDescent="0.2">
      <c r="A96" s="172">
        <v>88</v>
      </c>
      <c r="B96" s="158" t="s">
        <v>173</v>
      </c>
      <c r="C96" s="145">
        <f t="shared" si="82"/>
        <v>448.4</v>
      </c>
      <c r="D96" s="145"/>
      <c r="E96" s="145">
        <f>+'[1]2019-2018'!$J93</f>
        <v>558.5</v>
      </c>
      <c r="F96" s="145">
        <f t="shared" si="92"/>
        <v>110.10000000000002</v>
      </c>
      <c r="G96" s="145" t="e">
        <f>+'[1]2019-2018'!$M93</f>
        <v>#REF!</v>
      </c>
      <c r="H96" s="145" t="e">
        <f>G96-D96-#REF!</f>
        <v>#REF!</v>
      </c>
      <c r="I96" s="146"/>
      <c r="J96" s="145">
        <f t="shared" si="84"/>
        <v>277.8</v>
      </c>
      <c r="K96" s="145"/>
      <c r="L96" s="145">
        <f t="shared" si="87"/>
        <v>161.41108711303093</v>
      </c>
      <c r="M96" s="145">
        <f t="shared" si="88"/>
        <v>170.59999999999997</v>
      </c>
      <c r="N96" s="145"/>
      <c r="O96" s="145"/>
      <c r="P96" s="145">
        <v>448.4</v>
      </c>
      <c r="Q96" s="145"/>
      <c r="R96" s="145">
        <v>277.8</v>
      </c>
      <c r="S96" s="145"/>
      <c r="T96" s="145">
        <f t="shared" si="93"/>
        <v>161.41108711303093</v>
      </c>
      <c r="U96" s="145">
        <f t="shared" si="90"/>
        <v>170.59999999999997</v>
      </c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54">
        <f t="shared" si="85"/>
        <v>0</v>
      </c>
    </row>
    <row r="97" spans="1:64" ht="34.5" customHeight="1" x14ac:dyDescent="0.2">
      <c r="A97" s="172">
        <v>89</v>
      </c>
      <c r="B97" s="178" t="s">
        <v>174</v>
      </c>
      <c r="C97" s="145">
        <f t="shared" si="82"/>
        <v>60</v>
      </c>
      <c r="D97" s="145"/>
      <c r="E97" s="145">
        <f>+'[1]2019-2018'!$J94</f>
        <v>44</v>
      </c>
      <c r="F97" s="145">
        <f t="shared" si="92"/>
        <v>-16</v>
      </c>
      <c r="G97" s="145" t="e">
        <f>+'[1]2019-2018'!$M94</f>
        <v>#REF!</v>
      </c>
      <c r="H97" s="145" t="e">
        <f>G97-D97-#REF!</f>
        <v>#REF!</v>
      </c>
      <c r="I97" s="146"/>
      <c r="J97" s="145">
        <f t="shared" si="84"/>
        <v>44</v>
      </c>
      <c r="K97" s="145"/>
      <c r="L97" s="145">
        <f t="shared" si="87"/>
        <v>136.36363636363635</v>
      </c>
      <c r="M97" s="145">
        <f t="shared" si="88"/>
        <v>16</v>
      </c>
      <c r="N97" s="145"/>
      <c r="O97" s="145"/>
      <c r="P97" s="145">
        <v>60</v>
      </c>
      <c r="Q97" s="145"/>
      <c r="R97" s="145">
        <v>44</v>
      </c>
      <c r="S97" s="145"/>
      <c r="T97" s="145">
        <f t="shared" si="93"/>
        <v>136.36363636363635</v>
      </c>
      <c r="U97" s="145">
        <f t="shared" si="90"/>
        <v>16</v>
      </c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54">
        <f t="shared" si="85"/>
        <v>0</v>
      </c>
    </row>
    <row r="98" spans="1:64" ht="33.75" x14ac:dyDescent="0.2">
      <c r="A98" s="172">
        <v>90</v>
      </c>
      <c r="B98" s="178" t="s">
        <v>175</v>
      </c>
      <c r="C98" s="145">
        <f t="shared" si="82"/>
        <v>3.4</v>
      </c>
      <c r="D98" s="145"/>
      <c r="E98" s="145"/>
      <c r="F98" s="145"/>
      <c r="G98" s="145"/>
      <c r="H98" s="145"/>
      <c r="I98" s="146"/>
      <c r="J98" s="145">
        <f t="shared" si="84"/>
        <v>0</v>
      </c>
      <c r="K98" s="145"/>
      <c r="L98" s="145"/>
      <c r="M98" s="145">
        <f t="shared" si="88"/>
        <v>3.4</v>
      </c>
      <c r="N98" s="145"/>
      <c r="O98" s="145"/>
      <c r="P98" s="145">
        <v>3.4</v>
      </c>
      <c r="Q98" s="145"/>
      <c r="R98" s="145">
        <v>0</v>
      </c>
      <c r="S98" s="145"/>
      <c r="T98" s="145"/>
      <c r="U98" s="145">
        <f t="shared" si="90"/>
        <v>3.4</v>
      </c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  <c r="AQ98" s="145"/>
      <c r="AR98" s="145"/>
      <c r="AS98" s="145"/>
      <c r="AT98" s="145"/>
      <c r="AU98" s="145"/>
      <c r="AV98" s="145"/>
      <c r="AW98" s="145"/>
      <c r="AX98" s="145"/>
      <c r="AY98" s="145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54">
        <f t="shared" si="85"/>
        <v>0</v>
      </c>
    </row>
    <row r="99" spans="1:64" ht="22.5" customHeight="1" x14ac:dyDescent="0.2">
      <c r="A99" s="172">
        <v>91</v>
      </c>
      <c r="B99" s="180" t="s">
        <v>176</v>
      </c>
      <c r="C99" s="145">
        <f>+P99+X99+AF99+AN99+AV99+BD99</f>
        <v>78.8</v>
      </c>
      <c r="D99" s="145"/>
      <c r="E99" s="145"/>
      <c r="F99" s="145"/>
      <c r="G99" s="145"/>
      <c r="H99" s="145"/>
      <c r="I99" s="146"/>
      <c r="J99" s="145">
        <f t="shared" si="84"/>
        <v>52.1</v>
      </c>
      <c r="K99" s="145"/>
      <c r="L99" s="145">
        <f t="shared" si="87"/>
        <v>151.24760076775431</v>
      </c>
      <c r="M99" s="145">
        <f t="shared" si="88"/>
        <v>26.699999999999996</v>
      </c>
      <c r="N99" s="145"/>
      <c r="O99" s="145"/>
      <c r="P99" s="145">
        <v>78.8</v>
      </c>
      <c r="Q99" s="145"/>
      <c r="R99" s="145">
        <v>52.1</v>
      </c>
      <c r="S99" s="145"/>
      <c r="T99" s="145">
        <f t="shared" si="93"/>
        <v>151.24760076775431</v>
      </c>
      <c r="U99" s="145">
        <f t="shared" si="90"/>
        <v>26.699999999999996</v>
      </c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54">
        <f t="shared" si="85"/>
        <v>0</v>
      </c>
    </row>
    <row r="100" spans="1:64" ht="33.75" x14ac:dyDescent="0.2">
      <c r="A100" s="172">
        <v>92</v>
      </c>
      <c r="B100" s="180" t="s">
        <v>177</v>
      </c>
      <c r="C100" s="145">
        <f>+P100+X100+AF100+AN100+AV100+BD100</f>
        <v>29.1</v>
      </c>
      <c r="D100" s="145"/>
      <c r="E100" s="145"/>
      <c r="F100" s="145"/>
      <c r="G100" s="145"/>
      <c r="H100" s="145"/>
      <c r="I100" s="146"/>
      <c r="J100" s="145">
        <f t="shared" si="84"/>
        <v>26.7</v>
      </c>
      <c r="K100" s="145"/>
      <c r="L100" s="145"/>
      <c r="M100" s="145">
        <f t="shared" si="88"/>
        <v>2.4000000000000021</v>
      </c>
      <c r="N100" s="145"/>
      <c r="O100" s="145"/>
      <c r="P100" s="145">
        <v>29.1</v>
      </c>
      <c r="Q100" s="145"/>
      <c r="R100" s="145">
        <v>26.7</v>
      </c>
      <c r="S100" s="145"/>
      <c r="T100" s="145">
        <f t="shared" si="93"/>
        <v>108.98876404494382</v>
      </c>
      <c r="U100" s="145">
        <f t="shared" si="90"/>
        <v>2.4000000000000021</v>
      </c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54">
        <f t="shared" si="85"/>
        <v>0</v>
      </c>
    </row>
    <row r="101" spans="1:64" ht="33" customHeight="1" x14ac:dyDescent="0.2">
      <c r="A101" s="172">
        <v>93</v>
      </c>
      <c r="B101" s="178" t="s">
        <v>178</v>
      </c>
      <c r="C101" s="145">
        <f t="shared" si="82"/>
        <v>13.5</v>
      </c>
      <c r="D101" s="145"/>
      <c r="E101" s="145"/>
      <c r="F101" s="145"/>
      <c r="G101" s="145"/>
      <c r="H101" s="145"/>
      <c r="I101" s="146"/>
      <c r="J101" s="145"/>
      <c r="K101" s="145"/>
      <c r="L101" s="145"/>
      <c r="M101" s="145">
        <f t="shared" si="88"/>
        <v>13.5</v>
      </c>
      <c r="N101" s="145"/>
      <c r="O101" s="145"/>
      <c r="P101" s="145">
        <v>13.5</v>
      </c>
      <c r="Q101" s="145"/>
      <c r="R101" s="145"/>
      <c r="S101" s="145"/>
      <c r="T101" s="145"/>
      <c r="U101" s="145">
        <f t="shared" si="90"/>
        <v>13.5</v>
      </c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54">
        <f t="shared" si="85"/>
        <v>0</v>
      </c>
    </row>
    <row r="102" spans="1:64" ht="22.5" x14ac:dyDescent="0.2">
      <c r="A102" s="172">
        <v>94</v>
      </c>
      <c r="B102" s="179" t="s">
        <v>179</v>
      </c>
      <c r="C102" s="145">
        <f>+P102+X102+AF102+AN102+AV102+BD102</f>
        <v>775.7</v>
      </c>
      <c r="D102" s="145"/>
      <c r="E102" s="145">
        <f>+'[1]2019-2018'!$J88</f>
        <v>267</v>
      </c>
      <c r="F102" s="145">
        <f>+E102-C102</f>
        <v>-508.70000000000005</v>
      </c>
      <c r="G102" s="145" t="e">
        <f>+'[1]2019-2018'!$M88</f>
        <v>#REF!</v>
      </c>
      <c r="H102" s="145" t="e">
        <f>G102-D102-#REF!</f>
        <v>#REF!</v>
      </c>
      <c r="I102" s="146"/>
      <c r="J102" s="145">
        <f>+R102+Z102+AH102+AP102+AX102+BF102</f>
        <v>580.6</v>
      </c>
      <c r="K102" s="145"/>
      <c r="L102" s="145">
        <f>+C102/J102*100</f>
        <v>133.60316913537719</v>
      </c>
      <c r="M102" s="145">
        <f>+C102-J102</f>
        <v>195.10000000000002</v>
      </c>
      <c r="N102" s="145"/>
      <c r="O102" s="145"/>
      <c r="P102" s="145"/>
      <c r="Q102" s="145"/>
      <c r="R102" s="145"/>
      <c r="S102" s="145"/>
      <c r="T102" s="145"/>
      <c r="U102" s="145">
        <f t="shared" si="90"/>
        <v>0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>
        <v>775.7</v>
      </c>
      <c r="AG102" s="145"/>
      <c r="AH102" s="145">
        <v>580.6</v>
      </c>
      <c r="AI102" s="145"/>
      <c r="AJ102" s="145">
        <f>+AF102/AH102*100</f>
        <v>133.60316913537719</v>
      </c>
      <c r="AK102" s="145">
        <f>+AF102-AH102</f>
        <v>195.10000000000002</v>
      </c>
      <c r="AL102" s="145"/>
      <c r="AM102" s="145"/>
      <c r="AN102" s="145"/>
      <c r="AO102" s="145"/>
      <c r="AP102" s="145"/>
      <c r="AQ102" s="145"/>
      <c r="AR102" s="145"/>
      <c r="AS102" s="145"/>
      <c r="AT102" s="145"/>
      <c r="AU102" s="145"/>
      <c r="AV102" s="145"/>
      <c r="AW102" s="145"/>
      <c r="AX102" s="145"/>
      <c r="AY102" s="145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54">
        <f t="shared" si="85"/>
        <v>0</v>
      </c>
    </row>
    <row r="103" spans="1:64" ht="22.5" x14ac:dyDescent="0.2">
      <c r="A103" s="172">
        <v>95</v>
      </c>
      <c r="B103" s="179" t="s">
        <v>180</v>
      </c>
      <c r="C103" s="145">
        <f>+P103+X103+AF103+AN103+AV103+BD103</f>
        <v>121.9</v>
      </c>
      <c r="D103" s="145"/>
      <c r="E103" s="145">
        <f>+'[1]2019-2018'!$J89</f>
        <v>95.3</v>
      </c>
      <c r="F103" s="145">
        <f>+E103-C103</f>
        <v>-26.600000000000009</v>
      </c>
      <c r="G103" s="145" t="e">
        <f>+'[1]2019-2018'!$M89</f>
        <v>#REF!</v>
      </c>
      <c r="H103" s="145" t="e">
        <f>G103-D103-#REF!</f>
        <v>#REF!</v>
      </c>
      <c r="I103" s="146"/>
      <c r="J103" s="145">
        <f>+R103+Z103+AH103+AP103+AX103+BF103</f>
        <v>101</v>
      </c>
      <c r="K103" s="145"/>
      <c r="L103" s="145">
        <f>+C103/J103*100</f>
        <v>120.6930693069307</v>
      </c>
      <c r="M103" s="145">
        <f>+C103-J103</f>
        <v>20.900000000000006</v>
      </c>
      <c r="N103" s="145"/>
      <c r="O103" s="145"/>
      <c r="P103" s="145"/>
      <c r="Q103" s="145"/>
      <c r="R103" s="145"/>
      <c r="S103" s="145"/>
      <c r="T103" s="145"/>
      <c r="U103" s="145">
        <f t="shared" si="90"/>
        <v>0</v>
      </c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>
        <v>121.9</v>
      </c>
      <c r="AG103" s="145"/>
      <c r="AH103" s="145">
        <v>101</v>
      </c>
      <c r="AI103" s="145"/>
      <c r="AJ103" s="145">
        <f>+AF103/AH103*100</f>
        <v>120.6930693069307</v>
      </c>
      <c r="AK103" s="145">
        <f>+AF103-AH103</f>
        <v>20.900000000000006</v>
      </c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54">
        <f t="shared" si="85"/>
        <v>0</v>
      </c>
    </row>
    <row r="104" spans="1:64" ht="12" customHeight="1" x14ac:dyDescent="0.2">
      <c r="A104" s="172">
        <v>96</v>
      </c>
      <c r="B104" s="156" t="s">
        <v>181</v>
      </c>
      <c r="C104" s="145">
        <f>+P104+X104+AF104+AN104+AV104+BD104</f>
        <v>475</v>
      </c>
      <c r="D104" s="145"/>
      <c r="E104" s="145">
        <f>+'[1]2019-2018'!$J97</f>
        <v>400</v>
      </c>
      <c r="F104" s="145">
        <f>+E104-C104</f>
        <v>-75</v>
      </c>
      <c r="G104" s="145" t="e">
        <f>+'[1]2019-2018'!$M97</f>
        <v>#REF!</v>
      </c>
      <c r="H104" s="145" t="e">
        <f>G104-D104-#REF!</f>
        <v>#REF!</v>
      </c>
      <c r="I104" s="146"/>
      <c r="J104" s="145">
        <f>+R104+Z104+AH104+AP104+AX104+BF104</f>
        <v>480</v>
      </c>
      <c r="K104" s="145"/>
      <c r="L104" s="145">
        <f>+C104/J104*100</f>
        <v>98.958333333333343</v>
      </c>
      <c r="M104" s="145">
        <f>+C104-J104</f>
        <v>-5</v>
      </c>
      <c r="N104" s="145"/>
      <c r="O104" s="145"/>
      <c r="P104" s="145">
        <v>475</v>
      </c>
      <c r="Q104" s="145"/>
      <c r="R104" s="145">
        <v>480</v>
      </c>
      <c r="S104" s="145"/>
      <c r="T104" s="145">
        <f>+P104/R104*100</f>
        <v>98.958333333333343</v>
      </c>
      <c r="U104" s="145">
        <f>+P104-R104</f>
        <v>-5</v>
      </c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  <c r="AQ104" s="145"/>
      <c r="AR104" s="145"/>
      <c r="AS104" s="145"/>
      <c r="AT104" s="145"/>
      <c r="AU104" s="145"/>
      <c r="AV104" s="145"/>
      <c r="AW104" s="145"/>
      <c r="AX104" s="145"/>
      <c r="AY104" s="145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54">
        <f t="shared" si="85"/>
        <v>0</v>
      </c>
    </row>
    <row r="105" spans="1:64" ht="22.5" x14ac:dyDescent="0.2">
      <c r="A105" s="172">
        <v>97</v>
      </c>
      <c r="B105" s="156" t="s">
        <v>182</v>
      </c>
      <c r="C105" s="145">
        <f t="shared" si="82"/>
        <v>55</v>
      </c>
      <c r="D105" s="145"/>
      <c r="E105" s="145">
        <f>+'[1]2019-2018'!$J98</f>
        <v>25</v>
      </c>
      <c r="F105" s="145">
        <f t="shared" ref="F105:F115" si="94">+E105-C105</f>
        <v>-30</v>
      </c>
      <c r="G105" s="145" t="e">
        <f>+'[1]2019-2018'!$M98</f>
        <v>#REF!</v>
      </c>
      <c r="H105" s="145" t="e">
        <f>G105-D105-#REF!</f>
        <v>#REF!</v>
      </c>
      <c r="I105" s="146"/>
      <c r="J105" s="145">
        <f t="shared" si="84"/>
        <v>35</v>
      </c>
      <c r="K105" s="145"/>
      <c r="L105" s="145">
        <f t="shared" si="87"/>
        <v>157.14285714285714</v>
      </c>
      <c r="M105" s="145">
        <f t="shared" si="88"/>
        <v>20</v>
      </c>
      <c r="N105" s="145"/>
      <c r="O105" s="145"/>
      <c r="P105" s="145">
        <v>55</v>
      </c>
      <c r="Q105" s="145"/>
      <c r="R105" s="145">
        <v>35</v>
      </c>
      <c r="S105" s="145"/>
      <c r="T105" s="145">
        <f t="shared" si="93"/>
        <v>157.14285714285714</v>
      </c>
      <c r="U105" s="145">
        <f t="shared" si="90"/>
        <v>20</v>
      </c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54">
        <f t="shared" si="85"/>
        <v>0</v>
      </c>
    </row>
    <row r="106" spans="1:64" ht="33.75" x14ac:dyDescent="0.2">
      <c r="A106" s="172">
        <v>98</v>
      </c>
      <c r="B106" s="178" t="s">
        <v>183</v>
      </c>
      <c r="C106" s="145">
        <f t="shared" si="82"/>
        <v>10.3</v>
      </c>
      <c r="D106" s="145"/>
      <c r="E106" s="145"/>
      <c r="F106" s="145"/>
      <c r="G106" s="145"/>
      <c r="H106" s="145"/>
      <c r="I106" s="146"/>
      <c r="J106" s="145"/>
      <c r="K106" s="145"/>
      <c r="L106" s="145"/>
      <c r="M106" s="145">
        <f t="shared" si="88"/>
        <v>10.3</v>
      </c>
      <c r="N106" s="145"/>
      <c r="O106" s="145"/>
      <c r="P106" s="145">
        <v>10.3</v>
      </c>
      <c r="Q106" s="145"/>
      <c r="R106" s="145"/>
      <c r="S106" s="145"/>
      <c r="T106" s="145"/>
      <c r="U106" s="145">
        <f t="shared" si="90"/>
        <v>10.3</v>
      </c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54">
        <f t="shared" si="85"/>
        <v>0</v>
      </c>
    </row>
    <row r="107" spans="1:64" ht="33.75" x14ac:dyDescent="0.2">
      <c r="A107" s="172">
        <v>99</v>
      </c>
      <c r="B107" s="178" t="s">
        <v>184</v>
      </c>
      <c r="C107" s="145">
        <f t="shared" si="82"/>
        <v>10</v>
      </c>
      <c r="D107" s="145"/>
      <c r="E107" s="145"/>
      <c r="F107" s="145"/>
      <c r="G107" s="145"/>
      <c r="H107" s="145"/>
      <c r="I107" s="146"/>
      <c r="J107" s="145"/>
      <c r="K107" s="145"/>
      <c r="L107" s="145"/>
      <c r="M107" s="145">
        <f t="shared" si="88"/>
        <v>10</v>
      </c>
      <c r="N107" s="145"/>
      <c r="O107" s="145"/>
      <c r="P107" s="145">
        <v>10</v>
      </c>
      <c r="Q107" s="145"/>
      <c r="R107" s="145"/>
      <c r="S107" s="145"/>
      <c r="T107" s="145"/>
      <c r="U107" s="145">
        <f t="shared" si="90"/>
        <v>10</v>
      </c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54">
        <f t="shared" si="85"/>
        <v>0</v>
      </c>
    </row>
    <row r="108" spans="1:64" ht="57" customHeight="1" x14ac:dyDescent="0.2">
      <c r="A108" s="172">
        <v>100</v>
      </c>
      <c r="B108" s="158" t="s">
        <v>185</v>
      </c>
      <c r="C108" s="145">
        <f t="shared" si="82"/>
        <v>22</v>
      </c>
      <c r="D108" s="145"/>
      <c r="E108" s="145">
        <f>+'[1]2019-2018'!$J100</f>
        <v>16</v>
      </c>
      <c r="F108" s="145">
        <f t="shared" si="94"/>
        <v>-6</v>
      </c>
      <c r="G108" s="145" t="e">
        <f>+'[1]2019-2018'!$M100</f>
        <v>#REF!</v>
      </c>
      <c r="H108" s="145" t="e">
        <f>G108-D108-#REF!</f>
        <v>#REF!</v>
      </c>
      <c r="I108" s="146"/>
      <c r="J108" s="145">
        <f t="shared" si="84"/>
        <v>21.3</v>
      </c>
      <c r="K108" s="145"/>
      <c r="L108" s="145">
        <f t="shared" si="87"/>
        <v>103.28638497652582</v>
      </c>
      <c r="M108" s="145">
        <f t="shared" si="88"/>
        <v>0.69999999999999929</v>
      </c>
      <c r="N108" s="145"/>
      <c r="O108" s="145"/>
      <c r="P108" s="145">
        <v>22</v>
      </c>
      <c r="Q108" s="145"/>
      <c r="R108" s="145">
        <v>21.3</v>
      </c>
      <c r="S108" s="145"/>
      <c r="T108" s="145">
        <f t="shared" si="93"/>
        <v>103.28638497652582</v>
      </c>
      <c r="U108" s="145">
        <f t="shared" si="90"/>
        <v>0.69999999999999929</v>
      </c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54">
        <f t="shared" si="85"/>
        <v>0</v>
      </c>
    </row>
    <row r="109" spans="1:64" ht="24" customHeight="1" x14ac:dyDescent="0.2">
      <c r="A109" s="172">
        <v>101</v>
      </c>
      <c r="B109" s="158" t="s">
        <v>186</v>
      </c>
      <c r="C109" s="145">
        <f t="shared" si="82"/>
        <v>24.3</v>
      </c>
      <c r="D109" s="145"/>
      <c r="E109" s="145">
        <f>+'[1]2019-2018'!$J101</f>
        <v>19</v>
      </c>
      <c r="F109" s="145">
        <f t="shared" si="94"/>
        <v>-5.3000000000000007</v>
      </c>
      <c r="G109" s="145" t="e">
        <f>+'[1]2019-2018'!$M101</f>
        <v>#REF!</v>
      </c>
      <c r="H109" s="145" t="e">
        <f>G109-D109-#REF!</f>
        <v>#REF!</v>
      </c>
      <c r="I109" s="146"/>
      <c r="J109" s="145">
        <f t="shared" si="84"/>
        <v>10</v>
      </c>
      <c r="K109" s="145"/>
      <c r="L109" s="145" t="s">
        <v>107</v>
      </c>
      <c r="M109" s="145">
        <f t="shared" si="88"/>
        <v>14.3</v>
      </c>
      <c r="N109" s="145"/>
      <c r="O109" s="145"/>
      <c r="P109" s="145">
        <v>24.3</v>
      </c>
      <c r="Q109" s="145"/>
      <c r="R109" s="145">
        <v>10</v>
      </c>
      <c r="S109" s="145"/>
      <c r="T109" s="145" t="s">
        <v>107</v>
      </c>
      <c r="U109" s="145">
        <f t="shared" si="90"/>
        <v>14.3</v>
      </c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/>
      <c r="BC109" s="145"/>
      <c r="BD109" s="145"/>
      <c r="BE109" s="145"/>
      <c r="BF109" s="145"/>
      <c r="BG109" s="145"/>
      <c r="BH109" s="145"/>
      <c r="BI109" s="145"/>
      <c r="BJ109" s="145"/>
      <c r="BK109" s="145"/>
      <c r="BL109" s="154">
        <f t="shared" si="85"/>
        <v>0</v>
      </c>
    </row>
    <row r="110" spans="1:64" ht="24" customHeight="1" x14ac:dyDescent="0.2">
      <c r="A110" s="172">
        <v>102</v>
      </c>
      <c r="B110" s="178" t="s">
        <v>187</v>
      </c>
      <c r="C110" s="145">
        <f t="shared" si="82"/>
        <v>12</v>
      </c>
      <c r="D110" s="145"/>
      <c r="E110" s="145"/>
      <c r="F110" s="145"/>
      <c r="G110" s="145"/>
      <c r="H110" s="145"/>
      <c r="I110" s="146"/>
      <c r="J110" s="145"/>
      <c r="K110" s="145"/>
      <c r="L110" s="145"/>
      <c r="M110" s="145">
        <f t="shared" si="88"/>
        <v>12</v>
      </c>
      <c r="N110" s="145"/>
      <c r="O110" s="145"/>
      <c r="P110" s="145">
        <v>12</v>
      </c>
      <c r="Q110" s="145"/>
      <c r="R110" s="145"/>
      <c r="S110" s="145"/>
      <c r="T110" s="145"/>
      <c r="U110" s="145">
        <f t="shared" si="90"/>
        <v>12</v>
      </c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54">
        <f t="shared" si="85"/>
        <v>0</v>
      </c>
    </row>
    <row r="111" spans="1:64" ht="33.75" x14ac:dyDescent="0.2">
      <c r="A111" s="172">
        <v>103</v>
      </c>
      <c r="B111" s="178" t="s">
        <v>188</v>
      </c>
      <c r="C111" s="145">
        <f t="shared" si="82"/>
        <v>29.7</v>
      </c>
      <c r="D111" s="145"/>
      <c r="E111" s="145"/>
      <c r="F111" s="145"/>
      <c r="G111" s="145"/>
      <c r="H111" s="145"/>
      <c r="I111" s="146"/>
      <c r="J111" s="145"/>
      <c r="K111" s="145"/>
      <c r="L111" s="145"/>
      <c r="M111" s="145">
        <f t="shared" si="88"/>
        <v>29.7</v>
      </c>
      <c r="N111" s="145"/>
      <c r="O111" s="145"/>
      <c r="P111" s="145">
        <v>29.7</v>
      </c>
      <c r="Q111" s="145"/>
      <c r="R111" s="145"/>
      <c r="S111" s="145"/>
      <c r="T111" s="145"/>
      <c r="U111" s="145">
        <f t="shared" si="90"/>
        <v>29.7</v>
      </c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54">
        <f t="shared" si="85"/>
        <v>0</v>
      </c>
    </row>
    <row r="112" spans="1:64" ht="33.75" x14ac:dyDescent="0.2">
      <c r="A112" s="172">
        <v>104</v>
      </c>
      <c r="B112" s="178" t="s">
        <v>189</v>
      </c>
      <c r="C112" s="145">
        <f t="shared" si="82"/>
        <v>19.3</v>
      </c>
      <c r="D112" s="145"/>
      <c r="E112" s="145"/>
      <c r="F112" s="145"/>
      <c r="G112" s="145"/>
      <c r="H112" s="145"/>
      <c r="I112" s="146"/>
      <c r="J112" s="145"/>
      <c r="K112" s="145"/>
      <c r="L112" s="145"/>
      <c r="M112" s="145">
        <f t="shared" si="88"/>
        <v>19.3</v>
      </c>
      <c r="N112" s="145"/>
      <c r="O112" s="145"/>
      <c r="P112" s="145">
        <v>19.3</v>
      </c>
      <c r="Q112" s="145"/>
      <c r="R112" s="145"/>
      <c r="S112" s="145"/>
      <c r="T112" s="145"/>
      <c r="U112" s="145">
        <f t="shared" si="90"/>
        <v>19.3</v>
      </c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  <c r="AQ112" s="145"/>
      <c r="AR112" s="145"/>
      <c r="AS112" s="145"/>
      <c r="AT112" s="145"/>
      <c r="AU112" s="145"/>
      <c r="AV112" s="145"/>
      <c r="AW112" s="145"/>
      <c r="AX112" s="145"/>
      <c r="AY112" s="145"/>
      <c r="AZ112" s="145"/>
      <c r="BA112" s="145"/>
      <c r="BB112" s="145"/>
      <c r="BC112" s="145"/>
      <c r="BD112" s="145"/>
      <c r="BE112" s="145"/>
      <c r="BF112" s="145"/>
      <c r="BG112" s="145"/>
      <c r="BH112" s="145"/>
      <c r="BI112" s="145"/>
      <c r="BJ112" s="145"/>
      <c r="BK112" s="145"/>
      <c r="BL112" s="154">
        <f t="shared" si="85"/>
        <v>0</v>
      </c>
    </row>
    <row r="113" spans="1:64" ht="22.5" x14ac:dyDescent="0.2">
      <c r="A113" s="172">
        <v>105</v>
      </c>
      <c r="B113" s="158" t="s">
        <v>190</v>
      </c>
      <c r="C113" s="145">
        <f t="shared" si="82"/>
        <v>111</v>
      </c>
      <c r="D113" s="145"/>
      <c r="E113" s="145">
        <f>+'[1]2019-2018'!$J104</f>
        <v>68</v>
      </c>
      <c r="F113" s="145">
        <f t="shared" si="94"/>
        <v>-43</v>
      </c>
      <c r="G113" s="145" t="e">
        <f>+'[1]2019-2018'!$M104</f>
        <v>#REF!</v>
      </c>
      <c r="H113" s="145" t="e">
        <f>G113-D113-#REF!</f>
        <v>#REF!</v>
      </c>
      <c r="I113" s="146"/>
      <c r="J113" s="145">
        <f t="shared" si="84"/>
        <v>75</v>
      </c>
      <c r="K113" s="145"/>
      <c r="L113" s="145">
        <f t="shared" si="87"/>
        <v>148</v>
      </c>
      <c r="M113" s="145">
        <f t="shared" si="88"/>
        <v>36</v>
      </c>
      <c r="N113" s="145"/>
      <c r="O113" s="145"/>
      <c r="P113" s="145">
        <v>111</v>
      </c>
      <c r="Q113" s="145"/>
      <c r="R113" s="145">
        <v>75</v>
      </c>
      <c r="S113" s="145"/>
      <c r="T113" s="145">
        <f t="shared" si="93"/>
        <v>148</v>
      </c>
      <c r="U113" s="145">
        <f t="shared" si="90"/>
        <v>36</v>
      </c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  <c r="AQ113" s="145"/>
      <c r="AR113" s="145"/>
      <c r="AS113" s="145"/>
      <c r="AT113" s="145"/>
      <c r="AU113" s="145"/>
      <c r="AV113" s="145"/>
      <c r="AW113" s="145"/>
      <c r="AX113" s="145"/>
      <c r="AY113" s="145"/>
      <c r="AZ113" s="145"/>
      <c r="BA113" s="145"/>
      <c r="BB113" s="145"/>
      <c r="BC113" s="145"/>
      <c r="BD113" s="145"/>
      <c r="BE113" s="145"/>
      <c r="BF113" s="145"/>
      <c r="BG113" s="145"/>
      <c r="BH113" s="145"/>
      <c r="BI113" s="145"/>
      <c r="BJ113" s="145"/>
      <c r="BK113" s="145"/>
      <c r="BL113" s="154">
        <f t="shared" si="85"/>
        <v>0</v>
      </c>
    </row>
    <row r="114" spans="1:64" ht="22.5" x14ac:dyDescent="0.2">
      <c r="A114" s="172">
        <v>106</v>
      </c>
      <c r="B114" s="179" t="s">
        <v>191</v>
      </c>
      <c r="C114" s="145">
        <f>+P114+X114+AF114+AN114+AV114+BD114</f>
        <v>45</v>
      </c>
      <c r="D114" s="145"/>
      <c r="E114" s="145">
        <f>+'[1]2019-2018'!$J110</f>
        <v>40</v>
      </c>
      <c r="F114" s="145">
        <f>+E114-C114</f>
        <v>-5</v>
      </c>
      <c r="G114" s="145" t="e">
        <f>+'[1]2019-2018'!$M110</f>
        <v>#REF!</v>
      </c>
      <c r="H114" s="145" t="e">
        <f>G114-D114-#REF!</f>
        <v>#REF!</v>
      </c>
      <c r="I114" s="146"/>
      <c r="J114" s="145">
        <f>+R114+Z114+AH114+AP114+AX114+BF114</f>
        <v>20</v>
      </c>
      <c r="K114" s="145"/>
      <c r="L114" s="145" t="s">
        <v>98</v>
      </c>
      <c r="M114" s="145">
        <f>+C114-J114</f>
        <v>25</v>
      </c>
      <c r="N114" s="145"/>
      <c r="O114" s="145"/>
      <c r="P114" s="145">
        <v>45</v>
      </c>
      <c r="Q114" s="145"/>
      <c r="R114" s="145">
        <v>20</v>
      </c>
      <c r="S114" s="145"/>
      <c r="T114" s="145" t="s">
        <v>98</v>
      </c>
      <c r="U114" s="145">
        <f>+P114-R114</f>
        <v>25</v>
      </c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  <c r="AQ114" s="145"/>
      <c r="AR114" s="145"/>
      <c r="AS114" s="145"/>
      <c r="AT114" s="145"/>
      <c r="AU114" s="145"/>
      <c r="AV114" s="145"/>
      <c r="AW114" s="145"/>
      <c r="AX114" s="145"/>
      <c r="AY114" s="145"/>
      <c r="AZ114" s="145"/>
      <c r="BA114" s="145"/>
      <c r="BB114" s="145"/>
      <c r="BC114" s="145"/>
      <c r="BD114" s="145"/>
      <c r="BE114" s="145"/>
      <c r="BF114" s="145"/>
      <c r="BG114" s="145"/>
      <c r="BH114" s="145"/>
      <c r="BI114" s="145"/>
      <c r="BJ114" s="145"/>
      <c r="BK114" s="145"/>
      <c r="BL114" s="154">
        <f t="shared" si="85"/>
        <v>0</v>
      </c>
    </row>
    <row r="115" spans="1:64" ht="22.5" x14ac:dyDescent="0.2">
      <c r="A115" s="172">
        <v>107</v>
      </c>
      <c r="B115" s="179" t="s">
        <v>192</v>
      </c>
      <c r="C115" s="145">
        <f t="shared" si="82"/>
        <v>3866.7</v>
      </c>
      <c r="D115" s="145"/>
      <c r="E115" s="145">
        <f>+'[1]2019-2018'!$J105</f>
        <v>4161.6000000000004</v>
      </c>
      <c r="F115" s="145">
        <f t="shared" si="94"/>
        <v>294.90000000000055</v>
      </c>
      <c r="G115" s="145" t="e">
        <f>+'[1]2019-2018'!$M105</f>
        <v>#REF!</v>
      </c>
      <c r="H115" s="145" t="e">
        <f>G115-D115-#REF!</f>
        <v>#REF!</v>
      </c>
      <c r="I115" s="146"/>
      <c r="J115" s="145">
        <f t="shared" si="84"/>
        <v>2908.9</v>
      </c>
      <c r="K115" s="145"/>
      <c r="L115" s="145">
        <f t="shared" si="87"/>
        <v>132.92653580391212</v>
      </c>
      <c r="M115" s="145">
        <f t="shared" si="88"/>
        <v>957.79999999999973</v>
      </c>
      <c r="N115" s="145"/>
      <c r="O115" s="145"/>
      <c r="P115" s="145">
        <v>3866.7</v>
      </c>
      <c r="Q115" s="145"/>
      <c r="R115" s="145">
        <v>2908.9</v>
      </c>
      <c r="S115" s="145"/>
      <c r="T115" s="145">
        <f t="shared" si="93"/>
        <v>132.92653580391212</v>
      </c>
      <c r="U115" s="145">
        <f t="shared" si="90"/>
        <v>957.79999999999973</v>
      </c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  <c r="AQ115" s="145"/>
      <c r="AR115" s="145"/>
      <c r="AS115" s="145"/>
      <c r="AT115" s="145"/>
      <c r="AU115" s="145"/>
      <c r="AV115" s="145"/>
      <c r="AW115" s="145"/>
      <c r="AX115" s="145"/>
      <c r="AY115" s="145"/>
      <c r="AZ115" s="145"/>
      <c r="BA115" s="145"/>
      <c r="BB115" s="145"/>
      <c r="BC115" s="145"/>
      <c r="BD115" s="145"/>
      <c r="BE115" s="145"/>
      <c r="BF115" s="145"/>
      <c r="BG115" s="145"/>
      <c r="BH115" s="145"/>
      <c r="BI115" s="145"/>
      <c r="BJ115" s="145"/>
      <c r="BK115" s="145"/>
      <c r="BL115" s="154">
        <f t="shared" si="85"/>
        <v>0</v>
      </c>
    </row>
    <row r="116" spans="1:64" ht="22.5" customHeight="1" x14ac:dyDescent="0.2">
      <c r="A116" s="172">
        <v>108</v>
      </c>
      <c r="B116" s="178" t="s">
        <v>193</v>
      </c>
      <c r="C116" s="145">
        <f t="shared" si="82"/>
        <v>0</v>
      </c>
      <c r="D116" s="145"/>
      <c r="E116" s="145"/>
      <c r="F116" s="145"/>
      <c r="G116" s="145"/>
      <c r="H116" s="145"/>
      <c r="I116" s="146"/>
      <c r="J116" s="145">
        <f t="shared" si="84"/>
        <v>1157.5</v>
      </c>
      <c r="K116" s="145"/>
      <c r="L116" s="145">
        <f t="shared" si="87"/>
        <v>0</v>
      </c>
      <c r="M116" s="145">
        <f t="shared" si="88"/>
        <v>-1157.5</v>
      </c>
      <c r="N116" s="145"/>
      <c r="O116" s="145"/>
      <c r="P116" s="145">
        <v>0</v>
      </c>
      <c r="Q116" s="145"/>
      <c r="R116" s="145">
        <v>1157.5</v>
      </c>
      <c r="S116" s="145"/>
      <c r="T116" s="145">
        <f t="shared" si="93"/>
        <v>0</v>
      </c>
      <c r="U116" s="145">
        <f t="shared" si="90"/>
        <v>-1157.5</v>
      </c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54">
        <f t="shared" si="85"/>
        <v>0</v>
      </c>
    </row>
    <row r="117" spans="1:64" ht="12.4" customHeight="1" x14ac:dyDescent="0.2">
      <c r="A117" s="172">
        <v>109</v>
      </c>
      <c r="B117" s="179" t="s">
        <v>194</v>
      </c>
      <c r="C117" s="145">
        <f t="shared" si="82"/>
        <v>1555</v>
      </c>
      <c r="D117" s="145"/>
      <c r="E117" s="145">
        <f>+'[1]2019-2018'!$J106</f>
        <v>724.3</v>
      </c>
      <c r="F117" s="145">
        <f t="shared" ref="F117:F132" si="95">+E117-C117</f>
        <v>-830.7</v>
      </c>
      <c r="G117" s="145" t="e">
        <f>+'[1]2019-2018'!$M106</f>
        <v>#REF!</v>
      </c>
      <c r="H117" s="145" t="e">
        <f>G117-D117-#REF!</f>
        <v>#REF!</v>
      </c>
      <c r="I117" s="146"/>
      <c r="J117" s="145">
        <f t="shared" si="84"/>
        <v>2100.6</v>
      </c>
      <c r="K117" s="145"/>
      <c r="L117" s="145">
        <f t="shared" si="87"/>
        <v>74.026468628011045</v>
      </c>
      <c r="M117" s="145">
        <f t="shared" si="88"/>
        <v>-545.59999999999991</v>
      </c>
      <c r="N117" s="145"/>
      <c r="O117" s="145"/>
      <c r="P117" s="145"/>
      <c r="Q117" s="145"/>
      <c r="R117" s="145"/>
      <c r="S117" s="145"/>
      <c r="T117" s="145"/>
      <c r="U117" s="145">
        <f t="shared" si="90"/>
        <v>0</v>
      </c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>
        <v>1555</v>
      </c>
      <c r="AG117" s="145"/>
      <c r="AH117" s="145">
        <v>2100.6</v>
      </c>
      <c r="AI117" s="145"/>
      <c r="AJ117" s="145">
        <f>+AF117/AH117*100</f>
        <v>74.026468628011045</v>
      </c>
      <c r="AK117" s="145">
        <f>+AF117-AH117</f>
        <v>-545.59999999999991</v>
      </c>
      <c r="AL117" s="145"/>
      <c r="AM117" s="145"/>
      <c r="AN117" s="145"/>
      <c r="AO117" s="145"/>
      <c r="AP117" s="145"/>
      <c r="AQ117" s="145"/>
      <c r="AR117" s="145"/>
      <c r="AS117" s="145"/>
      <c r="AT117" s="145"/>
      <c r="AU117" s="145"/>
      <c r="AV117" s="145"/>
      <c r="AW117" s="145"/>
      <c r="AX117" s="145"/>
      <c r="AY117" s="145"/>
      <c r="AZ117" s="145"/>
      <c r="BA117" s="145"/>
      <c r="BB117" s="145"/>
      <c r="BC117" s="145"/>
      <c r="BD117" s="145"/>
      <c r="BE117" s="145"/>
      <c r="BF117" s="145"/>
      <c r="BG117" s="145"/>
      <c r="BH117" s="145"/>
      <c r="BI117" s="145"/>
      <c r="BJ117" s="145"/>
      <c r="BK117" s="145"/>
      <c r="BL117" s="154">
        <f t="shared" si="85"/>
        <v>0</v>
      </c>
    </row>
    <row r="118" spans="1:64" ht="22.5" x14ac:dyDescent="0.2">
      <c r="A118" s="172">
        <v>110</v>
      </c>
      <c r="B118" s="180" t="s">
        <v>195</v>
      </c>
      <c r="C118" s="145">
        <f t="shared" si="82"/>
        <v>1281.9000000000001</v>
      </c>
      <c r="D118" s="145"/>
      <c r="E118" s="145">
        <f>+'[1]2019-2018'!$J108</f>
        <v>6262</v>
      </c>
      <c r="F118" s="145">
        <f t="shared" si="95"/>
        <v>4980.1000000000004</v>
      </c>
      <c r="G118" s="145" t="e">
        <f>+'[1]2019-2018'!$M108</f>
        <v>#REF!</v>
      </c>
      <c r="H118" s="145" t="e">
        <f>G118-D118-#REF!</f>
        <v>#REF!</v>
      </c>
      <c r="I118" s="146"/>
      <c r="J118" s="145">
        <f t="shared" si="84"/>
        <v>1703.7</v>
      </c>
      <c r="K118" s="145"/>
      <c r="L118" s="145">
        <f t="shared" si="87"/>
        <v>75.242120091565425</v>
      </c>
      <c r="M118" s="145">
        <f t="shared" si="88"/>
        <v>-421.79999999999995</v>
      </c>
      <c r="N118" s="145"/>
      <c r="O118" s="145"/>
      <c r="P118" s="145"/>
      <c r="Q118" s="145"/>
      <c r="R118" s="145"/>
      <c r="S118" s="145"/>
      <c r="T118" s="145"/>
      <c r="U118" s="145">
        <f t="shared" si="90"/>
        <v>0</v>
      </c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>
        <v>1281.9000000000001</v>
      </c>
      <c r="AG118" s="145"/>
      <c r="AH118" s="145">
        <v>1703.7</v>
      </c>
      <c r="AI118" s="145"/>
      <c r="AJ118" s="145">
        <f>+AF118/AH118*100</f>
        <v>75.242120091565425</v>
      </c>
      <c r="AK118" s="145">
        <f>+AF118-AH118</f>
        <v>-421.79999999999995</v>
      </c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54">
        <f t="shared" si="85"/>
        <v>0</v>
      </c>
    </row>
    <row r="119" spans="1:64" ht="22.5" x14ac:dyDescent="0.2">
      <c r="A119" s="172">
        <v>111</v>
      </c>
      <c r="B119" s="180" t="s">
        <v>196</v>
      </c>
      <c r="C119" s="145">
        <f t="shared" si="82"/>
        <v>48.6</v>
      </c>
      <c r="D119" s="145"/>
      <c r="E119" s="145">
        <f>+'[1]2019-2018'!$J109</f>
        <v>672</v>
      </c>
      <c r="F119" s="145">
        <f t="shared" si="95"/>
        <v>623.4</v>
      </c>
      <c r="G119" s="145" t="e">
        <f>+'[1]2019-2018'!$M109</f>
        <v>#REF!</v>
      </c>
      <c r="H119" s="145" t="e">
        <f>G119-D119-#REF!</f>
        <v>#REF!</v>
      </c>
      <c r="I119" s="146"/>
      <c r="J119" s="145">
        <f t="shared" si="84"/>
        <v>131.9</v>
      </c>
      <c r="K119" s="145"/>
      <c r="L119" s="145">
        <f t="shared" si="87"/>
        <v>36.846095526914333</v>
      </c>
      <c r="M119" s="145">
        <f t="shared" si="88"/>
        <v>-83.300000000000011</v>
      </c>
      <c r="N119" s="145"/>
      <c r="O119" s="145"/>
      <c r="P119" s="145"/>
      <c r="Q119" s="145"/>
      <c r="R119" s="145"/>
      <c r="S119" s="145"/>
      <c r="T119" s="145"/>
      <c r="U119" s="145">
        <f t="shared" si="90"/>
        <v>0</v>
      </c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>
        <v>48.6</v>
      </c>
      <c r="AG119" s="145"/>
      <c r="AH119" s="145">
        <v>131.9</v>
      </c>
      <c r="AI119" s="145"/>
      <c r="AJ119" s="145">
        <f>+AF119/AH119*100</f>
        <v>36.846095526914333</v>
      </c>
      <c r="AK119" s="145">
        <f>+AF119-AH119</f>
        <v>-83.300000000000011</v>
      </c>
      <c r="AL119" s="145"/>
      <c r="AM119" s="145"/>
      <c r="AN119" s="145"/>
      <c r="AO119" s="145"/>
      <c r="AP119" s="145"/>
      <c r="AQ119" s="145"/>
      <c r="AR119" s="145"/>
      <c r="AS119" s="145"/>
      <c r="AT119" s="145"/>
      <c r="AU119" s="145"/>
      <c r="AV119" s="145"/>
      <c r="AW119" s="145"/>
      <c r="AX119" s="145"/>
      <c r="AY119" s="145"/>
      <c r="AZ119" s="145"/>
      <c r="BA119" s="145"/>
      <c r="BB119" s="145"/>
      <c r="BC119" s="145"/>
      <c r="BD119" s="145"/>
      <c r="BE119" s="145"/>
      <c r="BF119" s="145"/>
      <c r="BG119" s="145"/>
      <c r="BH119" s="145"/>
      <c r="BI119" s="145"/>
      <c r="BJ119" s="145"/>
      <c r="BK119" s="145"/>
      <c r="BL119" s="154">
        <f t="shared" si="85"/>
        <v>0</v>
      </c>
    </row>
    <row r="120" spans="1:64" x14ac:dyDescent="0.2">
      <c r="A120" s="172">
        <v>112</v>
      </c>
      <c r="B120" s="181" t="s">
        <v>197</v>
      </c>
      <c r="C120" s="145">
        <f t="shared" si="82"/>
        <v>1072.3</v>
      </c>
      <c r="D120" s="145"/>
      <c r="E120" s="145"/>
      <c r="F120" s="145"/>
      <c r="G120" s="145"/>
      <c r="H120" s="145"/>
      <c r="I120" s="146"/>
      <c r="J120" s="145"/>
      <c r="K120" s="145"/>
      <c r="L120" s="145"/>
      <c r="M120" s="145">
        <f t="shared" si="88"/>
        <v>1072.3</v>
      </c>
      <c r="N120" s="145"/>
      <c r="O120" s="145"/>
      <c r="P120" s="145"/>
      <c r="Q120" s="145"/>
      <c r="R120" s="145"/>
      <c r="S120" s="145"/>
      <c r="T120" s="145"/>
      <c r="U120" s="145">
        <f t="shared" si="90"/>
        <v>0</v>
      </c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>
        <v>1072.3</v>
      </c>
      <c r="AG120" s="145"/>
      <c r="AH120" s="145"/>
      <c r="AI120" s="145"/>
      <c r="AJ120" s="145"/>
      <c r="AK120" s="145">
        <f>+AF120-AH120</f>
        <v>1072.3</v>
      </c>
      <c r="AL120" s="145"/>
      <c r="AM120" s="145"/>
      <c r="AN120" s="145"/>
      <c r="AO120" s="145"/>
      <c r="AP120" s="145"/>
      <c r="AQ120" s="145"/>
      <c r="AR120" s="145"/>
      <c r="AS120" s="145"/>
      <c r="AT120" s="145"/>
      <c r="AU120" s="145"/>
      <c r="AV120" s="145"/>
      <c r="AW120" s="145"/>
      <c r="AX120" s="145"/>
      <c r="AY120" s="145"/>
      <c r="AZ120" s="145"/>
      <c r="BA120" s="145"/>
      <c r="BB120" s="145"/>
      <c r="BC120" s="145"/>
      <c r="BD120" s="145"/>
      <c r="BE120" s="145"/>
      <c r="BF120" s="145"/>
      <c r="BG120" s="145"/>
      <c r="BH120" s="145"/>
      <c r="BI120" s="145"/>
      <c r="BJ120" s="145"/>
      <c r="BK120" s="145"/>
      <c r="BL120" s="154">
        <f t="shared" si="85"/>
        <v>0</v>
      </c>
    </row>
    <row r="121" spans="1:64" ht="24" customHeight="1" x14ac:dyDescent="0.2">
      <c r="A121" s="172">
        <v>113</v>
      </c>
      <c r="B121" s="178" t="s">
        <v>198</v>
      </c>
      <c r="C121" s="145">
        <f>+P121+X121+AF121+AN121+AV121+BD121</f>
        <v>3002.8</v>
      </c>
      <c r="D121" s="145"/>
      <c r="E121" s="145">
        <f>+'[1]2019-2018'!$J107</f>
        <v>2108.1999999999998</v>
      </c>
      <c r="F121" s="145">
        <f>+E121-C121</f>
        <v>-894.60000000000036</v>
      </c>
      <c r="G121" s="145" t="e">
        <f>+'[1]2019-2018'!$M107</f>
        <v>#REF!</v>
      </c>
      <c r="H121" s="145" t="e">
        <f>G121-D121-#REF!</f>
        <v>#REF!</v>
      </c>
      <c r="I121" s="146"/>
      <c r="J121" s="145">
        <f>+R121+Z121+AH121+AP121+AX121+BF121</f>
        <v>2318.1</v>
      </c>
      <c r="K121" s="145"/>
      <c r="L121" s="145">
        <f>+C121/J121*100</f>
        <v>129.53712091799318</v>
      </c>
      <c r="M121" s="145">
        <f>+C121-J121</f>
        <v>684.70000000000027</v>
      </c>
      <c r="N121" s="145"/>
      <c r="O121" s="145"/>
      <c r="P121" s="145"/>
      <c r="Q121" s="145"/>
      <c r="R121" s="145"/>
      <c r="S121" s="145"/>
      <c r="T121" s="145"/>
      <c r="U121" s="145">
        <f t="shared" si="90"/>
        <v>0</v>
      </c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>
        <v>3002.8</v>
      </c>
      <c r="AG121" s="145"/>
      <c r="AH121" s="145">
        <v>2318.1</v>
      </c>
      <c r="AI121" s="145"/>
      <c r="AJ121" s="145">
        <f>+AF121/AH121*100</f>
        <v>129.53712091799318</v>
      </c>
      <c r="AK121" s="145">
        <f>+AF121-AH121</f>
        <v>684.70000000000027</v>
      </c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54">
        <f t="shared" si="85"/>
        <v>0</v>
      </c>
    </row>
    <row r="122" spans="1:64" ht="22.5" customHeight="1" x14ac:dyDescent="0.2">
      <c r="A122" s="172">
        <v>114</v>
      </c>
      <c r="B122" s="178" t="s">
        <v>199</v>
      </c>
      <c r="C122" s="145">
        <f>+P122+X122+AF122+AN122+AV122+BD122</f>
        <v>1699.3</v>
      </c>
      <c r="D122" s="145"/>
      <c r="E122" s="145">
        <f>+'[1]2019-2018'!$J115</f>
        <v>1450.6</v>
      </c>
      <c r="F122" s="145">
        <f>+E122-C122</f>
        <v>-248.70000000000005</v>
      </c>
      <c r="G122" s="145" t="e">
        <f>+'[1]2019-2018'!$M115</f>
        <v>#REF!</v>
      </c>
      <c r="H122" s="145" t="e">
        <f>G122-D122-#REF!</f>
        <v>#REF!</v>
      </c>
      <c r="I122" s="146"/>
      <c r="J122" s="145">
        <f>+R122+Z122+AH122+AP122+AX122+BF122</f>
        <v>1610.8</v>
      </c>
      <c r="K122" s="145"/>
      <c r="L122" s="145">
        <f>+C122/J122*100</f>
        <v>105.49416439036503</v>
      </c>
      <c r="M122" s="145">
        <f>+C122-J122</f>
        <v>88.5</v>
      </c>
      <c r="N122" s="145"/>
      <c r="O122" s="145"/>
      <c r="P122" s="145">
        <v>1699.3</v>
      </c>
      <c r="Q122" s="145"/>
      <c r="R122" s="145">
        <f>1610.7+0.1</f>
        <v>1610.8</v>
      </c>
      <c r="S122" s="145"/>
      <c r="T122" s="145">
        <f>+P122/R122*100</f>
        <v>105.49416439036503</v>
      </c>
      <c r="U122" s="145">
        <f t="shared" si="90"/>
        <v>88.5</v>
      </c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  <c r="AQ122" s="145"/>
      <c r="AR122" s="145"/>
      <c r="AS122" s="145"/>
      <c r="AT122" s="145"/>
      <c r="AU122" s="145"/>
      <c r="AV122" s="145"/>
      <c r="AW122" s="145"/>
      <c r="AX122" s="145"/>
      <c r="AY122" s="145"/>
      <c r="AZ122" s="145"/>
      <c r="BA122" s="145"/>
      <c r="BB122" s="145"/>
      <c r="BC122" s="145"/>
      <c r="BD122" s="145"/>
      <c r="BE122" s="145"/>
      <c r="BF122" s="145"/>
      <c r="BG122" s="145"/>
      <c r="BH122" s="145"/>
      <c r="BI122" s="145"/>
      <c r="BJ122" s="145"/>
      <c r="BK122" s="145"/>
      <c r="BL122" s="154">
        <f t="shared" si="85"/>
        <v>0</v>
      </c>
    </row>
    <row r="123" spans="1:64" ht="22.5" customHeight="1" x14ac:dyDescent="0.2">
      <c r="A123" s="172">
        <v>115</v>
      </c>
      <c r="B123" s="178" t="s">
        <v>200</v>
      </c>
      <c r="C123" s="145">
        <f>+P123+X123+AF123+AN123+AV123+BD123</f>
        <v>89.1</v>
      </c>
      <c r="D123" s="145"/>
      <c r="E123" s="145">
        <f>+'[1]2019-2018'!$J116</f>
        <v>35.700000000000003</v>
      </c>
      <c r="F123" s="145">
        <f>+E123-C123</f>
        <v>-53.399999999999991</v>
      </c>
      <c r="G123" s="145" t="e">
        <f>+'[1]2019-2018'!$M116</f>
        <v>#REF!</v>
      </c>
      <c r="H123" s="145" t="e">
        <f>G123-D123-#REF!</f>
        <v>#REF!</v>
      </c>
      <c r="I123" s="146"/>
      <c r="J123" s="145">
        <f>+R123+Z123+AH123+AP123+AX123+BF123</f>
        <v>91</v>
      </c>
      <c r="K123" s="145"/>
      <c r="L123" s="145">
        <f>+C123/J123*100</f>
        <v>97.912087912087912</v>
      </c>
      <c r="M123" s="145">
        <f>+C123-J123</f>
        <v>-1.9000000000000057</v>
      </c>
      <c r="N123" s="145"/>
      <c r="O123" s="145"/>
      <c r="P123" s="145">
        <v>89.1</v>
      </c>
      <c r="Q123" s="145"/>
      <c r="R123" s="145">
        <v>91</v>
      </c>
      <c r="S123" s="145"/>
      <c r="T123" s="145">
        <f>+P123/R123*100</f>
        <v>97.912087912087912</v>
      </c>
      <c r="U123" s="145">
        <f t="shared" si="90"/>
        <v>-1.9000000000000057</v>
      </c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  <c r="AQ123" s="145"/>
      <c r="AR123" s="145"/>
      <c r="AS123" s="145"/>
      <c r="AT123" s="145"/>
      <c r="AU123" s="145"/>
      <c r="AV123" s="145"/>
      <c r="AW123" s="145"/>
      <c r="AX123" s="145"/>
      <c r="AY123" s="145"/>
      <c r="AZ123" s="145"/>
      <c r="BA123" s="145"/>
      <c r="BB123" s="145"/>
      <c r="BC123" s="145"/>
      <c r="BD123" s="145"/>
      <c r="BE123" s="145"/>
      <c r="BF123" s="145"/>
      <c r="BG123" s="145"/>
      <c r="BH123" s="145"/>
      <c r="BI123" s="145"/>
      <c r="BJ123" s="145"/>
      <c r="BK123" s="145"/>
      <c r="BL123" s="154">
        <f t="shared" si="85"/>
        <v>0</v>
      </c>
    </row>
    <row r="124" spans="1:64" ht="23.25" customHeight="1" x14ac:dyDescent="0.2">
      <c r="A124" s="172">
        <v>116</v>
      </c>
      <c r="B124" s="178" t="s">
        <v>201</v>
      </c>
      <c r="C124" s="145">
        <f>+P124+X124+AF124+AN124+AV124+BD124</f>
        <v>8.1999999999999993</v>
      </c>
      <c r="D124" s="145"/>
      <c r="E124" s="145"/>
      <c r="F124" s="145"/>
      <c r="G124" s="145"/>
      <c r="H124" s="145"/>
      <c r="I124" s="146"/>
      <c r="J124" s="145">
        <f>+R124+Z124+AH124+AP124+AX124+BF124</f>
        <v>8.6999999999999993</v>
      </c>
      <c r="K124" s="145"/>
      <c r="L124" s="145"/>
      <c r="M124" s="145">
        <f>+C124-J124</f>
        <v>-0.5</v>
      </c>
      <c r="N124" s="145"/>
      <c r="O124" s="145"/>
      <c r="P124" s="145"/>
      <c r="Q124" s="145"/>
      <c r="R124" s="145"/>
      <c r="S124" s="145"/>
      <c r="T124" s="145"/>
      <c r="U124" s="145">
        <f t="shared" si="90"/>
        <v>0</v>
      </c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>
        <v>8.1999999999999993</v>
      </c>
      <c r="AG124" s="145"/>
      <c r="AH124" s="145">
        <v>8.6999999999999993</v>
      </c>
      <c r="AI124" s="145"/>
      <c r="AJ124" s="145"/>
      <c r="AK124" s="145">
        <f>+AF124-AH124</f>
        <v>-0.5</v>
      </c>
      <c r="AL124" s="145"/>
      <c r="AM124" s="145"/>
      <c r="AN124" s="145"/>
      <c r="AO124" s="145"/>
      <c r="AP124" s="145"/>
      <c r="AQ124" s="145"/>
      <c r="AR124" s="145"/>
      <c r="AS124" s="145"/>
      <c r="AT124" s="145"/>
      <c r="AU124" s="145"/>
      <c r="AV124" s="145"/>
      <c r="AW124" s="145"/>
      <c r="AX124" s="145"/>
      <c r="AY124" s="145"/>
      <c r="AZ124" s="145"/>
      <c r="BA124" s="145"/>
      <c r="BB124" s="145"/>
      <c r="BC124" s="145"/>
      <c r="BD124" s="145"/>
      <c r="BE124" s="145"/>
      <c r="BF124" s="145"/>
      <c r="BG124" s="145"/>
      <c r="BH124" s="145"/>
      <c r="BI124" s="145"/>
      <c r="BJ124" s="145"/>
      <c r="BK124" s="145"/>
      <c r="BL124" s="154">
        <f>+BO124+BR124+BU124+CA124+CD124+BX124</f>
        <v>0</v>
      </c>
    </row>
    <row r="125" spans="1:64" x14ac:dyDescent="0.2">
      <c r="A125" s="172">
        <v>117</v>
      </c>
      <c r="B125" s="179" t="s">
        <v>260</v>
      </c>
      <c r="C125" s="145">
        <f>+P125+X125+AF125+AN125+AV125+BD125</f>
        <v>0</v>
      </c>
      <c r="D125" s="145"/>
      <c r="E125" s="145"/>
      <c r="F125" s="145"/>
      <c r="G125" s="145"/>
      <c r="H125" s="145"/>
      <c r="I125" s="146"/>
      <c r="J125" s="145">
        <f t="shared" si="84"/>
        <v>10</v>
      </c>
      <c r="K125" s="145"/>
      <c r="L125" s="145"/>
      <c r="M125" s="145">
        <f t="shared" si="88"/>
        <v>-10</v>
      </c>
      <c r="N125" s="145"/>
      <c r="O125" s="145"/>
      <c r="P125" s="145"/>
      <c r="Q125" s="145"/>
      <c r="R125" s="145">
        <v>10</v>
      </c>
      <c r="S125" s="145"/>
      <c r="T125" s="145"/>
      <c r="U125" s="145">
        <f t="shared" si="90"/>
        <v>-10</v>
      </c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  <c r="AQ125" s="145"/>
      <c r="AR125" s="145"/>
      <c r="AS125" s="145"/>
      <c r="AT125" s="145"/>
      <c r="AU125" s="145"/>
      <c r="AV125" s="145"/>
      <c r="AW125" s="145"/>
      <c r="AX125" s="145"/>
      <c r="AY125" s="145"/>
      <c r="AZ125" s="145"/>
      <c r="BA125" s="145"/>
      <c r="BB125" s="145"/>
      <c r="BC125" s="145"/>
      <c r="BD125" s="145"/>
      <c r="BE125" s="145"/>
      <c r="BF125" s="145"/>
      <c r="BG125" s="145"/>
      <c r="BH125" s="145"/>
      <c r="BI125" s="145"/>
      <c r="BJ125" s="145"/>
      <c r="BK125" s="145"/>
      <c r="BL125" s="154">
        <f t="shared" si="85"/>
        <v>0</v>
      </c>
    </row>
    <row r="126" spans="1:64" ht="22.5" customHeight="1" x14ac:dyDescent="0.2">
      <c r="A126" s="172">
        <v>118</v>
      </c>
      <c r="B126" s="179" t="s">
        <v>202</v>
      </c>
      <c r="C126" s="145">
        <f t="shared" si="82"/>
        <v>393.9</v>
      </c>
      <c r="D126" s="145"/>
      <c r="E126" s="145">
        <f>+'[1]2019-2018'!$J114</f>
        <v>248.89999999999998</v>
      </c>
      <c r="F126" s="145">
        <f t="shared" si="95"/>
        <v>-145</v>
      </c>
      <c r="G126" s="145" t="e">
        <f>+'[1]2019-2018'!$M114</f>
        <v>#REF!</v>
      </c>
      <c r="H126" s="145" t="e">
        <f>G126-D126-#REF!</f>
        <v>#REF!</v>
      </c>
      <c r="I126" s="146"/>
      <c r="J126" s="145">
        <f t="shared" si="84"/>
        <v>285.7</v>
      </c>
      <c r="K126" s="145"/>
      <c r="L126" s="145">
        <f t="shared" si="87"/>
        <v>137.87189359467973</v>
      </c>
      <c r="M126" s="145">
        <f t="shared" si="88"/>
        <v>108.19999999999999</v>
      </c>
      <c r="N126" s="145"/>
      <c r="O126" s="145"/>
      <c r="P126" s="145">
        <v>393.9</v>
      </c>
      <c r="Q126" s="145"/>
      <c r="R126" s="145">
        <v>285.7</v>
      </c>
      <c r="S126" s="145"/>
      <c r="T126" s="145">
        <f>+P126/R126*100</f>
        <v>137.87189359467973</v>
      </c>
      <c r="U126" s="145">
        <f t="shared" si="90"/>
        <v>108.19999999999999</v>
      </c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54">
        <f t="shared" si="85"/>
        <v>0</v>
      </c>
    </row>
    <row r="127" spans="1:64" ht="56.25" x14ac:dyDescent="0.2">
      <c r="A127" s="172">
        <v>119</v>
      </c>
      <c r="B127" s="179" t="s">
        <v>203</v>
      </c>
      <c r="C127" s="145">
        <f t="shared" si="82"/>
        <v>359.9</v>
      </c>
      <c r="D127" s="145"/>
      <c r="E127" s="145">
        <f>+'[1]2019-2018'!$J118</f>
        <v>358</v>
      </c>
      <c r="F127" s="145">
        <f t="shared" si="95"/>
        <v>-1.8999999999999773</v>
      </c>
      <c r="G127" s="145" t="e">
        <f>+'[1]2019-2018'!$M118</f>
        <v>#REF!</v>
      </c>
      <c r="H127" s="145" t="e">
        <f>G127-D127-#REF!</f>
        <v>#REF!</v>
      </c>
      <c r="I127" s="146"/>
      <c r="J127" s="145">
        <f t="shared" si="84"/>
        <v>360</v>
      </c>
      <c r="K127" s="145"/>
      <c r="L127" s="145">
        <f t="shared" si="87"/>
        <v>99.972222222222214</v>
      </c>
      <c r="M127" s="145">
        <f t="shared" si="88"/>
        <v>-0.10000000000002274</v>
      </c>
      <c r="N127" s="145"/>
      <c r="O127" s="145"/>
      <c r="P127" s="145"/>
      <c r="Q127" s="145"/>
      <c r="R127" s="145"/>
      <c r="S127" s="145"/>
      <c r="T127" s="145"/>
      <c r="U127" s="145">
        <f t="shared" si="90"/>
        <v>0</v>
      </c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>
        <v>359.9</v>
      </c>
      <c r="AG127" s="145"/>
      <c r="AH127" s="145">
        <v>360</v>
      </c>
      <c r="AI127" s="145"/>
      <c r="AJ127" s="145">
        <f>+AF127/AH127*100</f>
        <v>99.972222222222214</v>
      </c>
      <c r="AK127" s="145">
        <f>+AF127-AH127</f>
        <v>-0.10000000000002274</v>
      </c>
      <c r="AL127" s="145"/>
      <c r="AM127" s="145"/>
      <c r="AN127" s="145"/>
      <c r="AO127" s="145"/>
      <c r="AP127" s="145"/>
      <c r="AQ127" s="145"/>
      <c r="AR127" s="145"/>
      <c r="AS127" s="145"/>
      <c r="AT127" s="145"/>
      <c r="AU127" s="145"/>
      <c r="AV127" s="145"/>
      <c r="AW127" s="145"/>
      <c r="AX127" s="145"/>
      <c r="AY127" s="145"/>
      <c r="AZ127" s="145"/>
      <c r="BA127" s="145"/>
      <c r="BB127" s="145"/>
      <c r="BC127" s="145"/>
      <c r="BD127" s="145"/>
      <c r="BE127" s="145"/>
      <c r="BF127" s="145"/>
      <c r="BG127" s="145"/>
      <c r="BH127" s="145"/>
      <c r="BI127" s="145"/>
      <c r="BJ127" s="145"/>
      <c r="BK127" s="145"/>
      <c r="BL127" s="154">
        <f t="shared" si="85"/>
        <v>0</v>
      </c>
    </row>
    <row r="128" spans="1:64" ht="45" x14ac:dyDescent="0.2">
      <c r="A128" s="172">
        <v>120</v>
      </c>
      <c r="B128" s="178" t="s">
        <v>204</v>
      </c>
      <c r="C128" s="145">
        <f t="shared" si="82"/>
        <v>43.9</v>
      </c>
      <c r="D128" s="145"/>
      <c r="E128" s="145"/>
      <c r="F128" s="145"/>
      <c r="G128" s="145"/>
      <c r="H128" s="145"/>
      <c r="I128" s="146"/>
      <c r="J128" s="145"/>
      <c r="K128" s="145"/>
      <c r="L128" s="145"/>
      <c r="M128" s="145">
        <f t="shared" si="88"/>
        <v>43.9</v>
      </c>
      <c r="N128" s="145"/>
      <c r="O128" s="145"/>
      <c r="P128" s="145">
        <v>43.9</v>
      </c>
      <c r="Q128" s="145"/>
      <c r="R128" s="145"/>
      <c r="S128" s="145"/>
      <c r="T128" s="145"/>
      <c r="U128" s="145">
        <f t="shared" si="90"/>
        <v>43.9</v>
      </c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  <c r="AQ128" s="145"/>
      <c r="AR128" s="145"/>
      <c r="AS128" s="145"/>
      <c r="AT128" s="145"/>
      <c r="AU128" s="145"/>
      <c r="AV128" s="145"/>
      <c r="AW128" s="145"/>
      <c r="AX128" s="145"/>
      <c r="AY128" s="145"/>
      <c r="AZ128" s="145"/>
      <c r="BA128" s="145"/>
      <c r="BB128" s="145"/>
      <c r="BC128" s="145"/>
      <c r="BD128" s="145"/>
      <c r="BE128" s="145"/>
      <c r="BF128" s="145"/>
      <c r="BG128" s="145"/>
      <c r="BH128" s="145"/>
      <c r="BI128" s="145"/>
      <c r="BJ128" s="145"/>
      <c r="BK128" s="145"/>
      <c r="BL128" s="154">
        <f t="shared" si="85"/>
        <v>0</v>
      </c>
    </row>
    <row r="129" spans="1:64" ht="33.75" x14ac:dyDescent="0.2">
      <c r="A129" s="172">
        <v>121</v>
      </c>
      <c r="B129" s="158" t="s">
        <v>205</v>
      </c>
      <c r="C129" s="145">
        <f t="shared" si="82"/>
        <v>6.5</v>
      </c>
      <c r="D129" s="145"/>
      <c r="E129" s="145">
        <f>+'[1]2019-2018'!$J120</f>
        <v>0</v>
      </c>
      <c r="F129" s="145">
        <f t="shared" si="95"/>
        <v>-6.5</v>
      </c>
      <c r="G129" s="145" t="e">
        <f>+'[1]2019-2018'!$M120</f>
        <v>#REF!</v>
      </c>
      <c r="H129" s="145" t="e">
        <f>G129-D129-#REF!</f>
        <v>#REF!</v>
      </c>
      <c r="I129" s="146"/>
      <c r="J129" s="145">
        <f t="shared" si="84"/>
        <v>-62.3</v>
      </c>
      <c r="K129" s="145"/>
      <c r="L129" s="145">
        <f t="shared" si="87"/>
        <v>-10.433386837881219</v>
      </c>
      <c r="M129" s="145">
        <f t="shared" si="88"/>
        <v>68.8</v>
      </c>
      <c r="N129" s="145"/>
      <c r="O129" s="145"/>
      <c r="P129" s="145">
        <v>6.5</v>
      </c>
      <c r="Q129" s="145"/>
      <c r="R129" s="145">
        <v>-62.3</v>
      </c>
      <c r="S129" s="145"/>
      <c r="T129" s="145">
        <f>+P129/R129*100</f>
        <v>-10.433386837881219</v>
      </c>
      <c r="U129" s="145">
        <f t="shared" si="90"/>
        <v>68.8</v>
      </c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  <c r="AQ129" s="145"/>
      <c r="AR129" s="145"/>
      <c r="AS129" s="145"/>
      <c r="AT129" s="145"/>
      <c r="AU129" s="145"/>
      <c r="AV129" s="145"/>
      <c r="AW129" s="145"/>
      <c r="AX129" s="145"/>
      <c r="AY129" s="145"/>
      <c r="AZ129" s="145"/>
      <c r="BA129" s="145"/>
      <c r="BB129" s="145"/>
      <c r="BC129" s="145"/>
      <c r="BD129" s="145"/>
      <c r="BE129" s="145"/>
      <c r="BF129" s="145"/>
      <c r="BG129" s="145"/>
      <c r="BH129" s="145"/>
      <c r="BI129" s="145"/>
      <c r="BJ129" s="145"/>
      <c r="BK129" s="145"/>
      <c r="BL129" s="154">
        <f t="shared" si="85"/>
        <v>0</v>
      </c>
    </row>
    <row r="130" spans="1:64" ht="21" customHeight="1" x14ac:dyDescent="0.2">
      <c r="A130" s="172">
        <v>122</v>
      </c>
      <c r="B130" s="158" t="s">
        <v>206</v>
      </c>
      <c r="C130" s="145">
        <f t="shared" si="82"/>
        <v>28.4</v>
      </c>
      <c r="D130" s="145"/>
      <c r="E130" s="145">
        <f>+'[1]2019-2018'!$J121</f>
        <v>19.2</v>
      </c>
      <c r="F130" s="145">
        <f t="shared" si="95"/>
        <v>-9.1999999999999993</v>
      </c>
      <c r="G130" s="145" t="e">
        <f>+'[1]2019-2018'!$M121</f>
        <v>#REF!</v>
      </c>
      <c r="H130" s="145" t="e">
        <f>G130-D130-#REF!</f>
        <v>#REF!</v>
      </c>
      <c r="I130" s="146"/>
      <c r="J130" s="145">
        <f t="shared" si="84"/>
        <v>20.399999999999999</v>
      </c>
      <c r="K130" s="145"/>
      <c r="L130" s="145">
        <f t="shared" si="87"/>
        <v>139.21568627450981</v>
      </c>
      <c r="M130" s="145">
        <f t="shared" si="88"/>
        <v>8</v>
      </c>
      <c r="N130" s="145"/>
      <c r="O130" s="145"/>
      <c r="P130" s="145">
        <v>28.4</v>
      </c>
      <c r="Q130" s="145"/>
      <c r="R130" s="145">
        <f>20.5-0.1</f>
        <v>20.399999999999999</v>
      </c>
      <c r="S130" s="145"/>
      <c r="T130" s="145">
        <f>+P130/R130*100</f>
        <v>139.21568627450981</v>
      </c>
      <c r="U130" s="145">
        <f t="shared" si="90"/>
        <v>8</v>
      </c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  <c r="AQ130" s="145"/>
      <c r="AR130" s="145"/>
      <c r="AS130" s="145"/>
      <c r="AT130" s="145"/>
      <c r="AU130" s="145"/>
      <c r="AV130" s="145"/>
      <c r="AW130" s="145"/>
      <c r="AX130" s="145"/>
      <c r="AY130" s="145"/>
      <c r="AZ130" s="145"/>
      <c r="BA130" s="145"/>
      <c r="BB130" s="145"/>
      <c r="BC130" s="145"/>
      <c r="BD130" s="145"/>
      <c r="BE130" s="145"/>
      <c r="BF130" s="145"/>
      <c r="BG130" s="145"/>
      <c r="BH130" s="145"/>
      <c r="BI130" s="145"/>
      <c r="BJ130" s="145"/>
      <c r="BK130" s="145"/>
      <c r="BL130" s="154">
        <f t="shared" si="85"/>
        <v>0</v>
      </c>
    </row>
    <row r="131" spans="1:64" ht="25.15" customHeight="1" x14ac:dyDescent="0.2">
      <c r="A131" s="172">
        <v>123</v>
      </c>
      <c r="B131" s="158" t="s">
        <v>207</v>
      </c>
      <c r="C131" s="145">
        <f t="shared" si="82"/>
        <v>900.3</v>
      </c>
      <c r="D131" s="145"/>
      <c r="E131" s="145">
        <f>+'[1]2019-2018'!$J122</f>
        <v>250</v>
      </c>
      <c r="F131" s="145">
        <f t="shared" si="95"/>
        <v>-650.29999999999995</v>
      </c>
      <c r="G131" s="145" t="e">
        <f>+'[1]2019-2018'!$M122</f>
        <v>#REF!</v>
      </c>
      <c r="H131" s="145" t="e">
        <f>G131-D131-#REF!</f>
        <v>#REF!</v>
      </c>
      <c r="I131" s="146"/>
      <c r="J131" s="145">
        <f t="shared" si="84"/>
        <v>761.8</v>
      </c>
      <c r="K131" s="145"/>
      <c r="L131" s="145">
        <f t="shared" si="87"/>
        <v>118.18062483591494</v>
      </c>
      <c r="M131" s="145">
        <f t="shared" si="88"/>
        <v>138.5</v>
      </c>
      <c r="N131" s="145"/>
      <c r="O131" s="145"/>
      <c r="P131" s="145">
        <v>900.3</v>
      </c>
      <c r="Q131" s="145"/>
      <c r="R131" s="145">
        <v>761.8</v>
      </c>
      <c r="S131" s="145"/>
      <c r="T131" s="145">
        <f>+P131/R131*100</f>
        <v>118.18062483591494</v>
      </c>
      <c r="U131" s="145">
        <f t="shared" si="90"/>
        <v>138.5</v>
      </c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  <c r="AQ131" s="145"/>
      <c r="AR131" s="145"/>
      <c r="AS131" s="145"/>
      <c r="AT131" s="145"/>
      <c r="AU131" s="145"/>
      <c r="AV131" s="145"/>
      <c r="AW131" s="145"/>
      <c r="AX131" s="145"/>
      <c r="AY131" s="145"/>
      <c r="AZ131" s="145"/>
      <c r="BA131" s="145"/>
      <c r="BB131" s="145"/>
      <c r="BC131" s="145"/>
      <c r="BD131" s="145"/>
      <c r="BE131" s="145"/>
      <c r="BF131" s="145"/>
      <c r="BG131" s="145"/>
      <c r="BH131" s="145"/>
      <c r="BI131" s="145"/>
      <c r="BJ131" s="145"/>
      <c r="BK131" s="145"/>
      <c r="BL131" s="154">
        <f t="shared" si="85"/>
        <v>0</v>
      </c>
    </row>
    <row r="132" spans="1:64" ht="22.5" x14ac:dyDescent="0.2">
      <c r="A132" s="172">
        <v>124</v>
      </c>
      <c r="B132" s="158" t="s">
        <v>208</v>
      </c>
      <c r="C132" s="145">
        <f t="shared" si="82"/>
        <v>15</v>
      </c>
      <c r="D132" s="145"/>
      <c r="E132" s="145">
        <f>+'[1]2019-2018'!$J123</f>
        <v>21.5</v>
      </c>
      <c r="F132" s="145">
        <f t="shared" si="95"/>
        <v>6.5</v>
      </c>
      <c r="G132" s="145" t="e">
        <f>+'[1]2019-2018'!$M123</f>
        <v>#REF!</v>
      </c>
      <c r="H132" s="145" t="e">
        <f>G132-D132-#REF!</f>
        <v>#REF!</v>
      </c>
      <c r="I132" s="146"/>
      <c r="J132" s="145">
        <f t="shared" si="84"/>
        <v>14.9</v>
      </c>
      <c r="K132" s="145"/>
      <c r="L132" s="145">
        <f t="shared" si="87"/>
        <v>100.67114093959731</v>
      </c>
      <c r="M132" s="145">
        <f t="shared" si="88"/>
        <v>9.9999999999999645E-2</v>
      </c>
      <c r="N132" s="145"/>
      <c r="O132" s="145"/>
      <c r="P132" s="145">
        <v>15</v>
      </c>
      <c r="Q132" s="145"/>
      <c r="R132" s="145">
        <v>14.9</v>
      </c>
      <c r="S132" s="145"/>
      <c r="T132" s="145">
        <f>+P132/R132*100</f>
        <v>100.67114093959731</v>
      </c>
      <c r="U132" s="145">
        <f t="shared" si="90"/>
        <v>9.9999999999999645E-2</v>
      </c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  <c r="AQ132" s="145"/>
      <c r="AR132" s="145"/>
      <c r="AS132" s="145"/>
      <c r="AT132" s="145"/>
      <c r="AU132" s="145"/>
      <c r="AV132" s="145"/>
      <c r="AW132" s="145"/>
      <c r="AX132" s="145"/>
      <c r="AY132" s="145"/>
      <c r="AZ132" s="145"/>
      <c r="BA132" s="145"/>
      <c r="BB132" s="145"/>
      <c r="BC132" s="145"/>
      <c r="BD132" s="145"/>
      <c r="BE132" s="145"/>
      <c r="BF132" s="145"/>
      <c r="BG132" s="145"/>
      <c r="BH132" s="145"/>
      <c r="BI132" s="145"/>
      <c r="BJ132" s="145"/>
      <c r="BK132" s="145"/>
      <c r="BL132" s="154">
        <f t="shared" si="85"/>
        <v>0</v>
      </c>
    </row>
    <row r="133" spans="1:64" ht="33.75" x14ac:dyDescent="0.2">
      <c r="A133" s="172">
        <v>125</v>
      </c>
      <c r="B133" s="158" t="s">
        <v>209</v>
      </c>
      <c r="C133" s="145">
        <f>+P133+X133+AF133+AN133+AV133+BD133</f>
        <v>2</v>
      </c>
      <c r="D133" s="145"/>
      <c r="E133" s="145">
        <f>+'[1]2019-2018'!$J119</f>
        <v>10.5</v>
      </c>
      <c r="F133" s="145">
        <f>+E133-C133</f>
        <v>8.5</v>
      </c>
      <c r="G133" s="145" t="e">
        <f>+'[1]2019-2018'!$M119</f>
        <v>#REF!</v>
      </c>
      <c r="H133" s="145" t="e">
        <f>G133-D133-#REF!</f>
        <v>#REF!</v>
      </c>
      <c r="I133" s="146"/>
      <c r="J133" s="145">
        <f>+R133+Z133+AH133+AP133+AX133+BF133</f>
        <v>12</v>
      </c>
      <c r="K133" s="145"/>
      <c r="L133" s="145">
        <f>+C133/J133*100</f>
        <v>16.666666666666664</v>
      </c>
      <c r="M133" s="145">
        <f>+C133-J133</f>
        <v>-10</v>
      </c>
      <c r="N133" s="145"/>
      <c r="O133" s="145"/>
      <c r="P133" s="145">
        <v>2</v>
      </c>
      <c r="Q133" s="145"/>
      <c r="R133" s="145">
        <v>12</v>
      </c>
      <c r="S133" s="145"/>
      <c r="T133" s="145">
        <f>+P133/R133*100</f>
        <v>16.666666666666664</v>
      </c>
      <c r="U133" s="145">
        <f t="shared" si="90"/>
        <v>-10</v>
      </c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 t="s">
        <v>210</v>
      </c>
      <c r="AN133" s="145"/>
      <c r="AO133" s="145"/>
      <c r="AP133" s="145"/>
      <c r="AQ133" s="145"/>
      <c r="AR133" s="145"/>
      <c r="AS133" s="145"/>
      <c r="AT133" s="145"/>
      <c r="AU133" s="145"/>
      <c r="AV133" s="145"/>
      <c r="AW133" s="145"/>
      <c r="AX133" s="145"/>
      <c r="AY133" s="145"/>
      <c r="AZ133" s="145"/>
      <c r="BA133" s="145"/>
      <c r="BB133" s="145"/>
      <c r="BC133" s="145"/>
      <c r="BD133" s="145"/>
      <c r="BE133" s="145"/>
      <c r="BF133" s="145"/>
      <c r="BG133" s="145"/>
      <c r="BH133" s="145"/>
      <c r="BI133" s="145"/>
      <c r="BJ133" s="145"/>
      <c r="BK133" s="145"/>
      <c r="BL133" s="154">
        <f>+BO133+BR133+BU133+CA133+CD133+BX133</f>
        <v>0</v>
      </c>
    </row>
    <row r="134" spans="1:64" ht="35.25" customHeight="1" x14ac:dyDescent="0.2">
      <c r="A134" s="172">
        <v>126</v>
      </c>
      <c r="B134" s="178" t="s">
        <v>211</v>
      </c>
      <c r="C134" s="145">
        <f t="shared" si="82"/>
        <v>0</v>
      </c>
      <c r="D134" s="145"/>
      <c r="E134" s="145"/>
      <c r="F134" s="145"/>
      <c r="G134" s="145"/>
      <c r="H134" s="145"/>
      <c r="I134" s="146"/>
      <c r="J134" s="145">
        <f t="shared" si="84"/>
        <v>756.5</v>
      </c>
      <c r="K134" s="145"/>
      <c r="L134" s="145"/>
      <c r="M134" s="145">
        <f t="shared" si="88"/>
        <v>-756.5</v>
      </c>
      <c r="N134" s="145"/>
      <c r="O134" s="145"/>
      <c r="P134" s="145"/>
      <c r="Q134" s="145"/>
      <c r="R134" s="145"/>
      <c r="S134" s="145"/>
      <c r="T134" s="145"/>
      <c r="U134" s="145">
        <f t="shared" si="90"/>
        <v>0</v>
      </c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>
        <v>756.5</v>
      </c>
      <c r="AI134" s="145"/>
      <c r="AJ134" s="145"/>
      <c r="AK134" s="145">
        <f>+AF134-AH134</f>
        <v>-756.5</v>
      </c>
      <c r="AL134" s="145"/>
      <c r="AM134" s="145"/>
      <c r="AN134" s="145"/>
      <c r="AO134" s="145"/>
      <c r="AP134" s="145"/>
      <c r="AQ134" s="145"/>
      <c r="AR134" s="145"/>
      <c r="AS134" s="145"/>
      <c r="AT134" s="145"/>
      <c r="AU134" s="145"/>
      <c r="AV134" s="145"/>
      <c r="AW134" s="145"/>
      <c r="AX134" s="145"/>
      <c r="AY134" s="145"/>
      <c r="AZ134" s="145"/>
      <c r="BA134" s="145"/>
      <c r="BB134" s="145"/>
      <c r="BC134" s="145"/>
      <c r="BD134" s="145"/>
      <c r="BE134" s="145"/>
      <c r="BF134" s="145"/>
      <c r="BG134" s="145"/>
      <c r="BH134" s="145"/>
      <c r="BI134" s="145"/>
      <c r="BJ134" s="145"/>
      <c r="BK134" s="145"/>
      <c r="BL134" s="154">
        <f t="shared" si="85"/>
        <v>0</v>
      </c>
    </row>
    <row r="135" spans="1:64" ht="48" customHeight="1" x14ac:dyDescent="0.2">
      <c r="A135" s="172">
        <v>127</v>
      </c>
      <c r="B135" s="178" t="s">
        <v>212</v>
      </c>
      <c r="C135" s="145">
        <f t="shared" ref="C135:C140" si="96">+P135+X135+AF135+AN135+AV135+BD135</f>
        <v>0</v>
      </c>
      <c r="D135" s="145"/>
      <c r="E135" s="145"/>
      <c r="F135" s="145"/>
      <c r="G135" s="145"/>
      <c r="H135" s="145"/>
      <c r="I135" s="146"/>
      <c r="J135" s="145">
        <f t="shared" si="84"/>
        <v>234.2</v>
      </c>
      <c r="K135" s="145"/>
      <c r="L135" s="145">
        <f t="shared" si="87"/>
        <v>0</v>
      </c>
      <c r="M135" s="145">
        <f t="shared" si="88"/>
        <v>-234.2</v>
      </c>
      <c r="N135" s="145"/>
      <c r="O135" s="145"/>
      <c r="P135" s="145"/>
      <c r="Q135" s="145"/>
      <c r="R135" s="145"/>
      <c r="S135" s="145"/>
      <c r="T135" s="145"/>
      <c r="U135" s="145">
        <f t="shared" si="90"/>
        <v>0</v>
      </c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>
        <v>234.2</v>
      </c>
      <c r="AI135" s="145"/>
      <c r="AJ135" s="145"/>
      <c r="AK135" s="145">
        <f>+AF135-AH135</f>
        <v>-234.2</v>
      </c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54">
        <f t="shared" si="85"/>
        <v>0</v>
      </c>
    </row>
    <row r="136" spans="1:64" ht="45.75" customHeight="1" x14ac:dyDescent="0.2">
      <c r="A136" s="172">
        <v>128</v>
      </c>
      <c r="B136" s="178" t="s">
        <v>213</v>
      </c>
      <c r="C136" s="145">
        <f t="shared" si="96"/>
        <v>0</v>
      </c>
      <c r="D136" s="145"/>
      <c r="E136" s="145"/>
      <c r="F136" s="145"/>
      <c r="G136" s="145"/>
      <c r="H136" s="145"/>
      <c r="I136" s="146"/>
      <c r="J136" s="145">
        <f t="shared" si="84"/>
        <v>53</v>
      </c>
      <c r="K136" s="145"/>
      <c r="L136" s="145"/>
      <c r="M136" s="145">
        <f t="shared" si="88"/>
        <v>-53</v>
      </c>
      <c r="N136" s="145"/>
      <c r="O136" s="145"/>
      <c r="P136" s="145"/>
      <c r="Q136" s="145"/>
      <c r="R136" s="145"/>
      <c r="S136" s="145"/>
      <c r="T136" s="145"/>
      <c r="U136" s="145">
        <f t="shared" si="90"/>
        <v>0</v>
      </c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>
        <v>53</v>
      </c>
      <c r="AI136" s="145"/>
      <c r="AJ136" s="145"/>
      <c r="AK136" s="145">
        <f>+AF136-AH136</f>
        <v>-53</v>
      </c>
      <c r="AL136" s="145"/>
      <c r="AM136" s="145"/>
      <c r="AN136" s="145"/>
      <c r="AO136" s="145"/>
      <c r="AP136" s="145"/>
      <c r="AQ136" s="145"/>
      <c r="AR136" s="145"/>
      <c r="AS136" s="145"/>
      <c r="AT136" s="145"/>
      <c r="AU136" s="145"/>
      <c r="AV136" s="145"/>
      <c r="AW136" s="145"/>
      <c r="AX136" s="145"/>
      <c r="AY136" s="145"/>
      <c r="AZ136" s="145"/>
      <c r="BA136" s="145"/>
      <c r="BB136" s="145"/>
      <c r="BC136" s="145"/>
      <c r="BD136" s="145"/>
      <c r="BE136" s="145"/>
      <c r="BF136" s="145"/>
      <c r="BG136" s="145"/>
      <c r="BH136" s="145"/>
      <c r="BI136" s="145"/>
      <c r="BJ136" s="145"/>
      <c r="BK136" s="145"/>
      <c r="BL136" s="154">
        <f t="shared" si="85"/>
        <v>0</v>
      </c>
    </row>
    <row r="137" spans="1:64" ht="56.25" customHeight="1" x14ac:dyDescent="0.2">
      <c r="A137" s="172">
        <v>129</v>
      </c>
      <c r="B137" s="178" t="s">
        <v>214</v>
      </c>
      <c r="C137" s="145">
        <f t="shared" si="96"/>
        <v>0</v>
      </c>
      <c r="D137" s="145"/>
      <c r="E137" s="145"/>
      <c r="F137" s="145"/>
      <c r="G137" s="145"/>
      <c r="H137" s="145"/>
      <c r="I137" s="146"/>
      <c r="J137" s="145">
        <f t="shared" si="84"/>
        <v>101.3</v>
      </c>
      <c r="K137" s="145"/>
      <c r="L137" s="145"/>
      <c r="M137" s="145">
        <f t="shared" si="88"/>
        <v>-101.3</v>
      </c>
      <c r="N137" s="145"/>
      <c r="O137" s="145"/>
      <c r="P137" s="145"/>
      <c r="Q137" s="145"/>
      <c r="R137" s="145"/>
      <c r="S137" s="145"/>
      <c r="T137" s="145"/>
      <c r="U137" s="145">
        <f t="shared" si="90"/>
        <v>0</v>
      </c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>
        <v>101.3</v>
      </c>
      <c r="AI137" s="145"/>
      <c r="AJ137" s="145"/>
      <c r="AK137" s="145">
        <f>+AF137-AH137</f>
        <v>-101.3</v>
      </c>
      <c r="AL137" s="145"/>
      <c r="AM137" s="145"/>
      <c r="AN137" s="145"/>
      <c r="AO137" s="145"/>
      <c r="AP137" s="145"/>
      <c r="AQ137" s="145"/>
      <c r="AR137" s="145"/>
      <c r="AS137" s="145"/>
      <c r="AT137" s="145"/>
      <c r="AU137" s="145"/>
      <c r="AV137" s="145"/>
      <c r="AW137" s="145"/>
      <c r="AX137" s="145"/>
      <c r="AY137" s="145"/>
      <c r="AZ137" s="145"/>
      <c r="BA137" s="145"/>
      <c r="BB137" s="145"/>
      <c r="BC137" s="145"/>
      <c r="BD137" s="145"/>
      <c r="BE137" s="145"/>
      <c r="BF137" s="145"/>
      <c r="BG137" s="145"/>
      <c r="BH137" s="145"/>
      <c r="BI137" s="145"/>
      <c r="BJ137" s="145"/>
      <c r="BK137" s="145"/>
      <c r="BL137" s="154">
        <f>+BO137+BR137+BU137+CA137+CD137+BX137</f>
        <v>0</v>
      </c>
    </row>
    <row r="138" spans="1:64" x14ac:dyDescent="0.2">
      <c r="A138" s="172">
        <v>130</v>
      </c>
      <c r="B138" s="178" t="s">
        <v>215</v>
      </c>
      <c r="C138" s="145">
        <f t="shared" si="96"/>
        <v>98</v>
      </c>
      <c r="D138" s="145"/>
      <c r="E138" s="145"/>
      <c r="F138" s="145"/>
      <c r="G138" s="145"/>
      <c r="H138" s="145"/>
      <c r="I138" s="146"/>
      <c r="J138" s="145">
        <f t="shared" si="84"/>
        <v>48.1</v>
      </c>
      <c r="K138" s="145"/>
      <c r="L138" s="145"/>
      <c r="M138" s="145">
        <f t="shared" si="88"/>
        <v>49.9</v>
      </c>
      <c r="N138" s="145"/>
      <c r="O138" s="145"/>
      <c r="P138" s="145">
        <v>98</v>
      </c>
      <c r="Q138" s="145"/>
      <c r="R138" s="145">
        <v>48.1</v>
      </c>
      <c r="S138" s="145"/>
      <c r="T138" s="145"/>
      <c r="U138" s="145">
        <f>+P138-R138</f>
        <v>49.9</v>
      </c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  <c r="AM138" s="145"/>
      <c r="AN138" s="145"/>
      <c r="AO138" s="145"/>
      <c r="AP138" s="145"/>
      <c r="AQ138" s="145"/>
      <c r="AR138" s="145"/>
      <c r="AS138" s="145"/>
      <c r="AT138" s="145"/>
      <c r="AU138" s="145"/>
      <c r="AV138" s="145"/>
      <c r="AW138" s="145"/>
      <c r="AX138" s="145"/>
      <c r="AY138" s="145"/>
      <c r="AZ138" s="145"/>
      <c r="BA138" s="145"/>
      <c r="BB138" s="145"/>
      <c r="BC138" s="145"/>
      <c r="BD138" s="145"/>
      <c r="BE138" s="145"/>
      <c r="BF138" s="145"/>
      <c r="BG138" s="145"/>
      <c r="BH138" s="145"/>
      <c r="BI138" s="145"/>
      <c r="BJ138" s="145"/>
      <c r="BK138" s="145"/>
      <c r="BL138" s="154">
        <f>+BO138+BR138+BU138+CA138+CD138+BX138</f>
        <v>0</v>
      </c>
    </row>
    <row r="139" spans="1:64" ht="12.4" customHeight="1" x14ac:dyDescent="0.2">
      <c r="A139" s="172">
        <v>131</v>
      </c>
      <c r="B139" s="179" t="s">
        <v>216</v>
      </c>
      <c r="C139" s="145">
        <f t="shared" si="96"/>
        <v>83.1</v>
      </c>
      <c r="D139" s="145"/>
      <c r="E139" s="145">
        <f>+'[1]2019-2018'!$J124</f>
        <v>42.3</v>
      </c>
      <c r="F139" s="145">
        <f>+E139-C139</f>
        <v>-40.799999999999997</v>
      </c>
      <c r="G139" s="145" t="e">
        <f>+'[1]2019-2018'!$M124</f>
        <v>#REF!</v>
      </c>
      <c r="H139" s="145" t="e">
        <f>G139-D139-#REF!</f>
        <v>#REF!</v>
      </c>
      <c r="I139" s="146"/>
      <c r="J139" s="145">
        <f t="shared" si="84"/>
        <v>54.6</v>
      </c>
      <c r="K139" s="145"/>
      <c r="L139" s="145">
        <f t="shared" si="87"/>
        <v>152.19780219780219</v>
      </c>
      <c r="M139" s="145">
        <f t="shared" si="88"/>
        <v>28.499999999999993</v>
      </c>
      <c r="N139" s="145"/>
      <c r="O139" s="145"/>
      <c r="P139" s="145">
        <v>83.1</v>
      </c>
      <c r="Q139" s="145"/>
      <c r="R139" s="145">
        <v>54.6</v>
      </c>
      <c r="S139" s="145"/>
      <c r="T139" s="145">
        <f>+P139/R139*100</f>
        <v>152.19780219780219</v>
      </c>
      <c r="U139" s="145">
        <f>+P139-R139</f>
        <v>28.499999999999993</v>
      </c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Q139" s="145"/>
      <c r="AR139" s="145"/>
      <c r="AS139" s="145"/>
      <c r="AT139" s="145"/>
      <c r="AU139" s="145"/>
      <c r="AV139" s="145"/>
      <c r="AW139" s="145"/>
      <c r="AX139" s="145"/>
      <c r="AY139" s="145"/>
      <c r="AZ139" s="145"/>
      <c r="BA139" s="145"/>
      <c r="BB139" s="145"/>
      <c r="BC139" s="145"/>
      <c r="BD139" s="145"/>
      <c r="BE139" s="145"/>
      <c r="BF139" s="145"/>
      <c r="BG139" s="145"/>
      <c r="BH139" s="145"/>
      <c r="BI139" s="145"/>
      <c r="BJ139" s="145"/>
      <c r="BK139" s="145"/>
      <c r="BL139" s="154">
        <f>+BO139+BR139+BU139+CA139+CD139+BX139</f>
        <v>0</v>
      </c>
    </row>
    <row r="140" spans="1:64" ht="12.4" customHeight="1" x14ac:dyDescent="0.2">
      <c r="A140" s="172">
        <v>132</v>
      </c>
      <c r="B140" s="179" t="s">
        <v>217</v>
      </c>
      <c r="C140" s="145">
        <f t="shared" si="96"/>
        <v>1169.7</v>
      </c>
      <c r="D140" s="145"/>
      <c r="E140" s="145">
        <f>+'[1]2019-2018'!$J125</f>
        <v>894</v>
      </c>
      <c r="F140" s="145">
        <f>+E140-C140</f>
        <v>-275.70000000000005</v>
      </c>
      <c r="G140" s="145" t="e">
        <f>+'[1]2019-2018'!$M125</f>
        <v>#REF!</v>
      </c>
      <c r="H140" s="145" t="e">
        <f>G140-D140-#REF!</f>
        <v>#REF!</v>
      </c>
      <c r="I140" s="145"/>
      <c r="J140" s="145">
        <f>+R140+Z140+AH140+AP140+AX140+BF140</f>
        <v>2426.6999999999998</v>
      </c>
      <c r="K140" s="145"/>
      <c r="L140" s="145">
        <f t="shared" si="87"/>
        <v>48.201260971689955</v>
      </c>
      <c r="M140" s="145">
        <f t="shared" si="88"/>
        <v>-1256.9999999999998</v>
      </c>
      <c r="N140" s="145"/>
      <c r="O140" s="145"/>
      <c r="P140" s="145">
        <v>1169.7</v>
      </c>
      <c r="Q140" s="145"/>
      <c r="R140" s="145">
        <v>2426.6999999999998</v>
      </c>
      <c r="S140" s="145"/>
      <c r="T140" s="145">
        <f>+P140/R140*100</f>
        <v>48.201260971689955</v>
      </c>
      <c r="U140" s="145">
        <f>+P140-R140</f>
        <v>-1256.9999999999998</v>
      </c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  <c r="AQ140" s="145"/>
      <c r="AR140" s="145"/>
      <c r="AS140" s="145"/>
      <c r="AT140" s="145"/>
      <c r="AU140" s="145"/>
      <c r="AV140" s="145"/>
      <c r="AW140" s="145"/>
      <c r="AX140" s="145"/>
      <c r="AY140" s="145"/>
      <c r="AZ140" s="145"/>
      <c r="BA140" s="145"/>
      <c r="BB140" s="145"/>
      <c r="BC140" s="145"/>
      <c r="BD140" s="145"/>
      <c r="BE140" s="145"/>
      <c r="BF140" s="145"/>
      <c r="BG140" s="145"/>
      <c r="BH140" s="145"/>
      <c r="BI140" s="145"/>
      <c r="BJ140" s="145"/>
      <c r="BK140" s="145"/>
      <c r="BL140" s="154">
        <f>+BO140+BR140+BU140+CA140+CD140+BX140</f>
        <v>0</v>
      </c>
    </row>
    <row r="141" spans="1:64" ht="12.4" customHeight="1" x14ac:dyDescent="0.2">
      <c r="A141" s="172">
        <v>133</v>
      </c>
      <c r="B141" s="182" t="s">
        <v>218</v>
      </c>
      <c r="C141" s="148">
        <f>SUM(C72:C140)+C71</f>
        <v>78917.7</v>
      </c>
      <c r="D141" s="148">
        <f>SUM(D72:D140)+D71</f>
        <v>41608.099999999991</v>
      </c>
      <c r="E141" s="148">
        <f>SUM(E74:E140)+E71</f>
        <v>59182.8</v>
      </c>
      <c r="F141" s="148" t="e">
        <f>SUM(F74:F140)+F71</f>
        <v>#REF!</v>
      </c>
      <c r="G141" s="148" t="e">
        <f>SUM(G74:G140)+G71</f>
        <v>#REF!</v>
      </c>
      <c r="H141" s="148" t="e">
        <f>SUM(H74:H140)+H71</f>
        <v>#REF!</v>
      </c>
      <c r="I141" s="148" t="e">
        <f>SUM(I74:I140)+I71</f>
        <v>#REF!</v>
      </c>
      <c r="J141" s="148">
        <f>SUM(J72:J140)+J71</f>
        <v>68755.899999999994</v>
      </c>
      <c r="K141" s="148">
        <f>SUM(K73:K140)+K71</f>
        <v>36300.5</v>
      </c>
      <c r="L141" s="148">
        <f>+C141/J141*100</f>
        <v>114.7795316474659</v>
      </c>
      <c r="M141" s="148">
        <f>SUM(M72:M140)+M71</f>
        <v>10161.800000000001</v>
      </c>
      <c r="N141" s="148">
        <f>+D141/K141*100</f>
        <v>114.62128620817893</v>
      </c>
      <c r="O141" s="148">
        <f>SUM(O72:O140)+O71</f>
        <v>5307.6</v>
      </c>
      <c r="P141" s="148">
        <f>SUM(P72:P140)+P71</f>
        <v>44479.200000000004</v>
      </c>
      <c r="Q141" s="148">
        <f>SUM(Q72:Q140)+Q71</f>
        <v>20323.099999999999</v>
      </c>
      <c r="R141" s="148">
        <f>SUM(R72:R140)+R71</f>
        <v>37897.800000000003</v>
      </c>
      <c r="S141" s="148">
        <f>SUM(S72:S140)+S71</f>
        <v>17908.600000000002</v>
      </c>
      <c r="T141" s="148">
        <f>+P141/R141*100</f>
        <v>117.36617956715165</v>
      </c>
      <c r="U141" s="148">
        <f>SUM(U72:U140)+U71</f>
        <v>6581.4</v>
      </c>
      <c r="V141" s="148">
        <f>+Q141/S141*100</f>
        <v>113.48234926236556</v>
      </c>
      <c r="W141" s="148">
        <f>SUM(W72:W140)+W71</f>
        <v>2414.5</v>
      </c>
      <c r="X141" s="148">
        <f>SUM(X73:X140)+X71</f>
        <v>17004.399999999998</v>
      </c>
      <c r="Y141" s="148">
        <f>SUM(Y72:Y140)+Y71</f>
        <v>16152.3</v>
      </c>
      <c r="Z141" s="148">
        <f>SUM(Z72:Z140)+Z71</f>
        <v>14616.9</v>
      </c>
      <c r="AA141" s="148">
        <f>SUM(AA72:AA140)+AA71</f>
        <v>13874.2</v>
      </c>
      <c r="AB141" s="148">
        <f>+X141/Z141*100</f>
        <v>116.33383275523536</v>
      </c>
      <c r="AC141" s="148">
        <f>SUM(AC72:AC140)+AC71</f>
        <v>2387.4999999999995</v>
      </c>
      <c r="AD141" s="148">
        <f>+Y141/AA141*100</f>
        <v>116.41968545934178</v>
      </c>
      <c r="AE141" s="148">
        <f>SUM(AE72:AE140)+AE71</f>
        <v>2278.1000000000004</v>
      </c>
      <c r="AF141" s="148">
        <f>SUM(AF73:AF140)+AF71</f>
        <v>15766.599999999999</v>
      </c>
      <c r="AG141" s="148">
        <f>SUM(AG72:AG140)+AG71</f>
        <v>4691.2</v>
      </c>
      <c r="AH141" s="148">
        <f>SUM(AH72:AH140)+AH71</f>
        <v>14867.3</v>
      </c>
      <c r="AI141" s="148">
        <f>SUM(AI72:AI140)+AI71</f>
        <v>4093</v>
      </c>
      <c r="AJ141" s="148">
        <f>+AF141/AH141*100</f>
        <v>106.04884545277218</v>
      </c>
      <c r="AK141" s="148">
        <f>SUM(AK72:AK140)+AK71</f>
        <v>899.30000000000098</v>
      </c>
      <c r="AL141" s="148">
        <f>+AG141/AI141*100</f>
        <v>114.61519667725383</v>
      </c>
      <c r="AM141" s="148">
        <f>SUM(AM72:AM140)+AM71</f>
        <v>598.20000000000027</v>
      </c>
      <c r="AN141" s="148">
        <f>SUM(AN73:AN140)+AN71</f>
        <v>139.1</v>
      </c>
      <c r="AO141" s="148">
        <f>SUM(AO72:AO140)+AO71</f>
        <v>9</v>
      </c>
      <c r="AP141" s="148">
        <f>SUM(AP72:AP140)+AP71</f>
        <v>80.2</v>
      </c>
      <c r="AQ141" s="148">
        <f>SUM(AQ72:AQ140)+AQ71</f>
        <v>11.2</v>
      </c>
      <c r="AR141" s="148">
        <f>+AN141/AP141*100</f>
        <v>173.44139650872816</v>
      </c>
      <c r="AS141" s="148">
        <f>SUM(AS72:AS140)+AS71</f>
        <v>58.900000000000006</v>
      </c>
      <c r="AT141" s="148">
        <f>+AO141/AQ141*100</f>
        <v>80.357142857142861</v>
      </c>
      <c r="AU141" s="148">
        <f>SUM(AU73:AU140)+AU71</f>
        <v>-2.1999999999999993</v>
      </c>
      <c r="AV141" s="148">
        <f>SUM(AV73:AV140)+AV71</f>
        <v>182.2</v>
      </c>
      <c r="AW141" s="148">
        <f>SUM(AW72:AW140)+AW71</f>
        <v>29.8</v>
      </c>
      <c r="AX141" s="148">
        <f>SUM(AX73:AX140)+AX71</f>
        <v>136.79999999999998</v>
      </c>
      <c r="AY141" s="148">
        <f>SUM(AY72:AY140)+AY71</f>
        <v>32.900000000000006</v>
      </c>
      <c r="AZ141" s="148">
        <f>+AV141/AX141*100</f>
        <v>133.18713450292398</v>
      </c>
      <c r="BA141" s="148">
        <f>SUM(BA72:BA140)+BA71</f>
        <v>45.4</v>
      </c>
      <c r="BB141" s="148">
        <f>+AW141/AY141*100</f>
        <v>90.57750759878418</v>
      </c>
      <c r="BC141" s="148">
        <f>SUM(BC73:BC140)+BC71</f>
        <v>-3.0999999999999996</v>
      </c>
      <c r="BD141" s="148">
        <f>SUM(BD73:BD140)+BD71</f>
        <v>1346.2000000000003</v>
      </c>
      <c r="BE141" s="148">
        <f>SUM(BE72:BE140)+BE71</f>
        <v>402.70000000000005</v>
      </c>
      <c r="BF141" s="148">
        <f>SUM(BF73:BF140)+BF71</f>
        <v>1156.8999999999999</v>
      </c>
      <c r="BG141" s="148">
        <f>SUM(BG73:BG140)+BG71</f>
        <v>380.6</v>
      </c>
      <c r="BH141" s="148">
        <f>+BD141/BF141*100</f>
        <v>116.36269340478869</v>
      </c>
      <c r="BI141" s="148">
        <f>SUM(BI73:BI140)+BI71</f>
        <v>189.3</v>
      </c>
      <c r="BJ141" s="148">
        <f>+BE141/BG141*100</f>
        <v>105.8066211245402</v>
      </c>
      <c r="BK141" s="148">
        <f>SUM(BK72:BK140)+BK71</f>
        <v>22.1</v>
      </c>
    </row>
    <row r="142" spans="1:64" ht="13.15" hidden="1" customHeight="1" x14ac:dyDescent="0.2">
      <c r="A142" s="172">
        <v>131</v>
      </c>
      <c r="B142" s="111"/>
      <c r="C142" s="49" t="e">
        <f>+P141+X141+AF141+AN141+AV141+BD141+#REF!</f>
        <v>#REF!</v>
      </c>
      <c r="D142" s="49"/>
      <c r="E142" s="159">
        <f>+'[1]2018-2017 Eur'!J122</f>
        <v>53744.800000000003</v>
      </c>
      <c r="F142" s="159" t="e">
        <f t="shared" ref="F142:F148" si="97">+E142-C142</f>
        <v>#REF!</v>
      </c>
      <c r="G142" s="159">
        <f>+'[1]2018-2017 Eur'!M122</f>
        <v>20293.599999999999</v>
      </c>
      <c r="H142" s="159" t="e">
        <f t="shared" ref="H142:H148" si="98">+E142-J142</f>
        <v>#REF!</v>
      </c>
      <c r="I142" s="159">
        <f t="shared" ref="I142:I148" si="99">+G142-K142</f>
        <v>20293.599999999999</v>
      </c>
      <c r="J142" s="49" t="e">
        <f>+R141+Z141+AH141+AP141+AX141+BF141+#REF!</f>
        <v>#REF!</v>
      </c>
      <c r="K142" s="49"/>
      <c r="P142" s="160"/>
      <c r="Q142" s="160"/>
      <c r="S142" s="161"/>
      <c r="Z142" s="101"/>
      <c r="AA142" s="101"/>
      <c r="AH142" s="162"/>
      <c r="AI142" s="101"/>
      <c r="AX142" s="101"/>
      <c r="AY142" s="101"/>
      <c r="BA142" s="159"/>
      <c r="BF142" s="101"/>
      <c r="BG142" s="101"/>
    </row>
    <row r="143" spans="1:64" s="54" customFormat="1" ht="13.15" hidden="1" customHeight="1" x14ac:dyDescent="0.2">
      <c r="A143" s="172">
        <v>132</v>
      </c>
      <c r="B143" s="183">
        <f>+P143+X143+AF143+AN143+AV143+BD143</f>
        <v>0</v>
      </c>
      <c r="C143" s="116">
        <f>+[2]Savar_5pr!$E$259</f>
        <v>144689.29999999999</v>
      </c>
      <c r="D143" s="116"/>
      <c r="E143" s="159">
        <f>+'[1]2018-2017 Eur'!J123</f>
        <v>53744.800000000003</v>
      </c>
      <c r="F143" s="159">
        <f t="shared" si="97"/>
        <v>-90944.499999999985</v>
      </c>
      <c r="G143" s="159">
        <f>+'[1]2018-2017 Eur'!M123</f>
        <v>20293.599999999999</v>
      </c>
      <c r="H143" s="159">
        <f t="shared" si="98"/>
        <v>53744.800000000003</v>
      </c>
      <c r="I143" s="159">
        <f t="shared" si="99"/>
        <v>20293.599999999999</v>
      </c>
      <c r="J143" s="116"/>
      <c r="K143" s="116"/>
      <c r="R143" s="65"/>
      <c r="S143" s="117"/>
      <c r="Z143" s="117"/>
      <c r="AA143" s="117"/>
      <c r="AF143" s="116"/>
      <c r="AG143" s="116"/>
      <c r="AH143" s="162"/>
      <c r="AI143" s="117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20"/>
      <c r="AW143" s="120"/>
      <c r="AX143" s="163"/>
      <c r="AY143" s="163"/>
      <c r="AZ143" s="120"/>
      <c r="BA143" s="159"/>
      <c r="BB143" s="120"/>
      <c r="BC143" s="120"/>
      <c r="BD143" s="120"/>
      <c r="BE143" s="120"/>
      <c r="BF143" s="163"/>
      <c r="BG143" s="163"/>
      <c r="BH143" s="120"/>
      <c r="BI143" s="120"/>
      <c r="BJ143" s="120"/>
      <c r="BK143" s="120"/>
    </row>
    <row r="144" spans="1:64" ht="13.15" hidden="1" customHeight="1" x14ac:dyDescent="0.2">
      <c r="A144" s="172">
        <v>133</v>
      </c>
      <c r="B144" s="184">
        <f>+C141-B143</f>
        <v>78917.7</v>
      </c>
      <c r="C144" s="56">
        <f>+C141-B143</f>
        <v>78917.7</v>
      </c>
      <c r="D144" s="56"/>
      <c r="E144" s="159" t="e">
        <f>+'[1]2018-2017 Eur'!J124</f>
        <v>#REF!</v>
      </c>
      <c r="F144" s="159" t="e">
        <f t="shared" si="97"/>
        <v>#REF!</v>
      </c>
      <c r="G144" s="159" t="e">
        <f>+'[1]2018-2017 Eur'!M124</f>
        <v>#REF!</v>
      </c>
      <c r="H144" s="159" t="e">
        <f t="shared" si="98"/>
        <v>#REF!</v>
      </c>
      <c r="I144" s="159" t="e">
        <f t="shared" si="99"/>
        <v>#REF!</v>
      </c>
      <c r="J144" s="56">
        <f>+J141-C143</f>
        <v>-75933.399999999994</v>
      </c>
      <c r="K144" s="56"/>
      <c r="P144" s="56"/>
      <c r="Q144" s="56"/>
      <c r="R144" s="58"/>
      <c r="S144" s="123"/>
      <c r="T144" s="56"/>
      <c r="U144" s="56"/>
      <c r="V144" s="56"/>
      <c r="W144" s="56"/>
      <c r="X144" s="56"/>
      <c r="Y144" s="56"/>
      <c r="Z144" s="123"/>
      <c r="AA144" s="123"/>
      <c r="AB144" s="56"/>
      <c r="AC144" s="56"/>
      <c r="AD144" s="56"/>
      <c r="AE144" s="56"/>
      <c r="AF144" s="56"/>
      <c r="AG144" s="56"/>
      <c r="AH144" s="162"/>
      <c r="AI144" s="123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123"/>
      <c r="AY144" s="123"/>
      <c r="AZ144" s="56"/>
      <c r="BA144" s="159"/>
      <c r="BB144" s="56"/>
      <c r="BC144" s="56"/>
      <c r="BD144" s="56"/>
      <c r="BE144" s="56"/>
      <c r="BF144" s="123"/>
      <c r="BG144" s="123"/>
      <c r="BH144" s="56"/>
      <c r="BI144" s="56"/>
      <c r="BJ144" s="56"/>
      <c r="BK144" s="56"/>
    </row>
    <row r="145" spans="1:63" ht="13.15" hidden="1" customHeight="1" x14ac:dyDescent="0.2">
      <c r="A145" s="172">
        <v>134</v>
      </c>
      <c r="B145" s="184"/>
      <c r="C145" s="56"/>
      <c r="D145" s="56"/>
      <c r="E145" s="159" t="e">
        <f>+'[1]2018-2017 Eur'!J125</f>
        <v>#REF!</v>
      </c>
      <c r="F145" s="159" t="e">
        <f t="shared" si="97"/>
        <v>#REF!</v>
      </c>
      <c r="G145" s="159" t="e">
        <f>+'[1]2018-2017 Eur'!M125</f>
        <v>#REF!</v>
      </c>
      <c r="H145" s="159" t="e">
        <f t="shared" si="98"/>
        <v>#REF!</v>
      </c>
      <c r="I145" s="159" t="e">
        <f t="shared" si="99"/>
        <v>#REF!</v>
      </c>
      <c r="P145" s="56"/>
      <c r="Q145" s="56"/>
      <c r="R145" s="58"/>
      <c r="S145" s="123"/>
      <c r="T145" s="56"/>
      <c r="U145" s="56"/>
      <c r="V145" s="56"/>
      <c r="W145" s="56"/>
      <c r="X145" s="56"/>
      <c r="Y145" s="56"/>
      <c r="Z145" s="123"/>
      <c r="AA145" s="123"/>
      <c r="AB145" s="56"/>
      <c r="AC145" s="56"/>
      <c r="AD145" s="56"/>
      <c r="AE145" s="56"/>
      <c r="AF145" s="56"/>
      <c r="AG145" s="56"/>
      <c r="AH145" s="162"/>
      <c r="AI145" s="123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123"/>
      <c r="AY145" s="123"/>
      <c r="AZ145" s="56"/>
      <c r="BA145" s="159"/>
      <c r="BB145" s="56"/>
      <c r="BC145" s="56"/>
      <c r="BD145" s="56"/>
      <c r="BE145" s="56"/>
      <c r="BF145" s="123"/>
      <c r="BG145" s="123"/>
      <c r="BH145" s="56"/>
      <c r="BI145" s="56"/>
      <c r="BJ145" s="56"/>
      <c r="BK145" s="56"/>
    </row>
    <row r="146" spans="1:63" ht="13.15" hidden="1" customHeight="1" x14ac:dyDescent="0.2">
      <c r="A146" s="172">
        <v>135</v>
      </c>
      <c r="B146" s="184"/>
      <c r="C146" s="56"/>
      <c r="D146" s="56"/>
      <c r="E146" s="159">
        <f>+'[1]2018-2017 Eur'!J126</f>
        <v>140107.49999999997</v>
      </c>
      <c r="F146" s="159">
        <f t="shared" si="97"/>
        <v>140107.49999999997</v>
      </c>
      <c r="G146" s="159">
        <f>+'[1]2018-2017 Eur'!M126</f>
        <v>45987.8</v>
      </c>
      <c r="H146" s="159">
        <f t="shared" si="98"/>
        <v>140107.49999999997</v>
      </c>
      <c r="I146" s="159">
        <f t="shared" si="99"/>
        <v>45987.8</v>
      </c>
      <c r="P146" s="56"/>
      <c r="Q146" s="56"/>
      <c r="R146" s="58"/>
      <c r="S146" s="123"/>
      <c r="T146" s="56"/>
      <c r="U146" s="56"/>
      <c r="V146" s="56"/>
      <c r="W146" s="56"/>
      <c r="X146" s="56"/>
      <c r="Y146" s="56"/>
      <c r="Z146" s="123"/>
      <c r="AA146" s="123"/>
      <c r="AB146" s="56"/>
      <c r="AC146" s="56"/>
      <c r="AD146" s="56"/>
      <c r="AE146" s="56"/>
      <c r="AF146" s="56"/>
      <c r="AG146" s="56"/>
      <c r="AH146" s="162"/>
      <c r="AI146" s="123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123"/>
      <c r="AY146" s="123"/>
      <c r="AZ146" s="56"/>
      <c r="BA146" s="159"/>
      <c r="BB146" s="56"/>
      <c r="BC146" s="56"/>
      <c r="BD146" s="56"/>
      <c r="BE146" s="56"/>
      <c r="BF146" s="123"/>
      <c r="BG146" s="123"/>
      <c r="BH146" s="56"/>
      <c r="BI146" s="56"/>
      <c r="BJ146" s="56"/>
      <c r="BK146" s="56"/>
    </row>
    <row r="147" spans="1:63" ht="13.15" hidden="1" customHeight="1" x14ac:dyDescent="0.2">
      <c r="A147" s="172">
        <v>136</v>
      </c>
      <c r="B147" s="184"/>
      <c r="C147" s="56"/>
      <c r="D147" s="56"/>
      <c r="E147" s="159">
        <f>+'[1]2018-2017 Eur'!J127</f>
        <v>0</v>
      </c>
      <c r="F147" s="159">
        <f t="shared" si="97"/>
        <v>0</v>
      </c>
      <c r="G147" s="159" t="e">
        <f>+'[1]2018-2017 Eur'!M127</f>
        <v>#REF!</v>
      </c>
      <c r="H147" s="159">
        <f t="shared" si="98"/>
        <v>0</v>
      </c>
      <c r="I147" s="159" t="e">
        <f t="shared" si="99"/>
        <v>#REF!</v>
      </c>
      <c r="P147" s="56"/>
      <c r="Q147" s="56"/>
      <c r="R147" s="58"/>
      <c r="S147" s="123"/>
      <c r="T147" s="56"/>
      <c r="U147" s="56"/>
      <c r="V147" s="56"/>
      <c r="W147" s="56"/>
      <c r="X147" s="56"/>
      <c r="Y147" s="56"/>
      <c r="Z147" s="123"/>
      <c r="AA147" s="123"/>
      <c r="AB147" s="56"/>
      <c r="AC147" s="56"/>
      <c r="AD147" s="56"/>
      <c r="AE147" s="56"/>
      <c r="AF147" s="56"/>
      <c r="AG147" s="56"/>
      <c r="AH147" s="162"/>
      <c r="AI147" s="123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123"/>
      <c r="AY147" s="123"/>
      <c r="AZ147" s="56"/>
      <c r="BA147" s="159"/>
      <c r="BB147" s="56"/>
      <c r="BC147" s="56"/>
      <c r="BD147" s="56"/>
      <c r="BE147" s="56"/>
      <c r="BF147" s="123"/>
      <c r="BG147" s="123"/>
      <c r="BH147" s="56"/>
      <c r="BI147" s="56"/>
      <c r="BJ147" s="56"/>
      <c r="BK147" s="56"/>
    </row>
    <row r="148" spans="1:63" ht="13.15" hidden="1" customHeight="1" x14ac:dyDescent="0.2">
      <c r="A148" s="172">
        <v>137</v>
      </c>
      <c r="B148" s="184"/>
      <c r="C148" s="56"/>
      <c r="D148" s="56"/>
      <c r="E148" s="159">
        <f>+'[1]2018-2017 Eur'!J128</f>
        <v>-47284.9</v>
      </c>
      <c r="F148" s="159">
        <f t="shared" si="97"/>
        <v>-47284.9</v>
      </c>
      <c r="G148" s="159" t="e">
        <f>+'[1]2018-2017 Eur'!M128</f>
        <v>#REF!</v>
      </c>
      <c r="H148" s="159">
        <f t="shared" si="98"/>
        <v>-47284.9</v>
      </c>
      <c r="I148" s="159" t="e">
        <f t="shared" si="99"/>
        <v>#REF!</v>
      </c>
      <c r="P148" s="56"/>
      <c r="Q148" s="56"/>
      <c r="R148" s="58"/>
      <c r="S148" s="123"/>
      <c r="T148" s="56"/>
      <c r="U148" s="56"/>
      <c r="V148" s="56"/>
      <c r="W148" s="56"/>
      <c r="X148" s="56"/>
      <c r="Y148" s="56"/>
      <c r="Z148" s="123"/>
      <c r="AA148" s="123"/>
      <c r="AB148" s="56"/>
      <c r="AC148" s="56"/>
      <c r="AD148" s="56"/>
      <c r="AE148" s="56"/>
      <c r="AF148" s="56"/>
      <c r="AG148" s="56"/>
      <c r="AH148" s="162"/>
      <c r="AI148" s="123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123"/>
      <c r="AY148" s="123"/>
      <c r="AZ148" s="56"/>
      <c r="BA148" s="164"/>
      <c r="BB148" s="56"/>
      <c r="BC148" s="56"/>
      <c r="BD148" s="56"/>
      <c r="BE148" s="56"/>
      <c r="BF148" s="123"/>
      <c r="BG148" s="123"/>
      <c r="BH148" s="56"/>
      <c r="BI148" s="56"/>
      <c r="BJ148" s="56"/>
      <c r="BK148" s="56"/>
    </row>
    <row r="149" spans="1:63" ht="13.15" customHeight="1" x14ac:dyDescent="0.2">
      <c r="B149" s="184"/>
      <c r="C149" s="123"/>
      <c r="D149" s="123"/>
      <c r="E149" s="123"/>
      <c r="F149" s="123"/>
      <c r="G149" s="123"/>
      <c r="H149" s="123"/>
      <c r="I149" s="123"/>
      <c r="J149" s="123"/>
      <c r="K149" s="123"/>
      <c r="M149" s="49"/>
      <c r="O149" s="101"/>
      <c r="P149" s="123"/>
      <c r="Q149" s="123"/>
      <c r="R149" s="162"/>
      <c r="S149" s="123"/>
      <c r="T149" s="56"/>
      <c r="U149" s="123"/>
      <c r="V149" s="56"/>
      <c r="W149" s="123"/>
      <c r="X149" s="123"/>
      <c r="Y149" s="123"/>
      <c r="Z149" s="123"/>
      <c r="AA149" s="123"/>
      <c r="AB149" s="56"/>
      <c r="AC149" s="123"/>
      <c r="AD149" s="56"/>
      <c r="AE149" s="123"/>
      <c r="AF149" s="123"/>
      <c r="AG149" s="123"/>
      <c r="AH149" s="162"/>
      <c r="AI149" s="123"/>
      <c r="AJ149" s="56"/>
      <c r="AK149" s="123"/>
      <c r="AL149" s="56"/>
      <c r="AM149" s="123"/>
      <c r="AN149" s="123"/>
      <c r="AO149" s="123"/>
      <c r="AP149" s="123"/>
      <c r="AQ149" s="123"/>
      <c r="AR149" s="56"/>
      <c r="AS149" s="123"/>
      <c r="AT149" s="56"/>
      <c r="AU149" s="56"/>
      <c r="AV149" s="123"/>
      <c r="AW149" s="123"/>
      <c r="AX149" s="123"/>
      <c r="AY149" s="123"/>
      <c r="AZ149" s="56"/>
      <c r="BA149" s="59"/>
      <c r="BB149" s="56"/>
      <c r="BC149" s="123"/>
      <c r="BD149" s="123"/>
      <c r="BE149" s="123"/>
      <c r="BF149" s="123"/>
      <c r="BG149" s="123"/>
      <c r="BH149" s="56"/>
      <c r="BI149" s="123"/>
      <c r="BJ149" s="56"/>
      <c r="BK149" s="123"/>
    </row>
    <row r="150" spans="1:63" ht="13.15" customHeight="1" x14ac:dyDescent="0.2">
      <c r="B150" s="184"/>
      <c r="C150" s="123"/>
      <c r="D150" s="123"/>
      <c r="E150" s="123"/>
      <c r="F150" s="123"/>
      <c r="G150" s="123"/>
      <c r="H150" s="123"/>
      <c r="I150" s="123"/>
      <c r="J150" s="49"/>
      <c r="M150" s="101"/>
      <c r="O150" s="101"/>
      <c r="P150" s="123"/>
      <c r="Q150" s="123"/>
      <c r="R150" s="162"/>
      <c r="S150" s="123"/>
      <c r="T150" s="56"/>
      <c r="U150" s="123"/>
      <c r="V150" s="56"/>
      <c r="W150" s="56"/>
      <c r="X150" s="123"/>
      <c r="Y150" s="123"/>
      <c r="Z150" s="123"/>
      <c r="AA150" s="123"/>
      <c r="AB150" s="56"/>
      <c r="AC150" s="56"/>
      <c r="AD150" s="56"/>
      <c r="AE150" s="56"/>
      <c r="AF150" s="123"/>
      <c r="AG150" s="123"/>
      <c r="AH150" s="162"/>
      <c r="AI150" s="123"/>
      <c r="AJ150" s="56"/>
      <c r="AK150" s="56"/>
      <c r="AL150" s="56"/>
      <c r="AM150" s="56"/>
      <c r="AN150" s="123"/>
      <c r="AO150" s="123"/>
      <c r="AP150" s="123"/>
      <c r="AQ150" s="123"/>
      <c r="AR150" s="56"/>
      <c r="AS150" s="56"/>
      <c r="AT150" s="56"/>
      <c r="AU150" s="56"/>
      <c r="AV150" s="123"/>
      <c r="AW150" s="123"/>
      <c r="AX150" s="123"/>
      <c r="AY150" s="123"/>
      <c r="AZ150" s="56"/>
      <c r="BA150" s="59"/>
      <c r="BB150" s="56"/>
      <c r="BC150" s="56"/>
      <c r="BD150" s="123"/>
      <c r="BE150" s="123"/>
      <c r="BF150" s="123"/>
      <c r="BG150" s="123"/>
      <c r="BH150" s="56"/>
      <c r="BI150" s="56"/>
      <c r="BJ150" s="56"/>
      <c r="BK150" s="56"/>
    </row>
    <row r="151" spans="1:63" ht="13.15" customHeight="1" x14ac:dyDescent="0.2">
      <c r="B151" s="184"/>
      <c r="C151" s="56"/>
      <c r="D151" s="56"/>
      <c r="E151" s="56"/>
      <c r="F151" s="56"/>
      <c r="G151" s="56"/>
      <c r="H151" s="56"/>
      <c r="I151" s="56"/>
      <c r="J151" s="162"/>
      <c r="K151" s="49"/>
      <c r="P151" s="56"/>
      <c r="Q151" s="56"/>
      <c r="R151" s="58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8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9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</row>
    <row r="152" spans="1:63" ht="13.15" customHeight="1" x14ac:dyDescent="0.2">
      <c r="B152" s="184"/>
      <c r="C152" s="123"/>
      <c r="D152" s="123"/>
      <c r="E152" s="56"/>
      <c r="F152" s="56"/>
      <c r="G152" s="56"/>
      <c r="H152" s="56"/>
      <c r="I152" s="56"/>
      <c r="P152" s="56"/>
      <c r="Q152" s="56"/>
      <c r="R152" s="58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8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9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</row>
    <row r="153" spans="1:63" ht="13.15" customHeight="1" x14ac:dyDescent="0.2">
      <c r="B153" s="184"/>
      <c r="C153" s="56"/>
      <c r="D153" s="56"/>
      <c r="E153" s="56"/>
      <c r="F153" s="56"/>
      <c r="G153" s="56"/>
      <c r="H153" s="56"/>
      <c r="I153" s="56"/>
      <c r="J153" s="49"/>
      <c r="P153" s="56"/>
      <c r="Q153" s="56"/>
      <c r="R153" s="58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8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9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</row>
    <row r="154" spans="1:63" ht="13.15" customHeight="1" x14ac:dyDescent="0.2">
      <c r="B154" s="184"/>
      <c r="C154" s="56"/>
      <c r="D154" s="56"/>
      <c r="E154" s="56"/>
      <c r="F154" s="56"/>
      <c r="G154" s="56"/>
      <c r="H154" s="56"/>
      <c r="I154" s="56"/>
      <c r="P154" s="56"/>
      <c r="Q154" s="56"/>
      <c r="R154" s="58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8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9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</row>
    <row r="155" spans="1:63" ht="13.15" customHeight="1" x14ac:dyDescent="0.2">
      <c r="B155" s="184"/>
      <c r="C155" s="56"/>
      <c r="D155" s="56"/>
      <c r="E155" s="56"/>
      <c r="F155" s="56"/>
      <c r="G155" s="56"/>
      <c r="H155" s="56"/>
      <c r="I155" s="56"/>
      <c r="P155" s="148"/>
      <c r="Q155" s="56"/>
      <c r="R155" s="58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8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9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</row>
    <row r="156" spans="1:63" ht="13.15" customHeight="1" x14ac:dyDescent="0.2">
      <c r="B156" s="184"/>
      <c r="C156" s="56"/>
      <c r="D156" s="56"/>
      <c r="E156" s="56"/>
      <c r="F156" s="56"/>
      <c r="G156" s="56"/>
      <c r="H156" s="56"/>
      <c r="I156" s="56"/>
      <c r="P156" s="56"/>
      <c r="Q156" s="56"/>
      <c r="R156" s="58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8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9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</row>
    <row r="157" spans="1:63" ht="13.15" customHeight="1" x14ac:dyDescent="0.2">
      <c r="B157" s="184"/>
      <c r="C157" s="56"/>
      <c r="D157" s="56"/>
      <c r="E157" s="56"/>
      <c r="F157" s="56"/>
      <c r="G157" s="56"/>
      <c r="H157" s="56"/>
      <c r="I157" s="56"/>
      <c r="P157" s="56"/>
      <c r="Q157" s="56"/>
      <c r="R157" s="58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8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9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</row>
    <row r="158" spans="1:63" ht="13.15" customHeight="1" x14ac:dyDescent="0.2">
      <c r="B158" s="184"/>
      <c r="C158" s="56"/>
      <c r="D158" s="56"/>
      <c r="E158" s="56"/>
      <c r="F158" s="56"/>
      <c r="G158" s="56"/>
      <c r="H158" s="56"/>
      <c r="I158" s="56"/>
      <c r="P158" s="56"/>
      <c r="Q158" s="56"/>
      <c r="R158" s="58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8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9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</row>
    <row r="159" spans="1:63" ht="13.15" customHeight="1" x14ac:dyDescent="0.2">
      <c r="B159" s="184"/>
      <c r="C159" s="56"/>
      <c r="D159" s="56"/>
      <c r="E159" s="56"/>
      <c r="F159" s="56"/>
      <c r="G159" s="56"/>
      <c r="H159" s="56"/>
      <c r="I159" s="56"/>
      <c r="P159" s="56"/>
      <c r="Q159" s="56"/>
      <c r="R159" s="58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8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9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</row>
    <row r="160" spans="1:63" ht="13.15" customHeight="1" x14ac:dyDescent="0.2">
      <c r="B160" s="184"/>
      <c r="C160" s="56"/>
      <c r="D160" s="56"/>
      <c r="E160" s="56"/>
      <c r="F160" s="56"/>
      <c r="G160" s="56"/>
      <c r="H160" s="56"/>
      <c r="I160" s="56"/>
      <c r="P160" s="56"/>
      <c r="Q160" s="56"/>
      <c r="R160" s="58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8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60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</row>
    <row r="161" spans="2:63" ht="13.15" customHeight="1" x14ac:dyDescent="0.2">
      <c r="B161" s="184"/>
      <c r="C161" s="56"/>
      <c r="D161" s="56"/>
      <c r="E161" s="56"/>
      <c r="F161" s="56"/>
      <c r="G161" s="56"/>
      <c r="H161" s="56"/>
      <c r="I161" s="56"/>
      <c r="P161" s="56"/>
      <c r="Q161" s="56"/>
      <c r="R161" s="58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8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9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</row>
    <row r="162" spans="2:63" ht="13.15" customHeight="1" x14ac:dyDescent="0.2">
      <c r="B162" s="184"/>
      <c r="C162" s="56"/>
      <c r="D162" s="56"/>
      <c r="E162" s="56"/>
      <c r="F162" s="56"/>
      <c r="G162" s="56"/>
      <c r="H162" s="56"/>
      <c r="I162" s="56"/>
      <c r="P162" s="56"/>
      <c r="Q162" s="56"/>
      <c r="R162" s="58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8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9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</row>
    <row r="163" spans="2:63" ht="13.15" customHeight="1" x14ac:dyDescent="0.2">
      <c r="B163" s="184"/>
      <c r="C163" s="56"/>
      <c r="D163" s="56"/>
      <c r="E163" s="56"/>
      <c r="F163" s="56"/>
      <c r="G163" s="56"/>
      <c r="H163" s="56"/>
      <c r="I163" s="56"/>
      <c r="P163" s="56"/>
      <c r="Q163" s="56"/>
      <c r="R163" s="58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8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9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</row>
    <row r="164" spans="2:63" ht="13.15" customHeight="1" x14ac:dyDescent="0.2">
      <c r="B164" s="184"/>
      <c r="C164" s="56"/>
      <c r="D164" s="56"/>
      <c r="E164" s="56"/>
      <c r="F164" s="56"/>
      <c r="G164" s="56"/>
      <c r="H164" s="56"/>
      <c r="I164" s="56"/>
      <c r="P164" s="56"/>
      <c r="Q164" s="56"/>
      <c r="R164" s="58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8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9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</row>
    <row r="165" spans="2:63" ht="13.15" customHeight="1" x14ac:dyDescent="0.2">
      <c r="B165" s="184"/>
      <c r="C165" s="56"/>
      <c r="D165" s="56"/>
      <c r="E165" s="56"/>
      <c r="F165" s="56"/>
      <c r="G165" s="56"/>
      <c r="H165" s="56"/>
      <c r="I165" s="56"/>
      <c r="P165" s="56"/>
      <c r="Q165" s="56"/>
      <c r="R165" s="58"/>
      <c r="S165" s="5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8"/>
      <c r="AI165" s="56"/>
      <c r="AJ165" s="56"/>
      <c r="AK165" s="56"/>
      <c r="AL165" s="56"/>
      <c r="AM165" s="56"/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56"/>
      <c r="AZ165" s="56"/>
      <c r="BA165" s="59"/>
      <c r="BB165" s="56"/>
      <c r="BC165" s="56"/>
      <c r="BD165" s="56"/>
      <c r="BE165" s="56"/>
      <c r="BF165" s="56"/>
      <c r="BG165" s="56"/>
      <c r="BH165" s="56"/>
      <c r="BI165" s="56"/>
      <c r="BJ165" s="56"/>
      <c r="BK165" s="56"/>
    </row>
    <row r="166" spans="2:63" ht="13.15" customHeight="1" x14ac:dyDescent="0.2">
      <c r="B166" s="184"/>
      <c r="C166" s="56"/>
      <c r="D166" s="56"/>
      <c r="E166" s="56"/>
      <c r="F166" s="56"/>
      <c r="G166" s="56"/>
      <c r="H166" s="56"/>
      <c r="I166" s="56"/>
      <c r="P166" s="56"/>
      <c r="Q166" s="56"/>
      <c r="R166" s="58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8"/>
      <c r="AI166" s="56"/>
      <c r="AJ166" s="56"/>
      <c r="AK166" s="56"/>
      <c r="AL166" s="56"/>
      <c r="AM166" s="56"/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56"/>
      <c r="AZ166" s="56"/>
      <c r="BA166" s="59"/>
      <c r="BB166" s="56"/>
      <c r="BC166" s="56"/>
      <c r="BD166" s="56"/>
      <c r="BE166" s="56"/>
      <c r="BF166" s="56"/>
      <c r="BG166" s="56"/>
      <c r="BH166" s="56"/>
      <c r="BI166" s="56"/>
      <c r="BJ166" s="56"/>
      <c r="BK166" s="56"/>
    </row>
    <row r="167" spans="2:63" ht="13.15" customHeight="1" x14ac:dyDescent="0.2">
      <c r="B167" s="184"/>
      <c r="C167" s="56"/>
      <c r="D167" s="56"/>
      <c r="E167" s="56"/>
      <c r="F167" s="56"/>
      <c r="G167" s="56"/>
      <c r="H167" s="56"/>
      <c r="I167" s="56"/>
      <c r="P167" s="56"/>
      <c r="Q167" s="56"/>
      <c r="R167" s="58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8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9"/>
      <c r="BB167" s="56"/>
      <c r="BC167" s="56"/>
      <c r="BD167" s="56"/>
      <c r="BE167" s="56"/>
      <c r="BF167" s="56"/>
      <c r="BG167" s="56"/>
      <c r="BH167" s="56"/>
      <c r="BI167" s="56"/>
      <c r="BJ167" s="56"/>
      <c r="BK167" s="56"/>
    </row>
    <row r="168" spans="2:63" ht="13.15" customHeight="1" x14ac:dyDescent="0.2">
      <c r="B168" s="184"/>
      <c r="C168" s="56"/>
      <c r="D168" s="56"/>
      <c r="E168" s="56"/>
      <c r="F168" s="56"/>
      <c r="G168" s="56"/>
      <c r="H168" s="56"/>
      <c r="I168" s="56"/>
      <c r="P168" s="56"/>
      <c r="Q168" s="56"/>
      <c r="R168" s="58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8"/>
      <c r="AI168" s="56"/>
      <c r="AJ168" s="56"/>
      <c r="AK168" s="56"/>
      <c r="AL168" s="56"/>
      <c r="AM168" s="56"/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56"/>
      <c r="AZ168" s="56"/>
      <c r="BA168" s="59"/>
      <c r="BB168" s="56"/>
      <c r="BC168" s="56"/>
      <c r="BD168" s="56"/>
      <c r="BE168" s="56"/>
      <c r="BF168" s="56"/>
      <c r="BG168" s="56"/>
      <c r="BH168" s="56"/>
      <c r="BI168" s="56"/>
      <c r="BJ168" s="56"/>
      <c r="BK168" s="56"/>
    </row>
    <row r="169" spans="2:63" ht="13.15" customHeight="1" x14ac:dyDescent="0.2">
      <c r="B169" s="184"/>
      <c r="C169" s="56"/>
      <c r="D169" s="56"/>
      <c r="E169" s="56"/>
      <c r="F169" s="56"/>
      <c r="G169" s="56"/>
      <c r="H169" s="56"/>
      <c r="I169" s="56"/>
      <c r="P169" s="56"/>
      <c r="Q169" s="56"/>
      <c r="R169" s="58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8"/>
      <c r="AI169" s="56"/>
      <c r="AJ169" s="56"/>
      <c r="AK169" s="56"/>
      <c r="AL169" s="56"/>
      <c r="AM169" s="56"/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56"/>
      <c r="AZ169" s="56"/>
      <c r="BA169" s="59"/>
      <c r="BB169" s="56"/>
      <c r="BC169" s="56"/>
      <c r="BD169" s="56"/>
      <c r="BE169" s="56"/>
      <c r="BF169" s="56"/>
      <c r="BG169" s="56"/>
      <c r="BH169" s="56"/>
      <c r="BI169" s="56"/>
      <c r="BJ169" s="56"/>
      <c r="BK169" s="56"/>
    </row>
    <row r="170" spans="2:63" ht="13.15" customHeight="1" x14ac:dyDescent="0.2">
      <c r="B170" s="184"/>
      <c r="C170" s="56"/>
      <c r="D170" s="56"/>
      <c r="E170" s="56"/>
      <c r="F170" s="56"/>
      <c r="G170" s="56"/>
      <c r="H170" s="56"/>
      <c r="I170" s="56"/>
      <c r="P170" s="56"/>
      <c r="Q170" s="56"/>
      <c r="R170" s="58"/>
      <c r="S170" s="5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8"/>
      <c r="AI170" s="56"/>
      <c r="AJ170" s="56"/>
      <c r="AK170" s="56"/>
      <c r="AL170" s="56"/>
      <c r="AM170" s="56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56"/>
      <c r="AZ170" s="56"/>
      <c r="BA170" s="59"/>
      <c r="BB170" s="56"/>
      <c r="BC170" s="56"/>
      <c r="BD170" s="56"/>
      <c r="BE170" s="56"/>
      <c r="BF170" s="56"/>
      <c r="BG170" s="56"/>
      <c r="BH170" s="56"/>
      <c r="BI170" s="56"/>
      <c r="BJ170" s="56"/>
      <c r="BK170" s="56"/>
    </row>
    <row r="171" spans="2:63" ht="13.15" customHeight="1" x14ac:dyDescent="0.2">
      <c r="B171" s="184"/>
      <c r="C171" s="56"/>
      <c r="D171" s="56"/>
      <c r="E171" s="56"/>
      <c r="F171" s="56"/>
      <c r="G171" s="56"/>
      <c r="H171" s="56"/>
      <c r="I171" s="56"/>
      <c r="P171" s="56"/>
      <c r="Q171" s="56"/>
      <c r="R171" s="58"/>
      <c r="S171" s="5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8"/>
      <c r="AI171" s="56"/>
      <c r="AJ171" s="56"/>
      <c r="AK171" s="56"/>
      <c r="AL171" s="56"/>
      <c r="AM171" s="56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56"/>
      <c r="AZ171" s="56"/>
      <c r="BA171" s="59"/>
      <c r="BB171" s="56"/>
      <c r="BC171" s="56"/>
      <c r="BD171" s="56"/>
      <c r="BE171" s="56"/>
      <c r="BF171" s="56"/>
      <c r="BG171" s="56"/>
      <c r="BH171" s="56"/>
      <c r="BI171" s="56"/>
      <c r="BJ171" s="56"/>
      <c r="BK171" s="56"/>
    </row>
    <row r="172" spans="2:63" ht="13.15" customHeight="1" x14ac:dyDescent="0.2">
      <c r="B172" s="184"/>
      <c r="C172" s="56"/>
      <c r="D172" s="56"/>
      <c r="E172" s="56"/>
      <c r="F172" s="56"/>
      <c r="G172" s="56"/>
      <c r="H172" s="56"/>
      <c r="I172" s="56"/>
      <c r="P172" s="56"/>
      <c r="Q172" s="56"/>
      <c r="R172" s="58"/>
      <c r="S172" s="5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8"/>
      <c r="AI172" s="56"/>
      <c r="AJ172" s="56"/>
      <c r="AK172" s="56"/>
      <c r="AL172" s="56"/>
      <c r="AM172" s="56"/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56"/>
      <c r="AZ172" s="56"/>
      <c r="BA172" s="59"/>
      <c r="BB172" s="56"/>
      <c r="BC172" s="56"/>
      <c r="BD172" s="56"/>
      <c r="BE172" s="56"/>
      <c r="BF172" s="56"/>
      <c r="BG172" s="56"/>
      <c r="BH172" s="56"/>
      <c r="BI172" s="56"/>
      <c r="BJ172" s="56"/>
      <c r="BK172" s="56"/>
    </row>
    <row r="173" spans="2:63" ht="13.15" customHeight="1" x14ac:dyDescent="0.2">
      <c r="B173" s="184"/>
      <c r="C173" s="56"/>
      <c r="D173" s="56"/>
      <c r="E173" s="56"/>
      <c r="F173" s="56"/>
      <c r="G173" s="56"/>
      <c r="H173" s="56"/>
      <c r="I173" s="56"/>
      <c r="P173" s="56"/>
      <c r="Q173" s="56"/>
      <c r="R173" s="58"/>
      <c r="S173" s="5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8"/>
      <c r="AI173" s="56"/>
      <c r="AJ173" s="56"/>
      <c r="AK173" s="56"/>
      <c r="AL173" s="56"/>
      <c r="AM173" s="56"/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56"/>
      <c r="AZ173" s="56"/>
      <c r="BA173" s="59"/>
      <c r="BB173" s="56"/>
      <c r="BC173" s="56"/>
      <c r="BD173" s="56"/>
      <c r="BE173" s="56"/>
      <c r="BF173" s="56"/>
      <c r="BG173" s="56"/>
      <c r="BH173" s="56"/>
      <c r="BI173" s="56"/>
      <c r="BJ173" s="56"/>
      <c r="BK173" s="56"/>
    </row>
    <row r="174" spans="2:63" ht="13.15" customHeight="1" x14ac:dyDescent="0.2">
      <c r="P174" s="62"/>
      <c r="Q174" s="63"/>
      <c r="R174" s="64"/>
      <c r="S174" s="63"/>
      <c r="BA174" s="59"/>
    </row>
    <row r="175" spans="2:63" ht="13.15" customHeight="1" x14ac:dyDescent="0.2">
      <c r="P175" s="49"/>
      <c r="Q175" s="49"/>
      <c r="R175" s="58"/>
      <c r="S175" s="49"/>
      <c r="BA175" s="59"/>
    </row>
    <row r="176" spans="2:63" x14ac:dyDescent="0.2">
      <c r="BA176" s="59"/>
    </row>
    <row r="177" spans="53:53" x14ac:dyDescent="0.2">
      <c r="BA177" s="59"/>
    </row>
    <row r="178" spans="53:53" x14ac:dyDescent="0.2">
      <c r="BA178" s="59"/>
    </row>
    <row r="179" spans="53:53" x14ac:dyDescent="0.2">
      <c r="BA179" s="59"/>
    </row>
    <row r="180" spans="53:53" x14ac:dyDescent="0.2">
      <c r="BA180" s="59"/>
    </row>
    <row r="181" spans="53:53" x14ac:dyDescent="0.2">
      <c r="BA181" s="59"/>
    </row>
    <row r="182" spans="53:53" x14ac:dyDescent="0.2">
      <c r="BA182" s="59"/>
    </row>
    <row r="183" spans="53:53" x14ac:dyDescent="0.2">
      <c r="BA183" s="59"/>
    </row>
    <row r="184" spans="53:53" x14ac:dyDescent="0.2">
      <c r="BA184" s="59"/>
    </row>
    <row r="185" spans="53:53" x14ac:dyDescent="0.2">
      <c r="BA185" s="59"/>
    </row>
    <row r="186" spans="53:53" x14ac:dyDescent="0.2">
      <c r="BA186" s="60"/>
    </row>
    <row r="187" spans="53:53" x14ac:dyDescent="0.2">
      <c r="BA187" s="59"/>
    </row>
    <row r="188" spans="53:53" x14ac:dyDescent="0.2">
      <c r="BA188" s="59"/>
    </row>
    <row r="189" spans="53:53" x14ac:dyDescent="0.2">
      <c r="BA189" s="59"/>
    </row>
    <row r="190" spans="53:53" x14ac:dyDescent="0.2">
      <c r="BA190" s="59"/>
    </row>
    <row r="191" spans="53:53" x14ac:dyDescent="0.2">
      <c r="BA191" s="59"/>
    </row>
    <row r="192" spans="53:53" x14ac:dyDescent="0.2">
      <c r="BA192" s="59"/>
    </row>
    <row r="193" spans="53:53" x14ac:dyDescent="0.2">
      <c r="BA193" s="59"/>
    </row>
    <row r="194" spans="53:53" x14ac:dyDescent="0.2">
      <c r="BA194" s="59"/>
    </row>
    <row r="195" spans="53:53" x14ac:dyDescent="0.2">
      <c r="BA195" s="66"/>
    </row>
    <row r="196" spans="53:53" x14ac:dyDescent="0.2">
      <c r="BA196" s="59"/>
    </row>
    <row r="197" spans="53:53" x14ac:dyDescent="0.2">
      <c r="BA197" s="59"/>
    </row>
    <row r="198" spans="53:53" x14ac:dyDescent="0.2">
      <c r="BA198" s="59"/>
    </row>
    <row r="199" spans="53:53" x14ac:dyDescent="0.2">
      <c r="BA199" s="59"/>
    </row>
    <row r="200" spans="53:53" x14ac:dyDescent="0.2">
      <c r="BA200" s="59"/>
    </row>
    <row r="201" spans="53:53" x14ac:dyDescent="0.2">
      <c r="BA201" s="59"/>
    </row>
    <row r="202" spans="53:53" x14ac:dyDescent="0.2">
      <c r="BA202" s="60"/>
    </row>
    <row r="203" spans="53:53" x14ac:dyDescent="0.2">
      <c r="BA203" s="59"/>
    </row>
    <row r="204" spans="53:53" x14ac:dyDescent="0.2">
      <c r="BA204" s="59"/>
    </row>
    <row r="205" spans="53:53" x14ac:dyDescent="0.2">
      <c r="BA205" s="59"/>
    </row>
    <row r="206" spans="53:53" x14ac:dyDescent="0.2">
      <c r="BA206" s="59"/>
    </row>
    <row r="207" spans="53:53" x14ac:dyDescent="0.2">
      <c r="BA207" s="59"/>
    </row>
    <row r="208" spans="53:53" x14ac:dyDescent="0.2">
      <c r="BA208" s="59"/>
    </row>
    <row r="209" spans="53:53" x14ac:dyDescent="0.2">
      <c r="BA209" s="59"/>
    </row>
    <row r="210" spans="53:53" x14ac:dyDescent="0.2">
      <c r="BA210" s="59"/>
    </row>
    <row r="211" spans="53:53" x14ac:dyDescent="0.2">
      <c r="BA211" s="59"/>
    </row>
    <row r="212" spans="53:53" x14ac:dyDescent="0.2">
      <c r="BA212" s="59"/>
    </row>
    <row r="213" spans="53:53" x14ac:dyDescent="0.2">
      <c r="BA213" s="59"/>
    </row>
    <row r="214" spans="53:53" x14ac:dyDescent="0.2">
      <c r="BA214" s="60"/>
    </row>
    <row r="215" spans="53:53" x14ac:dyDescent="0.2">
      <c r="BA215" s="59"/>
    </row>
    <row r="216" spans="53:53" x14ac:dyDescent="0.2">
      <c r="BA216" s="59"/>
    </row>
    <row r="217" spans="53:53" x14ac:dyDescent="0.2">
      <c r="BA217" s="59"/>
    </row>
    <row r="218" spans="53:53" x14ac:dyDescent="0.2">
      <c r="BA218" s="66"/>
    </row>
    <row r="219" spans="53:53" x14ac:dyDescent="0.2">
      <c r="BA219" s="59"/>
    </row>
    <row r="220" spans="53:53" x14ac:dyDescent="0.2">
      <c r="BA220" s="59"/>
    </row>
    <row r="221" spans="53:53" x14ac:dyDescent="0.2">
      <c r="BA221" s="59"/>
    </row>
    <row r="222" spans="53:53" x14ac:dyDescent="0.2">
      <c r="BA222" s="59"/>
    </row>
    <row r="223" spans="53:53" x14ac:dyDescent="0.2">
      <c r="BA223" s="59"/>
    </row>
    <row r="224" spans="53:53" x14ac:dyDescent="0.2">
      <c r="BA224" s="59"/>
    </row>
    <row r="225" spans="53:53" x14ac:dyDescent="0.2">
      <c r="BA225" s="59"/>
    </row>
    <row r="226" spans="53:53" x14ac:dyDescent="0.2">
      <c r="BA226" s="59"/>
    </row>
    <row r="227" spans="53:53" x14ac:dyDescent="0.2">
      <c r="BA227" s="59"/>
    </row>
    <row r="228" spans="53:53" x14ac:dyDescent="0.2">
      <c r="BA228" s="59"/>
    </row>
    <row r="229" spans="53:53" x14ac:dyDescent="0.2">
      <c r="BA229" s="59"/>
    </row>
    <row r="230" spans="53:53" x14ac:dyDescent="0.2">
      <c r="BA230" s="59"/>
    </row>
    <row r="231" spans="53:53" x14ac:dyDescent="0.2">
      <c r="BA231" s="59"/>
    </row>
    <row r="232" spans="53:53" x14ac:dyDescent="0.2">
      <c r="BA232" s="59"/>
    </row>
    <row r="233" spans="53:53" x14ac:dyDescent="0.2">
      <c r="BA233" s="59"/>
    </row>
    <row r="234" spans="53:53" x14ac:dyDescent="0.2">
      <c r="BA234" s="59"/>
    </row>
    <row r="235" spans="53:53" x14ac:dyDescent="0.2">
      <c r="BA235" s="59"/>
    </row>
    <row r="236" spans="53:53" x14ac:dyDescent="0.2">
      <c r="BA236" s="59"/>
    </row>
    <row r="237" spans="53:53" x14ac:dyDescent="0.2">
      <c r="BA237" s="59"/>
    </row>
    <row r="238" spans="53:53" x14ac:dyDescent="0.2">
      <c r="BA238" s="59"/>
    </row>
    <row r="239" spans="53:53" x14ac:dyDescent="0.2">
      <c r="BA239" s="59"/>
    </row>
    <row r="240" spans="53:53" x14ac:dyDescent="0.2">
      <c r="BA240" s="59"/>
    </row>
    <row r="241" spans="53:53" x14ac:dyDescent="0.2">
      <c r="BA241" s="59"/>
    </row>
    <row r="242" spans="53:53" x14ac:dyDescent="0.2">
      <c r="BA242" s="59"/>
    </row>
    <row r="243" spans="53:53" x14ac:dyDescent="0.2">
      <c r="BA243" s="59"/>
    </row>
    <row r="244" spans="53:53" x14ac:dyDescent="0.2">
      <c r="BA244" s="59"/>
    </row>
    <row r="245" spans="53:53" x14ac:dyDescent="0.2">
      <c r="BA245" s="59"/>
    </row>
    <row r="246" spans="53:53" x14ac:dyDescent="0.2">
      <c r="BA246" s="59"/>
    </row>
    <row r="247" spans="53:53" x14ac:dyDescent="0.2">
      <c r="BA247" s="59"/>
    </row>
    <row r="248" spans="53:53" x14ac:dyDescent="0.2">
      <c r="BA248" s="59"/>
    </row>
    <row r="249" spans="53:53" x14ac:dyDescent="0.2">
      <c r="BA249" s="59"/>
    </row>
    <row r="250" spans="53:53" x14ac:dyDescent="0.2">
      <c r="BA250" s="59"/>
    </row>
    <row r="251" spans="53:53" x14ac:dyDescent="0.2">
      <c r="BA251" s="59"/>
    </row>
    <row r="252" spans="53:53" x14ac:dyDescent="0.2">
      <c r="BA252" s="59"/>
    </row>
    <row r="253" spans="53:53" x14ac:dyDescent="0.2">
      <c r="BA253" s="59"/>
    </row>
    <row r="254" spans="53:53" x14ac:dyDescent="0.2">
      <c r="BA254" s="59"/>
    </row>
    <row r="255" spans="53:53" x14ac:dyDescent="0.2">
      <c r="BA255" s="59"/>
    </row>
    <row r="256" spans="53:53" x14ac:dyDescent="0.2">
      <c r="BA256" s="59"/>
    </row>
    <row r="257" spans="16:53" x14ac:dyDescent="0.2">
      <c r="BA257" s="59"/>
    </row>
    <row r="258" spans="16:53" x14ac:dyDescent="0.2">
      <c r="BA258" s="59"/>
    </row>
    <row r="259" spans="16:53" x14ac:dyDescent="0.2">
      <c r="BA259" s="59"/>
    </row>
    <row r="260" spans="16:53" x14ac:dyDescent="0.2">
      <c r="BA260" s="59"/>
    </row>
    <row r="261" spans="16:53" x14ac:dyDescent="0.2">
      <c r="BA261" s="59"/>
    </row>
    <row r="262" spans="16:53" x14ac:dyDescent="0.2">
      <c r="BA262" s="59"/>
    </row>
    <row r="263" spans="16:53" x14ac:dyDescent="0.2">
      <c r="BA263" s="66"/>
    </row>
    <row r="264" spans="16:53" x14ac:dyDescent="0.2">
      <c r="P264" s="44">
        <f>+BL24</f>
        <v>0</v>
      </c>
    </row>
  </sheetData>
  <mergeCells count="55">
    <mergeCell ref="AK1:AM1"/>
    <mergeCell ref="AB3:AE3"/>
    <mergeCell ref="BH3:BK3"/>
    <mergeCell ref="A4:A7"/>
    <mergeCell ref="B4:B7"/>
    <mergeCell ref="C4:O4"/>
    <mergeCell ref="P4:W4"/>
    <mergeCell ref="X4:AE4"/>
    <mergeCell ref="AF4:AM4"/>
    <mergeCell ref="AN4:AU4"/>
    <mergeCell ref="AV4:BC4"/>
    <mergeCell ref="BD4:BK4"/>
    <mergeCell ref="C5:I6"/>
    <mergeCell ref="J5:K6"/>
    <mergeCell ref="L5:M5"/>
    <mergeCell ref="N5:O5"/>
    <mergeCell ref="AD5:AE5"/>
    <mergeCell ref="AZ5:BA5"/>
    <mergeCell ref="BB5:BC5"/>
    <mergeCell ref="AR6:AS6"/>
    <mergeCell ref="AF5:AG6"/>
    <mergeCell ref="BD5:BE6"/>
    <mergeCell ref="AT6:AU6"/>
    <mergeCell ref="AZ6:BA6"/>
    <mergeCell ref="BB6:BC6"/>
    <mergeCell ref="AD6:AE6"/>
    <mergeCell ref="AJ6:AK6"/>
    <mergeCell ref="AT5:AU5"/>
    <mergeCell ref="AV5:AW6"/>
    <mergeCell ref="AX5:AY6"/>
    <mergeCell ref="AH5:AI6"/>
    <mergeCell ref="AJ5:AK5"/>
    <mergeCell ref="AL5:AM5"/>
    <mergeCell ref="AN5:AO6"/>
    <mergeCell ref="AP5:AQ6"/>
    <mergeCell ref="AR5:AS5"/>
    <mergeCell ref="AL6:AM6"/>
    <mergeCell ref="L6:M6"/>
    <mergeCell ref="N6:O6"/>
    <mergeCell ref="T6:U6"/>
    <mergeCell ref="V6:W6"/>
    <mergeCell ref="AB6:AC6"/>
    <mergeCell ref="Z5:AA6"/>
    <mergeCell ref="AB5:AC5"/>
    <mergeCell ref="P5:Q6"/>
    <mergeCell ref="R5:S6"/>
    <mergeCell ref="T5:U5"/>
    <mergeCell ref="V5:W5"/>
    <mergeCell ref="X5:Y6"/>
    <mergeCell ref="BH6:BI6"/>
    <mergeCell ref="BJ6:BK6"/>
    <mergeCell ref="BH1:BK1"/>
    <mergeCell ref="BF5:BG6"/>
    <mergeCell ref="BH5:BI5"/>
    <mergeCell ref="BJ5:BK5"/>
  </mergeCells>
  <pageMargins left="0.70866141732283472" right="0" top="0.35433070866141736" bottom="0.35433070866141736" header="0.31496062992125984" footer="0.31496062992125984"/>
  <pageSetup paperSize="8" scale="5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035E-6CC5-4003-8B99-1AE46037F76A}">
  <sheetPr>
    <pageSetUpPr fitToPage="1"/>
  </sheetPr>
  <dimension ref="A1:AG40"/>
  <sheetViews>
    <sheetView workbookViewId="0">
      <selection activeCell="Q1" sqref="Q1:S1"/>
    </sheetView>
  </sheetViews>
  <sheetFormatPr defaultColWidth="9.28515625" defaultRowHeight="11.25" x14ac:dyDescent="0.2"/>
  <cols>
    <col min="1" max="1" width="4.85546875" style="44" customWidth="1"/>
    <col min="2" max="2" width="3" style="44" customWidth="1"/>
    <col min="3" max="3" width="25.7109375" style="61" customWidth="1"/>
    <col min="4" max="5" width="10.28515625" style="44" customWidth="1"/>
    <col min="6" max="6" width="7.28515625" style="44" customWidth="1"/>
    <col min="7" max="7" width="9.7109375" style="44" customWidth="1"/>
    <col min="8" max="8" width="10.28515625" style="44" customWidth="1"/>
    <col min="9" max="9" width="10.5703125" style="44" customWidth="1"/>
    <col min="10" max="10" width="6.7109375" style="44" customWidth="1"/>
    <col min="11" max="11" width="9" style="44" customWidth="1"/>
    <col min="12" max="12" width="10.28515625" style="44" customWidth="1"/>
    <col min="13" max="13" width="11" style="44" customWidth="1"/>
    <col min="14" max="14" width="7.7109375" style="44" customWidth="1"/>
    <col min="15" max="15" width="9.7109375" style="44" customWidth="1"/>
    <col min="16" max="16" width="10.28515625" style="44" customWidth="1"/>
    <col min="17" max="17" width="10.5703125" style="44" customWidth="1"/>
    <col min="18" max="18" width="7" style="44" customWidth="1"/>
    <col min="19" max="19" width="9" style="44" customWidth="1"/>
    <col min="20" max="20" width="8.28515625" style="44" customWidth="1"/>
    <col min="21" max="21" width="8" style="44" customWidth="1"/>
    <col min="22" max="22" width="6.42578125" style="44" customWidth="1"/>
    <col min="23" max="23" width="7.42578125" style="44" bestFit="1" customWidth="1"/>
    <col min="24" max="24" width="10" style="44" customWidth="1"/>
    <col min="25" max="25" width="5.7109375" style="44" customWidth="1"/>
    <col min="26" max="26" width="7" style="44" customWidth="1"/>
    <col min="27" max="27" width="8.28515625" style="44" customWidth="1"/>
    <col min="28" max="28" width="8.5703125" style="44" customWidth="1"/>
    <col min="29" max="29" width="6.5703125" style="44" customWidth="1"/>
    <col min="30" max="30" width="7.85546875" style="44" customWidth="1"/>
    <col min="31" max="31" width="0" style="44" hidden="1" customWidth="1"/>
    <col min="32" max="32" width="10.140625" style="44" bestFit="1" customWidth="1"/>
    <col min="33" max="33" width="8.28515625" style="44" customWidth="1"/>
    <col min="34" max="256" width="9.28515625" style="44"/>
    <col min="257" max="257" width="4.85546875" style="44" customWidth="1"/>
    <col min="258" max="258" width="3" style="44" customWidth="1"/>
    <col min="259" max="259" width="25.7109375" style="44" customWidth="1"/>
    <col min="260" max="261" width="10.28515625" style="44" customWidth="1"/>
    <col min="262" max="262" width="7.28515625" style="44" customWidth="1"/>
    <col min="263" max="263" width="9.7109375" style="44" customWidth="1"/>
    <col min="264" max="264" width="10.28515625" style="44" customWidth="1"/>
    <col min="265" max="265" width="10.5703125" style="44" customWidth="1"/>
    <col min="266" max="266" width="6.7109375" style="44" customWidth="1"/>
    <col min="267" max="267" width="9" style="44" customWidth="1"/>
    <col min="268" max="268" width="10.28515625" style="44" customWidth="1"/>
    <col min="269" max="269" width="11" style="44" customWidth="1"/>
    <col min="270" max="270" width="7.7109375" style="44" customWidth="1"/>
    <col min="271" max="271" width="9.7109375" style="44" customWidth="1"/>
    <col min="272" max="272" width="10.28515625" style="44" customWidth="1"/>
    <col min="273" max="273" width="10.5703125" style="44" customWidth="1"/>
    <col min="274" max="274" width="7" style="44" customWidth="1"/>
    <col min="275" max="275" width="9" style="44" customWidth="1"/>
    <col min="276" max="276" width="8.28515625" style="44" customWidth="1"/>
    <col min="277" max="277" width="8" style="44" customWidth="1"/>
    <col min="278" max="278" width="6.42578125" style="44" customWidth="1"/>
    <col min="279" max="279" width="7.42578125" style="44" bestFit="1" customWidth="1"/>
    <col min="280" max="280" width="10" style="44" customWidth="1"/>
    <col min="281" max="281" width="5.7109375" style="44" customWidth="1"/>
    <col min="282" max="282" width="7" style="44" customWidth="1"/>
    <col min="283" max="283" width="8.28515625" style="44" customWidth="1"/>
    <col min="284" max="284" width="8.5703125" style="44" customWidth="1"/>
    <col min="285" max="285" width="6.5703125" style="44" customWidth="1"/>
    <col min="286" max="286" width="7.85546875" style="44" customWidth="1"/>
    <col min="287" max="287" width="0" style="44" hidden="1" customWidth="1"/>
    <col min="288" max="288" width="10.140625" style="44" bestFit="1" customWidth="1"/>
    <col min="289" max="289" width="8.28515625" style="44" customWidth="1"/>
    <col min="290" max="512" width="9.28515625" style="44"/>
    <col min="513" max="513" width="4.85546875" style="44" customWidth="1"/>
    <col min="514" max="514" width="3" style="44" customWidth="1"/>
    <col min="515" max="515" width="25.7109375" style="44" customWidth="1"/>
    <col min="516" max="517" width="10.28515625" style="44" customWidth="1"/>
    <col min="518" max="518" width="7.28515625" style="44" customWidth="1"/>
    <col min="519" max="519" width="9.7109375" style="44" customWidth="1"/>
    <col min="520" max="520" width="10.28515625" style="44" customWidth="1"/>
    <col min="521" max="521" width="10.5703125" style="44" customWidth="1"/>
    <col min="522" max="522" width="6.7109375" style="44" customWidth="1"/>
    <col min="523" max="523" width="9" style="44" customWidth="1"/>
    <col min="524" max="524" width="10.28515625" style="44" customWidth="1"/>
    <col min="525" max="525" width="11" style="44" customWidth="1"/>
    <col min="526" max="526" width="7.7109375" style="44" customWidth="1"/>
    <col min="527" max="527" width="9.7109375" style="44" customWidth="1"/>
    <col min="528" max="528" width="10.28515625" style="44" customWidth="1"/>
    <col min="529" max="529" width="10.5703125" style="44" customWidth="1"/>
    <col min="530" max="530" width="7" style="44" customWidth="1"/>
    <col min="531" max="531" width="9" style="44" customWidth="1"/>
    <col min="532" max="532" width="8.28515625" style="44" customWidth="1"/>
    <col min="533" max="533" width="8" style="44" customWidth="1"/>
    <col min="534" max="534" width="6.42578125" style="44" customWidth="1"/>
    <col min="535" max="535" width="7.42578125" style="44" bestFit="1" customWidth="1"/>
    <col min="536" max="536" width="10" style="44" customWidth="1"/>
    <col min="537" max="537" width="5.7109375" style="44" customWidth="1"/>
    <col min="538" max="538" width="7" style="44" customWidth="1"/>
    <col min="539" max="539" width="8.28515625" style="44" customWidth="1"/>
    <col min="540" max="540" width="8.5703125" style="44" customWidth="1"/>
    <col min="541" max="541" width="6.5703125" style="44" customWidth="1"/>
    <col min="542" max="542" width="7.85546875" style="44" customWidth="1"/>
    <col min="543" max="543" width="0" style="44" hidden="1" customWidth="1"/>
    <col min="544" max="544" width="10.140625" style="44" bestFit="1" customWidth="1"/>
    <col min="545" max="545" width="8.28515625" style="44" customWidth="1"/>
    <col min="546" max="768" width="9.28515625" style="44"/>
    <col min="769" max="769" width="4.85546875" style="44" customWidth="1"/>
    <col min="770" max="770" width="3" style="44" customWidth="1"/>
    <col min="771" max="771" width="25.7109375" style="44" customWidth="1"/>
    <col min="772" max="773" width="10.28515625" style="44" customWidth="1"/>
    <col min="774" max="774" width="7.28515625" style="44" customWidth="1"/>
    <col min="775" max="775" width="9.7109375" style="44" customWidth="1"/>
    <col min="776" max="776" width="10.28515625" style="44" customWidth="1"/>
    <col min="777" max="777" width="10.5703125" style="44" customWidth="1"/>
    <col min="778" max="778" width="6.7109375" style="44" customWidth="1"/>
    <col min="779" max="779" width="9" style="44" customWidth="1"/>
    <col min="780" max="780" width="10.28515625" style="44" customWidth="1"/>
    <col min="781" max="781" width="11" style="44" customWidth="1"/>
    <col min="782" max="782" width="7.7109375" style="44" customWidth="1"/>
    <col min="783" max="783" width="9.7109375" style="44" customWidth="1"/>
    <col min="784" max="784" width="10.28515625" style="44" customWidth="1"/>
    <col min="785" max="785" width="10.5703125" style="44" customWidth="1"/>
    <col min="786" max="786" width="7" style="44" customWidth="1"/>
    <col min="787" max="787" width="9" style="44" customWidth="1"/>
    <col min="788" max="788" width="8.28515625" style="44" customWidth="1"/>
    <col min="789" max="789" width="8" style="44" customWidth="1"/>
    <col min="790" max="790" width="6.42578125" style="44" customWidth="1"/>
    <col min="791" max="791" width="7.42578125" style="44" bestFit="1" customWidth="1"/>
    <col min="792" max="792" width="10" style="44" customWidth="1"/>
    <col min="793" max="793" width="5.7109375" style="44" customWidth="1"/>
    <col min="794" max="794" width="7" style="44" customWidth="1"/>
    <col min="795" max="795" width="8.28515625" style="44" customWidth="1"/>
    <col min="796" max="796" width="8.5703125" style="44" customWidth="1"/>
    <col min="797" max="797" width="6.5703125" style="44" customWidth="1"/>
    <col min="798" max="798" width="7.85546875" style="44" customWidth="1"/>
    <col min="799" max="799" width="0" style="44" hidden="1" customWidth="1"/>
    <col min="800" max="800" width="10.140625" style="44" bestFit="1" customWidth="1"/>
    <col min="801" max="801" width="8.28515625" style="44" customWidth="1"/>
    <col min="802" max="1024" width="9.28515625" style="44"/>
    <col min="1025" max="1025" width="4.85546875" style="44" customWidth="1"/>
    <col min="1026" max="1026" width="3" style="44" customWidth="1"/>
    <col min="1027" max="1027" width="25.7109375" style="44" customWidth="1"/>
    <col min="1028" max="1029" width="10.28515625" style="44" customWidth="1"/>
    <col min="1030" max="1030" width="7.28515625" style="44" customWidth="1"/>
    <col min="1031" max="1031" width="9.7109375" style="44" customWidth="1"/>
    <col min="1032" max="1032" width="10.28515625" style="44" customWidth="1"/>
    <col min="1033" max="1033" width="10.5703125" style="44" customWidth="1"/>
    <col min="1034" max="1034" width="6.7109375" style="44" customWidth="1"/>
    <col min="1035" max="1035" width="9" style="44" customWidth="1"/>
    <col min="1036" max="1036" width="10.28515625" style="44" customWidth="1"/>
    <col min="1037" max="1037" width="11" style="44" customWidth="1"/>
    <col min="1038" max="1038" width="7.7109375" style="44" customWidth="1"/>
    <col min="1039" max="1039" width="9.7109375" style="44" customWidth="1"/>
    <col min="1040" max="1040" width="10.28515625" style="44" customWidth="1"/>
    <col min="1041" max="1041" width="10.5703125" style="44" customWidth="1"/>
    <col min="1042" max="1042" width="7" style="44" customWidth="1"/>
    <col min="1043" max="1043" width="9" style="44" customWidth="1"/>
    <col min="1044" max="1044" width="8.28515625" style="44" customWidth="1"/>
    <col min="1045" max="1045" width="8" style="44" customWidth="1"/>
    <col min="1046" max="1046" width="6.42578125" style="44" customWidth="1"/>
    <col min="1047" max="1047" width="7.42578125" style="44" bestFit="1" customWidth="1"/>
    <col min="1048" max="1048" width="10" style="44" customWidth="1"/>
    <col min="1049" max="1049" width="5.7109375" style="44" customWidth="1"/>
    <col min="1050" max="1050" width="7" style="44" customWidth="1"/>
    <col min="1051" max="1051" width="8.28515625" style="44" customWidth="1"/>
    <col min="1052" max="1052" width="8.5703125" style="44" customWidth="1"/>
    <col min="1053" max="1053" width="6.5703125" style="44" customWidth="1"/>
    <col min="1054" max="1054" width="7.85546875" style="44" customWidth="1"/>
    <col min="1055" max="1055" width="0" style="44" hidden="1" customWidth="1"/>
    <col min="1056" max="1056" width="10.140625" style="44" bestFit="1" customWidth="1"/>
    <col min="1057" max="1057" width="8.28515625" style="44" customWidth="1"/>
    <col min="1058" max="1280" width="9.28515625" style="44"/>
    <col min="1281" max="1281" width="4.85546875" style="44" customWidth="1"/>
    <col min="1282" max="1282" width="3" style="44" customWidth="1"/>
    <col min="1283" max="1283" width="25.7109375" style="44" customWidth="1"/>
    <col min="1284" max="1285" width="10.28515625" style="44" customWidth="1"/>
    <col min="1286" max="1286" width="7.28515625" style="44" customWidth="1"/>
    <col min="1287" max="1287" width="9.7109375" style="44" customWidth="1"/>
    <col min="1288" max="1288" width="10.28515625" style="44" customWidth="1"/>
    <col min="1289" max="1289" width="10.5703125" style="44" customWidth="1"/>
    <col min="1290" max="1290" width="6.7109375" style="44" customWidth="1"/>
    <col min="1291" max="1291" width="9" style="44" customWidth="1"/>
    <col min="1292" max="1292" width="10.28515625" style="44" customWidth="1"/>
    <col min="1293" max="1293" width="11" style="44" customWidth="1"/>
    <col min="1294" max="1294" width="7.7109375" style="44" customWidth="1"/>
    <col min="1295" max="1295" width="9.7109375" style="44" customWidth="1"/>
    <col min="1296" max="1296" width="10.28515625" style="44" customWidth="1"/>
    <col min="1297" max="1297" width="10.5703125" style="44" customWidth="1"/>
    <col min="1298" max="1298" width="7" style="44" customWidth="1"/>
    <col min="1299" max="1299" width="9" style="44" customWidth="1"/>
    <col min="1300" max="1300" width="8.28515625" style="44" customWidth="1"/>
    <col min="1301" max="1301" width="8" style="44" customWidth="1"/>
    <col min="1302" max="1302" width="6.42578125" style="44" customWidth="1"/>
    <col min="1303" max="1303" width="7.42578125" style="44" bestFit="1" customWidth="1"/>
    <col min="1304" max="1304" width="10" style="44" customWidth="1"/>
    <col min="1305" max="1305" width="5.7109375" style="44" customWidth="1"/>
    <col min="1306" max="1306" width="7" style="44" customWidth="1"/>
    <col min="1307" max="1307" width="8.28515625" style="44" customWidth="1"/>
    <col min="1308" max="1308" width="8.5703125" style="44" customWidth="1"/>
    <col min="1309" max="1309" width="6.5703125" style="44" customWidth="1"/>
    <col min="1310" max="1310" width="7.85546875" style="44" customWidth="1"/>
    <col min="1311" max="1311" width="0" style="44" hidden="1" customWidth="1"/>
    <col min="1312" max="1312" width="10.140625" style="44" bestFit="1" customWidth="1"/>
    <col min="1313" max="1313" width="8.28515625" style="44" customWidth="1"/>
    <col min="1314" max="1536" width="9.28515625" style="44"/>
    <col min="1537" max="1537" width="4.85546875" style="44" customWidth="1"/>
    <col min="1538" max="1538" width="3" style="44" customWidth="1"/>
    <col min="1539" max="1539" width="25.7109375" style="44" customWidth="1"/>
    <col min="1540" max="1541" width="10.28515625" style="44" customWidth="1"/>
    <col min="1542" max="1542" width="7.28515625" style="44" customWidth="1"/>
    <col min="1543" max="1543" width="9.7109375" style="44" customWidth="1"/>
    <col min="1544" max="1544" width="10.28515625" style="44" customWidth="1"/>
    <col min="1545" max="1545" width="10.5703125" style="44" customWidth="1"/>
    <col min="1546" max="1546" width="6.7109375" style="44" customWidth="1"/>
    <col min="1547" max="1547" width="9" style="44" customWidth="1"/>
    <col min="1548" max="1548" width="10.28515625" style="44" customWidth="1"/>
    <col min="1549" max="1549" width="11" style="44" customWidth="1"/>
    <col min="1550" max="1550" width="7.7109375" style="44" customWidth="1"/>
    <col min="1551" max="1551" width="9.7109375" style="44" customWidth="1"/>
    <col min="1552" max="1552" width="10.28515625" style="44" customWidth="1"/>
    <col min="1553" max="1553" width="10.5703125" style="44" customWidth="1"/>
    <col min="1554" max="1554" width="7" style="44" customWidth="1"/>
    <col min="1555" max="1555" width="9" style="44" customWidth="1"/>
    <col min="1556" max="1556" width="8.28515625" style="44" customWidth="1"/>
    <col min="1557" max="1557" width="8" style="44" customWidth="1"/>
    <col min="1558" max="1558" width="6.42578125" style="44" customWidth="1"/>
    <col min="1559" max="1559" width="7.42578125" style="44" bestFit="1" customWidth="1"/>
    <col min="1560" max="1560" width="10" style="44" customWidth="1"/>
    <col min="1561" max="1561" width="5.7109375" style="44" customWidth="1"/>
    <col min="1562" max="1562" width="7" style="44" customWidth="1"/>
    <col min="1563" max="1563" width="8.28515625" style="44" customWidth="1"/>
    <col min="1564" max="1564" width="8.5703125" style="44" customWidth="1"/>
    <col min="1565" max="1565" width="6.5703125" style="44" customWidth="1"/>
    <col min="1566" max="1566" width="7.85546875" style="44" customWidth="1"/>
    <col min="1567" max="1567" width="0" style="44" hidden="1" customWidth="1"/>
    <col min="1568" max="1568" width="10.140625" style="44" bestFit="1" customWidth="1"/>
    <col min="1569" max="1569" width="8.28515625" style="44" customWidth="1"/>
    <col min="1570" max="1792" width="9.28515625" style="44"/>
    <col min="1793" max="1793" width="4.85546875" style="44" customWidth="1"/>
    <col min="1794" max="1794" width="3" style="44" customWidth="1"/>
    <col min="1795" max="1795" width="25.7109375" style="44" customWidth="1"/>
    <col min="1796" max="1797" width="10.28515625" style="44" customWidth="1"/>
    <col min="1798" max="1798" width="7.28515625" style="44" customWidth="1"/>
    <col min="1799" max="1799" width="9.7109375" style="44" customWidth="1"/>
    <col min="1800" max="1800" width="10.28515625" style="44" customWidth="1"/>
    <col min="1801" max="1801" width="10.5703125" style="44" customWidth="1"/>
    <col min="1802" max="1802" width="6.7109375" style="44" customWidth="1"/>
    <col min="1803" max="1803" width="9" style="44" customWidth="1"/>
    <col min="1804" max="1804" width="10.28515625" style="44" customWidth="1"/>
    <col min="1805" max="1805" width="11" style="44" customWidth="1"/>
    <col min="1806" max="1806" width="7.7109375" style="44" customWidth="1"/>
    <col min="1807" max="1807" width="9.7109375" style="44" customWidth="1"/>
    <col min="1808" max="1808" width="10.28515625" style="44" customWidth="1"/>
    <col min="1809" max="1809" width="10.5703125" style="44" customWidth="1"/>
    <col min="1810" max="1810" width="7" style="44" customWidth="1"/>
    <col min="1811" max="1811" width="9" style="44" customWidth="1"/>
    <col min="1812" max="1812" width="8.28515625" style="44" customWidth="1"/>
    <col min="1813" max="1813" width="8" style="44" customWidth="1"/>
    <col min="1814" max="1814" width="6.42578125" style="44" customWidth="1"/>
    <col min="1815" max="1815" width="7.42578125" style="44" bestFit="1" customWidth="1"/>
    <col min="1816" max="1816" width="10" style="44" customWidth="1"/>
    <col min="1817" max="1817" width="5.7109375" style="44" customWidth="1"/>
    <col min="1818" max="1818" width="7" style="44" customWidth="1"/>
    <col min="1819" max="1819" width="8.28515625" style="44" customWidth="1"/>
    <col min="1820" max="1820" width="8.5703125" style="44" customWidth="1"/>
    <col min="1821" max="1821" width="6.5703125" style="44" customWidth="1"/>
    <col min="1822" max="1822" width="7.85546875" style="44" customWidth="1"/>
    <col min="1823" max="1823" width="0" style="44" hidden="1" customWidth="1"/>
    <col min="1824" max="1824" width="10.140625" style="44" bestFit="1" customWidth="1"/>
    <col min="1825" max="1825" width="8.28515625" style="44" customWidth="1"/>
    <col min="1826" max="2048" width="9.28515625" style="44"/>
    <col min="2049" max="2049" width="4.85546875" style="44" customWidth="1"/>
    <col min="2050" max="2050" width="3" style="44" customWidth="1"/>
    <col min="2051" max="2051" width="25.7109375" style="44" customWidth="1"/>
    <col min="2052" max="2053" width="10.28515625" style="44" customWidth="1"/>
    <col min="2054" max="2054" width="7.28515625" style="44" customWidth="1"/>
    <col min="2055" max="2055" width="9.7109375" style="44" customWidth="1"/>
    <col min="2056" max="2056" width="10.28515625" style="44" customWidth="1"/>
    <col min="2057" max="2057" width="10.5703125" style="44" customWidth="1"/>
    <col min="2058" max="2058" width="6.7109375" style="44" customWidth="1"/>
    <col min="2059" max="2059" width="9" style="44" customWidth="1"/>
    <col min="2060" max="2060" width="10.28515625" style="44" customWidth="1"/>
    <col min="2061" max="2061" width="11" style="44" customWidth="1"/>
    <col min="2062" max="2062" width="7.7109375" style="44" customWidth="1"/>
    <col min="2063" max="2063" width="9.7109375" style="44" customWidth="1"/>
    <col min="2064" max="2064" width="10.28515625" style="44" customWidth="1"/>
    <col min="2065" max="2065" width="10.5703125" style="44" customWidth="1"/>
    <col min="2066" max="2066" width="7" style="44" customWidth="1"/>
    <col min="2067" max="2067" width="9" style="44" customWidth="1"/>
    <col min="2068" max="2068" width="8.28515625" style="44" customWidth="1"/>
    <col min="2069" max="2069" width="8" style="44" customWidth="1"/>
    <col min="2070" max="2070" width="6.42578125" style="44" customWidth="1"/>
    <col min="2071" max="2071" width="7.42578125" style="44" bestFit="1" customWidth="1"/>
    <col min="2072" max="2072" width="10" style="44" customWidth="1"/>
    <col min="2073" max="2073" width="5.7109375" style="44" customWidth="1"/>
    <col min="2074" max="2074" width="7" style="44" customWidth="1"/>
    <col min="2075" max="2075" width="8.28515625" style="44" customWidth="1"/>
    <col min="2076" max="2076" width="8.5703125" style="44" customWidth="1"/>
    <col min="2077" max="2077" width="6.5703125" style="44" customWidth="1"/>
    <col min="2078" max="2078" width="7.85546875" style="44" customWidth="1"/>
    <col min="2079" max="2079" width="0" style="44" hidden="1" customWidth="1"/>
    <col min="2080" max="2080" width="10.140625" style="44" bestFit="1" customWidth="1"/>
    <col min="2081" max="2081" width="8.28515625" style="44" customWidth="1"/>
    <col min="2082" max="2304" width="9.28515625" style="44"/>
    <col min="2305" max="2305" width="4.85546875" style="44" customWidth="1"/>
    <col min="2306" max="2306" width="3" style="44" customWidth="1"/>
    <col min="2307" max="2307" width="25.7109375" style="44" customWidth="1"/>
    <col min="2308" max="2309" width="10.28515625" style="44" customWidth="1"/>
    <col min="2310" max="2310" width="7.28515625" style="44" customWidth="1"/>
    <col min="2311" max="2311" width="9.7109375" style="44" customWidth="1"/>
    <col min="2312" max="2312" width="10.28515625" style="44" customWidth="1"/>
    <col min="2313" max="2313" width="10.5703125" style="44" customWidth="1"/>
    <col min="2314" max="2314" width="6.7109375" style="44" customWidth="1"/>
    <col min="2315" max="2315" width="9" style="44" customWidth="1"/>
    <col min="2316" max="2316" width="10.28515625" style="44" customWidth="1"/>
    <col min="2317" max="2317" width="11" style="44" customWidth="1"/>
    <col min="2318" max="2318" width="7.7109375" style="44" customWidth="1"/>
    <col min="2319" max="2319" width="9.7109375" style="44" customWidth="1"/>
    <col min="2320" max="2320" width="10.28515625" style="44" customWidth="1"/>
    <col min="2321" max="2321" width="10.5703125" style="44" customWidth="1"/>
    <col min="2322" max="2322" width="7" style="44" customWidth="1"/>
    <col min="2323" max="2323" width="9" style="44" customWidth="1"/>
    <col min="2324" max="2324" width="8.28515625" style="44" customWidth="1"/>
    <col min="2325" max="2325" width="8" style="44" customWidth="1"/>
    <col min="2326" max="2326" width="6.42578125" style="44" customWidth="1"/>
    <col min="2327" max="2327" width="7.42578125" style="44" bestFit="1" customWidth="1"/>
    <col min="2328" max="2328" width="10" style="44" customWidth="1"/>
    <col min="2329" max="2329" width="5.7109375" style="44" customWidth="1"/>
    <col min="2330" max="2330" width="7" style="44" customWidth="1"/>
    <col min="2331" max="2331" width="8.28515625" style="44" customWidth="1"/>
    <col min="2332" max="2332" width="8.5703125" style="44" customWidth="1"/>
    <col min="2333" max="2333" width="6.5703125" style="44" customWidth="1"/>
    <col min="2334" max="2334" width="7.85546875" style="44" customWidth="1"/>
    <col min="2335" max="2335" width="0" style="44" hidden="1" customWidth="1"/>
    <col min="2336" max="2336" width="10.140625" style="44" bestFit="1" customWidth="1"/>
    <col min="2337" max="2337" width="8.28515625" style="44" customWidth="1"/>
    <col min="2338" max="2560" width="9.28515625" style="44"/>
    <col min="2561" max="2561" width="4.85546875" style="44" customWidth="1"/>
    <col min="2562" max="2562" width="3" style="44" customWidth="1"/>
    <col min="2563" max="2563" width="25.7109375" style="44" customWidth="1"/>
    <col min="2564" max="2565" width="10.28515625" style="44" customWidth="1"/>
    <col min="2566" max="2566" width="7.28515625" style="44" customWidth="1"/>
    <col min="2567" max="2567" width="9.7109375" style="44" customWidth="1"/>
    <col min="2568" max="2568" width="10.28515625" style="44" customWidth="1"/>
    <col min="2569" max="2569" width="10.5703125" style="44" customWidth="1"/>
    <col min="2570" max="2570" width="6.7109375" style="44" customWidth="1"/>
    <col min="2571" max="2571" width="9" style="44" customWidth="1"/>
    <col min="2572" max="2572" width="10.28515625" style="44" customWidth="1"/>
    <col min="2573" max="2573" width="11" style="44" customWidth="1"/>
    <col min="2574" max="2574" width="7.7109375" style="44" customWidth="1"/>
    <col min="2575" max="2575" width="9.7109375" style="44" customWidth="1"/>
    <col min="2576" max="2576" width="10.28515625" style="44" customWidth="1"/>
    <col min="2577" max="2577" width="10.5703125" style="44" customWidth="1"/>
    <col min="2578" max="2578" width="7" style="44" customWidth="1"/>
    <col min="2579" max="2579" width="9" style="44" customWidth="1"/>
    <col min="2580" max="2580" width="8.28515625" style="44" customWidth="1"/>
    <col min="2581" max="2581" width="8" style="44" customWidth="1"/>
    <col min="2582" max="2582" width="6.42578125" style="44" customWidth="1"/>
    <col min="2583" max="2583" width="7.42578125" style="44" bestFit="1" customWidth="1"/>
    <col min="2584" max="2584" width="10" style="44" customWidth="1"/>
    <col min="2585" max="2585" width="5.7109375" style="44" customWidth="1"/>
    <col min="2586" max="2586" width="7" style="44" customWidth="1"/>
    <col min="2587" max="2587" width="8.28515625" style="44" customWidth="1"/>
    <col min="2588" max="2588" width="8.5703125" style="44" customWidth="1"/>
    <col min="2589" max="2589" width="6.5703125" style="44" customWidth="1"/>
    <col min="2590" max="2590" width="7.85546875" style="44" customWidth="1"/>
    <col min="2591" max="2591" width="0" style="44" hidden="1" customWidth="1"/>
    <col min="2592" max="2592" width="10.140625" style="44" bestFit="1" customWidth="1"/>
    <col min="2593" max="2593" width="8.28515625" style="44" customWidth="1"/>
    <col min="2594" max="2816" width="9.28515625" style="44"/>
    <col min="2817" max="2817" width="4.85546875" style="44" customWidth="1"/>
    <col min="2818" max="2818" width="3" style="44" customWidth="1"/>
    <col min="2819" max="2819" width="25.7109375" style="44" customWidth="1"/>
    <col min="2820" max="2821" width="10.28515625" style="44" customWidth="1"/>
    <col min="2822" max="2822" width="7.28515625" style="44" customWidth="1"/>
    <col min="2823" max="2823" width="9.7109375" style="44" customWidth="1"/>
    <col min="2824" max="2824" width="10.28515625" style="44" customWidth="1"/>
    <col min="2825" max="2825" width="10.5703125" style="44" customWidth="1"/>
    <col min="2826" max="2826" width="6.7109375" style="44" customWidth="1"/>
    <col min="2827" max="2827" width="9" style="44" customWidth="1"/>
    <col min="2828" max="2828" width="10.28515625" style="44" customWidth="1"/>
    <col min="2829" max="2829" width="11" style="44" customWidth="1"/>
    <col min="2830" max="2830" width="7.7109375" style="44" customWidth="1"/>
    <col min="2831" max="2831" width="9.7109375" style="44" customWidth="1"/>
    <col min="2832" max="2832" width="10.28515625" style="44" customWidth="1"/>
    <col min="2833" max="2833" width="10.5703125" style="44" customWidth="1"/>
    <col min="2834" max="2834" width="7" style="44" customWidth="1"/>
    <col min="2835" max="2835" width="9" style="44" customWidth="1"/>
    <col min="2836" max="2836" width="8.28515625" style="44" customWidth="1"/>
    <col min="2837" max="2837" width="8" style="44" customWidth="1"/>
    <col min="2838" max="2838" width="6.42578125" style="44" customWidth="1"/>
    <col min="2839" max="2839" width="7.42578125" style="44" bestFit="1" customWidth="1"/>
    <col min="2840" max="2840" width="10" style="44" customWidth="1"/>
    <col min="2841" max="2841" width="5.7109375" style="44" customWidth="1"/>
    <col min="2842" max="2842" width="7" style="44" customWidth="1"/>
    <col min="2843" max="2843" width="8.28515625" style="44" customWidth="1"/>
    <col min="2844" max="2844" width="8.5703125" style="44" customWidth="1"/>
    <col min="2845" max="2845" width="6.5703125" style="44" customWidth="1"/>
    <col min="2846" max="2846" width="7.85546875" style="44" customWidth="1"/>
    <col min="2847" max="2847" width="0" style="44" hidden="1" customWidth="1"/>
    <col min="2848" max="2848" width="10.140625" style="44" bestFit="1" customWidth="1"/>
    <col min="2849" max="2849" width="8.28515625" style="44" customWidth="1"/>
    <col min="2850" max="3072" width="9.28515625" style="44"/>
    <col min="3073" max="3073" width="4.85546875" style="44" customWidth="1"/>
    <col min="3074" max="3074" width="3" style="44" customWidth="1"/>
    <col min="3075" max="3075" width="25.7109375" style="44" customWidth="1"/>
    <col min="3076" max="3077" width="10.28515625" style="44" customWidth="1"/>
    <col min="3078" max="3078" width="7.28515625" style="44" customWidth="1"/>
    <col min="3079" max="3079" width="9.7109375" style="44" customWidth="1"/>
    <col min="3080" max="3080" width="10.28515625" style="44" customWidth="1"/>
    <col min="3081" max="3081" width="10.5703125" style="44" customWidth="1"/>
    <col min="3082" max="3082" width="6.7109375" style="44" customWidth="1"/>
    <col min="3083" max="3083" width="9" style="44" customWidth="1"/>
    <col min="3084" max="3084" width="10.28515625" style="44" customWidth="1"/>
    <col min="3085" max="3085" width="11" style="44" customWidth="1"/>
    <col min="3086" max="3086" width="7.7109375" style="44" customWidth="1"/>
    <col min="3087" max="3087" width="9.7109375" style="44" customWidth="1"/>
    <col min="3088" max="3088" width="10.28515625" style="44" customWidth="1"/>
    <col min="3089" max="3089" width="10.5703125" style="44" customWidth="1"/>
    <col min="3090" max="3090" width="7" style="44" customWidth="1"/>
    <col min="3091" max="3091" width="9" style="44" customWidth="1"/>
    <col min="3092" max="3092" width="8.28515625" style="44" customWidth="1"/>
    <col min="3093" max="3093" width="8" style="44" customWidth="1"/>
    <col min="3094" max="3094" width="6.42578125" style="44" customWidth="1"/>
    <col min="3095" max="3095" width="7.42578125" style="44" bestFit="1" customWidth="1"/>
    <col min="3096" max="3096" width="10" style="44" customWidth="1"/>
    <col min="3097" max="3097" width="5.7109375" style="44" customWidth="1"/>
    <col min="3098" max="3098" width="7" style="44" customWidth="1"/>
    <col min="3099" max="3099" width="8.28515625" style="44" customWidth="1"/>
    <col min="3100" max="3100" width="8.5703125" style="44" customWidth="1"/>
    <col min="3101" max="3101" width="6.5703125" style="44" customWidth="1"/>
    <col min="3102" max="3102" width="7.85546875" style="44" customWidth="1"/>
    <col min="3103" max="3103" width="0" style="44" hidden="1" customWidth="1"/>
    <col min="3104" max="3104" width="10.140625" style="44" bestFit="1" customWidth="1"/>
    <col min="3105" max="3105" width="8.28515625" style="44" customWidth="1"/>
    <col min="3106" max="3328" width="9.28515625" style="44"/>
    <col min="3329" max="3329" width="4.85546875" style="44" customWidth="1"/>
    <col min="3330" max="3330" width="3" style="44" customWidth="1"/>
    <col min="3331" max="3331" width="25.7109375" style="44" customWidth="1"/>
    <col min="3332" max="3333" width="10.28515625" style="44" customWidth="1"/>
    <col min="3334" max="3334" width="7.28515625" style="44" customWidth="1"/>
    <col min="3335" max="3335" width="9.7109375" style="44" customWidth="1"/>
    <col min="3336" max="3336" width="10.28515625" style="44" customWidth="1"/>
    <col min="3337" max="3337" width="10.5703125" style="44" customWidth="1"/>
    <col min="3338" max="3338" width="6.7109375" style="44" customWidth="1"/>
    <col min="3339" max="3339" width="9" style="44" customWidth="1"/>
    <col min="3340" max="3340" width="10.28515625" style="44" customWidth="1"/>
    <col min="3341" max="3341" width="11" style="44" customWidth="1"/>
    <col min="3342" max="3342" width="7.7109375" style="44" customWidth="1"/>
    <col min="3343" max="3343" width="9.7109375" style="44" customWidth="1"/>
    <col min="3344" max="3344" width="10.28515625" style="44" customWidth="1"/>
    <col min="3345" max="3345" width="10.5703125" style="44" customWidth="1"/>
    <col min="3346" max="3346" width="7" style="44" customWidth="1"/>
    <col min="3347" max="3347" width="9" style="44" customWidth="1"/>
    <col min="3348" max="3348" width="8.28515625" style="44" customWidth="1"/>
    <col min="3349" max="3349" width="8" style="44" customWidth="1"/>
    <col min="3350" max="3350" width="6.42578125" style="44" customWidth="1"/>
    <col min="3351" max="3351" width="7.42578125" style="44" bestFit="1" customWidth="1"/>
    <col min="3352" max="3352" width="10" style="44" customWidth="1"/>
    <col min="3353" max="3353" width="5.7109375" style="44" customWidth="1"/>
    <col min="3354" max="3354" width="7" style="44" customWidth="1"/>
    <col min="3355" max="3355" width="8.28515625" style="44" customWidth="1"/>
    <col min="3356" max="3356" width="8.5703125" style="44" customWidth="1"/>
    <col min="3357" max="3357" width="6.5703125" style="44" customWidth="1"/>
    <col min="3358" max="3358" width="7.85546875" style="44" customWidth="1"/>
    <col min="3359" max="3359" width="0" style="44" hidden="1" customWidth="1"/>
    <col min="3360" max="3360" width="10.140625" style="44" bestFit="1" customWidth="1"/>
    <col min="3361" max="3361" width="8.28515625" style="44" customWidth="1"/>
    <col min="3362" max="3584" width="9.28515625" style="44"/>
    <col min="3585" max="3585" width="4.85546875" style="44" customWidth="1"/>
    <col min="3586" max="3586" width="3" style="44" customWidth="1"/>
    <col min="3587" max="3587" width="25.7109375" style="44" customWidth="1"/>
    <col min="3588" max="3589" width="10.28515625" style="44" customWidth="1"/>
    <col min="3590" max="3590" width="7.28515625" style="44" customWidth="1"/>
    <col min="3591" max="3591" width="9.7109375" style="44" customWidth="1"/>
    <col min="3592" max="3592" width="10.28515625" style="44" customWidth="1"/>
    <col min="3593" max="3593" width="10.5703125" style="44" customWidth="1"/>
    <col min="3594" max="3594" width="6.7109375" style="44" customWidth="1"/>
    <col min="3595" max="3595" width="9" style="44" customWidth="1"/>
    <col min="3596" max="3596" width="10.28515625" style="44" customWidth="1"/>
    <col min="3597" max="3597" width="11" style="44" customWidth="1"/>
    <col min="3598" max="3598" width="7.7109375" style="44" customWidth="1"/>
    <col min="3599" max="3599" width="9.7109375" style="44" customWidth="1"/>
    <col min="3600" max="3600" width="10.28515625" style="44" customWidth="1"/>
    <col min="3601" max="3601" width="10.5703125" style="44" customWidth="1"/>
    <col min="3602" max="3602" width="7" style="44" customWidth="1"/>
    <col min="3603" max="3603" width="9" style="44" customWidth="1"/>
    <col min="3604" max="3604" width="8.28515625" style="44" customWidth="1"/>
    <col min="3605" max="3605" width="8" style="44" customWidth="1"/>
    <col min="3606" max="3606" width="6.42578125" style="44" customWidth="1"/>
    <col min="3607" max="3607" width="7.42578125" style="44" bestFit="1" customWidth="1"/>
    <col min="3608" max="3608" width="10" style="44" customWidth="1"/>
    <col min="3609" max="3609" width="5.7109375" style="44" customWidth="1"/>
    <col min="3610" max="3610" width="7" style="44" customWidth="1"/>
    <col min="3611" max="3611" width="8.28515625" style="44" customWidth="1"/>
    <col min="3612" max="3612" width="8.5703125" style="44" customWidth="1"/>
    <col min="3613" max="3613" width="6.5703125" style="44" customWidth="1"/>
    <col min="3614" max="3614" width="7.85546875" style="44" customWidth="1"/>
    <col min="3615" max="3615" width="0" style="44" hidden="1" customWidth="1"/>
    <col min="3616" max="3616" width="10.140625" style="44" bestFit="1" customWidth="1"/>
    <col min="3617" max="3617" width="8.28515625" style="44" customWidth="1"/>
    <col min="3618" max="3840" width="9.28515625" style="44"/>
    <col min="3841" max="3841" width="4.85546875" style="44" customWidth="1"/>
    <col min="3842" max="3842" width="3" style="44" customWidth="1"/>
    <col min="3843" max="3843" width="25.7109375" style="44" customWidth="1"/>
    <col min="3844" max="3845" width="10.28515625" style="44" customWidth="1"/>
    <col min="3846" max="3846" width="7.28515625" style="44" customWidth="1"/>
    <col min="3847" max="3847" width="9.7109375" style="44" customWidth="1"/>
    <col min="3848" max="3848" width="10.28515625" style="44" customWidth="1"/>
    <col min="3849" max="3849" width="10.5703125" style="44" customWidth="1"/>
    <col min="3850" max="3850" width="6.7109375" style="44" customWidth="1"/>
    <col min="3851" max="3851" width="9" style="44" customWidth="1"/>
    <col min="3852" max="3852" width="10.28515625" style="44" customWidth="1"/>
    <col min="3853" max="3853" width="11" style="44" customWidth="1"/>
    <col min="3854" max="3854" width="7.7109375" style="44" customWidth="1"/>
    <col min="3855" max="3855" width="9.7109375" style="44" customWidth="1"/>
    <col min="3856" max="3856" width="10.28515625" style="44" customWidth="1"/>
    <col min="3857" max="3857" width="10.5703125" style="44" customWidth="1"/>
    <col min="3858" max="3858" width="7" style="44" customWidth="1"/>
    <col min="3859" max="3859" width="9" style="44" customWidth="1"/>
    <col min="3860" max="3860" width="8.28515625" style="44" customWidth="1"/>
    <col min="3861" max="3861" width="8" style="44" customWidth="1"/>
    <col min="3862" max="3862" width="6.42578125" style="44" customWidth="1"/>
    <col min="3863" max="3863" width="7.42578125" style="44" bestFit="1" customWidth="1"/>
    <col min="3864" max="3864" width="10" style="44" customWidth="1"/>
    <col min="3865" max="3865" width="5.7109375" style="44" customWidth="1"/>
    <col min="3866" max="3866" width="7" style="44" customWidth="1"/>
    <col min="3867" max="3867" width="8.28515625" style="44" customWidth="1"/>
    <col min="3868" max="3868" width="8.5703125" style="44" customWidth="1"/>
    <col min="3869" max="3869" width="6.5703125" style="44" customWidth="1"/>
    <col min="3870" max="3870" width="7.85546875" style="44" customWidth="1"/>
    <col min="3871" max="3871" width="0" style="44" hidden="1" customWidth="1"/>
    <col min="3872" max="3872" width="10.140625" style="44" bestFit="1" customWidth="1"/>
    <col min="3873" max="3873" width="8.28515625" style="44" customWidth="1"/>
    <col min="3874" max="4096" width="9.28515625" style="44"/>
    <col min="4097" max="4097" width="4.85546875" style="44" customWidth="1"/>
    <col min="4098" max="4098" width="3" style="44" customWidth="1"/>
    <col min="4099" max="4099" width="25.7109375" style="44" customWidth="1"/>
    <col min="4100" max="4101" width="10.28515625" style="44" customWidth="1"/>
    <col min="4102" max="4102" width="7.28515625" style="44" customWidth="1"/>
    <col min="4103" max="4103" width="9.7109375" style="44" customWidth="1"/>
    <col min="4104" max="4104" width="10.28515625" style="44" customWidth="1"/>
    <col min="4105" max="4105" width="10.5703125" style="44" customWidth="1"/>
    <col min="4106" max="4106" width="6.7109375" style="44" customWidth="1"/>
    <col min="4107" max="4107" width="9" style="44" customWidth="1"/>
    <col min="4108" max="4108" width="10.28515625" style="44" customWidth="1"/>
    <col min="4109" max="4109" width="11" style="44" customWidth="1"/>
    <col min="4110" max="4110" width="7.7109375" style="44" customWidth="1"/>
    <col min="4111" max="4111" width="9.7109375" style="44" customWidth="1"/>
    <col min="4112" max="4112" width="10.28515625" style="44" customWidth="1"/>
    <col min="4113" max="4113" width="10.5703125" style="44" customWidth="1"/>
    <col min="4114" max="4114" width="7" style="44" customWidth="1"/>
    <col min="4115" max="4115" width="9" style="44" customWidth="1"/>
    <col min="4116" max="4116" width="8.28515625" style="44" customWidth="1"/>
    <col min="4117" max="4117" width="8" style="44" customWidth="1"/>
    <col min="4118" max="4118" width="6.42578125" style="44" customWidth="1"/>
    <col min="4119" max="4119" width="7.42578125" style="44" bestFit="1" customWidth="1"/>
    <col min="4120" max="4120" width="10" style="44" customWidth="1"/>
    <col min="4121" max="4121" width="5.7109375" style="44" customWidth="1"/>
    <col min="4122" max="4122" width="7" style="44" customWidth="1"/>
    <col min="4123" max="4123" width="8.28515625" style="44" customWidth="1"/>
    <col min="4124" max="4124" width="8.5703125" style="44" customWidth="1"/>
    <col min="4125" max="4125" width="6.5703125" style="44" customWidth="1"/>
    <col min="4126" max="4126" width="7.85546875" style="44" customWidth="1"/>
    <col min="4127" max="4127" width="0" style="44" hidden="1" customWidth="1"/>
    <col min="4128" max="4128" width="10.140625" style="44" bestFit="1" customWidth="1"/>
    <col min="4129" max="4129" width="8.28515625" style="44" customWidth="1"/>
    <col min="4130" max="4352" width="9.28515625" style="44"/>
    <col min="4353" max="4353" width="4.85546875" style="44" customWidth="1"/>
    <col min="4354" max="4354" width="3" style="44" customWidth="1"/>
    <col min="4355" max="4355" width="25.7109375" style="44" customWidth="1"/>
    <col min="4356" max="4357" width="10.28515625" style="44" customWidth="1"/>
    <col min="4358" max="4358" width="7.28515625" style="44" customWidth="1"/>
    <col min="4359" max="4359" width="9.7109375" style="44" customWidth="1"/>
    <col min="4360" max="4360" width="10.28515625" style="44" customWidth="1"/>
    <col min="4361" max="4361" width="10.5703125" style="44" customWidth="1"/>
    <col min="4362" max="4362" width="6.7109375" style="44" customWidth="1"/>
    <col min="4363" max="4363" width="9" style="44" customWidth="1"/>
    <col min="4364" max="4364" width="10.28515625" style="44" customWidth="1"/>
    <col min="4365" max="4365" width="11" style="44" customWidth="1"/>
    <col min="4366" max="4366" width="7.7109375" style="44" customWidth="1"/>
    <col min="4367" max="4367" width="9.7109375" style="44" customWidth="1"/>
    <col min="4368" max="4368" width="10.28515625" style="44" customWidth="1"/>
    <col min="4369" max="4369" width="10.5703125" style="44" customWidth="1"/>
    <col min="4370" max="4370" width="7" style="44" customWidth="1"/>
    <col min="4371" max="4371" width="9" style="44" customWidth="1"/>
    <col min="4372" max="4372" width="8.28515625" style="44" customWidth="1"/>
    <col min="4373" max="4373" width="8" style="44" customWidth="1"/>
    <col min="4374" max="4374" width="6.42578125" style="44" customWidth="1"/>
    <col min="4375" max="4375" width="7.42578125" style="44" bestFit="1" customWidth="1"/>
    <col min="4376" max="4376" width="10" style="44" customWidth="1"/>
    <col min="4377" max="4377" width="5.7109375" style="44" customWidth="1"/>
    <col min="4378" max="4378" width="7" style="44" customWidth="1"/>
    <col min="4379" max="4379" width="8.28515625" style="44" customWidth="1"/>
    <col min="4380" max="4380" width="8.5703125" style="44" customWidth="1"/>
    <col min="4381" max="4381" width="6.5703125" style="44" customWidth="1"/>
    <col min="4382" max="4382" width="7.85546875" style="44" customWidth="1"/>
    <col min="4383" max="4383" width="0" style="44" hidden="1" customWidth="1"/>
    <col min="4384" max="4384" width="10.140625" style="44" bestFit="1" customWidth="1"/>
    <col min="4385" max="4385" width="8.28515625" style="44" customWidth="1"/>
    <col min="4386" max="4608" width="9.28515625" style="44"/>
    <col min="4609" max="4609" width="4.85546875" style="44" customWidth="1"/>
    <col min="4610" max="4610" width="3" style="44" customWidth="1"/>
    <col min="4611" max="4611" width="25.7109375" style="44" customWidth="1"/>
    <col min="4612" max="4613" width="10.28515625" style="44" customWidth="1"/>
    <col min="4614" max="4614" width="7.28515625" style="44" customWidth="1"/>
    <col min="4615" max="4615" width="9.7109375" style="44" customWidth="1"/>
    <col min="4616" max="4616" width="10.28515625" style="44" customWidth="1"/>
    <col min="4617" max="4617" width="10.5703125" style="44" customWidth="1"/>
    <col min="4618" max="4618" width="6.7109375" style="44" customWidth="1"/>
    <col min="4619" max="4619" width="9" style="44" customWidth="1"/>
    <col min="4620" max="4620" width="10.28515625" style="44" customWidth="1"/>
    <col min="4621" max="4621" width="11" style="44" customWidth="1"/>
    <col min="4622" max="4622" width="7.7109375" style="44" customWidth="1"/>
    <col min="4623" max="4623" width="9.7109375" style="44" customWidth="1"/>
    <col min="4624" max="4624" width="10.28515625" style="44" customWidth="1"/>
    <col min="4625" max="4625" width="10.5703125" style="44" customWidth="1"/>
    <col min="4626" max="4626" width="7" style="44" customWidth="1"/>
    <col min="4627" max="4627" width="9" style="44" customWidth="1"/>
    <col min="4628" max="4628" width="8.28515625" style="44" customWidth="1"/>
    <col min="4629" max="4629" width="8" style="44" customWidth="1"/>
    <col min="4630" max="4630" width="6.42578125" style="44" customWidth="1"/>
    <col min="4631" max="4631" width="7.42578125" style="44" bestFit="1" customWidth="1"/>
    <col min="4632" max="4632" width="10" style="44" customWidth="1"/>
    <col min="4633" max="4633" width="5.7109375" style="44" customWidth="1"/>
    <col min="4634" max="4634" width="7" style="44" customWidth="1"/>
    <col min="4635" max="4635" width="8.28515625" style="44" customWidth="1"/>
    <col min="4636" max="4636" width="8.5703125" style="44" customWidth="1"/>
    <col min="4637" max="4637" width="6.5703125" style="44" customWidth="1"/>
    <col min="4638" max="4638" width="7.85546875" style="44" customWidth="1"/>
    <col min="4639" max="4639" width="0" style="44" hidden="1" customWidth="1"/>
    <col min="4640" max="4640" width="10.140625" style="44" bestFit="1" customWidth="1"/>
    <col min="4641" max="4641" width="8.28515625" style="44" customWidth="1"/>
    <col min="4642" max="4864" width="9.28515625" style="44"/>
    <col min="4865" max="4865" width="4.85546875" style="44" customWidth="1"/>
    <col min="4866" max="4866" width="3" style="44" customWidth="1"/>
    <col min="4867" max="4867" width="25.7109375" style="44" customWidth="1"/>
    <col min="4868" max="4869" width="10.28515625" style="44" customWidth="1"/>
    <col min="4870" max="4870" width="7.28515625" style="44" customWidth="1"/>
    <col min="4871" max="4871" width="9.7109375" style="44" customWidth="1"/>
    <col min="4872" max="4872" width="10.28515625" style="44" customWidth="1"/>
    <col min="4873" max="4873" width="10.5703125" style="44" customWidth="1"/>
    <col min="4874" max="4874" width="6.7109375" style="44" customWidth="1"/>
    <col min="4875" max="4875" width="9" style="44" customWidth="1"/>
    <col min="4876" max="4876" width="10.28515625" style="44" customWidth="1"/>
    <col min="4877" max="4877" width="11" style="44" customWidth="1"/>
    <col min="4878" max="4878" width="7.7109375" style="44" customWidth="1"/>
    <col min="4879" max="4879" width="9.7109375" style="44" customWidth="1"/>
    <col min="4880" max="4880" width="10.28515625" style="44" customWidth="1"/>
    <col min="4881" max="4881" width="10.5703125" style="44" customWidth="1"/>
    <col min="4882" max="4882" width="7" style="44" customWidth="1"/>
    <col min="4883" max="4883" width="9" style="44" customWidth="1"/>
    <col min="4884" max="4884" width="8.28515625" style="44" customWidth="1"/>
    <col min="4885" max="4885" width="8" style="44" customWidth="1"/>
    <col min="4886" max="4886" width="6.42578125" style="44" customWidth="1"/>
    <col min="4887" max="4887" width="7.42578125" style="44" bestFit="1" customWidth="1"/>
    <col min="4888" max="4888" width="10" style="44" customWidth="1"/>
    <col min="4889" max="4889" width="5.7109375" style="44" customWidth="1"/>
    <col min="4890" max="4890" width="7" style="44" customWidth="1"/>
    <col min="4891" max="4891" width="8.28515625" style="44" customWidth="1"/>
    <col min="4892" max="4892" width="8.5703125" style="44" customWidth="1"/>
    <col min="4893" max="4893" width="6.5703125" style="44" customWidth="1"/>
    <col min="4894" max="4894" width="7.85546875" style="44" customWidth="1"/>
    <col min="4895" max="4895" width="0" style="44" hidden="1" customWidth="1"/>
    <col min="4896" max="4896" width="10.140625" style="44" bestFit="1" customWidth="1"/>
    <col min="4897" max="4897" width="8.28515625" style="44" customWidth="1"/>
    <col min="4898" max="5120" width="9.28515625" style="44"/>
    <col min="5121" max="5121" width="4.85546875" style="44" customWidth="1"/>
    <col min="5122" max="5122" width="3" style="44" customWidth="1"/>
    <col min="5123" max="5123" width="25.7109375" style="44" customWidth="1"/>
    <col min="5124" max="5125" width="10.28515625" style="44" customWidth="1"/>
    <col min="5126" max="5126" width="7.28515625" style="44" customWidth="1"/>
    <col min="5127" max="5127" width="9.7109375" style="44" customWidth="1"/>
    <col min="5128" max="5128" width="10.28515625" style="44" customWidth="1"/>
    <col min="5129" max="5129" width="10.5703125" style="44" customWidth="1"/>
    <col min="5130" max="5130" width="6.7109375" style="44" customWidth="1"/>
    <col min="5131" max="5131" width="9" style="44" customWidth="1"/>
    <col min="5132" max="5132" width="10.28515625" style="44" customWidth="1"/>
    <col min="5133" max="5133" width="11" style="44" customWidth="1"/>
    <col min="5134" max="5134" width="7.7109375" style="44" customWidth="1"/>
    <col min="5135" max="5135" width="9.7109375" style="44" customWidth="1"/>
    <col min="5136" max="5136" width="10.28515625" style="44" customWidth="1"/>
    <col min="5137" max="5137" width="10.5703125" style="44" customWidth="1"/>
    <col min="5138" max="5138" width="7" style="44" customWidth="1"/>
    <col min="5139" max="5139" width="9" style="44" customWidth="1"/>
    <col min="5140" max="5140" width="8.28515625" style="44" customWidth="1"/>
    <col min="5141" max="5141" width="8" style="44" customWidth="1"/>
    <col min="5142" max="5142" width="6.42578125" style="44" customWidth="1"/>
    <col min="5143" max="5143" width="7.42578125" style="44" bestFit="1" customWidth="1"/>
    <col min="5144" max="5144" width="10" style="44" customWidth="1"/>
    <col min="5145" max="5145" width="5.7109375" style="44" customWidth="1"/>
    <col min="5146" max="5146" width="7" style="44" customWidth="1"/>
    <col min="5147" max="5147" width="8.28515625" style="44" customWidth="1"/>
    <col min="5148" max="5148" width="8.5703125" style="44" customWidth="1"/>
    <col min="5149" max="5149" width="6.5703125" style="44" customWidth="1"/>
    <col min="5150" max="5150" width="7.85546875" style="44" customWidth="1"/>
    <col min="5151" max="5151" width="0" style="44" hidden="1" customWidth="1"/>
    <col min="5152" max="5152" width="10.140625" style="44" bestFit="1" customWidth="1"/>
    <col min="5153" max="5153" width="8.28515625" style="44" customWidth="1"/>
    <col min="5154" max="5376" width="9.28515625" style="44"/>
    <col min="5377" max="5377" width="4.85546875" style="44" customWidth="1"/>
    <col min="5378" max="5378" width="3" style="44" customWidth="1"/>
    <col min="5379" max="5379" width="25.7109375" style="44" customWidth="1"/>
    <col min="5380" max="5381" width="10.28515625" style="44" customWidth="1"/>
    <col min="5382" max="5382" width="7.28515625" style="44" customWidth="1"/>
    <col min="5383" max="5383" width="9.7109375" style="44" customWidth="1"/>
    <col min="5384" max="5384" width="10.28515625" style="44" customWidth="1"/>
    <col min="5385" max="5385" width="10.5703125" style="44" customWidth="1"/>
    <col min="5386" max="5386" width="6.7109375" style="44" customWidth="1"/>
    <col min="5387" max="5387" width="9" style="44" customWidth="1"/>
    <col min="5388" max="5388" width="10.28515625" style="44" customWidth="1"/>
    <col min="5389" max="5389" width="11" style="44" customWidth="1"/>
    <col min="5390" max="5390" width="7.7109375" style="44" customWidth="1"/>
    <col min="5391" max="5391" width="9.7109375" style="44" customWidth="1"/>
    <col min="5392" max="5392" width="10.28515625" style="44" customWidth="1"/>
    <col min="5393" max="5393" width="10.5703125" style="44" customWidth="1"/>
    <col min="5394" max="5394" width="7" style="44" customWidth="1"/>
    <col min="5395" max="5395" width="9" style="44" customWidth="1"/>
    <col min="5396" max="5396" width="8.28515625" style="44" customWidth="1"/>
    <col min="5397" max="5397" width="8" style="44" customWidth="1"/>
    <col min="5398" max="5398" width="6.42578125" style="44" customWidth="1"/>
    <col min="5399" max="5399" width="7.42578125" style="44" bestFit="1" customWidth="1"/>
    <col min="5400" max="5400" width="10" style="44" customWidth="1"/>
    <col min="5401" max="5401" width="5.7109375" style="44" customWidth="1"/>
    <col min="5402" max="5402" width="7" style="44" customWidth="1"/>
    <col min="5403" max="5403" width="8.28515625" style="44" customWidth="1"/>
    <col min="5404" max="5404" width="8.5703125" style="44" customWidth="1"/>
    <col min="5405" max="5405" width="6.5703125" style="44" customWidth="1"/>
    <col min="5406" max="5406" width="7.85546875" style="44" customWidth="1"/>
    <col min="5407" max="5407" width="0" style="44" hidden="1" customWidth="1"/>
    <col min="5408" max="5408" width="10.140625" style="44" bestFit="1" customWidth="1"/>
    <col min="5409" max="5409" width="8.28515625" style="44" customWidth="1"/>
    <col min="5410" max="5632" width="9.28515625" style="44"/>
    <col min="5633" max="5633" width="4.85546875" style="44" customWidth="1"/>
    <col min="5634" max="5634" width="3" style="44" customWidth="1"/>
    <col min="5635" max="5635" width="25.7109375" style="44" customWidth="1"/>
    <col min="5636" max="5637" width="10.28515625" style="44" customWidth="1"/>
    <col min="5638" max="5638" width="7.28515625" style="44" customWidth="1"/>
    <col min="5639" max="5639" width="9.7109375" style="44" customWidth="1"/>
    <col min="5640" max="5640" width="10.28515625" style="44" customWidth="1"/>
    <col min="5641" max="5641" width="10.5703125" style="44" customWidth="1"/>
    <col min="5642" max="5642" width="6.7109375" style="44" customWidth="1"/>
    <col min="5643" max="5643" width="9" style="44" customWidth="1"/>
    <col min="5644" max="5644" width="10.28515625" style="44" customWidth="1"/>
    <col min="5645" max="5645" width="11" style="44" customWidth="1"/>
    <col min="5646" max="5646" width="7.7109375" style="44" customWidth="1"/>
    <col min="5647" max="5647" width="9.7109375" style="44" customWidth="1"/>
    <col min="5648" max="5648" width="10.28515625" style="44" customWidth="1"/>
    <col min="5649" max="5649" width="10.5703125" style="44" customWidth="1"/>
    <col min="5650" max="5650" width="7" style="44" customWidth="1"/>
    <col min="5651" max="5651" width="9" style="44" customWidth="1"/>
    <col min="5652" max="5652" width="8.28515625" style="44" customWidth="1"/>
    <col min="5653" max="5653" width="8" style="44" customWidth="1"/>
    <col min="5654" max="5654" width="6.42578125" style="44" customWidth="1"/>
    <col min="5655" max="5655" width="7.42578125" style="44" bestFit="1" customWidth="1"/>
    <col min="5656" max="5656" width="10" style="44" customWidth="1"/>
    <col min="5657" max="5657" width="5.7109375" style="44" customWidth="1"/>
    <col min="5658" max="5658" width="7" style="44" customWidth="1"/>
    <col min="5659" max="5659" width="8.28515625" style="44" customWidth="1"/>
    <col min="5660" max="5660" width="8.5703125" style="44" customWidth="1"/>
    <col min="5661" max="5661" width="6.5703125" style="44" customWidth="1"/>
    <col min="5662" max="5662" width="7.85546875" style="44" customWidth="1"/>
    <col min="5663" max="5663" width="0" style="44" hidden="1" customWidth="1"/>
    <col min="5664" max="5664" width="10.140625" style="44" bestFit="1" customWidth="1"/>
    <col min="5665" max="5665" width="8.28515625" style="44" customWidth="1"/>
    <col min="5666" max="5888" width="9.28515625" style="44"/>
    <col min="5889" max="5889" width="4.85546875" style="44" customWidth="1"/>
    <col min="5890" max="5890" width="3" style="44" customWidth="1"/>
    <col min="5891" max="5891" width="25.7109375" style="44" customWidth="1"/>
    <col min="5892" max="5893" width="10.28515625" style="44" customWidth="1"/>
    <col min="5894" max="5894" width="7.28515625" style="44" customWidth="1"/>
    <col min="5895" max="5895" width="9.7109375" style="44" customWidth="1"/>
    <col min="5896" max="5896" width="10.28515625" style="44" customWidth="1"/>
    <col min="5897" max="5897" width="10.5703125" style="44" customWidth="1"/>
    <col min="5898" max="5898" width="6.7109375" style="44" customWidth="1"/>
    <col min="5899" max="5899" width="9" style="44" customWidth="1"/>
    <col min="5900" max="5900" width="10.28515625" style="44" customWidth="1"/>
    <col min="5901" max="5901" width="11" style="44" customWidth="1"/>
    <col min="5902" max="5902" width="7.7109375" style="44" customWidth="1"/>
    <col min="5903" max="5903" width="9.7109375" style="44" customWidth="1"/>
    <col min="5904" max="5904" width="10.28515625" style="44" customWidth="1"/>
    <col min="5905" max="5905" width="10.5703125" style="44" customWidth="1"/>
    <col min="5906" max="5906" width="7" style="44" customWidth="1"/>
    <col min="5907" max="5907" width="9" style="44" customWidth="1"/>
    <col min="5908" max="5908" width="8.28515625" style="44" customWidth="1"/>
    <col min="5909" max="5909" width="8" style="44" customWidth="1"/>
    <col min="5910" max="5910" width="6.42578125" style="44" customWidth="1"/>
    <col min="5911" max="5911" width="7.42578125" style="44" bestFit="1" customWidth="1"/>
    <col min="5912" max="5912" width="10" style="44" customWidth="1"/>
    <col min="5913" max="5913" width="5.7109375" style="44" customWidth="1"/>
    <col min="5914" max="5914" width="7" style="44" customWidth="1"/>
    <col min="5915" max="5915" width="8.28515625" style="44" customWidth="1"/>
    <col min="5916" max="5916" width="8.5703125" style="44" customWidth="1"/>
    <col min="5917" max="5917" width="6.5703125" style="44" customWidth="1"/>
    <col min="5918" max="5918" width="7.85546875" style="44" customWidth="1"/>
    <col min="5919" max="5919" width="0" style="44" hidden="1" customWidth="1"/>
    <col min="5920" max="5920" width="10.140625" style="44" bestFit="1" customWidth="1"/>
    <col min="5921" max="5921" width="8.28515625" style="44" customWidth="1"/>
    <col min="5922" max="6144" width="9.28515625" style="44"/>
    <col min="6145" max="6145" width="4.85546875" style="44" customWidth="1"/>
    <col min="6146" max="6146" width="3" style="44" customWidth="1"/>
    <col min="6147" max="6147" width="25.7109375" style="44" customWidth="1"/>
    <col min="6148" max="6149" width="10.28515625" style="44" customWidth="1"/>
    <col min="6150" max="6150" width="7.28515625" style="44" customWidth="1"/>
    <col min="6151" max="6151" width="9.7109375" style="44" customWidth="1"/>
    <col min="6152" max="6152" width="10.28515625" style="44" customWidth="1"/>
    <col min="6153" max="6153" width="10.5703125" style="44" customWidth="1"/>
    <col min="6154" max="6154" width="6.7109375" style="44" customWidth="1"/>
    <col min="6155" max="6155" width="9" style="44" customWidth="1"/>
    <col min="6156" max="6156" width="10.28515625" style="44" customWidth="1"/>
    <col min="6157" max="6157" width="11" style="44" customWidth="1"/>
    <col min="6158" max="6158" width="7.7109375" style="44" customWidth="1"/>
    <col min="6159" max="6159" width="9.7109375" style="44" customWidth="1"/>
    <col min="6160" max="6160" width="10.28515625" style="44" customWidth="1"/>
    <col min="6161" max="6161" width="10.5703125" style="44" customWidth="1"/>
    <col min="6162" max="6162" width="7" style="44" customWidth="1"/>
    <col min="6163" max="6163" width="9" style="44" customWidth="1"/>
    <col min="6164" max="6164" width="8.28515625" style="44" customWidth="1"/>
    <col min="6165" max="6165" width="8" style="44" customWidth="1"/>
    <col min="6166" max="6166" width="6.42578125" style="44" customWidth="1"/>
    <col min="6167" max="6167" width="7.42578125" style="44" bestFit="1" customWidth="1"/>
    <col min="6168" max="6168" width="10" style="44" customWidth="1"/>
    <col min="6169" max="6169" width="5.7109375" style="44" customWidth="1"/>
    <col min="6170" max="6170" width="7" style="44" customWidth="1"/>
    <col min="6171" max="6171" width="8.28515625" style="44" customWidth="1"/>
    <col min="6172" max="6172" width="8.5703125" style="44" customWidth="1"/>
    <col min="6173" max="6173" width="6.5703125" style="44" customWidth="1"/>
    <col min="6174" max="6174" width="7.85546875" style="44" customWidth="1"/>
    <col min="6175" max="6175" width="0" style="44" hidden="1" customWidth="1"/>
    <col min="6176" max="6176" width="10.140625" style="44" bestFit="1" customWidth="1"/>
    <col min="6177" max="6177" width="8.28515625" style="44" customWidth="1"/>
    <col min="6178" max="6400" width="9.28515625" style="44"/>
    <col min="6401" max="6401" width="4.85546875" style="44" customWidth="1"/>
    <col min="6402" max="6402" width="3" style="44" customWidth="1"/>
    <col min="6403" max="6403" width="25.7109375" style="44" customWidth="1"/>
    <col min="6404" max="6405" width="10.28515625" style="44" customWidth="1"/>
    <col min="6406" max="6406" width="7.28515625" style="44" customWidth="1"/>
    <col min="6407" max="6407" width="9.7109375" style="44" customWidth="1"/>
    <col min="6408" max="6408" width="10.28515625" style="44" customWidth="1"/>
    <col min="6409" max="6409" width="10.5703125" style="44" customWidth="1"/>
    <col min="6410" max="6410" width="6.7109375" style="44" customWidth="1"/>
    <col min="6411" max="6411" width="9" style="44" customWidth="1"/>
    <col min="6412" max="6412" width="10.28515625" style="44" customWidth="1"/>
    <col min="6413" max="6413" width="11" style="44" customWidth="1"/>
    <col min="6414" max="6414" width="7.7109375" style="44" customWidth="1"/>
    <col min="6415" max="6415" width="9.7109375" style="44" customWidth="1"/>
    <col min="6416" max="6416" width="10.28515625" style="44" customWidth="1"/>
    <col min="6417" max="6417" width="10.5703125" style="44" customWidth="1"/>
    <col min="6418" max="6418" width="7" style="44" customWidth="1"/>
    <col min="6419" max="6419" width="9" style="44" customWidth="1"/>
    <col min="6420" max="6420" width="8.28515625" style="44" customWidth="1"/>
    <col min="6421" max="6421" width="8" style="44" customWidth="1"/>
    <col min="6422" max="6422" width="6.42578125" style="44" customWidth="1"/>
    <col min="6423" max="6423" width="7.42578125" style="44" bestFit="1" customWidth="1"/>
    <col min="6424" max="6424" width="10" style="44" customWidth="1"/>
    <col min="6425" max="6425" width="5.7109375" style="44" customWidth="1"/>
    <col min="6426" max="6426" width="7" style="44" customWidth="1"/>
    <col min="6427" max="6427" width="8.28515625" style="44" customWidth="1"/>
    <col min="6428" max="6428" width="8.5703125" style="44" customWidth="1"/>
    <col min="6429" max="6429" width="6.5703125" style="44" customWidth="1"/>
    <col min="6430" max="6430" width="7.85546875" style="44" customWidth="1"/>
    <col min="6431" max="6431" width="0" style="44" hidden="1" customWidth="1"/>
    <col min="6432" max="6432" width="10.140625" style="44" bestFit="1" customWidth="1"/>
    <col min="6433" max="6433" width="8.28515625" style="44" customWidth="1"/>
    <col min="6434" max="6656" width="9.28515625" style="44"/>
    <col min="6657" max="6657" width="4.85546875" style="44" customWidth="1"/>
    <col min="6658" max="6658" width="3" style="44" customWidth="1"/>
    <col min="6659" max="6659" width="25.7109375" style="44" customWidth="1"/>
    <col min="6660" max="6661" width="10.28515625" style="44" customWidth="1"/>
    <col min="6662" max="6662" width="7.28515625" style="44" customWidth="1"/>
    <col min="6663" max="6663" width="9.7109375" style="44" customWidth="1"/>
    <col min="6664" max="6664" width="10.28515625" style="44" customWidth="1"/>
    <col min="6665" max="6665" width="10.5703125" style="44" customWidth="1"/>
    <col min="6666" max="6666" width="6.7109375" style="44" customWidth="1"/>
    <col min="6667" max="6667" width="9" style="44" customWidth="1"/>
    <col min="6668" max="6668" width="10.28515625" style="44" customWidth="1"/>
    <col min="6669" max="6669" width="11" style="44" customWidth="1"/>
    <col min="6670" max="6670" width="7.7109375" style="44" customWidth="1"/>
    <col min="6671" max="6671" width="9.7109375" style="44" customWidth="1"/>
    <col min="6672" max="6672" width="10.28515625" style="44" customWidth="1"/>
    <col min="6673" max="6673" width="10.5703125" style="44" customWidth="1"/>
    <col min="6674" max="6674" width="7" style="44" customWidth="1"/>
    <col min="6675" max="6675" width="9" style="44" customWidth="1"/>
    <col min="6676" max="6676" width="8.28515625" style="44" customWidth="1"/>
    <col min="6677" max="6677" width="8" style="44" customWidth="1"/>
    <col min="6678" max="6678" width="6.42578125" style="44" customWidth="1"/>
    <col min="6679" max="6679" width="7.42578125" style="44" bestFit="1" customWidth="1"/>
    <col min="6680" max="6680" width="10" style="44" customWidth="1"/>
    <col min="6681" max="6681" width="5.7109375" style="44" customWidth="1"/>
    <col min="6682" max="6682" width="7" style="44" customWidth="1"/>
    <col min="6683" max="6683" width="8.28515625" style="44" customWidth="1"/>
    <col min="6684" max="6684" width="8.5703125" style="44" customWidth="1"/>
    <col min="6685" max="6685" width="6.5703125" style="44" customWidth="1"/>
    <col min="6686" max="6686" width="7.85546875" style="44" customWidth="1"/>
    <col min="6687" max="6687" width="0" style="44" hidden="1" customWidth="1"/>
    <col min="6688" max="6688" width="10.140625" style="44" bestFit="1" customWidth="1"/>
    <col min="6689" max="6689" width="8.28515625" style="44" customWidth="1"/>
    <col min="6690" max="6912" width="9.28515625" style="44"/>
    <col min="6913" max="6913" width="4.85546875" style="44" customWidth="1"/>
    <col min="6914" max="6914" width="3" style="44" customWidth="1"/>
    <col min="6915" max="6915" width="25.7109375" style="44" customWidth="1"/>
    <col min="6916" max="6917" width="10.28515625" style="44" customWidth="1"/>
    <col min="6918" max="6918" width="7.28515625" style="44" customWidth="1"/>
    <col min="6919" max="6919" width="9.7109375" style="44" customWidth="1"/>
    <col min="6920" max="6920" width="10.28515625" style="44" customWidth="1"/>
    <col min="6921" max="6921" width="10.5703125" style="44" customWidth="1"/>
    <col min="6922" max="6922" width="6.7109375" style="44" customWidth="1"/>
    <col min="6923" max="6923" width="9" style="44" customWidth="1"/>
    <col min="6924" max="6924" width="10.28515625" style="44" customWidth="1"/>
    <col min="6925" max="6925" width="11" style="44" customWidth="1"/>
    <col min="6926" max="6926" width="7.7109375" style="44" customWidth="1"/>
    <col min="6927" max="6927" width="9.7109375" style="44" customWidth="1"/>
    <col min="6928" max="6928" width="10.28515625" style="44" customWidth="1"/>
    <col min="6929" max="6929" width="10.5703125" style="44" customWidth="1"/>
    <col min="6930" max="6930" width="7" style="44" customWidth="1"/>
    <col min="6931" max="6931" width="9" style="44" customWidth="1"/>
    <col min="6932" max="6932" width="8.28515625" style="44" customWidth="1"/>
    <col min="6933" max="6933" width="8" style="44" customWidth="1"/>
    <col min="6934" max="6934" width="6.42578125" style="44" customWidth="1"/>
    <col min="6935" max="6935" width="7.42578125" style="44" bestFit="1" customWidth="1"/>
    <col min="6936" max="6936" width="10" style="44" customWidth="1"/>
    <col min="6937" max="6937" width="5.7109375" style="44" customWidth="1"/>
    <col min="6938" max="6938" width="7" style="44" customWidth="1"/>
    <col min="6939" max="6939" width="8.28515625" style="44" customWidth="1"/>
    <col min="6940" max="6940" width="8.5703125" style="44" customWidth="1"/>
    <col min="6941" max="6941" width="6.5703125" style="44" customWidth="1"/>
    <col min="6942" max="6942" width="7.85546875" style="44" customWidth="1"/>
    <col min="6943" max="6943" width="0" style="44" hidden="1" customWidth="1"/>
    <col min="6944" max="6944" width="10.140625" style="44" bestFit="1" customWidth="1"/>
    <col min="6945" max="6945" width="8.28515625" style="44" customWidth="1"/>
    <col min="6946" max="7168" width="9.28515625" style="44"/>
    <col min="7169" max="7169" width="4.85546875" style="44" customWidth="1"/>
    <col min="7170" max="7170" width="3" style="44" customWidth="1"/>
    <col min="7171" max="7171" width="25.7109375" style="44" customWidth="1"/>
    <col min="7172" max="7173" width="10.28515625" style="44" customWidth="1"/>
    <col min="7174" max="7174" width="7.28515625" style="44" customWidth="1"/>
    <col min="7175" max="7175" width="9.7109375" style="44" customWidth="1"/>
    <col min="7176" max="7176" width="10.28515625" style="44" customWidth="1"/>
    <col min="7177" max="7177" width="10.5703125" style="44" customWidth="1"/>
    <col min="7178" max="7178" width="6.7109375" style="44" customWidth="1"/>
    <col min="7179" max="7179" width="9" style="44" customWidth="1"/>
    <col min="7180" max="7180" width="10.28515625" style="44" customWidth="1"/>
    <col min="7181" max="7181" width="11" style="44" customWidth="1"/>
    <col min="7182" max="7182" width="7.7109375" style="44" customWidth="1"/>
    <col min="7183" max="7183" width="9.7109375" style="44" customWidth="1"/>
    <col min="7184" max="7184" width="10.28515625" style="44" customWidth="1"/>
    <col min="7185" max="7185" width="10.5703125" style="44" customWidth="1"/>
    <col min="7186" max="7186" width="7" style="44" customWidth="1"/>
    <col min="7187" max="7187" width="9" style="44" customWidth="1"/>
    <col min="7188" max="7188" width="8.28515625" style="44" customWidth="1"/>
    <col min="7189" max="7189" width="8" style="44" customWidth="1"/>
    <col min="7190" max="7190" width="6.42578125" style="44" customWidth="1"/>
    <col min="7191" max="7191" width="7.42578125" style="44" bestFit="1" customWidth="1"/>
    <col min="7192" max="7192" width="10" style="44" customWidth="1"/>
    <col min="7193" max="7193" width="5.7109375" style="44" customWidth="1"/>
    <col min="7194" max="7194" width="7" style="44" customWidth="1"/>
    <col min="7195" max="7195" width="8.28515625" style="44" customWidth="1"/>
    <col min="7196" max="7196" width="8.5703125" style="44" customWidth="1"/>
    <col min="7197" max="7197" width="6.5703125" style="44" customWidth="1"/>
    <col min="7198" max="7198" width="7.85546875" style="44" customWidth="1"/>
    <col min="7199" max="7199" width="0" style="44" hidden="1" customWidth="1"/>
    <col min="7200" max="7200" width="10.140625" style="44" bestFit="1" customWidth="1"/>
    <col min="7201" max="7201" width="8.28515625" style="44" customWidth="1"/>
    <col min="7202" max="7424" width="9.28515625" style="44"/>
    <col min="7425" max="7425" width="4.85546875" style="44" customWidth="1"/>
    <col min="7426" max="7426" width="3" style="44" customWidth="1"/>
    <col min="7427" max="7427" width="25.7109375" style="44" customWidth="1"/>
    <col min="7428" max="7429" width="10.28515625" style="44" customWidth="1"/>
    <col min="7430" max="7430" width="7.28515625" style="44" customWidth="1"/>
    <col min="7431" max="7431" width="9.7109375" style="44" customWidth="1"/>
    <col min="7432" max="7432" width="10.28515625" style="44" customWidth="1"/>
    <col min="7433" max="7433" width="10.5703125" style="44" customWidth="1"/>
    <col min="7434" max="7434" width="6.7109375" style="44" customWidth="1"/>
    <col min="7435" max="7435" width="9" style="44" customWidth="1"/>
    <col min="7436" max="7436" width="10.28515625" style="44" customWidth="1"/>
    <col min="7437" max="7437" width="11" style="44" customWidth="1"/>
    <col min="7438" max="7438" width="7.7109375" style="44" customWidth="1"/>
    <col min="7439" max="7439" width="9.7109375" style="44" customWidth="1"/>
    <col min="7440" max="7440" width="10.28515625" style="44" customWidth="1"/>
    <col min="7441" max="7441" width="10.5703125" style="44" customWidth="1"/>
    <col min="7442" max="7442" width="7" style="44" customWidth="1"/>
    <col min="7443" max="7443" width="9" style="44" customWidth="1"/>
    <col min="7444" max="7444" width="8.28515625" style="44" customWidth="1"/>
    <col min="7445" max="7445" width="8" style="44" customWidth="1"/>
    <col min="7446" max="7446" width="6.42578125" style="44" customWidth="1"/>
    <col min="7447" max="7447" width="7.42578125" style="44" bestFit="1" customWidth="1"/>
    <col min="7448" max="7448" width="10" style="44" customWidth="1"/>
    <col min="7449" max="7449" width="5.7109375" style="44" customWidth="1"/>
    <col min="7450" max="7450" width="7" style="44" customWidth="1"/>
    <col min="7451" max="7451" width="8.28515625" style="44" customWidth="1"/>
    <col min="7452" max="7452" width="8.5703125" style="44" customWidth="1"/>
    <col min="7453" max="7453" width="6.5703125" style="44" customWidth="1"/>
    <col min="7454" max="7454" width="7.85546875" style="44" customWidth="1"/>
    <col min="7455" max="7455" width="0" style="44" hidden="1" customWidth="1"/>
    <col min="7456" max="7456" width="10.140625" style="44" bestFit="1" customWidth="1"/>
    <col min="7457" max="7457" width="8.28515625" style="44" customWidth="1"/>
    <col min="7458" max="7680" width="9.28515625" style="44"/>
    <col min="7681" max="7681" width="4.85546875" style="44" customWidth="1"/>
    <col min="7682" max="7682" width="3" style="44" customWidth="1"/>
    <col min="7683" max="7683" width="25.7109375" style="44" customWidth="1"/>
    <col min="7684" max="7685" width="10.28515625" style="44" customWidth="1"/>
    <col min="7686" max="7686" width="7.28515625" style="44" customWidth="1"/>
    <col min="7687" max="7687" width="9.7109375" style="44" customWidth="1"/>
    <col min="7688" max="7688" width="10.28515625" style="44" customWidth="1"/>
    <col min="7689" max="7689" width="10.5703125" style="44" customWidth="1"/>
    <col min="7690" max="7690" width="6.7109375" style="44" customWidth="1"/>
    <col min="7691" max="7691" width="9" style="44" customWidth="1"/>
    <col min="7692" max="7692" width="10.28515625" style="44" customWidth="1"/>
    <col min="7693" max="7693" width="11" style="44" customWidth="1"/>
    <col min="7694" max="7694" width="7.7109375" style="44" customWidth="1"/>
    <col min="7695" max="7695" width="9.7109375" style="44" customWidth="1"/>
    <col min="7696" max="7696" width="10.28515625" style="44" customWidth="1"/>
    <col min="7697" max="7697" width="10.5703125" style="44" customWidth="1"/>
    <col min="7698" max="7698" width="7" style="44" customWidth="1"/>
    <col min="7699" max="7699" width="9" style="44" customWidth="1"/>
    <col min="7700" max="7700" width="8.28515625" style="44" customWidth="1"/>
    <col min="7701" max="7701" width="8" style="44" customWidth="1"/>
    <col min="7702" max="7702" width="6.42578125" style="44" customWidth="1"/>
    <col min="7703" max="7703" width="7.42578125" style="44" bestFit="1" customWidth="1"/>
    <col min="7704" max="7704" width="10" style="44" customWidth="1"/>
    <col min="7705" max="7705" width="5.7109375" style="44" customWidth="1"/>
    <col min="7706" max="7706" width="7" style="44" customWidth="1"/>
    <col min="7707" max="7707" width="8.28515625" style="44" customWidth="1"/>
    <col min="7708" max="7708" width="8.5703125" style="44" customWidth="1"/>
    <col min="7709" max="7709" width="6.5703125" style="44" customWidth="1"/>
    <col min="7710" max="7710" width="7.85546875" style="44" customWidth="1"/>
    <col min="7711" max="7711" width="0" style="44" hidden="1" customWidth="1"/>
    <col min="7712" max="7712" width="10.140625" style="44" bestFit="1" customWidth="1"/>
    <col min="7713" max="7713" width="8.28515625" style="44" customWidth="1"/>
    <col min="7714" max="7936" width="9.28515625" style="44"/>
    <col min="7937" max="7937" width="4.85546875" style="44" customWidth="1"/>
    <col min="7938" max="7938" width="3" style="44" customWidth="1"/>
    <col min="7939" max="7939" width="25.7109375" style="44" customWidth="1"/>
    <col min="7940" max="7941" width="10.28515625" style="44" customWidth="1"/>
    <col min="7942" max="7942" width="7.28515625" style="44" customWidth="1"/>
    <col min="7943" max="7943" width="9.7109375" style="44" customWidth="1"/>
    <col min="7944" max="7944" width="10.28515625" style="44" customWidth="1"/>
    <col min="7945" max="7945" width="10.5703125" style="44" customWidth="1"/>
    <col min="7946" max="7946" width="6.7109375" style="44" customWidth="1"/>
    <col min="7947" max="7947" width="9" style="44" customWidth="1"/>
    <col min="7948" max="7948" width="10.28515625" style="44" customWidth="1"/>
    <col min="7949" max="7949" width="11" style="44" customWidth="1"/>
    <col min="7950" max="7950" width="7.7109375" style="44" customWidth="1"/>
    <col min="7951" max="7951" width="9.7109375" style="44" customWidth="1"/>
    <col min="7952" max="7952" width="10.28515625" style="44" customWidth="1"/>
    <col min="7953" max="7953" width="10.5703125" style="44" customWidth="1"/>
    <col min="7954" max="7954" width="7" style="44" customWidth="1"/>
    <col min="7955" max="7955" width="9" style="44" customWidth="1"/>
    <col min="7956" max="7956" width="8.28515625" style="44" customWidth="1"/>
    <col min="7957" max="7957" width="8" style="44" customWidth="1"/>
    <col min="7958" max="7958" width="6.42578125" style="44" customWidth="1"/>
    <col min="7959" max="7959" width="7.42578125" style="44" bestFit="1" customWidth="1"/>
    <col min="7960" max="7960" width="10" style="44" customWidth="1"/>
    <col min="7961" max="7961" width="5.7109375" style="44" customWidth="1"/>
    <col min="7962" max="7962" width="7" style="44" customWidth="1"/>
    <col min="7963" max="7963" width="8.28515625" style="44" customWidth="1"/>
    <col min="7964" max="7964" width="8.5703125" style="44" customWidth="1"/>
    <col min="7965" max="7965" width="6.5703125" style="44" customWidth="1"/>
    <col min="7966" max="7966" width="7.85546875" style="44" customWidth="1"/>
    <col min="7967" max="7967" width="0" style="44" hidden="1" customWidth="1"/>
    <col min="7968" max="7968" width="10.140625" style="44" bestFit="1" customWidth="1"/>
    <col min="7969" max="7969" width="8.28515625" style="44" customWidth="1"/>
    <col min="7970" max="8192" width="9.28515625" style="44"/>
    <col min="8193" max="8193" width="4.85546875" style="44" customWidth="1"/>
    <col min="8194" max="8194" width="3" style="44" customWidth="1"/>
    <col min="8195" max="8195" width="25.7109375" style="44" customWidth="1"/>
    <col min="8196" max="8197" width="10.28515625" style="44" customWidth="1"/>
    <col min="8198" max="8198" width="7.28515625" style="44" customWidth="1"/>
    <col min="8199" max="8199" width="9.7109375" style="44" customWidth="1"/>
    <col min="8200" max="8200" width="10.28515625" style="44" customWidth="1"/>
    <col min="8201" max="8201" width="10.5703125" style="44" customWidth="1"/>
    <col min="8202" max="8202" width="6.7109375" style="44" customWidth="1"/>
    <col min="8203" max="8203" width="9" style="44" customWidth="1"/>
    <col min="8204" max="8204" width="10.28515625" style="44" customWidth="1"/>
    <col min="8205" max="8205" width="11" style="44" customWidth="1"/>
    <col min="8206" max="8206" width="7.7109375" style="44" customWidth="1"/>
    <col min="8207" max="8207" width="9.7109375" style="44" customWidth="1"/>
    <col min="8208" max="8208" width="10.28515625" style="44" customWidth="1"/>
    <col min="8209" max="8209" width="10.5703125" style="44" customWidth="1"/>
    <col min="8210" max="8210" width="7" style="44" customWidth="1"/>
    <col min="8211" max="8211" width="9" style="44" customWidth="1"/>
    <col min="8212" max="8212" width="8.28515625" style="44" customWidth="1"/>
    <col min="8213" max="8213" width="8" style="44" customWidth="1"/>
    <col min="8214" max="8214" width="6.42578125" style="44" customWidth="1"/>
    <col min="8215" max="8215" width="7.42578125" style="44" bestFit="1" customWidth="1"/>
    <col min="8216" max="8216" width="10" style="44" customWidth="1"/>
    <col min="8217" max="8217" width="5.7109375" style="44" customWidth="1"/>
    <col min="8218" max="8218" width="7" style="44" customWidth="1"/>
    <col min="8219" max="8219" width="8.28515625" style="44" customWidth="1"/>
    <col min="8220" max="8220" width="8.5703125" style="44" customWidth="1"/>
    <col min="8221" max="8221" width="6.5703125" style="44" customWidth="1"/>
    <col min="8222" max="8222" width="7.85546875" style="44" customWidth="1"/>
    <col min="8223" max="8223" width="0" style="44" hidden="1" customWidth="1"/>
    <col min="8224" max="8224" width="10.140625" style="44" bestFit="1" customWidth="1"/>
    <col min="8225" max="8225" width="8.28515625" style="44" customWidth="1"/>
    <col min="8226" max="8448" width="9.28515625" style="44"/>
    <col min="8449" max="8449" width="4.85546875" style="44" customWidth="1"/>
    <col min="8450" max="8450" width="3" style="44" customWidth="1"/>
    <col min="8451" max="8451" width="25.7109375" style="44" customWidth="1"/>
    <col min="8452" max="8453" width="10.28515625" style="44" customWidth="1"/>
    <col min="8454" max="8454" width="7.28515625" style="44" customWidth="1"/>
    <col min="8455" max="8455" width="9.7109375" style="44" customWidth="1"/>
    <col min="8456" max="8456" width="10.28515625" style="44" customWidth="1"/>
    <col min="8457" max="8457" width="10.5703125" style="44" customWidth="1"/>
    <col min="8458" max="8458" width="6.7109375" style="44" customWidth="1"/>
    <col min="8459" max="8459" width="9" style="44" customWidth="1"/>
    <col min="8460" max="8460" width="10.28515625" style="44" customWidth="1"/>
    <col min="8461" max="8461" width="11" style="44" customWidth="1"/>
    <col min="8462" max="8462" width="7.7109375" style="44" customWidth="1"/>
    <col min="8463" max="8463" width="9.7109375" style="44" customWidth="1"/>
    <col min="8464" max="8464" width="10.28515625" style="44" customWidth="1"/>
    <col min="8465" max="8465" width="10.5703125" style="44" customWidth="1"/>
    <col min="8466" max="8466" width="7" style="44" customWidth="1"/>
    <col min="8467" max="8467" width="9" style="44" customWidth="1"/>
    <col min="8468" max="8468" width="8.28515625" style="44" customWidth="1"/>
    <col min="8469" max="8469" width="8" style="44" customWidth="1"/>
    <col min="8470" max="8470" width="6.42578125" style="44" customWidth="1"/>
    <col min="8471" max="8471" width="7.42578125" style="44" bestFit="1" customWidth="1"/>
    <col min="8472" max="8472" width="10" style="44" customWidth="1"/>
    <col min="8473" max="8473" width="5.7109375" style="44" customWidth="1"/>
    <col min="8474" max="8474" width="7" style="44" customWidth="1"/>
    <col min="8475" max="8475" width="8.28515625" style="44" customWidth="1"/>
    <col min="8476" max="8476" width="8.5703125" style="44" customWidth="1"/>
    <col min="8477" max="8477" width="6.5703125" style="44" customWidth="1"/>
    <col min="8478" max="8478" width="7.85546875" style="44" customWidth="1"/>
    <col min="8479" max="8479" width="0" style="44" hidden="1" customWidth="1"/>
    <col min="8480" max="8480" width="10.140625" style="44" bestFit="1" customWidth="1"/>
    <col min="8481" max="8481" width="8.28515625" style="44" customWidth="1"/>
    <col min="8482" max="8704" width="9.28515625" style="44"/>
    <col min="8705" max="8705" width="4.85546875" style="44" customWidth="1"/>
    <col min="8706" max="8706" width="3" style="44" customWidth="1"/>
    <col min="8707" max="8707" width="25.7109375" style="44" customWidth="1"/>
    <col min="8708" max="8709" width="10.28515625" style="44" customWidth="1"/>
    <col min="8710" max="8710" width="7.28515625" style="44" customWidth="1"/>
    <col min="8711" max="8711" width="9.7109375" style="44" customWidth="1"/>
    <col min="8712" max="8712" width="10.28515625" style="44" customWidth="1"/>
    <col min="8713" max="8713" width="10.5703125" style="44" customWidth="1"/>
    <col min="8714" max="8714" width="6.7109375" style="44" customWidth="1"/>
    <col min="8715" max="8715" width="9" style="44" customWidth="1"/>
    <col min="8716" max="8716" width="10.28515625" style="44" customWidth="1"/>
    <col min="8717" max="8717" width="11" style="44" customWidth="1"/>
    <col min="8718" max="8718" width="7.7109375" style="44" customWidth="1"/>
    <col min="8719" max="8719" width="9.7109375" style="44" customWidth="1"/>
    <col min="8720" max="8720" width="10.28515625" style="44" customWidth="1"/>
    <col min="8721" max="8721" width="10.5703125" style="44" customWidth="1"/>
    <col min="8722" max="8722" width="7" style="44" customWidth="1"/>
    <col min="8723" max="8723" width="9" style="44" customWidth="1"/>
    <col min="8724" max="8724" width="8.28515625" style="44" customWidth="1"/>
    <col min="8725" max="8725" width="8" style="44" customWidth="1"/>
    <col min="8726" max="8726" width="6.42578125" style="44" customWidth="1"/>
    <col min="8727" max="8727" width="7.42578125" style="44" bestFit="1" customWidth="1"/>
    <col min="8728" max="8728" width="10" style="44" customWidth="1"/>
    <col min="8729" max="8729" width="5.7109375" style="44" customWidth="1"/>
    <col min="8730" max="8730" width="7" style="44" customWidth="1"/>
    <col min="8731" max="8731" width="8.28515625" style="44" customWidth="1"/>
    <col min="8732" max="8732" width="8.5703125" style="44" customWidth="1"/>
    <col min="8733" max="8733" width="6.5703125" style="44" customWidth="1"/>
    <col min="8734" max="8734" width="7.85546875" style="44" customWidth="1"/>
    <col min="8735" max="8735" width="0" style="44" hidden="1" customWidth="1"/>
    <col min="8736" max="8736" width="10.140625" style="44" bestFit="1" customWidth="1"/>
    <col min="8737" max="8737" width="8.28515625" style="44" customWidth="1"/>
    <col min="8738" max="8960" width="9.28515625" style="44"/>
    <col min="8961" max="8961" width="4.85546875" style="44" customWidth="1"/>
    <col min="8962" max="8962" width="3" style="44" customWidth="1"/>
    <col min="8963" max="8963" width="25.7109375" style="44" customWidth="1"/>
    <col min="8964" max="8965" width="10.28515625" style="44" customWidth="1"/>
    <col min="8966" max="8966" width="7.28515625" style="44" customWidth="1"/>
    <col min="8967" max="8967" width="9.7109375" style="44" customWidth="1"/>
    <col min="8968" max="8968" width="10.28515625" style="44" customWidth="1"/>
    <col min="8969" max="8969" width="10.5703125" style="44" customWidth="1"/>
    <col min="8970" max="8970" width="6.7109375" style="44" customWidth="1"/>
    <col min="8971" max="8971" width="9" style="44" customWidth="1"/>
    <col min="8972" max="8972" width="10.28515625" style="44" customWidth="1"/>
    <col min="8973" max="8973" width="11" style="44" customWidth="1"/>
    <col min="8974" max="8974" width="7.7109375" style="44" customWidth="1"/>
    <col min="8975" max="8975" width="9.7109375" style="44" customWidth="1"/>
    <col min="8976" max="8976" width="10.28515625" style="44" customWidth="1"/>
    <col min="8977" max="8977" width="10.5703125" style="44" customWidth="1"/>
    <col min="8978" max="8978" width="7" style="44" customWidth="1"/>
    <col min="8979" max="8979" width="9" style="44" customWidth="1"/>
    <col min="8980" max="8980" width="8.28515625" style="44" customWidth="1"/>
    <col min="8981" max="8981" width="8" style="44" customWidth="1"/>
    <col min="8982" max="8982" width="6.42578125" style="44" customWidth="1"/>
    <col min="8983" max="8983" width="7.42578125" style="44" bestFit="1" customWidth="1"/>
    <col min="8984" max="8984" width="10" style="44" customWidth="1"/>
    <col min="8985" max="8985" width="5.7109375" style="44" customWidth="1"/>
    <col min="8986" max="8986" width="7" style="44" customWidth="1"/>
    <col min="8987" max="8987" width="8.28515625" style="44" customWidth="1"/>
    <col min="8988" max="8988" width="8.5703125" style="44" customWidth="1"/>
    <col min="8989" max="8989" width="6.5703125" style="44" customWidth="1"/>
    <col min="8990" max="8990" width="7.85546875" style="44" customWidth="1"/>
    <col min="8991" max="8991" width="0" style="44" hidden="1" customWidth="1"/>
    <col min="8992" max="8992" width="10.140625" style="44" bestFit="1" customWidth="1"/>
    <col min="8993" max="8993" width="8.28515625" style="44" customWidth="1"/>
    <col min="8994" max="9216" width="9.28515625" style="44"/>
    <col min="9217" max="9217" width="4.85546875" style="44" customWidth="1"/>
    <col min="9218" max="9218" width="3" style="44" customWidth="1"/>
    <col min="9219" max="9219" width="25.7109375" style="44" customWidth="1"/>
    <col min="9220" max="9221" width="10.28515625" style="44" customWidth="1"/>
    <col min="9222" max="9222" width="7.28515625" style="44" customWidth="1"/>
    <col min="9223" max="9223" width="9.7109375" style="44" customWidth="1"/>
    <col min="9224" max="9224" width="10.28515625" style="44" customWidth="1"/>
    <col min="9225" max="9225" width="10.5703125" style="44" customWidth="1"/>
    <col min="9226" max="9226" width="6.7109375" style="44" customWidth="1"/>
    <col min="9227" max="9227" width="9" style="44" customWidth="1"/>
    <col min="9228" max="9228" width="10.28515625" style="44" customWidth="1"/>
    <col min="9229" max="9229" width="11" style="44" customWidth="1"/>
    <col min="9230" max="9230" width="7.7109375" style="44" customWidth="1"/>
    <col min="9231" max="9231" width="9.7109375" style="44" customWidth="1"/>
    <col min="9232" max="9232" width="10.28515625" style="44" customWidth="1"/>
    <col min="9233" max="9233" width="10.5703125" style="44" customWidth="1"/>
    <col min="9234" max="9234" width="7" style="44" customWidth="1"/>
    <col min="9235" max="9235" width="9" style="44" customWidth="1"/>
    <col min="9236" max="9236" width="8.28515625" style="44" customWidth="1"/>
    <col min="9237" max="9237" width="8" style="44" customWidth="1"/>
    <col min="9238" max="9238" width="6.42578125" style="44" customWidth="1"/>
    <col min="9239" max="9239" width="7.42578125" style="44" bestFit="1" customWidth="1"/>
    <col min="9240" max="9240" width="10" style="44" customWidth="1"/>
    <col min="9241" max="9241" width="5.7109375" style="44" customWidth="1"/>
    <col min="9242" max="9242" width="7" style="44" customWidth="1"/>
    <col min="9243" max="9243" width="8.28515625" style="44" customWidth="1"/>
    <col min="9244" max="9244" width="8.5703125" style="44" customWidth="1"/>
    <col min="9245" max="9245" width="6.5703125" style="44" customWidth="1"/>
    <col min="9246" max="9246" width="7.85546875" style="44" customWidth="1"/>
    <col min="9247" max="9247" width="0" style="44" hidden="1" customWidth="1"/>
    <col min="9248" max="9248" width="10.140625" style="44" bestFit="1" customWidth="1"/>
    <col min="9249" max="9249" width="8.28515625" style="44" customWidth="1"/>
    <col min="9250" max="9472" width="9.28515625" style="44"/>
    <col min="9473" max="9473" width="4.85546875" style="44" customWidth="1"/>
    <col min="9474" max="9474" width="3" style="44" customWidth="1"/>
    <col min="9475" max="9475" width="25.7109375" style="44" customWidth="1"/>
    <col min="9476" max="9477" width="10.28515625" style="44" customWidth="1"/>
    <col min="9478" max="9478" width="7.28515625" style="44" customWidth="1"/>
    <col min="9479" max="9479" width="9.7109375" style="44" customWidth="1"/>
    <col min="9480" max="9480" width="10.28515625" style="44" customWidth="1"/>
    <col min="9481" max="9481" width="10.5703125" style="44" customWidth="1"/>
    <col min="9482" max="9482" width="6.7109375" style="44" customWidth="1"/>
    <col min="9483" max="9483" width="9" style="44" customWidth="1"/>
    <col min="9484" max="9484" width="10.28515625" style="44" customWidth="1"/>
    <col min="9485" max="9485" width="11" style="44" customWidth="1"/>
    <col min="9486" max="9486" width="7.7109375" style="44" customWidth="1"/>
    <col min="9487" max="9487" width="9.7109375" style="44" customWidth="1"/>
    <col min="9488" max="9488" width="10.28515625" style="44" customWidth="1"/>
    <col min="9489" max="9489" width="10.5703125" style="44" customWidth="1"/>
    <col min="9490" max="9490" width="7" style="44" customWidth="1"/>
    <col min="9491" max="9491" width="9" style="44" customWidth="1"/>
    <col min="9492" max="9492" width="8.28515625" style="44" customWidth="1"/>
    <col min="9493" max="9493" width="8" style="44" customWidth="1"/>
    <col min="9494" max="9494" width="6.42578125" style="44" customWidth="1"/>
    <col min="9495" max="9495" width="7.42578125" style="44" bestFit="1" customWidth="1"/>
    <col min="9496" max="9496" width="10" style="44" customWidth="1"/>
    <col min="9497" max="9497" width="5.7109375" style="44" customWidth="1"/>
    <col min="9498" max="9498" width="7" style="44" customWidth="1"/>
    <col min="9499" max="9499" width="8.28515625" style="44" customWidth="1"/>
    <col min="9500" max="9500" width="8.5703125" style="44" customWidth="1"/>
    <col min="9501" max="9501" width="6.5703125" style="44" customWidth="1"/>
    <col min="9502" max="9502" width="7.85546875" style="44" customWidth="1"/>
    <col min="9503" max="9503" width="0" style="44" hidden="1" customWidth="1"/>
    <col min="9504" max="9504" width="10.140625" style="44" bestFit="1" customWidth="1"/>
    <col min="9505" max="9505" width="8.28515625" style="44" customWidth="1"/>
    <col min="9506" max="9728" width="9.28515625" style="44"/>
    <col min="9729" max="9729" width="4.85546875" style="44" customWidth="1"/>
    <col min="9730" max="9730" width="3" style="44" customWidth="1"/>
    <col min="9731" max="9731" width="25.7109375" style="44" customWidth="1"/>
    <col min="9732" max="9733" width="10.28515625" style="44" customWidth="1"/>
    <col min="9734" max="9734" width="7.28515625" style="44" customWidth="1"/>
    <col min="9735" max="9735" width="9.7109375" style="44" customWidth="1"/>
    <col min="9736" max="9736" width="10.28515625" style="44" customWidth="1"/>
    <col min="9737" max="9737" width="10.5703125" style="44" customWidth="1"/>
    <col min="9738" max="9738" width="6.7109375" style="44" customWidth="1"/>
    <col min="9739" max="9739" width="9" style="44" customWidth="1"/>
    <col min="9740" max="9740" width="10.28515625" style="44" customWidth="1"/>
    <col min="9741" max="9741" width="11" style="44" customWidth="1"/>
    <col min="9742" max="9742" width="7.7109375" style="44" customWidth="1"/>
    <col min="9743" max="9743" width="9.7109375" style="44" customWidth="1"/>
    <col min="9744" max="9744" width="10.28515625" style="44" customWidth="1"/>
    <col min="9745" max="9745" width="10.5703125" style="44" customWidth="1"/>
    <col min="9746" max="9746" width="7" style="44" customWidth="1"/>
    <col min="9747" max="9747" width="9" style="44" customWidth="1"/>
    <col min="9748" max="9748" width="8.28515625" style="44" customWidth="1"/>
    <col min="9749" max="9749" width="8" style="44" customWidth="1"/>
    <col min="9750" max="9750" width="6.42578125" style="44" customWidth="1"/>
    <col min="9751" max="9751" width="7.42578125" style="44" bestFit="1" customWidth="1"/>
    <col min="9752" max="9752" width="10" style="44" customWidth="1"/>
    <col min="9753" max="9753" width="5.7109375" style="44" customWidth="1"/>
    <col min="9754" max="9754" width="7" style="44" customWidth="1"/>
    <col min="9755" max="9755" width="8.28515625" style="44" customWidth="1"/>
    <col min="9756" max="9756" width="8.5703125" style="44" customWidth="1"/>
    <col min="9757" max="9757" width="6.5703125" style="44" customWidth="1"/>
    <col min="9758" max="9758" width="7.85546875" style="44" customWidth="1"/>
    <col min="9759" max="9759" width="0" style="44" hidden="1" customWidth="1"/>
    <col min="9760" max="9760" width="10.140625" style="44" bestFit="1" customWidth="1"/>
    <col min="9761" max="9761" width="8.28515625" style="44" customWidth="1"/>
    <col min="9762" max="9984" width="9.28515625" style="44"/>
    <col min="9985" max="9985" width="4.85546875" style="44" customWidth="1"/>
    <col min="9986" max="9986" width="3" style="44" customWidth="1"/>
    <col min="9987" max="9987" width="25.7109375" style="44" customWidth="1"/>
    <col min="9988" max="9989" width="10.28515625" style="44" customWidth="1"/>
    <col min="9990" max="9990" width="7.28515625" style="44" customWidth="1"/>
    <col min="9991" max="9991" width="9.7109375" style="44" customWidth="1"/>
    <col min="9992" max="9992" width="10.28515625" style="44" customWidth="1"/>
    <col min="9993" max="9993" width="10.5703125" style="44" customWidth="1"/>
    <col min="9994" max="9994" width="6.7109375" style="44" customWidth="1"/>
    <col min="9995" max="9995" width="9" style="44" customWidth="1"/>
    <col min="9996" max="9996" width="10.28515625" style="44" customWidth="1"/>
    <col min="9997" max="9997" width="11" style="44" customWidth="1"/>
    <col min="9998" max="9998" width="7.7109375" style="44" customWidth="1"/>
    <col min="9999" max="9999" width="9.7109375" style="44" customWidth="1"/>
    <col min="10000" max="10000" width="10.28515625" style="44" customWidth="1"/>
    <col min="10001" max="10001" width="10.5703125" style="44" customWidth="1"/>
    <col min="10002" max="10002" width="7" style="44" customWidth="1"/>
    <col min="10003" max="10003" width="9" style="44" customWidth="1"/>
    <col min="10004" max="10004" width="8.28515625" style="44" customWidth="1"/>
    <col min="10005" max="10005" width="8" style="44" customWidth="1"/>
    <col min="10006" max="10006" width="6.42578125" style="44" customWidth="1"/>
    <col min="10007" max="10007" width="7.42578125" style="44" bestFit="1" customWidth="1"/>
    <col min="10008" max="10008" width="10" style="44" customWidth="1"/>
    <col min="10009" max="10009" width="5.7109375" style="44" customWidth="1"/>
    <col min="10010" max="10010" width="7" style="44" customWidth="1"/>
    <col min="10011" max="10011" width="8.28515625" style="44" customWidth="1"/>
    <col min="10012" max="10012" width="8.5703125" style="44" customWidth="1"/>
    <col min="10013" max="10013" width="6.5703125" style="44" customWidth="1"/>
    <col min="10014" max="10014" width="7.85546875" style="44" customWidth="1"/>
    <col min="10015" max="10015" width="0" style="44" hidden="1" customWidth="1"/>
    <col min="10016" max="10016" width="10.140625" style="44" bestFit="1" customWidth="1"/>
    <col min="10017" max="10017" width="8.28515625" style="44" customWidth="1"/>
    <col min="10018" max="10240" width="9.28515625" style="44"/>
    <col min="10241" max="10241" width="4.85546875" style="44" customWidth="1"/>
    <col min="10242" max="10242" width="3" style="44" customWidth="1"/>
    <col min="10243" max="10243" width="25.7109375" style="44" customWidth="1"/>
    <col min="10244" max="10245" width="10.28515625" style="44" customWidth="1"/>
    <col min="10246" max="10246" width="7.28515625" style="44" customWidth="1"/>
    <col min="10247" max="10247" width="9.7109375" style="44" customWidth="1"/>
    <col min="10248" max="10248" width="10.28515625" style="44" customWidth="1"/>
    <col min="10249" max="10249" width="10.5703125" style="44" customWidth="1"/>
    <col min="10250" max="10250" width="6.7109375" style="44" customWidth="1"/>
    <col min="10251" max="10251" width="9" style="44" customWidth="1"/>
    <col min="10252" max="10252" width="10.28515625" style="44" customWidth="1"/>
    <col min="10253" max="10253" width="11" style="44" customWidth="1"/>
    <col min="10254" max="10254" width="7.7109375" style="44" customWidth="1"/>
    <col min="10255" max="10255" width="9.7109375" style="44" customWidth="1"/>
    <col min="10256" max="10256" width="10.28515625" style="44" customWidth="1"/>
    <col min="10257" max="10257" width="10.5703125" style="44" customWidth="1"/>
    <col min="10258" max="10258" width="7" style="44" customWidth="1"/>
    <col min="10259" max="10259" width="9" style="44" customWidth="1"/>
    <col min="10260" max="10260" width="8.28515625" style="44" customWidth="1"/>
    <col min="10261" max="10261" width="8" style="44" customWidth="1"/>
    <col min="10262" max="10262" width="6.42578125" style="44" customWidth="1"/>
    <col min="10263" max="10263" width="7.42578125" style="44" bestFit="1" customWidth="1"/>
    <col min="10264" max="10264" width="10" style="44" customWidth="1"/>
    <col min="10265" max="10265" width="5.7109375" style="44" customWidth="1"/>
    <col min="10266" max="10266" width="7" style="44" customWidth="1"/>
    <col min="10267" max="10267" width="8.28515625" style="44" customWidth="1"/>
    <col min="10268" max="10268" width="8.5703125" style="44" customWidth="1"/>
    <col min="10269" max="10269" width="6.5703125" style="44" customWidth="1"/>
    <col min="10270" max="10270" width="7.85546875" style="44" customWidth="1"/>
    <col min="10271" max="10271" width="0" style="44" hidden="1" customWidth="1"/>
    <col min="10272" max="10272" width="10.140625" style="44" bestFit="1" customWidth="1"/>
    <col min="10273" max="10273" width="8.28515625" style="44" customWidth="1"/>
    <col min="10274" max="10496" width="9.28515625" style="44"/>
    <col min="10497" max="10497" width="4.85546875" style="44" customWidth="1"/>
    <col min="10498" max="10498" width="3" style="44" customWidth="1"/>
    <col min="10499" max="10499" width="25.7109375" style="44" customWidth="1"/>
    <col min="10500" max="10501" width="10.28515625" style="44" customWidth="1"/>
    <col min="10502" max="10502" width="7.28515625" style="44" customWidth="1"/>
    <col min="10503" max="10503" width="9.7109375" style="44" customWidth="1"/>
    <col min="10504" max="10504" width="10.28515625" style="44" customWidth="1"/>
    <col min="10505" max="10505" width="10.5703125" style="44" customWidth="1"/>
    <col min="10506" max="10506" width="6.7109375" style="44" customWidth="1"/>
    <col min="10507" max="10507" width="9" style="44" customWidth="1"/>
    <col min="10508" max="10508" width="10.28515625" style="44" customWidth="1"/>
    <col min="10509" max="10509" width="11" style="44" customWidth="1"/>
    <col min="10510" max="10510" width="7.7109375" style="44" customWidth="1"/>
    <col min="10511" max="10511" width="9.7109375" style="44" customWidth="1"/>
    <col min="10512" max="10512" width="10.28515625" style="44" customWidth="1"/>
    <col min="10513" max="10513" width="10.5703125" style="44" customWidth="1"/>
    <col min="10514" max="10514" width="7" style="44" customWidth="1"/>
    <col min="10515" max="10515" width="9" style="44" customWidth="1"/>
    <col min="10516" max="10516" width="8.28515625" style="44" customWidth="1"/>
    <col min="10517" max="10517" width="8" style="44" customWidth="1"/>
    <col min="10518" max="10518" width="6.42578125" style="44" customWidth="1"/>
    <col min="10519" max="10519" width="7.42578125" style="44" bestFit="1" customWidth="1"/>
    <col min="10520" max="10520" width="10" style="44" customWidth="1"/>
    <col min="10521" max="10521" width="5.7109375" style="44" customWidth="1"/>
    <col min="10522" max="10522" width="7" style="44" customWidth="1"/>
    <col min="10523" max="10523" width="8.28515625" style="44" customWidth="1"/>
    <col min="10524" max="10524" width="8.5703125" style="44" customWidth="1"/>
    <col min="10525" max="10525" width="6.5703125" style="44" customWidth="1"/>
    <col min="10526" max="10526" width="7.85546875" style="44" customWidth="1"/>
    <col min="10527" max="10527" width="0" style="44" hidden="1" customWidth="1"/>
    <col min="10528" max="10528" width="10.140625" style="44" bestFit="1" customWidth="1"/>
    <col min="10529" max="10529" width="8.28515625" style="44" customWidth="1"/>
    <col min="10530" max="10752" width="9.28515625" style="44"/>
    <col min="10753" max="10753" width="4.85546875" style="44" customWidth="1"/>
    <col min="10754" max="10754" width="3" style="44" customWidth="1"/>
    <col min="10755" max="10755" width="25.7109375" style="44" customWidth="1"/>
    <col min="10756" max="10757" width="10.28515625" style="44" customWidth="1"/>
    <col min="10758" max="10758" width="7.28515625" style="44" customWidth="1"/>
    <col min="10759" max="10759" width="9.7109375" style="44" customWidth="1"/>
    <col min="10760" max="10760" width="10.28515625" style="44" customWidth="1"/>
    <col min="10761" max="10761" width="10.5703125" style="44" customWidth="1"/>
    <col min="10762" max="10762" width="6.7109375" style="44" customWidth="1"/>
    <col min="10763" max="10763" width="9" style="44" customWidth="1"/>
    <col min="10764" max="10764" width="10.28515625" style="44" customWidth="1"/>
    <col min="10765" max="10765" width="11" style="44" customWidth="1"/>
    <col min="10766" max="10766" width="7.7109375" style="44" customWidth="1"/>
    <col min="10767" max="10767" width="9.7109375" style="44" customWidth="1"/>
    <col min="10768" max="10768" width="10.28515625" style="44" customWidth="1"/>
    <col min="10769" max="10769" width="10.5703125" style="44" customWidth="1"/>
    <col min="10770" max="10770" width="7" style="44" customWidth="1"/>
    <col min="10771" max="10771" width="9" style="44" customWidth="1"/>
    <col min="10772" max="10772" width="8.28515625" style="44" customWidth="1"/>
    <col min="10773" max="10773" width="8" style="44" customWidth="1"/>
    <col min="10774" max="10774" width="6.42578125" style="44" customWidth="1"/>
    <col min="10775" max="10775" width="7.42578125" style="44" bestFit="1" customWidth="1"/>
    <col min="10776" max="10776" width="10" style="44" customWidth="1"/>
    <col min="10777" max="10777" width="5.7109375" style="44" customWidth="1"/>
    <col min="10778" max="10778" width="7" style="44" customWidth="1"/>
    <col min="10779" max="10779" width="8.28515625" style="44" customWidth="1"/>
    <col min="10780" max="10780" width="8.5703125" style="44" customWidth="1"/>
    <col min="10781" max="10781" width="6.5703125" style="44" customWidth="1"/>
    <col min="10782" max="10782" width="7.85546875" style="44" customWidth="1"/>
    <col min="10783" max="10783" width="0" style="44" hidden="1" customWidth="1"/>
    <col min="10784" max="10784" width="10.140625" style="44" bestFit="1" customWidth="1"/>
    <col min="10785" max="10785" width="8.28515625" style="44" customWidth="1"/>
    <col min="10786" max="11008" width="9.28515625" style="44"/>
    <col min="11009" max="11009" width="4.85546875" style="44" customWidth="1"/>
    <col min="11010" max="11010" width="3" style="44" customWidth="1"/>
    <col min="11011" max="11011" width="25.7109375" style="44" customWidth="1"/>
    <col min="11012" max="11013" width="10.28515625" style="44" customWidth="1"/>
    <col min="11014" max="11014" width="7.28515625" style="44" customWidth="1"/>
    <col min="11015" max="11015" width="9.7109375" style="44" customWidth="1"/>
    <col min="11016" max="11016" width="10.28515625" style="44" customWidth="1"/>
    <col min="11017" max="11017" width="10.5703125" style="44" customWidth="1"/>
    <col min="11018" max="11018" width="6.7109375" style="44" customWidth="1"/>
    <col min="11019" max="11019" width="9" style="44" customWidth="1"/>
    <col min="11020" max="11020" width="10.28515625" style="44" customWidth="1"/>
    <col min="11021" max="11021" width="11" style="44" customWidth="1"/>
    <col min="11022" max="11022" width="7.7109375" style="44" customWidth="1"/>
    <col min="11023" max="11023" width="9.7109375" style="44" customWidth="1"/>
    <col min="11024" max="11024" width="10.28515625" style="44" customWidth="1"/>
    <col min="11025" max="11025" width="10.5703125" style="44" customWidth="1"/>
    <col min="11026" max="11026" width="7" style="44" customWidth="1"/>
    <col min="11027" max="11027" width="9" style="44" customWidth="1"/>
    <col min="11028" max="11028" width="8.28515625" style="44" customWidth="1"/>
    <col min="11029" max="11029" width="8" style="44" customWidth="1"/>
    <col min="11030" max="11030" width="6.42578125" style="44" customWidth="1"/>
    <col min="11031" max="11031" width="7.42578125" style="44" bestFit="1" customWidth="1"/>
    <col min="11032" max="11032" width="10" style="44" customWidth="1"/>
    <col min="11033" max="11033" width="5.7109375" style="44" customWidth="1"/>
    <col min="11034" max="11034" width="7" style="44" customWidth="1"/>
    <col min="11035" max="11035" width="8.28515625" style="44" customWidth="1"/>
    <col min="11036" max="11036" width="8.5703125" style="44" customWidth="1"/>
    <col min="11037" max="11037" width="6.5703125" style="44" customWidth="1"/>
    <col min="11038" max="11038" width="7.85546875" style="44" customWidth="1"/>
    <col min="11039" max="11039" width="0" style="44" hidden="1" customWidth="1"/>
    <col min="11040" max="11040" width="10.140625" style="44" bestFit="1" customWidth="1"/>
    <col min="11041" max="11041" width="8.28515625" style="44" customWidth="1"/>
    <col min="11042" max="11264" width="9.28515625" style="44"/>
    <col min="11265" max="11265" width="4.85546875" style="44" customWidth="1"/>
    <col min="11266" max="11266" width="3" style="44" customWidth="1"/>
    <col min="11267" max="11267" width="25.7109375" style="44" customWidth="1"/>
    <col min="11268" max="11269" width="10.28515625" style="44" customWidth="1"/>
    <col min="11270" max="11270" width="7.28515625" style="44" customWidth="1"/>
    <col min="11271" max="11271" width="9.7109375" style="44" customWidth="1"/>
    <col min="11272" max="11272" width="10.28515625" style="44" customWidth="1"/>
    <col min="11273" max="11273" width="10.5703125" style="44" customWidth="1"/>
    <col min="11274" max="11274" width="6.7109375" style="44" customWidth="1"/>
    <col min="11275" max="11275" width="9" style="44" customWidth="1"/>
    <col min="11276" max="11276" width="10.28515625" style="44" customWidth="1"/>
    <col min="11277" max="11277" width="11" style="44" customWidth="1"/>
    <col min="11278" max="11278" width="7.7109375" style="44" customWidth="1"/>
    <col min="11279" max="11279" width="9.7109375" style="44" customWidth="1"/>
    <col min="11280" max="11280" width="10.28515625" style="44" customWidth="1"/>
    <col min="11281" max="11281" width="10.5703125" style="44" customWidth="1"/>
    <col min="11282" max="11282" width="7" style="44" customWidth="1"/>
    <col min="11283" max="11283" width="9" style="44" customWidth="1"/>
    <col min="11284" max="11284" width="8.28515625" style="44" customWidth="1"/>
    <col min="11285" max="11285" width="8" style="44" customWidth="1"/>
    <col min="11286" max="11286" width="6.42578125" style="44" customWidth="1"/>
    <col min="11287" max="11287" width="7.42578125" style="44" bestFit="1" customWidth="1"/>
    <col min="11288" max="11288" width="10" style="44" customWidth="1"/>
    <col min="11289" max="11289" width="5.7109375" style="44" customWidth="1"/>
    <col min="11290" max="11290" width="7" style="44" customWidth="1"/>
    <col min="11291" max="11291" width="8.28515625" style="44" customWidth="1"/>
    <col min="11292" max="11292" width="8.5703125" style="44" customWidth="1"/>
    <col min="11293" max="11293" width="6.5703125" style="44" customWidth="1"/>
    <col min="11294" max="11294" width="7.85546875" style="44" customWidth="1"/>
    <col min="11295" max="11295" width="0" style="44" hidden="1" customWidth="1"/>
    <col min="11296" max="11296" width="10.140625" style="44" bestFit="1" customWidth="1"/>
    <col min="11297" max="11297" width="8.28515625" style="44" customWidth="1"/>
    <col min="11298" max="11520" width="9.28515625" style="44"/>
    <col min="11521" max="11521" width="4.85546875" style="44" customWidth="1"/>
    <col min="11522" max="11522" width="3" style="44" customWidth="1"/>
    <col min="11523" max="11523" width="25.7109375" style="44" customWidth="1"/>
    <col min="11524" max="11525" width="10.28515625" style="44" customWidth="1"/>
    <col min="11526" max="11526" width="7.28515625" style="44" customWidth="1"/>
    <col min="11527" max="11527" width="9.7109375" style="44" customWidth="1"/>
    <col min="11528" max="11528" width="10.28515625" style="44" customWidth="1"/>
    <col min="11529" max="11529" width="10.5703125" style="44" customWidth="1"/>
    <col min="11530" max="11530" width="6.7109375" style="44" customWidth="1"/>
    <col min="11531" max="11531" width="9" style="44" customWidth="1"/>
    <col min="11532" max="11532" width="10.28515625" style="44" customWidth="1"/>
    <col min="11533" max="11533" width="11" style="44" customWidth="1"/>
    <col min="11534" max="11534" width="7.7109375" style="44" customWidth="1"/>
    <col min="11535" max="11535" width="9.7109375" style="44" customWidth="1"/>
    <col min="11536" max="11536" width="10.28515625" style="44" customWidth="1"/>
    <col min="11537" max="11537" width="10.5703125" style="44" customWidth="1"/>
    <col min="11538" max="11538" width="7" style="44" customWidth="1"/>
    <col min="11539" max="11539" width="9" style="44" customWidth="1"/>
    <col min="11540" max="11540" width="8.28515625" style="44" customWidth="1"/>
    <col min="11541" max="11541" width="8" style="44" customWidth="1"/>
    <col min="11542" max="11542" width="6.42578125" style="44" customWidth="1"/>
    <col min="11543" max="11543" width="7.42578125" style="44" bestFit="1" customWidth="1"/>
    <col min="11544" max="11544" width="10" style="44" customWidth="1"/>
    <col min="11545" max="11545" width="5.7109375" style="44" customWidth="1"/>
    <col min="11546" max="11546" width="7" style="44" customWidth="1"/>
    <col min="11547" max="11547" width="8.28515625" style="44" customWidth="1"/>
    <col min="11548" max="11548" width="8.5703125" style="44" customWidth="1"/>
    <col min="11549" max="11549" width="6.5703125" style="44" customWidth="1"/>
    <col min="11550" max="11550" width="7.85546875" style="44" customWidth="1"/>
    <col min="11551" max="11551" width="0" style="44" hidden="1" customWidth="1"/>
    <col min="11552" max="11552" width="10.140625" style="44" bestFit="1" customWidth="1"/>
    <col min="11553" max="11553" width="8.28515625" style="44" customWidth="1"/>
    <col min="11554" max="11776" width="9.28515625" style="44"/>
    <col min="11777" max="11777" width="4.85546875" style="44" customWidth="1"/>
    <col min="11778" max="11778" width="3" style="44" customWidth="1"/>
    <col min="11779" max="11779" width="25.7109375" style="44" customWidth="1"/>
    <col min="11780" max="11781" width="10.28515625" style="44" customWidth="1"/>
    <col min="11782" max="11782" width="7.28515625" style="44" customWidth="1"/>
    <col min="11783" max="11783" width="9.7109375" style="44" customWidth="1"/>
    <col min="11784" max="11784" width="10.28515625" style="44" customWidth="1"/>
    <col min="11785" max="11785" width="10.5703125" style="44" customWidth="1"/>
    <col min="11786" max="11786" width="6.7109375" style="44" customWidth="1"/>
    <col min="11787" max="11787" width="9" style="44" customWidth="1"/>
    <col min="11788" max="11788" width="10.28515625" style="44" customWidth="1"/>
    <col min="11789" max="11789" width="11" style="44" customWidth="1"/>
    <col min="11790" max="11790" width="7.7109375" style="44" customWidth="1"/>
    <col min="11791" max="11791" width="9.7109375" style="44" customWidth="1"/>
    <col min="11792" max="11792" width="10.28515625" style="44" customWidth="1"/>
    <col min="11793" max="11793" width="10.5703125" style="44" customWidth="1"/>
    <col min="11794" max="11794" width="7" style="44" customWidth="1"/>
    <col min="11795" max="11795" width="9" style="44" customWidth="1"/>
    <col min="11796" max="11796" width="8.28515625" style="44" customWidth="1"/>
    <col min="11797" max="11797" width="8" style="44" customWidth="1"/>
    <col min="11798" max="11798" width="6.42578125" style="44" customWidth="1"/>
    <col min="11799" max="11799" width="7.42578125" style="44" bestFit="1" customWidth="1"/>
    <col min="11800" max="11800" width="10" style="44" customWidth="1"/>
    <col min="11801" max="11801" width="5.7109375" style="44" customWidth="1"/>
    <col min="11802" max="11802" width="7" style="44" customWidth="1"/>
    <col min="11803" max="11803" width="8.28515625" style="44" customWidth="1"/>
    <col min="11804" max="11804" width="8.5703125" style="44" customWidth="1"/>
    <col min="11805" max="11805" width="6.5703125" style="44" customWidth="1"/>
    <col min="11806" max="11806" width="7.85546875" style="44" customWidth="1"/>
    <col min="11807" max="11807" width="0" style="44" hidden="1" customWidth="1"/>
    <col min="11808" max="11808" width="10.140625" style="44" bestFit="1" customWidth="1"/>
    <col min="11809" max="11809" width="8.28515625" style="44" customWidth="1"/>
    <col min="11810" max="12032" width="9.28515625" style="44"/>
    <col min="12033" max="12033" width="4.85546875" style="44" customWidth="1"/>
    <col min="12034" max="12034" width="3" style="44" customWidth="1"/>
    <col min="12035" max="12035" width="25.7109375" style="44" customWidth="1"/>
    <col min="12036" max="12037" width="10.28515625" style="44" customWidth="1"/>
    <col min="12038" max="12038" width="7.28515625" style="44" customWidth="1"/>
    <col min="12039" max="12039" width="9.7109375" style="44" customWidth="1"/>
    <col min="12040" max="12040" width="10.28515625" style="44" customWidth="1"/>
    <col min="12041" max="12041" width="10.5703125" style="44" customWidth="1"/>
    <col min="12042" max="12042" width="6.7109375" style="44" customWidth="1"/>
    <col min="12043" max="12043" width="9" style="44" customWidth="1"/>
    <col min="12044" max="12044" width="10.28515625" style="44" customWidth="1"/>
    <col min="12045" max="12045" width="11" style="44" customWidth="1"/>
    <col min="12046" max="12046" width="7.7109375" style="44" customWidth="1"/>
    <col min="12047" max="12047" width="9.7109375" style="44" customWidth="1"/>
    <col min="12048" max="12048" width="10.28515625" style="44" customWidth="1"/>
    <col min="12049" max="12049" width="10.5703125" style="44" customWidth="1"/>
    <col min="12050" max="12050" width="7" style="44" customWidth="1"/>
    <col min="12051" max="12051" width="9" style="44" customWidth="1"/>
    <col min="12052" max="12052" width="8.28515625" style="44" customWidth="1"/>
    <col min="12053" max="12053" width="8" style="44" customWidth="1"/>
    <col min="12054" max="12054" width="6.42578125" style="44" customWidth="1"/>
    <col min="12055" max="12055" width="7.42578125" style="44" bestFit="1" customWidth="1"/>
    <col min="12056" max="12056" width="10" style="44" customWidth="1"/>
    <col min="12057" max="12057" width="5.7109375" style="44" customWidth="1"/>
    <col min="12058" max="12058" width="7" style="44" customWidth="1"/>
    <col min="12059" max="12059" width="8.28515625" style="44" customWidth="1"/>
    <col min="12060" max="12060" width="8.5703125" style="44" customWidth="1"/>
    <col min="12061" max="12061" width="6.5703125" style="44" customWidth="1"/>
    <col min="12062" max="12062" width="7.85546875" style="44" customWidth="1"/>
    <col min="12063" max="12063" width="0" style="44" hidden="1" customWidth="1"/>
    <col min="12064" max="12064" width="10.140625" style="44" bestFit="1" customWidth="1"/>
    <col min="12065" max="12065" width="8.28515625" style="44" customWidth="1"/>
    <col min="12066" max="12288" width="9.28515625" style="44"/>
    <col min="12289" max="12289" width="4.85546875" style="44" customWidth="1"/>
    <col min="12290" max="12290" width="3" style="44" customWidth="1"/>
    <col min="12291" max="12291" width="25.7109375" style="44" customWidth="1"/>
    <col min="12292" max="12293" width="10.28515625" style="44" customWidth="1"/>
    <col min="12294" max="12294" width="7.28515625" style="44" customWidth="1"/>
    <col min="12295" max="12295" width="9.7109375" style="44" customWidth="1"/>
    <col min="12296" max="12296" width="10.28515625" style="44" customWidth="1"/>
    <col min="12297" max="12297" width="10.5703125" style="44" customWidth="1"/>
    <col min="12298" max="12298" width="6.7109375" style="44" customWidth="1"/>
    <col min="12299" max="12299" width="9" style="44" customWidth="1"/>
    <col min="12300" max="12300" width="10.28515625" style="44" customWidth="1"/>
    <col min="12301" max="12301" width="11" style="44" customWidth="1"/>
    <col min="12302" max="12302" width="7.7109375" style="44" customWidth="1"/>
    <col min="12303" max="12303" width="9.7109375" style="44" customWidth="1"/>
    <col min="12304" max="12304" width="10.28515625" style="44" customWidth="1"/>
    <col min="12305" max="12305" width="10.5703125" style="44" customWidth="1"/>
    <col min="12306" max="12306" width="7" style="44" customWidth="1"/>
    <col min="12307" max="12307" width="9" style="44" customWidth="1"/>
    <col min="12308" max="12308" width="8.28515625" style="44" customWidth="1"/>
    <col min="12309" max="12309" width="8" style="44" customWidth="1"/>
    <col min="12310" max="12310" width="6.42578125" style="44" customWidth="1"/>
    <col min="12311" max="12311" width="7.42578125" style="44" bestFit="1" customWidth="1"/>
    <col min="12312" max="12312" width="10" style="44" customWidth="1"/>
    <col min="12313" max="12313" width="5.7109375" style="44" customWidth="1"/>
    <col min="12314" max="12314" width="7" style="44" customWidth="1"/>
    <col min="12315" max="12315" width="8.28515625" style="44" customWidth="1"/>
    <col min="12316" max="12316" width="8.5703125" style="44" customWidth="1"/>
    <col min="12317" max="12317" width="6.5703125" style="44" customWidth="1"/>
    <col min="12318" max="12318" width="7.85546875" style="44" customWidth="1"/>
    <col min="12319" max="12319" width="0" style="44" hidden="1" customWidth="1"/>
    <col min="12320" max="12320" width="10.140625" style="44" bestFit="1" customWidth="1"/>
    <col min="12321" max="12321" width="8.28515625" style="44" customWidth="1"/>
    <col min="12322" max="12544" width="9.28515625" style="44"/>
    <col min="12545" max="12545" width="4.85546875" style="44" customWidth="1"/>
    <col min="12546" max="12546" width="3" style="44" customWidth="1"/>
    <col min="12547" max="12547" width="25.7109375" style="44" customWidth="1"/>
    <col min="12548" max="12549" width="10.28515625" style="44" customWidth="1"/>
    <col min="12550" max="12550" width="7.28515625" style="44" customWidth="1"/>
    <col min="12551" max="12551" width="9.7109375" style="44" customWidth="1"/>
    <col min="12552" max="12552" width="10.28515625" style="44" customWidth="1"/>
    <col min="12553" max="12553" width="10.5703125" style="44" customWidth="1"/>
    <col min="12554" max="12554" width="6.7109375" style="44" customWidth="1"/>
    <col min="12555" max="12555" width="9" style="44" customWidth="1"/>
    <col min="12556" max="12556" width="10.28515625" style="44" customWidth="1"/>
    <col min="12557" max="12557" width="11" style="44" customWidth="1"/>
    <col min="12558" max="12558" width="7.7109375" style="44" customWidth="1"/>
    <col min="12559" max="12559" width="9.7109375" style="44" customWidth="1"/>
    <col min="12560" max="12560" width="10.28515625" style="44" customWidth="1"/>
    <col min="12561" max="12561" width="10.5703125" style="44" customWidth="1"/>
    <col min="12562" max="12562" width="7" style="44" customWidth="1"/>
    <col min="12563" max="12563" width="9" style="44" customWidth="1"/>
    <col min="12564" max="12564" width="8.28515625" style="44" customWidth="1"/>
    <col min="12565" max="12565" width="8" style="44" customWidth="1"/>
    <col min="12566" max="12566" width="6.42578125" style="44" customWidth="1"/>
    <col min="12567" max="12567" width="7.42578125" style="44" bestFit="1" customWidth="1"/>
    <col min="12568" max="12568" width="10" style="44" customWidth="1"/>
    <col min="12569" max="12569" width="5.7109375" style="44" customWidth="1"/>
    <col min="12570" max="12570" width="7" style="44" customWidth="1"/>
    <col min="12571" max="12571" width="8.28515625" style="44" customWidth="1"/>
    <col min="12572" max="12572" width="8.5703125" style="44" customWidth="1"/>
    <col min="12573" max="12573" width="6.5703125" style="44" customWidth="1"/>
    <col min="12574" max="12574" width="7.85546875" style="44" customWidth="1"/>
    <col min="12575" max="12575" width="0" style="44" hidden="1" customWidth="1"/>
    <col min="12576" max="12576" width="10.140625" style="44" bestFit="1" customWidth="1"/>
    <col min="12577" max="12577" width="8.28515625" style="44" customWidth="1"/>
    <col min="12578" max="12800" width="9.28515625" style="44"/>
    <col min="12801" max="12801" width="4.85546875" style="44" customWidth="1"/>
    <col min="12802" max="12802" width="3" style="44" customWidth="1"/>
    <col min="12803" max="12803" width="25.7109375" style="44" customWidth="1"/>
    <col min="12804" max="12805" width="10.28515625" style="44" customWidth="1"/>
    <col min="12806" max="12806" width="7.28515625" style="44" customWidth="1"/>
    <col min="12807" max="12807" width="9.7109375" style="44" customWidth="1"/>
    <col min="12808" max="12808" width="10.28515625" style="44" customWidth="1"/>
    <col min="12809" max="12809" width="10.5703125" style="44" customWidth="1"/>
    <col min="12810" max="12810" width="6.7109375" style="44" customWidth="1"/>
    <col min="12811" max="12811" width="9" style="44" customWidth="1"/>
    <col min="12812" max="12812" width="10.28515625" style="44" customWidth="1"/>
    <col min="12813" max="12813" width="11" style="44" customWidth="1"/>
    <col min="12814" max="12814" width="7.7109375" style="44" customWidth="1"/>
    <col min="12815" max="12815" width="9.7109375" style="44" customWidth="1"/>
    <col min="12816" max="12816" width="10.28515625" style="44" customWidth="1"/>
    <col min="12817" max="12817" width="10.5703125" style="44" customWidth="1"/>
    <col min="12818" max="12818" width="7" style="44" customWidth="1"/>
    <col min="12819" max="12819" width="9" style="44" customWidth="1"/>
    <col min="12820" max="12820" width="8.28515625" style="44" customWidth="1"/>
    <col min="12821" max="12821" width="8" style="44" customWidth="1"/>
    <col min="12822" max="12822" width="6.42578125" style="44" customWidth="1"/>
    <col min="12823" max="12823" width="7.42578125" style="44" bestFit="1" customWidth="1"/>
    <col min="12824" max="12824" width="10" style="44" customWidth="1"/>
    <col min="12825" max="12825" width="5.7109375" style="44" customWidth="1"/>
    <col min="12826" max="12826" width="7" style="44" customWidth="1"/>
    <col min="12827" max="12827" width="8.28515625" style="44" customWidth="1"/>
    <col min="12828" max="12828" width="8.5703125" style="44" customWidth="1"/>
    <col min="12829" max="12829" width="6.5703125" style="44" customWidth="1"/>
    <col min="12830" max="12830" width="7.85546875" style="44" customWidth="1"/>
    <col min="12831" max="12831" width="0" style="44" hidden="1" customWidth="1"/>
    <col min="12832" max="12832" width="10.140625" style="44" bestFit="1" customWidth="1"/>
    <col min="12833" max="12833" width="8.28515625" style="44" customWidth="1"/>
    <col min="12834" max="13056" width="9.28515625" style="44"/>
    <col min="13057" max="13057" width="4.85546875" style="44" customWidth="1"/>
    <col min="13058" max="13058" width="3" style="44" customWidth="1"/>
    <col min="13059" max="13059" width="25.7109375" style="44" customWidth="1"/>
    <col min="13060" max="13061" width="10.28515625" style="44" customWidth="1"/>
    <col min="13062" max="13062" width="7.28515625" style="44" customWidth="1"/>
    <col min="13063" max="13063" width="9.7109375" style="44" customWidth="1"/>
    <col min="13064" max="13064" width="10.28515625" style="44" customWidth="1"/>
    <col min="13065" max="13065" width="10.5703125" style="44" customWidth="1"/>
    <col min="13066" max="13066" width="6.7109375" style="44" customWidth="1"/>
    <col min="13067" max="13067" width="9" style="44" customWidth="1"/>
    <col min="13068" max="13068" width="10.28515625" style="44" customWidth="1"/>
    <col min="13069" max="13069" width="11" style="44" customWidth="1"/>
    <col min="13070" max="13070" width="7.7109375" style="44" customWidth="1"/>
    <col min="13071" max="13071" width="9.7109375" style="44" customWidth="1"/>
    <col min="13072" max="13072" width="10.28515625" style="44" customWidth="1"/>
    <col min="13073" max="13073" width="10.5703125" style="44" customWidth="1"/>
    <col min="13074" max="13074" width="7" style="44" customWidth="1"/>
    <col min="13075" max="13075" width="9" style="44" customWidth="1"/>
    <col min="13076" max="13076" width="8.28515625" style="44" customWidth="1"/>
    <col min="13077" max="13077" width="8" style="44" customWidth="1"/>
    <col min="13078" max="13078" width="6.42578125" style="44" customWidth="1"/>
    <col min="13079" max="13079" width="7.42578125" style="44" bestFit="1" customWidth="1"/>
    <col min="13080" max="13080" width="10" style="44" customWidth="1"/>
    <col min="13081" max="13081" width="5.7109375" style="44" customWidth="1"/>
    <col min="13082" max="13082" width="7" style="44" customWidth="1"/>
    <col min="13083" max="13083" width="8.28515625" style="44" customWidth="1"/>
    <col min="13084" max="13084" width="8.5703125" style="44" customWidth="1"/>
    <col min="13085" max="13085" width="6.5703125" style="44" customWidth="1"/>
    <col min="13086" max="13086" width="7.85546875" style="44" customWidth="1"/>
    <col min="13087" max="13087" width="0" style="44" hidden="1" customWidth="1"/>
    <col min="13088" max="13088" width="10.140625" style="44" bestFit="1" customWidth="1"/>
    <col min="13089" max="13089" width="8.28515625" style="44" customWidth="1"/>
    <col min="13090" max="13312" width="9.28515625" style="44"/>
    <col min="13313" max="13313" width="4.85546875" style="44" customWidth="1"/>
    <col min="13314" max="13314" width="3" style="44" customWidth="1"/>
    <col min="13315" max="13315" width="25.7109375" style="44" customWidth="1"/>
    <col min="13316" max="13317" width="10.28515625" style="44" customWidth="1"/>
    <col min="13318" max="13318" width="7.28515625" style="44" customWidth="1"/>
    <col min="13319" max="13319" width="9.7109375" style="44" customWidth="1"/>
    <col min="13320" max="13320" width="10.28515625" style="44" customWidth="1"/>
    <col min="13321" max="13321" width="10.5703125" style="44" customWidth="1"/>
    <col min="13322" max="13322" width="6.7109375" style="44" customWidth="1"/>
    <col min="13323" max="13323" width="9" style="44" customWidth="1"/>
    <col min="13324" max="13324" width="10.28515625" style="44" customWidth="1"/>
    <col min="13325" max="13325" width="11" style="44" customWidth="1"/>
    <col min="13326" max="13326" width="7.7109375" style="44" customWidth="1"/>
    <col min="13327" max="13327" width="9.7109375" style="44" customWidth="1"/>
    <col min="13328" max="13328" width="10.28515625" style="44" customWidth="1"/>
    <col min="13329" max="13329" width="10.5703125" style="44" customWidth="1"/>
    <col min="13330" max="13330" width="7" style="44" customWidth="1"/>
    <col min="13331" max="13331" width="9" style="44" customWidth="1"/>
    <col min="13332" max="13332" width="8.28515625" style="44" customWidth="1"/>
    <col min="13333" max="13333" width="8" style="44" customWidth="1"/>
    <col min="13334" max="13334" width="6.42578125" style="44" customWidth="1"/>
    <col min="13335" max="13335" width="7.42578125" style="44" bestFit="1" customWidth="1"/>
    <col min="13336" max="13336" width="10" style="44" customWidth="1"/>
    <col min="13337" max="13337" width="5.7109375" style="44" customWidth="1"/>
    <col min="13338" max="13338" width="7" style="44" customWidth="1"/>
    <col min="13339" max="13339" width="8.28515625" style="44" customWidth="1"/>
    <col min="13340" max="13340" width="8.5703125" style="44" customWidth="1"/>
    <col min="13341" max="13341" width="6.5703125" style="44" customWidth="1"/>
    <col min="13342" max="13342" width="7.85546875" style="44" customWidth="1"/>
    <col min="13343" max="13343" width="0" style="44" hidden="1" customWidth="1"/>
    <col min="13344" max="13344" width="10.140625" style="44" bestFit="1" customWidth="1"/>
    <col min="13345" max="13345" width="8.28515625" style="44" customWidth="1"/>
    <col min="13346" max="13568" width="9.28515625" style="44"/>
    <col min="13569" max="13569" width="4.85546875" style="44" customWidth="1"/>
    <col min="13570" max="13570" width="3" style="44" customWidth="1"/>
    <col min="13571" max="13571" width="25.7109375" style="44" customWidth="1"/>
    <col min="13572" max="13573" width="10.28515625" style="44" customWidth="1"/>
    <col min="13574" max="13574" width="7.28515625" style="44" customWidth="1"/>
    <col min="13575" max="13575" width="9.7109375" style="44" customWidth="1"/>
    <col min="13576" max="13576" width="10.28515625" style="44" customWidth="1"/>
    <col min="13577" max="13577" width="10.5703125" style="44" customWidth="1"/>
    <col min="13578" max="13578" width="6.7109375" style="44" customWidth="1"/>
    <col min="13579" max="13579" width="9" style="44" customWidth="1"/>
    <col min="13580" max="13580" width="10.28515625" style="44" customWidth="1"/>
    <col min="13581" max="13581" width="11" style="44" customWidth="1"/>
    <col min="13582" max="13582" width="7.7109375" style="44" customWidth="1"/>
    <col min="13583" max="13583" width="9.7109375" style="44" customWidth="1"/>
    <col min="13584" max="13584" width="10.28515625" style="44" customWidth="1"/>
    <col min="13585" max="13585" width="10.5703125" style="44" customWidth="1"/>
    <col min="13586" max="13586" width="7" style="44" customWidth="1"/>
    <col min="13587" max="13587" width="9" style="44" customWidth="1"/>
    <col min="13588" max="13588" width="8.28515625" style="44" customWidth="1"/>
    <col min="13589" max="13589" width="8" style="44" customWidth="1"/>
    <col min="13590" max="13590" width="6.42578125" style="44" customWidth="1"/>
    <col min="13591" max="13591" width="7.42578125" style="44" bestFit="1" customWidth="1"/>
    <col min="13592" max="13592" width="10" style="44" customWidth="1"/>
    <col min="13593" max="13593" width="5.7109375" style="44" customWidth="1"/>
    <col min="13594" max="13594" width="7" style="44" customWidth="1"/>
    <col min="13595" max="13595" width="8.28515625" style="44" customWidth="1"/>
    <col min="13596" max="13596" width="8.5703125" style="44" customWidth="1"/>
    <col min="13597" max="13597" width="6.5703125" style="44" customWidth="1"/>
    <col min="13598" max="13598" width="7.85546875" style="44" customWidth="1"/>
    <col min="13599" max="13599" width="0" style="44" hidden="1" customWidth="1"/>
    <col min="13600" max="13600" width="10.140625" style="44" bestFit="1" customWidth="1"/>
    <col min="13601" max="13601" width="8.28515625" style="44" customWidth="1"/>
    <col min="13602" max="13824" width="9.28515625" style="44"/>
    <col min="13825" max="13825" width="4.85546875" style="44" customWidth="1"/>
    <col min="13826" max="13826" width="3" style="44" customWidth="1"/>
    <col min="13827" max="13827" width="25.7109375" style="44" customWidth="1"/>
    <col min="13828" max="13829" width="10.28515625" style="44" customWidth="1"/>
    <col min="13830" max="13830" width="7.28515625" style="44" customWidth="1"/>
    <col min="13831" max="13831" width="9.7109375" style="44" customWidth="1"/>
    <col min="13832" max="13832" width="10.28515625" style="44" customWidth="1"/>
    <col min="13833" max="13833" width="10.5703125" style="44" customWidth="1"/>
    <col min="13834" max="13834" width="6.7109375" style="44" customWidth="1"/>
    <col min="13835" max="13835" width="9" style="44" customWidth="1"/>
    <col min="13836" max="13836" width="10.28515625" style="44" customWidth="1"/>
    <col min="13837" max="13837" width="11" style="44" customWidth="1"/>
    <col min="13838" max="13838" width="7.7109375" style="44" customWidth="1"/>
    <col min="13839" max="13839" width="9.7109375" style="44" customWidth="1"/>
    <col min="13840" max="13840" width="10.28515625" style="44" customWidth="1"/>
    <col min="13841" max="13841" width="10.5703125" style="44" customWidth="1"/>
    <col min="13842" max="13842" width="7" style="44" customWidth="1"/>
    <col min="13843" max="13843" width="9" style="44" customWidth="1"/>
    <col min="13844" max="13844" width="8.28515625" style="44" customWidth="1"/>
    <col min="13845" max="13845" width="8" style="44" customWidth="1"/>
    <col min="13846" max="13846" width="6.42578125" style="44" customWidth="1"/>
    <col min="13847" max="13847" width="7.42578125" style="44" bestFit="1" customWidth="1"/>
    <col min="13848" max="13848" width="10" style="44" customWidth="1"/>
    <col min="13849" max="13849" width="5.7109375" style="44" customWidth="1"/>
    <col min="13850" max="13850" width="7" style="44" customWidth="1"/>
    <col min="13851" max="13851" width="8.28515625" style="44" customWidth="1"/>
    <col min="13852" max="13852" width="8.5703125" style="44" customWidth="1"/>
    <col min="13853" max="13853" width="6.5703125" style="44" customWidth="1"/>
    <col min="13854" max="13854" width="7.85546875" style="44" customWidth="1"/>
    <col min="13855" max="13855" width="0" style="44" hidden="1" customWidth="1"/>
    <col min="13856" max="13856" width="10.140625" style="44" bestFit="1" customWidth="1"/>
    <col min="13857" max="13857" width="8.28515625" style="44" customWidth="1"/>
    <col min="13858" max="14080" width="9.28515625" style="44"/>
    <col min="14081" max="14081" width="4.85546875" style="44" customWidth="1"/>
    <col min="14082" max="14082" width="3" style="44" customWidth="1"/>
    <col min="14083" max="14083" width="25.7109375" style="44" customWidth="1"/>
    <col min="14084" max="14085" width="10.28515625" style="44" customWidth="1"/>
    <col min="14086" max="14086" width="7.28515625" style="44" customWidth="1"/>
    <col min="14087" max="14087" width="9.7109375" style="44" customWidth="1"/>
    <col min="14088" max="14088" width="10.28515625" style="44" customWidth="1"/>
    <col min="14089" max="14089" width="10.5703125" style="44" customWidth="1"/>
    <col min="14090" max="14090" width="6.7109375" style="44" customWidth="1"/>
    <col min="14091" max="14091" width="9" style="44" customWidth="1"/>
    <col min="14092" max="14092" width="10.28515625" style="44" customWidth="1"/>
    <col min="14093" max="14093" width="11" style="44" customWidth="1"/>
    <col min="14094" max="14094" width="7.7109375" style="44" customWidth="1"/>
    <col min="14095" max="14095" width="9.7109375" style="44" customWidth="1"/>
    <col min="14096" max="14096" width="10.28515625" style="44" customWidth="1"/>
    <col min="14097" max="14097" width="10.5703125" style="44" customWidth="1"/>
    <col min="14098" max="14098" width="7" style="44" customWidth="1"/>
    <col min="14099" max="14099" width="9" style="44" customWidth="1"/>
    <col min="14100" max="14100" width="8.28515625" style="44" customWidth="1"/>
    <col min="14101" max="14101" width="8" style="44" customWidth="1"/>
    <col min="14102" max="14102" width="6.42578125" style="44" customWidth="1"/>
    <col min="14103" max="14103" width="7.42578125" style="44" bestFit="1" customWidth="1"/>
    <col min="14104" max="14104" width="10" style="44" customWidth="1"/>
    <col min="14105" max="14105" width="5.7109375" style="44" customWidth="1"/>
    <col min="14106" max="14106" width="7" style="44" customWidth="1"/>
    <col min="14107" max="14107" width="8.28515625" style="44" customWidth="1"/>
    <col min="14108" max="14108" width="8.5703125" style="44" customWidth="1"/>
    <col min="14109" max="14109" width="6.5703125" style="44" customWidth="1"/>
    <col min="14110" max="14110" width="7.85546875" style="44" customWidth="1"/>
    <col min="14111" max="14111" width="0" style="44" hidden="1" customWidth="1"/>
    <col min="14112" max="14112" width="10.140625" style="44" bestFit="1" customWidth="1"/>
    <col min="14113" max="14113" width="8.28515625" style="44" customWidth="1"/>
    <col min="14114" max="14336" width="9.28515625" style="44"/>
    <col min="14337" max="14337" width="4.85546875" style="44" customWidth="1"/>
    <col min="14338" max="14338" width="3" style="44" customWidth="1"/>
    <col min="14339" max="14339" width="25.7109375" style="44" customWidth="1"/>
    <col min="14340" max="14341" width="10.28515625" style="44" customWidth="1"/>
    <col min="14342" max="14342" width="7.28515625" style="44" customWidth="1"/>
    <col min="14343" max="14343" width="9.7109375" style="44" customWidth="1"/>
    <col min="14344" max="14344" width="10.28515625" style="44" customWidth="1"/>
    <col min="14345" max="14345" width="10.5703125" style="44" customWidth="1"/>
    <col min="14346" max="14346" width="6.7109375" style="44" customWidth="1"/>
    <col min="14347" max="14347" width="9" style="44" customWidth="1"/>
    <col min="14348" max="14348" width="10.28515625" style="44" customWidth="1"/>
    <col min="14349" max="14349" width="11" style="44" customWidth="1"/>
    <col min="14350" max="14350" width="7.7109375" style="44" customWidth="1"/>
    <col min="14351" max="14351" width="9.7109375" style="44" customWidth="1"/>
    <col min="14352" max="14352" width="10.28515625" style="44" customWidth="1"/>
    <col min="14353" max="14353" width="10.5703125" style="44" customWidth="1"/>
    <col min="14354" max="14354" width="7" style="44" customWidth="1"/>
    <col min="14355" max="14355" width="9" style="44" customWidth="1"/>
    <col min="14356" max="14356" width="8.28515625" style="44" customWidth="1"/>
    <col min="14357" max="14357" width="8" style="44" customWidth="1"/>
    <col min="14358" max="14358" width="6.42578125" style="44" customWidth="1"/>
    <col min="14359" max="14359" width="7.42578125" style="44" bestFit="1" customWidth="1"/>
    <col min="14360" max="14360" width="10" style="44" customWidth="1"/>
    <col min="14361" max="14361" width="5.7109375" style="44" customWidth="1"/>
    <col min="14362" max="14362" width="7" style="44" customWidth="1"/>
    <col min="14363" max="14363" width="8.28515625" style="44" customWidth="1"/>
    <col min="14364" max="14364" width="8.5703125" style="44" customWidth="1"/>
    <col min="14365" max="14365" width="6.5703125" style="44" customWidth="1"/>
    <col min="14366" max="14366" width="7.85546875" style="44" customWidth="1"/>
    <col min="14367" max="14367" width="0" style="44" hidden="1" customWidth="1"/>
    <col min="14368" max="14368" width="10.140625" style="44" bestFit="1" customWidth="1"/>
    <col min="14369" max="14369" width="8.28515625" style="44" customWidth="1"/>
    <col min="14370" max="14592" width="9.28515625" style="44"/>
    <col min="14593" max="14593" width="4.85546875" style="44" customWidth="1"/>
    <col min="14594" max="14594" width="3" style="44" customWidth="1"/>
    <col min="14595" max="14595" width="25.7109375" style="44" customWidth="1"/>
    <col min="14596" max="14597" width="10.28515625" style="44" customWidth="1"/>
    <col min="14598" max="14598" width="7.28515625" style="44" customWidth="1"/>
    <col min="14599" max="14599" width="9.7109375" style="44" customWidth="1"/>
    <col min="14600" max="14600" width="10.28515625" style="44" customWidth="1"/>
    <col min="14601" max="14601" width="10.5703125" style="44" customWidth="1"/>
    <col min="14602" max="14602" width="6.7109375" style="44" customWidth="1"/>
    <col min="14603" max="14603" width="9" style="44" customWidth="1"/>
    <col min="14604" max="14604" width="10.28515625" style="44" customWidth="1"/>
    <col min="14605" max="14605" width="11" style="44" customWidth="1"/>
    <col min="14606" max="14606" width="7.7109375" style="44" customWidth="1"/>
    <col min="14607" max="14607" width="9.7109375" style="44" customWidth="1"/>
    <col min="14608" max="14608" width="10.28515625" style="44" customWidth="1"/>
    <col min="14609" max="14609" width="10.5703125" style="44" customWidth="1"/>
    <col min="14610" max="14610" width="7" style="44" customWidth="1"/>
    <col min="14611" max="14611" width="9" style="44" customWidth="1"/>
    <col min="14612" max="14612" width="8.28515625" style="44" customWidth="1"/>
    <col min="14613" max="14613" width="8" style="44" customWidth="1"/>
    <col min="14614" max="14614" width="6.42578125" style="44" customWidth="1"/>
    <col min="14615" max="14615" width="7.42578125" style="44" bestFit="1" customWidth="1"/>
    <col min="14616" max="14616" width="10" style="44" customWidth="1"/>
    <col min="14617" max="14617" width="5.7109375" style="44" customWidth="1"/>
    <col min="14618" max="14618" width="7" style="44" customWidth="1"/>
    <col min="14619" max="14619" width="8.28515625" style="44" customWidth="1"/>
    <col min="14620" max="14620" width="8.5703125" style="44" customWidth="1"/>
    <col min="14621" max="14621" width="6.5703125" style="44" customWidth="1"/>
    <col min="14622" max="14622" width="7.85546875" style="44" customWidth="1"/>
    <col min="14623" max="14623" width="0" style="44" hidden="1" customWidth="1"/>
    <col min="14624" max="14624" width="10.140625" style="44" bestFit="1" customWidth="1"/>
    <col min="14625" max="14625" width="8.28515625" style="44" customWidth="1"/>
    <col min="14626" max="14848" width="9.28515625" style="44"/>
    <col min="14849" max="14849" width="4.85546875" style="44" customWidth="1"/>
    <col min="14850" max="14850" width="3" style="44" customWidth="1"/>
    <col min="14851" max="14851" width="25.7109375" style="44" customWidth="1"/>
    <col min="14852" max="14853" width="10.28515625" style="44" customWidth="1"/>
    <col min="14854" max="14854" width="7.28515625" style="44" customWidth="1"/>
    <col min="14855" max="14855" width="9.7109375" style="44" customWidth="1"/>
    <col min="14856" max="14856" width="10.28515625" style="44" customWidth="1"/>
    <col min="14857" max="14857" width="10.5703125" style="44" customWidth="1"/>
    <col min="14858" max="14858" width="6.7109375" style="44" customWidth="1"/>
    <col min="14859" max="14859" width="9" style="44" customWidth="1"/>
    <col min="14860" max="14860" width="10.28515625" style="44" customWidth="1"/>
    <col min="14861" max="14861" width="11" style="44" customWidth="1"/>
    <col min="14862" max="14862" width="7.7109375" style="44" customWidth="1"/>
    <col min="14863" max="14863" width="9.7109375" style="44" customWidth="1"/>
    <col min="14864" max="14864" width="10.28515625" style="44" customWidth="1"/>
    <col min="14865" max="14865" width="10.5703125" style="44" customWidth="1"/>
    <col min="14866" max="14866" width="7" style="44" customWidth="1"/>
    <col min="14867" max="14867" width="9" style="44" customWidth="1"/>
    <col min="14868" max="14868" width="8.28515625" style="44" customWidth="1"/>
    <col min="14869" max="14869" width="8" style="44" customWidth="1"/>
    <col min="14870" max="14870" width="6.42578125" style="44" customWidth="1"/>
    <col min="14871" max="14871" width="7.42578125" style="44" bestFit="1" customWidth="1"/>
    <col min="14872" max="14872" width="10" style="44" customWidth="1"/>
    <col min="14873" max="14873" width="5.7109375" style="44" customWidth="1"/>
    <col min="14874" max="14874" width="7" style="44" customWidth="1"/>
    <col min="14875" max="14875" width="8.28515625" style="44" customWidth="1"/>
    <col min="14876" max="14876" width="8.5703125" style="44" customWidth="1"/>
    <col min="14877" max="14877" width="6.5703125" style="44" customWidth="1"/>
    <col min="14878" max="14878" width="7.85546875" style="44" customWidth="1"/>
    <col min="14879" max="14879" width="0" style="44" hidden="1" customWidth="1"/>
    <col min="14880" max="14880" width="10.140625" style="44" bestFit="1" customWidth="1"/>
    <col min="14881" max="14881" width="8.28515625" style="44" customWidth="1"/>
    <col min="14882" max="15104" width="9.28515625" style="44"/>
    <col min="15105" max="15105" width="4.85546875" style="44" customWidth="1"/>
    <col min="15106" max="15106" width="3" style="44" customWidth="1"/>
    <col min="15107" max="15107" width="25.7109375" style="44" customWidth="1"/>
    <col min="15108" max="15109" width="10.28515625" style="44" customWidth="1"/>
    <col min="15110" max="15110" width="7.28515625" style="44" customWidth="1"/>
    <col min="15111" max="15111" width="9.7109375" style="44" customWidth="1"/>
    <col min="15112" max="15112" width="10.28515625" style="44" customWidth="1"/>
    <col min="15113" max="15113" width="10.5703125" style="44" customWidth="1"/>
    <col min="15114" max="15114" width="6.7109375" style="44" customWidth="1"/>
    <col min="15115" max="15115" width="9" style="44" customWidth="1"/>
    <col min="15116" max="15116" width="10.28515625" style="44" customWidth="1"/>
    <col min="15117" max="15117" width="11" style="44" customWidth="1"/>
    <col min="15118" max="15118" width="7.7109375" style="44" customWidth="1"/>
    <col min="15119" max="15119" width="9.7109375" style="44" customWidth="1"/>
    <col min="15120" max="15120" width="10.28515625" style="44" customWidth="1"/>
    <col min="15121" max="15121" width="10.5703125" style="44" customWidth="1"/>
    <col min="15122" max="15122" width="7" style="44" customWidth="1"/>
    <col min="15123" max="15123" width="9" style="44" customWidth="1"/>
    <col min="15124" max="15124" width="8.28515625" style="44" customWidth="1"/>
    <col min="15125" max="15125" width="8" style="44" customWidth="1"/>
    <col min="15126" max="15126" width="6.42578125" style="44" customWidth="1"/>
    <col min="15127" max="15127" width="7.42578125" style="44" bestFit="1" customWidth="1"/>
    <col min="15128" max="15128" width="10" style="44" customWidth="1"/>
    <col min="15129" max="15129" width="5.7109375" style="44" customWidth="1"/>
    <col min="15130" max="15130" width="7" style="44" customWidth="1"/>
    <col min="15131" max="15131" width="8.28515625" style="44" customWidth="1"/>
    <col min="15132" max="15132" width="8.5703125" style="44" customWidth="1"/>
    <col min="15133" max="15133" width="6.5703125" style="44" customWidth="1"/>
    <col min="15134" max="15134" width="7.85546875" style="44" customWidth="1"/>
    <col min="15135" max="15135" width="0" style="44" hidden="1" customWidth="1"/>
    <col min="15136" max="15136" width="10.140625" style="44" bestFit="1" customWidth="1"/>
    <col min="15137" max="15137" width="8.28515625" style="44" customWidth="1"/>
    <col min="15138" max="15360" width="9.28515625" style="44"/>
    <col min="15361" max="15361" width="4.85546875" style="44" customWidth="1"/>
    <col min="15362" max="15362" width="3" style="44" customWidth="1"/>
    <col min="15363" max="15363" width="25.7109375" style="44" customWidth="1"/>
    <col min="15364" max="15365" width="10.28515625" style="44" customWidth="1"/>
    <col min="15366" max="15366" width="7.28515625" style="44" customWidth="1"/>
    <col min="15367" max="15367" width="9.7109375" style="44" customWidth="1"/>
    <col min="15368" max="15368" width="10.28515625" style="44" customWidth="1"/>
    <col min="15369" max="15369" width="10.5703125" style="44" customWidth="1"/>
    <col min="15370" max="15370" width="6.7109375" style="44" customWidth="1"/>
    <col min="15371" max="15371" width="9" style="44" customWidth="1"/>
    <col min="15372" max="15372" width="10.28515625" style="44" customWidth="1"/>
    <col min="15373" max="15373" width="11" style="44" customWidth="1"/>
    <col min="15374" max="15374" width="7.7109375" style="44" customWidth="1"/>
    <col min="15375" max="15375" width="9.7109375" style="44" customWidth="1"/>
    <col min="15376" max="15376" width="10.28515625" style="44" customWidth="1"/>
    <col min="15377" max="15377" width="10.5703125" style="44" customWidth="1"/>
    <col min="15378" max="15378" width="7" style="44" customWidth="1"/>
    <col min="15379" max="15379" width="9" style="44" customWidth="1"/>
    <col min="15380" max="15380" width="8.28515625" style="44" customWidth="1"/>
    <col min="15381" max="15381" width="8" style="44" customWidth="1"/>
    <col min="15382" max="15382" width="6.42578125" style="44" customWidth="1"/>
    <col min="15383" max="15383" width="7.42578125" style="44" bestFit="1" customWidth="1"/>
    <col min="15384" max="15384" width="10" style="44" customWidth="1"/>
    <col min="15385" max="15385" width="5.7109375" style="44" customWidth="1"/>
    <col min="15386" max="15386" width="7" style="44" customWidth="1"/>
    <col min="15387" max="15387" width="8.28515625" style="44" customWidth="1"/>
    <col min="15388" max="15388" width="8.5703125" style="44" customWidth="1"/>
    <col min="15389" max="15389" width="6.5703125" style="44" customWidth="1"/>
    <col min="15390" max="15390" width="7.85546875" style="44" customWidth="1"/>
    <col min="15391" max="15391" width="0" style="44" hidden="1" customWidth="1"/>
    <col min="15392" max="15392" width="10.140625" style="44" bestFit="1" customWidth="1"/>
    <col min="15393" max="15393" width="8.28515625" style="44" customWidth="1"/>
    <col min="15394" max="15616" width="9.28515625" style="44"/>
    <col min="15617" max="15617" width="4.85546875" style="44" customWidth="1"/>
    <col min="15618" max="15618" width="3" style="44" customWidth="1"/>
    <col min="15619" max="15619" width="25.7109375" style="44" customWidth="1"/>
    <col min="15620" max="15621" width="10.28515625" style="44" customWidth="1"/>
    <col min="15622" max="15622" width="7.28515625" style="44" customWidth="1"/>
    <col min="15623" max="15623" width="9.7109375" style="44" customWidth="1"/>
    <col min="15624" max="15624" width="10.28515625" style="44" customWidth="1"/>
    <col min="15625" max="15625" width="10.5703125" style="44" customWidth="1"/>
    <col min="15626" max="15626" width="6.7109375" style="44" customWidth="1"/>
    <col min="15627" max="15627" width="9" style="44" customWidth="1"/>
    <col min="15628" max="15628" width="10.28515625" style="44" customWidth="1"/>
    <col min="15629" max="15629" width="11" style="44" customWidth="1"/>
    <col min="15630" max="15630" width="7.7109375" style="44" customWidth="1"/>
    <col min="15631" max="15631" width="9.7109375" style="44" customWidth="1"/>
    <col min="15632" max="15632" width="10.28515625" style="44" customWidth="1"/>
    <col min="15633" max="15633" width="10.5703125" style="44" customWidth="1"/>
    <col min="15634" max="15634" width="7" style="44" customWidth="1"/>
    <col min="15635" max="15635" width="9" style="44" customWidth="1"/>
    <col min="15636" max="15636" width="8.28515625" style="44" customWidth="1"/>
    <col min="15637" max="15637" width="8" style="44" customWidth="1"/>
    <col min="15638" max="15638" width="6.42578125" style="44" customWidth="1"/>
    <col min="15639" max="15639" width="7.42578125" style="44" bestFit="1" customWidth="1"/>
    <col min="15640" max="15640" width="10" style="44" customWidth="1"/>
    <col min="15641" max="15641" width="5.7109375" style="44" customWidth="1"/>
    <col min="15642" max="15642" width="7" style="44" customWidth="1"/>
    <col min="15643" max="15643" width="8.28515625" style="44" customWidth="1"/>
    <col min="15644" max="15644" width="8.5703125" style="44" customWidth="1"/>
    <col min="15645" max="15645" width="6.5703125" style="44" customWidth="1"/>
    <col min="15646" max="15646" width="7.85546875" style="44" customWidth="1"/>
    <col min="15647" max="15647" width="0" style="44" hidden="1" customWidth="1"/>
    <col min="15648" max="15648" width="10.140625" style="44" bestFit="1" customWidth="1"/>
    <col min="15649" max="15649" width="8.28515625" style="44" customWidth="1"/>
    <col min="15650" max="15872" width="9.28515625" style="44"/>
    <col min="15873" max="15873" width="4.85546875" style="44" customWidth="1"/>
    <col min="15874" max="15874" width="3" style="44" customWidth="1"/>
    <col min="15875" max="15875" width="25.7109375" style="44" customWidth="1"/>
    <col min="15876" max="15877" width="10.28515625" style="44" customWidth="1"/>
    <col min="15878" max="15878" width="7.28515625" style="44" customWidth="1"/>
    <col min="15879" max="15879" width="9.7109375" style="44" customWidth="1"/>
    <col min="15880" max="15880" width="10.28515625" style="44" customWidth="1"/>
    <col min="15881" max="15881" width="10.5703125" style="44" customWidth="1"/>
    <col min="15882" max="15882" width="6.7109375" style="44" customWidth="1"/>
    <col min="15883" max="15883" width="9" style="44" customWidth="1"/>
    <col min="15884" max="15884" width="10.28515625" style="44" customWidth="1"/>
    <col min="15885" max="15885" width="11" style="44" customWidth="1"/>
    <col min="15886" max="15886" width="7.7109375" style="44" customWidth="1"/>
    <col min="15887" max="15887" width="9.7109375" style="44" customWidth="1"/>
    <col min="15888" max="15888" width="10.28515625" style="44" customWidth="1"/>
    <col min="15889" max="15889" width="10.5703125" style="44" customWidth="1"/>
    <col min="15890" max="15890" width="7" style="44" customWidth="1"/>
    <col min="15891" max="15891" width="9" style="44" customWidth="1"/>
    <col min="15892" max="15892" width="8.28515625" style="44" customWidth="1"/>
    <col min="15893" max="15893" width="8" style="44" customWidth="1"/>
    <col min="15894" max="15894" width="6.42578125" style="44" customWidth="1"/>
    <col min="15895" max="15895" width="7.42578125" style="44" bestFit="1" customWidth="1"/>
    <col min="15896" max="15896" width="10" style="44" customWidth="1"/>
    <col min="15897" max="15897" width="5.7109375" style="44" customWidth="1"/>
    <col min="15898" max="15898" width="7" style="44" customWidth="1"/>
    <col min="15899" max="15899" width="8.28515625" style="44" customWidth="1"/>
    <col min="15900" max="15900" width="8.5703125" style="44" customWidth="1"/>
    <col min="15901" max="15901" width="6.5703125" style="44" customWidth="1"/>
    <col min="15902" max="15902" width="7.85546875" style="44" customWidth="1"/>
    <col min="15903" max="15903" width="0" style="44" hidden="1" customWidth="1"/>
    <col min="15904" max="15904" width="10.140625" style="44" bestFit="1" customWidth="1"/>
    <col min="15905" max="15905" width="8.28515625" style="44" customWidth="1"/>
    <col min="15906" max="16128" width="9.28515625" style="44"/>
    <col min="16129" max="16129" width="4.85546875" style="44" customWidth="1"/>
    <col min="16130" max="16130" width="3" style="44" customWidth="1"/>
    <col min="16131" max="16131" width="25.7109375" style="44" customWidth="1"/>
    <col min="16132" max="16133" width="10.28515625" style="44" customWidth="1"/>
    <col min="16134" max="16134" width="7.28515625" style="44" customWidth="1"/>
    <col min="16135" max="16135" width="9.7109375" style="44" customWidth="1"/>
    <col min="16136" max="16136" width="10.28515625" style="44" customWidth="1"/>
    <col min="16137" max="16137" width="10.5703125" style="44" customWidth="1"/>
    <col min="16138" max="16138" width="6.7109375" style="44" customWidth="1"/>
    <col min="16139" max="16139" width="9" style="44" customWidth="1"/>
    <col min="16140" max="16140" width="10.28515625" style="44" customWidth="1"/>
    <col min="16141" max="16141" width="11" style="44" customWidth="1"/>
    <col min="16142" max="16142" width="7.7109375" style="44" customWidth="1"/>
    <col min="16143" max="16143" width="9.7109375" style="44" customWidth="1"/>
    <col min="16144" max="16144" width="10.28515625" style="44" customWidth="1"/>
    <col min="16145" max="16145" width="10.5703125" style="44" customWidth="1"/>
    <col min="16146" max="16146" width="7" style="44" customWidth="1"/>
    <col min="16147" max="16147" width="9" style="44" customWidth="1"/>
    <col min="16148" max="16148" width="8.28515625" style="44" customWidth="1"/>
    <col min="16149" max="16149" width="8" style="44" customWidth="1"/>
    <col min="16150" max="16150" width="6.42578125" style="44" customWidth="1"/>
    <col min="16151" max="16151" width="7.42578125" style="44" bestFit="1" customWidth="1"/>
    <col min="16152" max="16152" width="10" style="44" customWidth="1"/>
    <col min="16153" max="16153" width="5.7109375" style="44" customWidth="1"/>
    <col min="16154" max="16154" width="7" style="44" customWidth="1"/>
    <col min="16155" max="16155" width="8.28515625" style="44" customWidth="1"/>
    <col min="16156" max="16156" width="8.5703125" style="44" customWidth="1"/>
    <col min="16157" max="16157" width="6.5703125" style="44" customWidth="1"/>
    <col min="16158" max="16158" width="7.85546875" style="44" customWidth="1"/>
    <col min="16159" max="16159" width="0" style="44" hidden="1" customWidth="1"/>
    <col min="16160" max="16160" width="10.140625" style="44" bestFit="1" customWidth="1"/>
    <col min="16161" max="16161" width="8.28515625" style="44" customWidth="1"/>
    <col min="16162" max="16384" width="9.28515625" style="44"/>
  </cols>
  <sheetData>
    <row r="1" spans="1:33" x14ac:dyDescent="0.2">
      <c r="Q1" s="197" t="s">
        <v>219</v>
      </c>
      <c r="R1" s="197"/>
      <c r="S1" s="197"/>
    </row>
    <row r="2" spans="1:33" x14ac:dyDescent="0.2">
      <c r="AA2" s="197"/>
      <c r="AB2" s="197"/>
      <c r="AC2" s="197"/>
      <c r="AD2" s="197"/>
    </row>
    <row r="3" spans="1:33" ht="12.75" x14ac:dyDescent="0.2">
      <c r="B3" s="215" t="s">
        <v>220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3" ht="12" thickBot="1" x14ac:dyDescent="0.25">
      <c r="B4" s="78"/>
      <c r="C4" s="80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203"/>
      <c r="S4" s="203"/>
      <c r="T4" s="78"/>
      <c r="U4" s="78"/>
      <c r="V4" s="78"/>
      <c r="W4" s="78"/>
      <c r="X4" s="78"/>
      <c r="Y4" s="78"/>
      <c r="Z4" s="78"/>
      <c r="AA4" s="78"/>
      <c r="AB4" s="78"/>
      <c r="AC4" s="203"/>
      <c r="AD4" s="203"/>
    </row>
    <row r="5" spans="1:33" ht="36.75" customHeight="1" x14ac:dyDescent="0.2">
      <c r="B5" s="82"/>
      <c r="C5" s="83"/>
      <c r="D5" s="216" t="s">
        <v>221</v>
      </c>
      <c r="E5" s="217"/>
      <c r="F5" s="217"/>
      <c r="G5" s="218"/>
      <c r="H5" s="210" t="s">
        <v>56</v>
      </c>
      <c r="I5" s="211"/>
      <c r="J5" s="211"/>
      <c r="K5" s="212"/>
      <c r="L5" s="210" t="s">
        <v>222</v>
      </c>
      <c r="M5" s="211"/>
      <c r="N5" s="211"/>
      <c r="O5" s="212"/>
      <c r="P5" s="219" t="s">
        <v>58</v>
      </c>
      <c r="Q5" s="220"/>
      <c r="R5" s="220"/>
      <c r="S5" s="221"/>
    </row>
    <row r="6" spans="1:33" x14ac:dyDescent="0.2">
      <c r="B6" s="84"/>
      <c r="C6" s="85"/>
      <c r="D6" s="213">
        <v>2022</v>
      </c>
      <c r="E6" s="204">
        <v>2021</v>
      </c>
      <c r="F6" s="196" t="s">
        <v>64</v>
      </c>
      <c r="G6" s="209"/>
      <c r="H6" s="213">
        <v>2022</v>
      </c>
      <c r="I6" s="204">
        <v>2021</v>
      </c>
      <c r="J6" s="196" t="s">
        <v>64</v>
      </c>
      <c r="K6" s="209"/>
      <c r="L6" s="213">
        <v>2022</v>
      </c>
      <c r="M6" s="204">
        <v>2021</v>
      </c>
      <c r="N6" s="196" t="s">
        <v>64</v>
      </c>
      <c r="O6" s="209"/>
      <c r="P6" s="213">
        <v>2022</v>
      </c>
      <c r="Q6" s="204">
        <v>2021</v>
      </c>
      <c r="R6" s="196" t="s">
        <v>64</v>
      </c>
      <c r="S6" s="209"/>
    </row>
    <row r="7" spans="1:33" x14ac:dyDescent="0.2">
      <c r="B7" s="88"/>
      <c r="C7" s="89"/>
      <c r="D7" s="214"/>
      <c r="E7" s="204"/>
      <c r="F7" s="90" t="s">
        <v>65</v>
      </c>
      <c r="G7" s="87" t="s">
        <v>66</v>
      </c>
      <c r="H7" s="214"/>
      <c r="I7" s="204"/>
      <c r="J7" s="90" t="s">
        <v>65</v>
      </c>
      <c r="K7" s="87" t="s">
        <v>66</v>
      </c>
      <c r="L7" s="214"/>
      <c r="M7" s="204"/>
      <c r="N7" s="90" t="s">
        <v>65</v>
      </c>
      <c r="O7" s="87" t="s">
        <v>66</v>
      </c>
      <c r="P7" s="214"/>
      <c r="Q7" s="204"/>
      <c r="R7" s="90" t="s">
        <v>65</v>
      </c>
      <c r="S7" s="87" t="s">
        <v>66</v>
      </c>
    </row>
    <row r="8" spans="1:33" s="79" customFormat="1" x14ac:dyDescent="0.2">
      <c r="B8" s="91">
        <v>1</v>
      </c>
      <c r="C8" s="92">
        <v>2</v>
      </c>
      <c r="D8" s="91">
        <v>3</v>
      </c>
      <c r="E8" s="93">
        <v>4</v>
      </c>
      <c r="F8" s="93">
        <v>5</v>
      </c>
      <c r="G8" s="94">
        <v>6</v>
      </c>
      <c r="H8" s="91">
        <v>7</v>
      </c>
      <c r="I8" s="93">
        <v>8</v>
      </c>
      <c r="J8" s="93">
        <v>9</v>
      </c>
      <c r="K8" s="95">
        <v>10</v>
      </c>
      <c r="L8" s="91">
        <v>11</v>
      </c>
      <c r="M8" s="93">
        <v>12</v>
      </c>
      <c r="N8" s="93">
        <v>13</v>
      </c>
      <c r="O8" s="94">
        <v>14</v>
      </c>
      <c r="P8" s="91">
        <v>15</v>
      </c>
      <c r="Q8" s="93">
        <v>16</v>
      </c>
      <c r="R8" s="93">
        <v>17</v>
      </c>
      <c r="S8" s="94">
        <v>18</v>
      </c>
    </row>
    <row r="9" spans="1:33" ht="12" x14ac:dyDescent="0.2">
      <c r="B9" s="96">
        <v>1</v>
      </c>
      <c r="C9" s="97" t="s">
        <v>223</v>
      </c>
      <c r="D9" s="98">
        <f>+H9+L9+P9+D31+H31+L31</f>
        <v>42258.1</v>
      </c>
      <c r="E9" s="48">
        <f>+I9+M9+Q9+E31+I31+M31</f>
        <v>36859.4</v>
      </c>
      <c r="F9" s="48">
        <f t="shared" ref="F9:F16" si="0">+D9/E9*100</f>
        <v>114.64673868809582</v>
      </c>
      <c r="G9" s="99">
        <f t="shared" ref="G9:G15" si="1">+D9-E9</f>
        <v>5398.6999999999971</v>
      </c>
      <c r="H9" s="98">
        <v>20647</v>
      </c>
      <c r="I9" s="135">
        <v>18193.3</v>
      </c>
      <c r="J9" s="48">
        <f t="shared" ref="J9:J14" si="2">+H9/I9*100</f>
        <v>113.48683306491951</v>
      </c>
      <c r="K9" s="99">
        <f t="shared" ref="K9:K14" si="3">+H9-I9</f>
        <v>2453.7000000000007</v>
      </c>
      <c r="L9" s="98">
        <v>16397.099999999999</v>
      </c>
      <c r="M9" s="135">
        <v>14082</v>
      </c>
      <c r="N9" s="48">
        <f>+L9/M9*100</f>
        <v>116.44013634426926</v>
      </c>
      <c r="O9" s="99">
        <f>+L9-M9</f>
        <v>2315.0999999999985</v>
      </c>
      <c r="P9" s="98">
        <v>4765</v>
      </c>
      <c r="Q9" s="135">
        <v>4152.6000000000004</v>
      </c>
      <c r="R9" s="48">
        <f t="shared" ref="R9:R16" si="4">+P9/Q9*100</f>
        <v>114.74738717911667</v>
      </c>
      <c r="S9" s="99">
        <f t="shared" ref="S9:S15" si="5">+P9-Q9</f>
        <v>612.39999999999964</v>
      </c>
      <c r="U9" s="49"/>
      <c r="AF9" s="53"/>
      <c r="AG9" s="101"/>
    </row>
    <row r="10" spans="1:33" ht="12" x14ac:dyDescent="0.2">
      <c r="B10" s="96">
        <v>2</v>
      </c>
      <c r="C10" s="97" t="s">
        <v>224</v>
      </c>
      <c r="D10" s="98">
        <f>+H10+L10+P10+D32+H32+L32</f>
        <v>15867.3</v>
      </c>
      <c r="E10" s="48">
        <f>+I10+M10+Q10+E32+I32+M32</f>
        <v>14250</v>
      </c>
      <c r="F10" s="48">
        <f t="shared" si="0"/>
        <v>111.34947368421054</v>
      </c>
      <c r="G10" s="99">
        <f t="shared" si="1"/>
        <v>1617.2999999999993</v>
      </c>
      <c r="H10" s="98">
        <f>10610.5+98+83.1+1169.7-0.2</f>
        <v>11961.1</v>
      </c>
      <c r="I10" s="135">
        <f>10396.4+48.1</f>
        <v>10444.5</v>
      </c>
      <c r="J10" s="48">
        <f t="shared" si="2"/>
        <v>114.52056106084542</v>
      </c>
      <c r="K10" s="99">
        <f>+H10-I10</f>
        <v>1516.6000000000004</v>
      </c>
      <c r="L10" s="98">
        <v>335.9</v>
      </c>
      <c r="M10" s="135">
        <v>379.4</v>
      </c>
      <c r="N10" s="48">
        <f>+L10/M10*100</f>
        <v>88.53452820242488</v>
      </c>
      <c r="O10" s="99">
        <f>+L10-M10</f>
        <v>-43.5</v>
      </c>
      <c r="P10" s="98">
        <f>2442.4</f>
        <v>2442.4</v>
      </c>
      <c r="Q10" s="135">
        <v>2533.6</v>
      </c>
      <c r="R10" s="48">
        <f t="shared" si="4"/>
        <v>96.400378907483429</v>
      </c>
      <c r="S10" s="99">
        <f t="shared" si="5"/>
        <v>-91.199999999999818</v>
      </c>
      <c r="U10" s="49"/>
      <c r="AF10" s="53"/>
      <c r="AG10" s="101"/>
    </row>
    <row r="11" spans="1:33" ht="14.25" x14ac:dyDescent="0.2">
      <c r="A11" s="102"/>
      <c r="B11" s="96">
        <v>3</v>
      </c>
      <c r="C11" s="97" t="s">
        <v>225</v>
      </c>
      <c r="D11" s="98">
        <f t="shared" ref="D11:E15" si="6">+H11+L11+P11+D33+H33+L33</f>
        <v>7139.3</v>
      </c>
      <c r="E11" s="48">
        <f t="shared" si="6"/>
        <v>3765.6</v>
      </c>
      <c r="F11" s="48">
        <f t="shared" si="0"/>
        <v>189.59262800084983</v>
      </c>
      <c r="G11" s="99">
        <f t="shared" si="1"/>
        <v>3373.7000000000003</v>
      </c>
      <c r="H11" s="98">
        <v>4860</v>
      </c>
      <c r="I11" s="135">
        <v>2755.5</v>
      </c>
      <c r="J11" s="48">
        <f t="shared" si="2"/>
        <v>176.3745236799129</v>
      </c>
      <c r="K11" s="99">
        <f>+H11-I11</f>
        <v>2104.5</v>
      </c>
      <c r="L11" s="98"/>
      <c r="M11" s="135"/>
      <c r="N11" s="48"/>
      <c r="O11" s="99"/>
      <c r="P11" s="98">
        <f>2279.3</f>
        <v>2279.3000000000002</v>
      </c>
      <c r="Q11" s="135">
        <f>1010.1</f>
        <v>1010.1</v>
      </c>
      <c r="R11" s="46" t="s">
        <v>98</v>
      </c>
      <c r="S11" s="99">
        <f t="shared" si="5"/>
        <v>1269.2000000000003</v>
      </c>
      <c r="U11" s="49"/>
      <c r="AF11" s="53"/>
      <c r="AG11" s="101"/>
    </row>
    <row r="12" spans="1:33" ht="14.25" x14ac:dyDescent="0.2">
      <c r="A12" s="102"/>
      <c r="B12" s="96">
        <v>4</v>
      </c>
      <c r="C12" s="97" t="s">
        <v>226</v>
      </c>
      <c r="D12" s="98">
        <f>+H12+L12+P12+D34+H34+L34</f>
        <v>671.4</v>
      </c>
      <c r="E12" s="48">
        <f t="shared" si="6"/>
        <v>430.80000000000007</v>
      </c>
      <c r="F12" s="48">
        <f t="shared" si="0"/>
        <v>155.84958217270193</v>
      </c>
      <c r="G12" s="99">
        <f t="shared" si="1"/>
        <v>240.59999999999991</v>
      </c>
      <c r="H12" s="98">
        <v>441.3</v>
      </c>
      <c r="I12" s="135">
        <v>333</v>
      </c>
      <c r="J12" s="48">
        <f t="shared" si="2"/>
        <v>132.52252252252254</v>
      </c>
      <c r="K12" s="99">
        <f t="shared" si="3"/>
        <v>108.30000000000001</v>
      </c>
      <c r="L12" s="98">
        <f>167.7</f>
        <v>167.7</v>
      </c>
      <c r="M12" s="135">
        <v>64.599999999999994</v>
      </c>
      <c r="N12" s="46" t="s">
        <v>84</v>
      </c>
      <c r="O12" s="99">
        <f>+L12-M12</f>
        <v>103.1</v>
      </c>
      <c r="P12" s="98">
        <v>54.4</v>
      </c>
      <c r="Q12" s="135">
        <v>26.3</v>
      </c>
      <c r="R12" s="46" t="s">
        <v>227</v>
      </c>
      <c r="S12" s="99">
        <f t="shared" si="5"/>
        <v>28.099999999999998</v>
      </c>
      <c r="U12" s="49"/>
      <c r="AF12" s="53"/>
      <c r="AG12" s="101"/>
    </row>
    <row r="13" spans="1:33" ht="14.25" x14ac:dyDescent="0.2">
      <c r="A13" s="103"/>
      <c r="B13" s="96">
        <v>5</v>
      </c>
      <c r="C13" s="97" t="s">
        <v>228</v>
      </c>
      <c r="D13" s="98">
        <f>+H13+L13+P13+D35+H35+L35</f>
        <v>5026.3999999999996</v>
      </c>
      <c r="E13" s="48">
        <f t="shared" si="6"/>
        <v>4588.2</v>
      </c>
      <c r="F13" s="48">
        <f t="shared" si="0"/>
        <v>109.55058628656118</v>
      </c>
      <c r="G13" s="99">
        <f t="shared" si="1"/>
        <v>438.19999999999982</v>
      </c>
      <c r="H13" s="98">
        <f>3824.2+0.1</f>
        <v>3824.2999999999997</v>
      </c>
      <c r="I13" s="135">
        <v>2785.6</v>
      </c>
      <c r="J13" s="48">
        <f t="shared" si="2"/>
        <v>137.28819643882827</v>
      </c>
      <c r="K13" s="99">
        <f t="shared" si="3"/>
        <v>1038.6999999999998</v>
      </c>
      <c r="L13" s="98"/>
      <c r="M13" s="135"/>
      <c r="N13" s="48"/>
      <c r="O13" s="99"/>
      <c r="P13" s="98">
        <f>1202+0.1</f>
        <v>1202.0999999999999</v>
      </c>
      <c r="Q13" s="135">
        <v>1802.6</v>
      </c>
      <c r="R13" s="48">
        <f t="shared" si="4"/>
        <v>66.687007655608568</v>
      </c>
      <c r="S13" s="99">
        <f t="shared" si="5"/>
        <v>-600.5</v>
      </c>
      <c r="U13" s="49"/>
      <c r="AF13" s="53"/>
      <c r="AG13" s="101"/>
    </row>
    <row r="14" spans="1:33" ht="14.25" x14ac:dyDescent="0.2">
      <c r="A14" s="102"/>
      <c r="B14" s="96">
        <v>6</v>
      </c>
      <c r="C14" s="97" t="s">
        <v>229</v>
      </c>
      <c r="D14" s="98">
        <f>+H14+L14+P14+D36+H36+L36</f>
        <v>6400.2000000000007</v>
      </c>
      <c r="E14" s="48">
        <f t="shared" si="6"/>
        <v>6761.3000000000011</v>
      </c>
      <c r="F14" s="48">
        <f t="shared" si="0"/>
        <v>94.659311079230321</v>
      </c>
      <c r="G14" s="99">
        <f t="shared" si="1"/>
        <v>-361.10000000000036</v>
      </c>
      <c r="H14" s="98">
        <f>2745.4+0.1</f>
        <v>2745.5</v>
      </c>
      <c r="I14" s="135">
        <v>3385.9</v>
      </c>
      <c r="J14" s="48">
        <f t="shared" si="2"/>
        <v>81.08626952951947</v>
      </c>
      <c r="K14" s="99">
        <f t="shared" si="3"/>
        <v>-640.40000000000009</v>
      </c>
      <c r="L14" s="98">
        <v>103.7</v>
      </c>
      <c r="M14" s="135">
        <v>90.9</v>
      </c>
      <c r="N14" s="48">
        <f>+L14/M14*100</f>
        <v>114.08140814081406</v>
      </c>
      <c r="O14" s="99">
        <f>+L14-M14</f>
        <v>12.799999999999997</v>
      </c>
      <c r="P14" s="98">
        <f>5023.3-P15+0.1</f>
        <v>3468.4</v>
      </c>
      <c r="Q14" s="135">
        <f>5342.1-Q15</f>
        <v>3241.5000000000005</v>
      </c>
      <c r="R14" s="132">
        <f t="shared" si="4"/>
        <v>106.99984575042419</v>
      </c>
      <c r="S14" s="99">
        <f t="shared" si="5"/>
        <v>226.89999999999964</v>
      </c>
      <c r="T14" s="49"/>
      <c r="U14" s="49"/>
      <c r="AF14" s="53"/>
      <c r="AG14" s="101"/>
    </row>
    <row r="15" spans="1:33" ht="14.25" x14ac:dyDescent="0.2">
      <c r="A15" s="102"/>
      <c r="B15" s="96">
        <v>7</v>
      </c>
      <c r="C15" s="97" t="s">
        <v>230</v>
      </c>
      <c r="D15" s="98">
        <f t="shared" si="6"/>
        <v>1555</v>
      </c>
      <c r="E15" s="48">
        <f t="shared" si="6"/>
        <v>2100.6</v>
      </c>
      <c r="F15" s="48">
        <f t="shared" si="0"/>
        <v>74.026468628011045</v>
      </c>
      <c r="G15" s="99">
        <f t="shared" si="1"/>
        <v>-545.59999999999991</v>
      </c>
      <c r="H15" s="98"/>
      <c r="I15" s="135"/>
      <c r="J15" s="48"/>
      <c r="K15" s="99"/>
      <c r="L15" s="98"/>
      <c r="M15" s="135"/>
      <c r="N15" s="48"/>
      <c r="O15" s="99"/>
      <c r="P15" s="98">
        <v>1555</v>
      </c>
      <c r="Q15" s="135">
        <v>2100.6</v>
      </c>
      <c r="R15" s="132">
        <f t="shared" si="4"/>
        <v>74.026468628011045</v>
      </c>
      <c r="S15" s="99">
        <f t="shared" si="5"/>
        <v>-545.59999999999991</v>
      </c>
      <c r="T15" s="133"/>
      <c r="U15" s="49"/>
      <c r="AF15" s="53"/>
      <c r="AG15" s="101"/>
    </row>
    <row r="16" spans="1:33" s="43" customFormat="1" ht="12.75" thickBot="1" x14ac:dyDescent="0.25">
      <c r="B16" s="104">
        <v>8</v>
      </c>
      <c r="C16" s="105" t="s">
        <v>231</v>
      </c>
      <c r="D16" s="106">
        <f>SUM(D9:D15)</f>
        <v>78917.699999999983</v>
      </c>
      <c r="E16" s="107">
        <f>SUM(E9:E15)</f>
        <v>68755.900000000009</v>
      </c>
      <c r="F16" s="107">
        <f t="shared" si="0"/>
        <v>114.77953164746586</v>
      </c>
      <c r="G16" s="108">
        <f>SUM(G9:G15)</f>
        <v>10161.799999999996</v>
      </c>
      <c r="H16" s="109">
        <f>SUM(H9:H15)</f>
        <v>44479.200000000004</v>
      </c>
      <c r="I16" s="107">
        <f>SUM(I9:I15)</f>
        <v>37897.800000000003</v>
      </c>
      <c r="J16" s="107">
        <f>+H16/I16*100</f>
        <v>117.36617956715165</v>
      </c>
      <c r="K16" s="108">
        <f>SUM(K9:K15)</f>
        <v>6581.4000000000015</v>
      </c>
      <c r="L16" s="106">
        <f>SUM(L9:L15)</f>
        <v>17004.400000000001</v>
      </c>
      <c r="M16" s="107">
        <f>SUM(M9:M15)</f>
        <v>14616.9</v>
      </c>
      <c r="N16" s="107">
        <f>+L16/M16*100</f>
        <v>116.33383275523539</v>
      </c>
      <c r="O16" s="108">
        <f>SUM(O9:O15)</f>
        <v>2387.4999999999986</v>
      </c>
      <c r="P16" s="106">
        <f>SUM(P9:P15)</f>
        <v>15766.6</v>
      </c>
      <c r="Q16" s="107">
        <f>SUM(Q9:Q15)</f>
        <v>14867.300000000001</v>
      </c>
      <c r="R16" s="134">
        <f t="shared" si="4"/>
        <v>106.04884545277218</v>
      </c>
      <c r="S16" s="108">
        <f>SUM(S9:S15)</f>
        <v>899.29999999999973</v>
      </c>
      <c r="T16" s="45"/>
      <c r="U16" s="45"/>
      <c r="AG16" s="110"/>
    </row>
    <row r="17" spans="2:32" ht="12" hidden="1" x14ac:dyDescent="0.2">
      <c r="C17" s="111"/>
      <c r="D17" s="49" t="e">
        <f>+H16+L16+P16+D38+H38+L38+#REF!</f>
        <v>#REF!</v>
      </c>
      <c r="E17" s="49" t="e">
        <f>+I16+M16+Q16+E38+I38+M38+#REF!</f>
        <v>#REF!</v>
      </c>
      <c r="H17" s="112"/>
      <c r="I17" s="113" t="e">
        <f>+AG17-AB17-X17-#REF!-Q17-M17</f>
        <v>#REF!</v>
      </c>
      <c r="L17" s="101"/>
      <c r="T17" s="114"/>
      <c r="U17" s="49"/>
      <c r="W17" s="114"/>
      <c r="Z17" s="115"/>
    </row>
    <row r="18" spans="2:32" s="54" customFormat="1" ht="12" hidden="1" x14ac:dyDescent="0.2">
      <c r="B18" s="116"/>
      <c r="C18" s="49">
        <f>+H18+L18+P18+T18+W18+AA18</f>
        <v>0</v>
      </c>
      <c r="D18" s="116">
        <f>+[2]Savar_5pr!$E$259</f>
        <v>144689.29999999999</v>
      </c>
      <c r="E18" s="116"/>
      <c r="I18" s="100" t="e">
        <f>+AG18-AB18-X18-#REF!-Q18-M18</f>
        <v>#REF!</v>
      </c>
      <c r="L18" s="117"/>
      <c r="M18" s="116" t="e">
        <f>+M16+#REF!</f>
        <v>#REF!</v>
      </c>
      <c r="P18" s="116"/>
      <c r="Q18" s="116"/>
      <c r="R18" s="116"/>
      <c r="S18" s="116"/>
      <c r="T18" s="118"/>
      <c r="U18" s="49"/>
      <c r="V18" s="116"/>
      <c r="W18" s="119"/>
      <c r="X18" s="120">
        <v>928.8</v>
      </c>
      <c r="Y18" s="120"/>
      <c r="Z18" s="121"/>
      <c r="AA18" s="122"/>
      <c r="AB18" s="120"/>
      <c r="AC18" s="120"/>
      <c r="AD18" s="120"/>
    </row>
    <row r="19" spans="2:32" ht="12" hidden="1" thickBot="1" x14ac:dyDescent="0.25">
      <c r="C19" s="55">
        <f>+D16-C18</f>
        <v>78917.699999999983</v>
      </c>
      <c r="D19" s="56">
        <f>+D16-C18</f>
        <v>78917.699999999983</v>
      </c>
      <c r="E19" s="56">
        <f>+E16-D18</f>
        <v>-75933.39999999998</v>
      </c>
      <c r="H19" s="56"/>
      <c r="I19" s="56"/>
      <c r="J19" s="56"/>
      <c r="K19" s="56"/>
      <c r="L19" s="123"/>
      <c r="M19" s="56"/>
      <c r="N19" s="56"/>
      <c r="O19" s="56"/>
      <c r="P19" s="56"/>
      <c r="Q19" s="56"/>
      <c r="R19" s="56"/>
      <c r="S19" s="56"/>
      <c r="T19" s="124"/>
      <c r="U19" s="49"/>
      <c r="V19" s="125"/>
      <c r="W19" s="126"/>
      <c r="X19" s="56"/>
      <c r="Y19" s="56"/>
      <c r="Z19" s="127"/>
      <c r="AA19" s="56"/>
      <c r="AB19" s="56"/>
      <c r="AC19" s="56"/>
      <c r="AD19" s="56"/>
    </row>
    <row r="20" spans="2:32" hidden="1" x14ac:dyDescent="0.2">
      <c r="C20" s="55"/>
      <c r="D20" s="56"/>
      <c r="H20" s="56"/>
      <c r="I20" s="56"/>
      <c r="J20" s="56"/>
      <c r="K20" s="56"/>
      <c r="L20" s="123"/>
      <c r="M20" s="56"/>
      <c r="N20" s="56"/>
      <c r="O20" s="56"/>
      <c r="P20" s="56"/>
      <c r="Q20" s="56"/>
      <c r="R20" s="56"/>
      <c r="S20" s="56"/>
      <c r="T20" s="56"/>
      <c r="U20" s="49"/>
      <c r="V20" s="56"/>
      <c r="W20" s="126"/>
      <c r="X20" s="56"/>
      <c r="Y20" s="56"/>
      <c r="Z20" s="127"/>
      <c r="AA20" s="56"/>
      <c r="AB20" s="56"/>
      <c r="AC20" s="56"/>
      <c r="AD20" s="56"/>
    </row>
    <row r="21" spans="2:32" ht="12" hidden="1" thickBot="1" x14ac:dyDescent="0.25">
      <c r="C21" s="55"/>
      <c r="D21" s="56"/>
      <c r="H21" s="56"/>
      <c r="I21" s="56"/>
      <c r="J21" s="56"/>
      <c r="K21" s="56"/>
      <c r="L21" s="123"/>
      <c r="M21" s="56"/>
      <c r="N21" s="56"/>
      <c r="O21" s="56"/>
      <c r="P21" s="56"/>
      <c r="Q21" s="56"/>
      <c r="R21" s="56"/>
      <c r="S21" s="56"/>
      <c r="T21" s="56"/>
      <c r="U21" s="49"/>
      <c r="V21" s="56"/>
      <c r="W21" s="124"/>
      <c r="X21" s="125"/>
      <c r="Y21" s="125"/>
      <c r="Z21" s="128"/>
      <c r="AA21" s="56"/>
      <c r="AB21" s="56"/>
      <c r="AC21" s="56"/>
      <c r="AD21" s="56"/>
    </row>
    <row r="22" spans="2:32" hidden="1" x14ac:dyDescent="0.2">
      <c r="C22" s="55"/>
      <c r="D22" s="56"/>
      <c r="H22" s="56"/>
      <c r="I22" s="56"/>
      <c r="J22" s="56"/>
      <c r="K22" s="56"/>
      <c r="L22" s="123"/>
      <c r="M22" s="56"/>
      <c r="N22" s="56"/>
      <c r="O22" s="56"/>
      <c r="P22" s="56"/>
      <c r="Q22" s="56"/>
      <c r="R22" s="56"/>
      <c r="S22" s="56"/>
      <c r="T22" s="56"/>
      <c r="U22" s="49"/>
      <c r="V22" s="56"/>
      <c r="W22" s="56"/>
      <c r="X22" s="56"/>
      <c r="Y22" s="56"/>
      <c r="Z22" s="56"/>
      <c r="AA22" s="56"/>
      <c r="AB22" s="56"/>
      <c r="AC22" s="56"/>
      <c r="AD22" s="56"/>
    </row>
    <row r="23" spans="2:32" hidden="1" x14ac:dyDescent="0.2">
      <c r="C23" s="55"/>
      <c r="D23" s="56"/>
      <c r="H23" s="56"/>
      <c r="I23" s="56"/>
      <c r="J23" s="56"/>
      <c r="K23" s="56"/>
      <c r="L23" s="123"/>
      <c r="M23" s="56"/>
      <c r="N23" s="56"/>
      <c r="O23" s="56"/>
      <c r="P23" s="56"/>
      <c r="Q23" s="56"/>
      <c r="R23" s="56"/>
      <c r="S23" s="56"/>
      <c r="T23" s="56"/>
      <c r="U23" s="49"/>
      <c r="V23" s="56"/>
      <c r="W23" s="56"/>
      <c r="X23" s="56"/>
      <c r="Y23" s="56"/>
      <c r="Z23" s="56"/>
      <c r="AA23" s="56"/>
      <c r="AB23" s="56"/>
      <c r="AC23" s="56"/>
      <c r="AD23" s="56"/>
    </row>
    <row r="24" spans="2:32" x14ac:dyDescent="0.2">
      <c r="C24" s="55"/>
      <c r="D24" s="56"/>
      <c r="E24" s="56"/>
      <c r="F24" s="49"/>
      <c r="G24" s="49"/>
      <c r="H24" s="57"/>
      <c r="I24" s="56"/>
      <c r="J24" s="56"/>
      <c r="K24" s="56"/>
      <c r="L24" s="123"/>
      <c r="M24" s="56"/>
      <c r="N24" s="56"/>
      <c r="O24" s="56"/>
      <c r="P24" s="49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pans="2:32" ht="12" x14ac:dyDescent="0.2">
      <c r="C25" s="55"/>
      <c r="D25" s="123"/>
      <c r="E25" s="123"/>
      <c r="G25" s="49"/>
      <c r="H25" s="56"/>
      <c r="I25" s="53"/>
      <c r="J25" s="56"/>
      <c r="K25" s="56"/>
      <c r="L25" s="56"/>
      <c r="M25" s="53"/>
      <c r="N25" s="56"/>
      <c r="O25" s="56"/>
      <c r="P25" s="56"/>
      <c r="Q25" s="53"/>
      <c r="R25" s="56"/>
      <c r="S25" s="56"/>
      <c r="T25" s="123"/>
      <c r="U25" s="56"/>
      <c r="V25" s="56"/>
      <c r="W25" s="56"/>
      <c r="X25" s="53"/>
      <c r="Y25" s="56"/>
      <c r="Z25" s="56"/>
      <c r="AA25" s="56"/>
      <c r="AB25" s="53"/>
      <c r="AC25" s="56"/>
      <c r="AD25" s="56"/>
      <c r="AF25" s="49"/>
    </row>
    <row r="26" spans="2:32" ht="12" thickBot="1" x14ac:dyDescent="0.25">
      <c r="D26" s="49"/>
      <c r="H26" s="49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pans="2:32" x14ac:dyDescent="0.2">
      <c r="B27" s="82"/>
      <c r="C27" s="83"/>
      <c r="D27" s="210" t="s">
        <v>232</v>
      </c>
      <c r="E27" s="211"/>
      <c r="F27" s="211"/>
      <c r="G27" s="212"/>
      <c r="H27" s="210" t="s">
        <v>60</v>
      </c>
      <c r="I27" s="211"/>
      <c r="J27" s="211"/>
      <c r="K27" s="212"/>
      <c r="L27" s="210" t="s">
        <v>61</v>
      </c>
      <c r="M27" s="211"/>
      <c r="N27" s="211"/>
      <c r="O27" s="212"/>
    </row>
    <row r="28" spans="2:32" x14ac:dyDescent="0.2">
      <c r="B28" s="84"/>
      <c r="C28" s="85"/>
      <c r="D28" s="213">
        <v>2022</v>
      </c>
      <c r="E28" s="204">
        <v>2021</v>
      </c>
      <c r="F28" s="196" t="s">
        <v>64</v>
      </c>
      <c r="G28" s="209"/>
      <c r="H28" s="213">
        <v>2022</v>
      </c>
      <c r="I28" s="204">
        <v>2021</v>
      </c>
      <c r="J28" s="196" t="s">
        <v>64</v>
      </c>
      <c r="K28" s="209"/>
      <c r="L28" s="213">
        <v>2022</v>
      </c>
      <c r="M28" s="204">
        <v>2021</v>
      </c>
      <c r="N28" s="196" t="s">
        <v>64</v>
      </c>
      <c r="O28" s="209"/>
    </row>
    <row r="29" spans="2:32" x14ac:dyDescent="0.2">
      <c r="B29" s="88"/>
      <c r="C29" s="89"/>
      <c r="D29" s="214"/>
      <c r="E29" s="204"/>
      <c r="F29" s="90" t="s">
        <v>65</v>
      </c>
      <c r="G29" s="87" t="s">
        <v>66</v>
      </c>
      <c r="H29" s="214"/>
      <c r="I29" s="204"/>
      <c r="J29" s="90" t="s">
        <v>65</v>
      </c>
      <c r="K29" s="87" t="s">
        <v>66</v>
      </c>
      <c r="L29" s="214"/>
      <c r="M29" s="204"/>
      <c r="N29" s="90" t="s">
        <v>65</v>
      </c>
      <c r="O29" s="87" t="s">
        <v>66</v>
      </c>
    </row>
    <row r="30" spans="2:32" x14ac:dyDescent="0.2">
      <c r="B30" s="91">
        <v>1</v>
      </c>
      <c r="C30" s="92">
        <v>2</v>
      </c>
      <c r="D30" s="91">
        <v>19</v>
      </c>
      <c r="E30" s="136">
        <v>20</v>
      </c>
      <c r="F30" s="93">
        <v>21</v>
      </c>
      <c r="G30" s="129">
        <v>22</v>
      </c>
      <c r="H30" s="91">
        <v>23</v>
      </c>
      <c r="I30" s="93">
        <v>24</v>
      </c>
      <c r="J30" s="93">
        <v>25</v>
      </c>
      <c r="K30" s="94">
        <v>26</v>
      </c>
      <c r="L30" s="91">
        <v>27</v>
      </c>
      <c r="M30" s="93">
        <v>28</v>
      </c>
      <c r="N30" s="93">
        <v>29</v>
      </c>
      <c r="O30" s="94">
        <v>30</v>
      </c>
    </row>
    <row r="31" spans="2:32" ht="12" x14ac:dyDescent="0.2">
      <c r="B31" s="96">
        <v>1</v>
      </c>
      <c r="C31" s="97" t="s">
        <v>223</v>
      </c>
      <c r="D31" s="98">
        <v>9.1999999999999993</v>
      </c>
      <c r="E31" s="135">
        <v>11.4</v>
      </c>
      <c r="F31" s="48">
        <f>+D31/E31*100</f>
        <v>80.701754385964904</v>
      </c>
      <c r="G31" s="99">
        <f>+D31-E31</f>
        <v>-2.2000000000000011</v>
      </c>
      <c r="H31" s="98">
        <v>30.3</v>
      </c>
      <c r="I31" s="135">
        <v>33.4</v>
      </c>
      <c r="J31" s="48">
        <f>+H31/I31*100</f>
        <v>90.718562874251504</v>
      </c>
      <c r="K31" s="99">
        <f>+H31-I31</f>
        <v>-3.0999999999999979</v>
      </c>
      <c r="L31" s="98">
        <v>409.5</v>
      </c>
      <c r="M31" s="135">
        <v>386.7</v>
      </c>
      <c r="N31" s="48">
        <f>+L31/M31*100</f>
        <v>105.89604344453065</v>
      </c>
      <c r="O31" s="99">
        <f>+L31-M31</f>
        <v>22.800000000000011</v>
      </c>
    </row>
    <row r="32" spans="2:32" ht="12" x14ac:dyDescent="0.2">
      <c r="B32" s="96">
        <v>2</v>
      </c>
      <c r="C32" s="97" t="s">
        <v>224</v>
      </c>
      <c r="D32" s="98">
        <f>111.4-0.1</f>
        <v>111.30000000000001</v>
      </c>
      <c r="E32" s="135">
        <v>56.5</v>
      </c>
      <c r="F32" s="48">
        <f>+D32/E32*100</f>
        <v>196.9911504424779</v>
      </c>
      <c r="G32" s="99">
        <f>+D32-E32</f>
        <v>54.800000000000011</v>
      </c>
      <c r="H32" s="98">
        <f>133.6</f>
        <v>133.6</v>
      </c>
      <c r="I32" s="135">
        <v>102.1</v>
      </c>
      <c r="J32" s="48">
        <f>+H32/I32*100</f>
        <v>130.85210577864839</v>
      </c>
      <c r="K32" s="99">
        <f>+H32-I32</f>
        <v>31.5</v>
      </c>
      <c r="L32" s="98">
        <v>883</v>
      </c>
      <c r="M32" s="135">
        <v>733.9</v>
      </c>
      <c r="N32" s="48">
        <f>+L32/M32*100</f>
        <v>120.31611936231094</v>
      </c>
      <c r="O32" s="99">
        <f>+L32-M32</f>
        <v>149.10000000000002</v>
      </c>
    </row>
    <row r="33" spans="2:15" ht="12" x14ac:dyDescent="0.2">
      <c r="B33" s="96">
        <v>3</v>
      </c>
      <c r="C33" s="97" t="s">
        <v>225</v>
      </c>
      <c r="D33" s="98"/>
      <c r="E33" s="135"/>
      <c r="F33" s="48"/>
      <c r="G33" s="99"/>
      <c r="H33" s="98"/>
      <c r="I33" s="135"/>
      <c r="J33" s="48"/>
      <c r="K33" s="99"/>
      <c r="L33" s="98"/>
      <c r="M33" s="135"/>
      <c r="N33" s="48"/>
      <c r="O33" s="99"/>
    </row>
    <row r="34" spans="2:15" ht="12" x14ac:dyDescent="0.2">
      <c r="B34" s="96">
        <v>4</v>
      </c>
      <c r="C34" s="97" t="s">
        <v>226</v>
      </c>
      <c r="D34" s="98"/>
      <c r="E34" s="135"/>
      <c r="F34" s="48"/>
      <c r="G34" s="130"/>
      <c r="H34" s="138">
        <f>1.2+0.1</f>
        <v>1.3</v>
      </c>
      <c r="I34" s="137">
        <v>1.3</v>
      </c>
      <c r="J34" s="48">
        <f>+H34/I34*100</f>
        <v>100</v>
      </c>
      <c r="K34" s="130">
        <f>+H34-I34</f>
        <v>0</v>
      </c>
      <c r="L34" s="138">
        <v>6.7</v>
      </c>
      <c r="M34" s="137">
        <v>5.6</v>
      </c>
      <c r="N34" s="48">
        <f>+L34/M34*100</f>
        <v>119.64285714285717</v>
      </c>
      <c r="O34" s="130">
        <f>+L34-M34</f>
        <v>1.1000000000000005</v>
      </c>
    </row>
    <row r="35" spans="2:15" ht="12" x14ac:dyDescent="0.2">
      <c r="B35" s="96">
        <v>5</v>
      </c>
      <c r="C35" s="97" t="s">
        <v>228</v>
      </c>
      <c r="D35" s="98"/>
      <c r="E35" s="135"/>
      <c r="F35" s="48"/>
      <c r="G35" s="99"/>
      <c r="H35" s="98"/>
      <c r="I35" s="135"/>
      <c r="J35" s="48"/>
      <c r="K35" s="99"/>
      <c r="L35" s="98"/>
      <c r="M35" s="135"/>
      <c r="N35" s="48"/>
      <c r="O35" s="99"/>
    </row>
    <row r="36" spans="2:15" ht="12" x14ac:dyDescent="0.2">
      <c r="B36" s="96">
        <v>6</v>
      </c>
      <c r="C36" s="97" t="s">
        <v>229</v>
      </c>
      <c r="D36" s="98">
        <v>18.600000000000001</v>
      </c>
      <c r="E36" s="135">
        <v>12.3</v>
      </c>
      <c r="F36" s="48">
        <f>+D36/E36*100</f>
        <v>151.21951219512195</v>
      </c>
      <c r="G36" s="99">
        <f>+D36-E36</f>
        <v>6.3000000000000007</v>
      </c>
      <c r="H36" s="98">
        <v>17</v>
      </c>
      <c r="I36" s="135"/>
      <c r="J36" s="48"/>
      <c r="K36" s="99">
        <f>+H36-I36</f>
        <v>17</v>
      </c>
      <c r="L36" s="98">
        <v>47</v>
      </c>
      <c r="M36" s="135">
        <v>30.7</v>
      </c>
      <c r="N36" s="131">
        <f>+L36/M36*100</f>
        <v>153.09446254071662</v>
      </c>
      <c r="O36" s="99">
        <f>+L36-M36</f>
        <v>16.3</v>
      </c>
    </row>
    <row r="37" spans="2:15" ht="12" x14ac:dyDescent="0.2">
      <c r="B37" s="96">
        <v>7</v>
      </c>
      <c r="C37" s="97" t="s">
        <v>230</v>
      </c>
      <c r="D37" s="98"/>
      <c r="E37" s="135"/>
      <c r="F37" s="48"/>
      <c r="G37" s="99"/>
      <c r="H37" s="98"/>
      <c r="I37" s="135"/>
      <c r="J37" s="48"/>
      <c r="K37" s="99"/>
      <c r="L37" s="98"/>
      <c r="M37" s="135"/>
      <c r="N37" s="131"/>
      <c r="O37" s="99"/>
    </row>
    <row r="38" spans="2:15" s="43" customFormat="1" ht="12.75" thickBot="1" x14ac:dyDescent="0.25">
      <c r="B38" s="104">
        <v>8</v>
      </c>
      <c r="C38" s="105" t="s">
        <v>231</v>
      </c>
      <c r="D38" s="109">
        <f>SUM(D31:D37)</f>
        <v>139.10000000000002</v>
      </c>
      <c r="E38" s="107">
        <f>SUM(E31:E37)</f>
        <v>80.2</v>
      </c>
      <c r="F38" s="107">
        <f>+D38/E38*100</f>
        <v>173.44139650872822</v>
      </c>
      <c r="G38" s="108">
        <f>SUM(G31:G37)</f>
        <v>58.900000000000006</v>
      </c>
      <c r="H38" s="106">
        <f>SUM(H31:H37)</f>
        <v>182.20000000000002</v>
      </c>
      <c r="I38" s="107">
        <f>SUM(I31:I37)</f>
        <v>136.80000000000001</v>
      </c>
      <c r="J38" s="107">
        <f>+H38/I38*100</f>
        <v>133.18713450292398</v>
      </c>
      <c r="K38" s="108">
        <f>SUM(K31:K37)</f>
        <v>45.400000000000006</v>
      </c>
      <c r="L38" s="106">
        <f>SUM(L31:L37)</f>
        <v>1346.2</v>
      </c>
      <c r="M38" s="107">
        <f>SUM(M31:M37)</f>
        <v>1156.8999999999999</v>
      </c>
      <c r="N38" s="107">
        <f>+L38/M38*100</f>
        <v>116.36269340478869</v>
      </c>
      <c r="O38" s="108">
        <f>SUM(O31:O37)</f>
        <v>189.30000000000004</v>
      </c>
    </row>
    <row r="39" spans="2:15" x14ac:dyDescent="0.2">
      <c r="D39" s="49"/>
      <c r="H39" s="49"/>
    </row>
    <row r="40" spans="2:15" x14ac:dyDescent="0.2">
      <c r="D40" s="49"/>
      <c r="G40" s="49"/>
      <c r="H40" s="49"/>
      <c r="K40" s="49"/>
      <c r="L40" s="49"/>
      <c r="O40" s="49"/>
    </row>
  </sheetData>
  <mergeCells count="33">
    <mergeCell ref="AA2:AD2"/>
    <mergeCell ref="B3:S3"/>
    <mergeCell ref="R4:S4"/>
    <mergeCell ref="AC4:AD4"/>
    <mergeCell ref="D5:G5"/>
    <mergeCell ref="H5:K5"/>
    <mergeCell ref="L5:O5"/>
    <mergeCell ref="P5:S5"/>
    <mergeCell ref="P6:P7"/>
    <mergeCell ref="Q6:Q7"/>
    <mergeCell ref="R6:S6"/>
    <mergeCell ref="D6:D7"/>
    <mergeCell ref="E6:E7"/>
    <mergeCell ref="F6:G6"/>
    <mergeCell ref="H6:H7"/>
    <mergeCell ref="I6:I7"/>
    <mergeCell ref="J6:K6"/>
    <mergeCell ref="M28:M29"/>
    <mergeCell ref="N28:O28"/>
    <mergeCell ref="Q1:S1"/>
    <mergeCell ref="D27:G27"/>
    <mergeCell ref="H27:K27"/>
    <mergeCell ref="L27:O27"/>
    <mergeCell ref="D28:D29"/>
    <mergeCell ref="E28:E29"/>
    <mergeCell ref="F28:G28"/>
    <mergeCell ref="H28:H29"/>
    <mergeCell ref="I28:I29"/>
    <mergeCell ref="J28:K28"/>
    <mergeCell ref="L28:L29"/>
    <mergeCell ref="L6:L7"/>
    <mergeCell ref="M6:M7"/>
    <mergeCell ref="N6:O6"/>
  </mergeCells>
  <pageMargins left="0.31496062992125984" right="0" top="0.35433070866141736" bottom="0.15748031496062992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0BD2-0950-4376-9BE0-79F174168C00}">
  <dimension ref="A1:L64"/>
  <sheetViews>
    <sheetView workbookViewId="0">
      <selection activeCell="P7" sqref="P7"/>
    </sheetView>
  </sheetViews>
  <sheetFormatPr defaultColWidth="9.28515625" defaultRowHeight="12" x14ac:dyDescent="0.2"/>
  <cols>
    <col min="1" max="1" width="11.28515625" style="42" customWidth="1"/>
    <col min="2" max="2" width="8.7109375" style="42" customWidth="1"/>
    <col min="3" max="3" width="8.85546875" style="42" customWidth="1"/>
    <col min="4" max="4" width="8.28515625" style="42" customWidth="1"/>
    <col min="5" max="5" width="7.42578125" style="42" customWidth="1"/>
    <col min="6" max="6" width="9" style="42" customWidth="1"/>
    <col min="7" max="7" width="7.28515625" style="42" customWidth="1"/>
    <col min="8" max="8" width="9.28515625" style="42"/>
    <col min="9" max="10" width="7.28515625" style="42" customWidth="1"/>
    <col min="11" max="256" width="9.28515625" style="42"/>
    <col min="257" max="257" width="11.28515625" style="42" customWidth="1"/>
    <col min="258" max="258" width="8.7109375" style="42" customWidth="1"/>
    <col min="259" max="259" width="8.85546875" style="42" customWidth="1"/>
    <col min="260" max="260" width="8.28515625" style="42" customWidth="1"/>
    <col min="261" max="261" width="7.42578125" style="42" customWidth="1"/>
    <col min="262" max="262" width="9" style="42" customWidth="1"/>
    <col min="263" max="263" width="7.28515625" style="42" customWidth="1"/>
    <col min="264" max="264" width="9.28515625" style="42"/>
    <col min="265" max="266" width="7.28515625" style="42" customWidth="1"/>
    <col min="267" max="512" width="9.28515625" style="42"/>
    <col min="513" max="513" width="11.28515625" style="42" customWidth="1"/>
    <col min="514" max="514" width="8.7109375" style="42" customWidth="1"/>
    <col min="515" max="515" width="8.85546875" style="42" customWidth="1"/>
    <col min="516" max="516" width="8.28515625" style="42" customWidth="1"/>
    <col min="517" max="517" width="7.42578125" style="42" customWidth="1"/>
    <col min="518" max="518" width="9" style="42" customWidth="1"/>
    <col min="519" max="519" width="7.28515625" style="42" customWidth="1"/>
    <col min="520" max="520" width="9.28515625" style="42"/>
    <col min="521" max="522" width="7.28515625" style="42" customWidth="1"/>
    <col min="523" max="768" width="9.28515625" style="42"/>
    <col min="769" max="769" width="11.28515625" style="42" customWidth="1"/>
    <col min="770" max="770" width="8.7109375" style="42" customWidth="1"/>
    <col min="771" max="771" width="8.85546875" style="42" customWidth="1"/>
    <col min="772" max="772" width="8.28515625" style="42" customWidth="1"/>
    <col min="773" max="773" width="7.42578125" style="42" customWidth="1"/>
    <col min="774" max="774" width="9" style="42" customWidth="1"/>
    <col min="775" max="775" width="7.28515625" style="42" customWidth="1"/>
    <col min="776" max="776" width="9.28515625" style="42"/>
    <col min="777" max="778" width="7.28515625" style="42" customWidth="1"/>
    <col min="779" max="1024" width="9.28515625" style="42"/>
    <col min="1025" max="1025" width="11.28515625" style="42" customWidth="1"/>
    <col min="1026" max="1026" width="8.7109375" style="42" customWidth="1"/>
    <col min="1027" max="1027" width="8.85546875" style="42" customWidth="1"/>
    <col min="1028" max="1028" width="8.28515625" style="42" customWidth="1"/>
    <col min="1029" max="1029" width="7.42578125" style="42" customWidth="1"/>
    <col min="1030" max="1030" width="9" style="42" customWidth="1"/>
    <col min="1031" max="1031" width="7.28515625" style="42" customWidth="1"/>
    <col min="1032" max="1032" width="9.28515625" style="42"/>
    <col min="1033" max="1034" width="7.28515625" style="42" customWidth="1"/>
    <col min="1035" max="1280" width="9.28515625" style="42"/>
    <col min="1281" max="1281" width="11.28515625" style="42" customWidth="1"/>
    <col min="1282" max="1282" width="8.7109375" style="42" customWidth="1"/>
    <col min="1283" max="1283" width="8.85546875" style="42" customWidth="1"/>
    <col min="1284" max="1284" width="8.28515625" style="42" customWidth="1"/>
    <col min="1285" max="1285" width="7.42578125" style="42" customWidth="1"/>
    <col min="1286" max="1286" width="9" style="42" customWidth="1"/>
    <col min="1287" max="1287" width="7.28515625" style="42" customWidth="1"/>
    <col min="1288" max="1288" width="9.28515625" style="42"/>
    <col min="1289" max="1290" width="7.28515625" style="42" customWidth="1"/>
    <col min="1291" max="1536" width="9.28515625" style="42"/>
    <col min="1537" max="1537" width="11.28515625" style="42" customWidth="1"/>
    <col min="1538" max="1538" width="8.7109375" style="42" customWidth="1"/>
    <col min="1539" max="1539" width="8.85546875" style="42" customWidth="1"/>
    <col min="1540" max="1540" width="8.28515625" style="42" customWidth="1"/>
    <col min="1541" max="1541" width="7.42578125" style="42" customWidth="1"/>
    <col min="1542" max="1542" width="9" style="42" customWidth="1"/>
    <col min="1543" max="1543" width="7.28515625" style="42" customWidth="1"/>
    <col min="1544" max="1544" width="9.28515625" style="42"/>
    <col min="1545" max="1546" width="7.28515625" style="42" customWidth="1"/>
    <col min="1547" max="1792" width="9.28515625" style="42"/>
    <col min="1793" max="1793" width="11.28515625" style="42" customWidth="1"/>
    <col min="1794" max="1794" width="8.7109375" style="42" customWidth="1"/>
    <col min="1795" max="1795" width="8.85546875" style="42" customWidth="1"/>
    <col min="1796" max="1796" width="8.28515625" style="42" customWidth="1"/>
    <col min="1797" max="1797" width="7.42578125" style="42" customWidth="1"/>
    <col min="1798" max="1798" width="9" style="42" customWidth="1"/>
    <col min="1799" max="1799" width="7.28515625" style="42" customWidth="1"/>
    <col min="1800" max="1800" width="9.28515625" style="42"/>
    <col min="1801" max="1802" width="7.28515625" style="42" customWidth="1"/>
    <col min="1803" max="2048" width="9.28515625" style="42"/>
    <col min="2049" max="2049" width="11.28515625" style="42" customWidth="1"/>
    <col min="2050" max="2050" width="8.7109375" style="42" customWidth="1"/>
    <col min="2051" max="2051" width="8.85546875" style="42" customWidth="1"/>
    <col min="2052" max="2052" width="8.28515625" style="42" customWidth="1"/>
    <col min="2053" max="2053" width="7.42578125" style="42" customWidth="1"/>
    <col min="2054" max="2054" width="9" style="42" customWidth="1"/>
    <col min="2055" max="2055" width="7.28515625" style="42" customWidth="1"/>
    <col min="2056" max="2056" width="9.28515625" style="42"/>
    <col min="2057" max="2058" width="7.28515625" style="42" customWidth="1"/>
    <col min="2059" max="2304" width="9.28515625" style="42"/>
    <col min="2305" max="2305" width="11.28515625" style="42" customWidth="1"/>
    <col min="2306" max="2306" width="8.7109375" style="42" customWidth="1"/>
    <col min="2307" max="2307" width="8.85546875" style="42" customWidth="1"/>
    <col min="2308" max="2308" width="8.28515625" style="42" customWidth="1"/>
    <col min="2309" max="2309" width="7.42578125" style="42" customWidth="1"/>
    <col min="2310" max="2310" width="9" style="42" customWidth="1"/>
    <col min="2311" max="2311" width="7.28515625" style="42" customWidth="1"/>
    <col min="2312" max="2312" width="9.28515625" style="42"/>
    <col min="2313" max="2314" width="7.28515625" style="42" customWidth="1"/>
    <col min="2315" max="2560" width="9.28515625" style="42"/>
    <col min="2561" max="2561" width="11.28515625" style="42" customWidth="1"/>
    <col min="2562" max="2562" width="8.7109375" style="42" customWidth="1"/>
    <col min="2563" max="2563" width="8.85546875" style="42" customWidth="1"/>
    <col min="2564" max="2564" width="8.28515625" style="42" customWidth="1"/>
    <col min="2565" max="2565" width="7.42578125" style="42" customWidth="1"/>
    <col min="2566" max="2566" width="9" style="42" customWidth="1"/>
    <col min="2567" max="2567" width="7.28515625" style="42" customWidth="1"/>
    <col min="2568" max="2568" width="9.28515625" style="42"/>
    <col min="2569" max="2570" width="7.28515625" style="42" customWidth="1"/>
    <col min="2571" max="2816" width="9.28515625" style="42"/>
    <col min="2817" max="2817" width="11.28515625" style="42" customWidth="1"/>
    <col min="2818" max="2818" width="8.7109375" style="42" customWidth="1"/>
    <col min="2819" max="2819" width="8.85546875" style="42" customWidth="1"/>
    <col min="2820" max="2820" width="8.28515625" style="42" customWidth="1"/>
    <col min="2821" max="2821" width="7.42578125" style="42" customWidth="1"/>
    <col min="2822" max="2822" width="9" style="42" customWidth="1"/>
    <col min="2823" max="2823" width="7.28515625" style="42" customWidth="1"/>
    <col min="2824" max="2824" width="9.28515625" style="42"/>
    <col min="2825" max="2826" width="7.28515625" style="42" customWidth="1"/>
    <col min="2827" max="3072" width="9.28515625" style="42"/>
    <col min="3073" max="3073" width="11.28515625" style="42" customWidth="1"/>
    <col min="3074" max="3074" width="8.7109375" style="42" customWidth="1"/>
    <col min="3075" max="3075" width="8.85546875" style="42" customWidth="1"/>
    <col min="3076" max="3076" width="8.28515625" style="42" customWidth="1"/>
    <col min="3077" max="3077" width="7.42578125" style="42" customWidth="1"/>
    <col min="3078" max="3078" width="9" style="42" customWidth="1"/>
    <col min="3079" max="3079" width="7.28515625" style="42" customWidth="1"/>
    <col min="3080" max="3080" width="9.28515625" style="42"/>
    <col min="3081" max="3082" width="7.28515625" style="42" customWidth="1"/>
    <col min="3083" max="3328" width="9.28515625" style="42"/>
    <col min="3329" max="3329" width="11.28515625" style="42" customWidth="1"/>
    <col min="3330" max="3330" width="8.7109375" style="42" customWidth="1"/>
    <col min="3331" max="3331" width="8.85546875" style="42" customWidth="1"/>
    <col min="3332" max="3332" width="8.28515625" style="42" customWidth="1"/>
    <col min="3333" max="3333" width="7.42578125" style="42" customWidth="1"/>
    <col min="3334" max="3334" width="9" style="42" customWidth="1"/>
    <col min="3335" max="3335" width="7.28515625" style="42" customWidth="1"/>
    <col min="3336" max="3336" width="9.28515625" style="42"/>
    <col min="3337" max="3338" width="7.28515625" style="42" customWidth="1"/>
    <col min="3339" max="3584" width="9.28515625" style="42"/>
    <col min="3585" max="3585" width="11.28515625" style="42" customWidth="1"/>
    <col min="3586" max="3586" width="8.7109375" style="42" customWidth="1"/>
    <col min="3587" max="3587" width="8.85546875" style="42" customWidth="1"/>
    <col min="3588" max="3588" width="8.28515625" style="42" customWidth="1"/>
    <col min="3589" max="3589" width="7.42578125" style="42" customWidth="1"/>
    <col min="3590" max="3590" width="9" style="42" customWidth="1"/>
    <col min="3591" max="3591" width="7.28515625" style="42" customWidth="1"/>
    <col min="3592" max="3592" width="9.28515625" style="42"/>
    <col min="3593" max="3594" width="7.28515625" style="42" customWidth="1"/>
    <col min="3595" max="3840" width="9.28515625" style="42"/>
    <col min="3841" max="3841" width="11.28515625" style="42" customWidth="1"/>
    <col min="3842" max="3842" width="8.7109375" style="42" customWidth="1"/>
    <col min="3843" max="3843" width="8.85546875" style="42" customWidth="1"/>
    <col min="3844" max="3844" width="8.28515625" style="42" customWidth="1"/>
    <col min="3845" max="3845" width="7.42578125" style="42" customWidth="1"/>
    <col min="3846" max="3846" width="9" style="42" customWidth="1"/>
    <col min="3847" max="3847" width="7.28515625" style="42" customWidth="1"/>
    <col min="3848" max="3848" width="9.28515625" style="42"/>
    <col min="3849" max="3850" width="7.28515625" style="42" customWidth="1"/>
    <col min="3851" max="4096" width="9.28515625" style="42"/>
    <col min="4097" max="4097" width="11.28515625" style="42" customWidth="1"/>
    <col min="4098" max="4098" width="8.7109375" style="42" customWidth="1"/>
    <col min="4099" max="4099" width="8.85546875" style="42" customWidth="1"/>
    <col min="4100" max="4100" width="8.28515625" style="42" customWidth="1"/>
    <col min="4101" max="4101" width="7.42578125" style="42" customWidth="1"/>
    <col min="4102" max="4102" width="9" style="42" customWidth="1"/>
    <col min="4103" max="4103" width="7.28515625" style="42" customWidth="1"/>
    <col min="4104" max="4104" width="9.28515625" style="42"/>
    <col min="4105" max="4106" width="7.28515625" style="42" customWidth="1"/>
    <col min="4107" max="4352" width="9.28515625" style="42"/>
    <col min="4353" max="4353" width="11.28515625" style="42" customWidth="1"/>
    <col min="4354" max="4354" width="8.7109375" style="42" customWidth="1"/>
    <col min="4355" max="4355" width="8.85546875" style="42" customWidth="1"/>
    <col min="4356" max="4356" width="8.28515625" style="42" customWidth="1"/>
    <col min="4357" max="4357" width="7.42578125" style="42" customWidth="1"/>
    <col min="4358" max="4358" width="9" style="42" customWidth="1"/>
    <col min="4359" max="4359" width="7.28515625" style="42" customWidth="1"/>
    <col min="4360" max="4360" width="9.28515625" style="42"/>
    <col min="4361" max="4362" width="7.28515625" style="42" customWidth="1"/>
    <col min="4363" max="4608" width="9.28515625" style="42"/>
    <col min="4609" max="4609" width="11.28515625" style="42" customWidth="1"/>
    <col min="4610" max="4610" width="8.7109375" style="42" customWidth="1"/>
    <col min="4611" max="4611" width="8.85546875" style="42" customWidth="1"/>
    <col min="4612" max="4612" width="8.28515625" style="42" customWidth="1"/>
    <col min="4613" max="4613" width="7.42578125" style="42" customWidth="1"/>
    <col min="4614" max="4614" width="9" style="42" customWidth="1"/>
    <col min="4615" max="4615" width="7.28515625" style="42" customWidth="1"/>
    <col min="4616" max="4616" width="9.28515625" style="42"/>
    <col min="4617" max="4618" width="7.28515625" style="42" customWidth="1"/>
    <col min="4619" max="4864" width="9.28515625" style="42"/>
    <col min="4865" max="4865" width="11.28515625" style="42" customWidth="1"/>
    <col min="4866" max="4866" width="8.7109375" style="42" customWidth="1"/>
    <col min="4867" max="4867" width="8.85546875" style="42" customWidth="1"/>
    <col min="4868" max="4868" width="8.28515625" style="42" customWidth="1"/>
    <col min="4869" max="4869" width="7.42578125" style="42" customWidth="1"/>
    <col min="4870" max="4870" width="9" style="42" customWidth="1"/>
    <col min="4871" max="4871" width="7.28515625" style="42" customWidth="1"/>
    <col min="4872" max="4872" width="9.28515625" style="42"/>
    <col min="4873" max="4874" width="7.28515625" style="42" customWidth="1"/>
    <col min="4875" max="5120" width="9.28515625" style="42"/>
    <col min="5121" max="5121" width="11.28515625" style="42" customWidth="1"/>
    <col min="5122" max="5122" width="8.7109375" style="42" customWidth="1"/>
    <col min="5123" max="5123" width="8.85546875" style="42" customWidth="1"/>
    <col min="5124" max="5124" width="8.28515625" style="42" customWidth="1"/>
    <col min="5125" max="5125" width="7.42578125" style="42" customWidth="1"/>
    <col min="5126" max="5126" width="9" style="42" customWidth="1"/>
    <col min="5127" max="5127" width="7.28515625" style="42" customWidth="1"/>
    <col min="5128" max="5128" width="9.28515625" style="42"/>
    <col min="5129" max="5130" width="7.28515625" style="42" customWidth="1"/>
    <col min="5131" max="5376" width="9.28515625" style="42"/>
    <col min="5377" max="5377" width="11.28515625" style="42" customWidth="1"/>
    <col min="5378" max="5378" width="8.7109375" style="42" customWidth="1"/>
    <col min="5379" max="5379" width="8.85546875" style="42" customWidth="1"/>
    <col min="5380" max="5380" width="8.28515625" style="42" customWidth="1"/>
    <col min="5381" max="5381" width="7.42578125" style="42" customWidth="1"/>
    <col min="5382" max="5382" width="9" style="42" customWidth="1"/>
    <col min="5383" max="5383" width="7.28515625" style="42" customWidth="1"/>
    <col min="5384" max="5384" width="9.28515625" style="42"/>
    <col min="5385" max="5386" width="7.28515625" style="42" customWidth="1"/>
    <col min="5387" max="5632" width="9.28515625" style="42"/>
    <col min="5633" max="5633" width="11.28515625" style="42" customWidth="1"/>
    <col min="5634" max="5634" width="8.7109375" style="42" customWidth="1"/>
    <col min="5635" max="5635" width="8.85546875" style="42" customWidth="1"/>
    <col min="5636" max="5636" width="8.28515625" style="42" customWidth="1"/>
    <col min="5637" max="5637" width="7.42578125" style="42" customWidth="1"/>
    <col min="5638" max="5638" width="9" style="42" customWidth="1"/>
    <col min="5639" max="5639" width="7.28515625" style="42" customWidth="1"/>
    <col min="5640" max="5640" width="9.28515625" style="42"/>
    <col min="5641" max="5642" width="7.28515625" style="42" customWidth="1"/>
    <col min="5643" max="5888" width="9.28515625" style="42"/>
    <col min="5889" max="5889" width="11.28515625" style="42" customWidth="1"/>
    <col min="5890" max="5890" width="8.7109375" style="42" customWidth="1"/>
    <col min="5891" max="5891" width="8.85546875" style="42" customWidth="1"/>
    <col min="5892" max="5892" width="8.28515625" style="42" customWidth="1"/>
    <col min="5893" max="5893" width="7.42578125" style="42" customWidth="1"/>
    <col min="5894" max="5894" width="9" style="42" customWidth="1"/>
    <col min="5895" max="5895" width="7.28515625" style="42" customWidth="1"/>
    <col min="5896" max="5896" width="9.28515625" style="42"/>
    <col min="5897" max="5898" width="7.28515625" style="42" customWidth="1"/>
    <col min="5899" max="6144" width="9.28515625" style="42"/>
    <col min="6145" max="6145" width="11.28515625" style="42" customWidth="1"/>
    <col min="6146" max="6146" width="8.7109375" style="42" customWidth="1"/>
    <col min="6147" max="6147" width="8.85546875" style="42" customWidth="1"/>
    <col min="6148" max="6148" width="8.28515625" style="42" customWidth="1"/>
    <col min="6149" max="6149" width="7.42578125" style="42" customWidth="1"/>
    <col min="6150" max="6150" width="9" style="42" customWidth="1"/>
    <col min="6151" max="6151" width="7.28515625" style="42" customWidth="1"/>
    <col min="6152" max="6152" width="9.28515625" style="42"/>
    <col min="6153" max="6154" width="7.28515625" style="42" customWidth="1"/>
    <col min="6155" max="6400" width="9.28515625" style="42"/>
    <col min="6401" max="6401" width="11.28515625" style="42" customWidth="1"/>
    <col min="6402" max="6402" width="8.7109375" style="42" customWidth="1"/>
    <col min="6403" max="6403" width="8.85546875" style="42" customWidth="1"/>
    <col min="6404" max="6404" width="8.28515625" style="42" customWidth="1"/>
    <col min="6405" max="6405" width="7.42578125" style="42" customWidth="1"/>
    <col min="6406" max="6406" width="9" style="42" customWidth="1"/>
    <col min="6407" max="6407" width="7.28515625" style="42" customWidth="1"/>
    <col min="6408" max="6408" width="9.28515625" style="42"/>
    <col min="6409" max="6410" width="7.28515625" style="42" customWidth="1"/>
    <col min="6411" max="6656" width="9.28515625" style="42"/>
    <col min="6657" max="6657" width="11.28515625" style="42" customWidth="1"/>
    <col min="6658" max="6658" width="8.7109375" style="42" customWidth="1"/>
    <col min="6659" max="6659" width="8.85546875" style="42" customWidth="1"/>
    <col min="6660" max="6660" width="8.28515625" style="42" customWidth="1"/>
    <col min="6661" max="6661" width="7.42578125" style="42" customWidth="1"/>
    <col min="6662" max="6662" width="9" style="42" customWidth="1"/>
    <col min="6663" max="6663" width="7.28515625" style="42" customWidth="1"/>
    <col min="6664" max="6664" width="9.28515625" style="42"/>
    <col min="6665" max="6666" width="7.28515625" style="42" customWidth="1"/>
    <col min="6667" max="6912" width="9.28515625" style="42"/>
    <col min="6913" max="6913" width="11.28515625" style="42" customWidth="1"/>
    <col min="6914" max="6914" width="8.7109375" style="42" customWidth="1"/>
    <col min="6915" max="6915" width="8.85546875" style="42" customWidth="1"/>
    <col min="6916" max="6916" width="8.28515625" style="42" customWidth="1"/>
    <col min="6917" max="6917" width="7.42578125" style="42" customWidth="1"/>
    <col min="6918" max="6918" width="9" style="42" customWidth="1"/>
    <col min="6919" max="6919" width="7.28515625" style="42" customWidth="1"/>
    <col min="6920" max="6920" width="9.28515625" style="42"/>
    <col min="6921" max="6922" width="7.28515625" style="42" customWidth="1"/>
    <col min="6923" max="7168" width="9.28515625" style="42"/>
    <col min="7169" max="7169" width="11.28515625" style="42" customWidth="1"/>
    <col min="7170" max="7170" width="8.7109375" style="42" customWidth="1"/>
    <col min="7171" max="7171" width="8.85546875" style="42" customWidth="1"/>
    <col min="7172" max="7172" width="8.28515625" style="42" customWidth="1"/>
    <col min="7173" max="7173" width="7.42578125" style="42" customWidth="1"/>
    <col min="7174" max="7174" width="9" style="42" customWidth="1"/>
    <col min="7175" max="7175" width="7.28515625" style="42" customWidth="1"/>
    <col min="7176" max="7176" width="9.28515625" style="42"/>
    <col min="7177" max="7178" width="7.28515625" style="42" customWidth="1"/>
    <col min="7179" max="7424" width="9.28515625" style="42"/>
    <col min="7425" max="7425" width="11.28515625" style="42" customWidth="1"/>
    <col min="7426" max="7426" width="8.7109375" style="42" customWidth="1"/>
    <col min="7427" max="7427" width="8.85546875" style="42" customWidth="1"/>
    <col min="7428" max="7428" width="8.28515625" style="42" customWidth="1"/>
    <col min="7429" max="7429" width="7.42578125" style="42" customWidth="1"/>
    <col min="7430" max="7430" width="9" style="42" customWidth="1"/>
    <col min="7431" max="7431" width="7.28515625" style="42" customWidth="1"/>
    <col min="7432" max="7432" width="9.28515625" style="42"/>
    <col min="7433" max="7434" width="7.28515625" style="42" customWidth="1"/>
    <col min="7435" max="7680" width="9.28515625" style="42"/>
    <col min="7681" max="7681" width="11.28515625" style="42" customWidth="1"/>
    <col min="7682" max="7682" width="8.7109375" style="42" customWidth="1"/>
    <col min="7683" max="7683" width="8.85546875" style="42" customWidth="1"/>
    <col min="7684" max="7684" width="8.28515625" style="42" customWidth="1"/>
    <col min="7685" max="7685" width="7.42578125" style="42" customWidth="1"/>
    <col min="7686" max="7686" width="9" style="42" customWidth="1"/>
    <col min="7687" max="7687" width="7.28515625" style="42" customWidth="1"/>
    <col min="7688" max="7688" width="9.28515625" style="42"/>
    <col min="7689" max="7690" width="7.28515625" style="42" customWidth="1"/>
    <col min="7691" max="7936" width="9.28515625" style="42"/>
    <col min="7937" max="7937" width="11.28515625" style="42" customWidth="1"/>
    <col min="7938" max="7938" width="8.7109375" style="42" customWidth="1"/>
    <col min="7939" max="7939" width="8.85546875" style="42" customWidth="1"/>
    <col min="7940" max="7940" width="8.28515625" style="42" customWidth="1"/>
    <col min="7941" max="7941" width="7.42578125" style="42" customWidth="1"/>
    <col min="7942" max="7942" width="9" style="42" customWidth="1"/>
    <col min="7943" max="7943" width="7.28515625" style="42" customWidth="1"/>
    <col min="7944" max="7944" width="9.28515625" style="42"/>
    <col min="7945" max="7946" width="7.28515625" style="42" customWidth="1"/>
    <col min="7947" max="8192" width="9.28515625" style="42"/>
    <col min="8193" max="8193" width="11.28515625" style="42" customWidth="1"/>
    <col min="8194" max="8194" width="8.7109375" style="42" customWidth="1"/>
    <col min="8195" max="8195" width="8.85546875" style="42" customWidth="1"/>
    <col min="8196" max="8196" width="8.28515625" style="42" customWidth="1"/>
    <col min="8197" max="8197" width="7.42578125" style="42" customWidth="1"/>
    <col min="8198" max="8198" width="9" style="42" customWidth="1"/>
    <col min="8199" max="8199" width="7.28515625" style="42" customWidth="1"/>
    <col min="8200" max="8200" width="9.28515625" style="42"/>
    <col min="8201" max="8202" width="7.28515625" style="42" customWidth="1"/>
    <col min="8203" max="8448" width="9.28515625" style="42"/>
    <col min="8449" max="8449" width="11.28515625" style="42" customWidth="1"/>
    <col min="8450" max="8450" width="8.7109375" style="42" customWidth="1"/>
    <col min="8451" max="8451" width="8.85546875" style="42" customWidth="1"/>
    <col min="8452" max="8452" width="8.28515625" style="42" customWidth="1"/>
    <col min="8453" max="8453" width="7.42578125" style="42" customWidth="1"/>
    <col min="8454" max="8454" width="9" style="42" customWidth="1"/>
    <col min="8455" max="8455" width="7.28515625" style="42" customWidth="1"/>
    <col min="8456" max="8456" width="9.28515625" style="42"/>
    <col min="8457" max="8458" width="7.28515625" style="42" customWidth="1"/>
    <col min="8459" max="8704" width="9.28515625" style="42"/>
    <col min="8705" max="8705" width="11.28515625" style="42" customWidth="1"/>
    <col min="8706" max="8706" width="8.7109375" style="42" customWidth="1"/>
    <col min="8707" max="8707" width="8.85546875" style="42" customWidth="1"/>
    <col min="8708" max="8708" width="8.28515625" style="42" customWidth="1"/>
    <col min="8709" max="8709" width="7.42578125" style="42" customWidth="1"/>
    <col min="8710" max="8710" width="9" style="42" customWidth="1"/>
    <col min="8711" max="8711" width="7.28515625" style="42" customWidth="1"/>
    <col min="8712" max="8712" width="9.28515625" style="42"/>
    <col min="8713" max="8714" width="7.28515625" style="42" customWidth="1"/>
    <col min="8715" max="8960" width="9.28515625" style="42"/>
    <col min="8961" max="8961" width="11.28515625" style="42" customWidth="1"/>
    <col min="8962" max="8962" width="8.7109375" style="42" customWidth="1"/>
    <col min="8963" max="8963" width="8.85546875" style="42" customWidth="1"/>
    <col min="8964" max="8964" width="8.28515625" style="42" customWidth="1"/>
    <col min="8965" max="8965" width="7.42578125" style="42" customWidth="1"/>
    <col min="8966" max="8966" width="9" style="42" customWidth="1"/>
    <col min="8967" max="8967" width="7.28515625" style="42" customWidth="1"/>
    <col min="8968" max="8968" width="9.28515625" style="42"/>
    <col min="8969" max="8970" width="7.28515625" style="42" customWidth="1"/>
    <col min="8971" max="9216" width="9.28515625" style="42"/>
    <col min="9217" max="9217" width="11.28515625" style="42" customWidth="1"/>
    <col min="9218" max="9218" width="8.7109375" style="42" customWidth="1"/>
    <col min="9219" max="9219" width="8.85546875" style="42" customWidth="1"/>
    <col min="9220" max="9220" width="8.28515625" style="42" customWidth="1"/>
    <col min="9221" max="9221" width="7.42578125" style="42" customWidth="1"/>
    <col min="9222" max="9222" width="9" style="42" customWidth="1"/>
    <col min="9223" max="9223" width="7.28515625" style="42" customWidth="1"/>
    <col min="9224" max="9224" width="9.28515625" style="42"/>
    <col min="9225" max="9226" width="7.28515625" style="42" customWidth="1"/>
    <col min="9227" max="9472" width="9.28515625" style="42"/>
    <col min="9473" max="9473" width="11.28515625" style="42" customWidth="1"/>
    <col min="9474" max="9474" width="8.7109375" style="42" customWidth="1"/>
    <col min="9475" max="9475" width="8.85546875" style="42" customWidth="1"/>
    <col min="9476" max="9476" width="8.28515625" style="42" customWidth="1"/>
    <col min="9477" max="9477" width="7.42578125" style="42" customWidth="1"/>
    <col min="9478" max="9478" width="9" style="42" customWidth="1"/>
    <col min="9479" max="9479" width="7.28515625" style="42" customWidth="1"/>
    <col min="9480" max="9480" width="9.28515625" style="42"/>
    <col min="9481" max="9482" width="7.28515625" style="42" customWidth="1"/>
    <col min="9483" max="9728" width="9.28515625" style="42"/>
    <col min="9729" max="9729" width="11.28515625" style="42" customWidth="1"/>
    <col min="9730" max="9730" width="8.7109375" style="42" customWidth="1"/>
    <col min="9731" max="9731" width="8.85546875" style="42" customWidth="1"/>
    <col min="9732" max="9732" width="8.28515625" style="42" customWidth="1"/>
    <col min="9733" max="9733" width="7.42578125" style="42" customWidth="1"/>
    <col min="9734" max="9734" width="9" style="42" customWidth="1"/>
    <col min="9735" max="9735" width="7.28515625" style="42" customWidth="1"/>
    <col min="9736" max="9736" width="9.28515625" style="42"/>
    <col min="9737" max="9738" width="7.28515625" style="42" customWidth="1"/>
    <col min="9739" max="9984" width="9.28515625" style="42"/>
    <col min="9985" max="9985" width="11.28515625" style="42" customWidth="1"/>
    <col min="9986" max="9986" width="8.7109375" style="42" customWidth="1"/>
    <col min="9987" max="9987" width="8.85546875" style="42" customWidth="1"/>
    <col min="9988" max="9988" width="8.28515625" style="42" customWidth="1"/>
    <col min="9989" max="9989" width="7.42578125" style="42" customWidth="1"/>
    <col min="9990" max="9990" width="9" style="42" customWidth="1"/>
    <col min="9991" max="9991" width="7.28515625" style="42" customWidth="1"/>
    <col min="9992" max="9992" width="9.28515625" style="42"/>
    <col min="9993" max="9994" width="7.28515625" style="42" customWidth="1"/>
    <col min="9995" max="10240" width="9.28515625" style="42"/>
    <col min="10241" max="10241" width="11.28515625" style="42" customWidth="1"/>
    <col min="10242" max="10242" width="8.7109375" style="42" customWidth="1"/>
    <col min="10243" max="10243" width="8.85546875" style="42" customWidth="1"/>
    <col min="10244" max="10244" width="8.28515625" style="42" customWidth="1"/>
    <col min="10245" max="10245" width="7.42578125" style="42" customWidth="1"/>
    <col min="10246" max="10246" width="9" style="42" customWidth="1"/>
    <col min="10247" max="10247" width="7.28515625" style="42" customWidth="1"/>
    <col min="10248" max="10248" width="9.28515625" style="42"/>
    <col min="10249" max="10250" width="7.28515625" style="42" customWidth="1"/>
    <col min="10251" max="10496" width="9.28515625" style="42"/>
    <col min="10497" max="10497" width="11.28515625" style="42" customWidth="1"/>
    <col min="10498" max="10498" width="8.7109375" style="42" customWidth="1"/>
    <col min="10499" max="10499" width="8.85546875" style="42" customWidth="1"/>
    <col min="10500" max="10500" width="8.28515625" style="42" customWidth="1"/>
    <col min="10501" max="10501" width="7.42578125" style="42" customWidth="1"/>
    <col min="10502" max="10502" width="9" style="42" customWidth="1"/>
    <col min="10503" max="10503" width="7.28515625" style="42" customWidth="1"/>
    <col min="10504" max="10504" width="9.28515625" style="42"/>
    <col min="10505" max="10506" width="7.28515625" style="42" customWidth="1"/>
    <col min="10507" max="10752" width="9.28515625" style="42"/>
    <col min="10753" max="10753" width="11.28515625" style="42" customWidth="1"/>
    <col min="10754" max="10754" width="8.7109375" style="42" customWidth="1"/>
    <col min="10755" max="10755" width="8.85546875" style="42" customWidth="1"/>
    <col min="10756" max="10756" width="8.28515625" style="42" customWidth="1"/>
    <col min="10757" max="10757" width="7.42578125" style="42" customWidth="1"/>
    <col min="10758" max="10758" width="9" style="42" customWidth="1"/>
    <col min="10759" max="10759" width="7.28515625" style="42" customWidth="1"/>
    <col min="10760" max="10760" width="9.28515625" style="42"/>
    <col min="10761" max="10762" width="7.28515625" style="42" customWidth="1"/>
    <col min="10763" max="11008" width="9.28515625" style="42"/>
    <col min="11009" max="11009" width="11.28515625" style="42" customWidth="1"/>
    <col min="11010" max="11010" width="8.7109375" style="42" customWidth="1"/>
    <col min="11011" max="11011" width="8.85546875" style="42" customWidth="1"/>
    <col min="11012" max="11012" width="8.28515625" style="42" customWidth="1"/>
    <col min="11013" max="11013" width="7.42578125" style="42" customWidth="1"/>
    <col min="11014" max="11014" width="9" style="42" customWidth="1"/>
    <col min="11015" max="11015" width="7.28515625" style="42" customWidth="1"/>
    <col min="11016" max="11016" width="9.28515625" style="42"/>
    <col min="11017" max="11018" width="7.28515625" style="42" customWidth="1"/>
    <col min="11019" max="11264" width="9.28515625" style="42"/>
    <col min="11265" max="11265" width="11.28515625" style="42" customWidth="1"/>
    <col min="11266" max="11266" width="8.7109375" style="42" customWidth="1"/>
    <col min="11267" max="11267" width="8.85546875" style="42" customWidth="1"/>
    <col min="11268" max="11268" width="8.28515625" style="42" customWidth="1"/>
    <col min="11269" max="11269" width="7.42578125" style="42" customWidth="1"/>
    <col min="11270" max="11270" width="9" style="42" customWidth="1"/>
    <col min="11271" max="11271" width="7.28515625" style="42" customWidth="1"/>
    <col min="11272" max="11272" width="9.28515625" style="42"/>
    <col min="11273" max="11274" width="7.28515625" style="42" customWidth="1"/>
    <col min="11275" max="11520" width="9.28515625" style="42"/>
    <col min="11521" max="11521" width="11.28515625" style="42" customWidth="1"/>
    <col min="11522" max="11522" width="8.7109375" style="42" customWidth="1"/>
    <col min="11523" max="11523" width="8.85546875" style="42" customWidth="1"/>
    <col min="11524" max="11524" width="8.28515625" style="42" customWidth="1"/>
    <col min="11525" max="11525" width="7.42578125" style="42" customWidth="1"/>
    <col min="11526" max="11526" width="9" style="42" customWidth="1"/>
    <col min="11527" max="11527" width="7.28515625" style="42" customWidth="1"/>
    <col min="11528" max="11528" width="9.28515625" style="42"/>
    <col min="11529" max="11530" width="7.28515625" style="42" customWidth="1"/>
    <col min="11531" max="11776" width="9.28515625" style="42"/>
    <col min="11777" max="11777" width="11.28515625" style="42" customWidth="1"/>
    <col min="11778" max="11778" width="8.7109375" style="42" customWidth="1"/>
    <col min="11779" max="11779" width="8.85546875" style="42" customWidth="1"/>
    <col min="11780" max="11780" width="8.28515625" style="42" customWidth="1"/>
    <col min="11781" max="11781" width="7.42578125" style="42" customWidth="1"/>
    <col min="11782" max="11782" width="9" style="42" customWidth="1"/>
    <col min="11783" max="11783" width="7.28515625" style="42" customWidth="1"/>
    <col min="11784" max="11784" width="9.28515625" style="42"/>
    <col min="11785" max="11786" width="7.28515625" style="42" customWidth="1"/>
    <col min="11787" max="12032" width="9.28515625" style="42"/>
    <col min="12033" max="12033" width="11.28515625" style="42" customWidth="1"/>
    <col min="12034" max="12034" width="8.7109375" style="42" customWidth="1"/>
    <col min="12035" max="12035" width="8.85546875" style="42" customWidth="1"/>
    <col min="12036" max="12036" width="8.28515625" style="42" customWidth="1"/>
    <col min="12037" max="12037" width="7.42578125" style="42" customWidth="1"/>
    <col min="12038" max="12038" width="9" style="42" customWidth="1"/>
    <col min="12039" max="12039" width="7.28515625" style="42" customWidth="1"/>
    <col min="12040" max="12040" width="9.28515625" style="42"/>
    <col min="12041" max="12042" width="7.28515625" style="42" customWidth="1"/>
    <col min="12043" max="12288" width="9.28515625" style="42"/>
    <col min="12289" max="12289" width="11.28515625" style="42" customWidth="1"/>
    <col min="12290" max="12290" width="8.7109375" style="42" customWidth="1"/>
    <col min="12291" max="12291" width="8.85546875" style="42" customWidth="1"/>
    <col min="12292" max="12292" width="8.28515625" style="42" customWidth="1"/>
    <col min="12293" max="12293" width="7.42578125" style="42" customWidth="1"/>
    <col min="12294" max="12294" width="9" style="42" customWidth="1"/>
    <col min="12295" max="12295" width="7.28515625" style="42" customWidth="1"/>
    <col min="12296" max="12296" width="9.28515625" style="42"/>
    <col min="12297" max="12298" width="7.28515625" style="42" customWidth="1"/>
    <col min="12299" max="12544" width="9.28515625" style="42"/>
    <col min="12545" max="12545" width="11.28515625" style="42" customWidth="1"/>
    <col min="12546" max="12546" width="8.7109375" style="42" customWidth="1"/>
    <col min="12547" max="12547" width="8.85546875" style="42" customWidth="1"/>
    <col min="12548" max="12548" width="8.28515625" style="42" customWidth="1"/>
    <col min="12549" max="12549" width="7.42578125" style="42" customWidth="1"/>
    <col min="12550" max="12550" width="9" style="42" customWidth="1"/>
    <col min="12551" max="12551" width="7.28515625" style="42" customWidth="1"/>
    <col min="12552" max="12552" width="9.28515625" style="42"/>
    <col min="12553" max="12554" width="7.28515625" style="42" customWidth="1"/>
    <col min="12555" max="12800" width="9.28515625" style="42"/>
    <col min="12801" max="12801" width="11.28515625" style="42" customWidth="1"/>
    <col min="12802" max="12802" width="8.7109375" style="42" customWidth="1"/>
    <col min="12803" max="12803" width="8.85546875" style="42" customWidth="1"/>
    <col min="12804" max="12804" width="8.28515625" style="42" customWidth="1"/>
    <col min="12805" max="12805" width="7.42578125" style="42" customWidth="1"/>
    <col min="12806" max="12806" width="9" style="42" customWidth="1"/>
    <col min="12807" max="12807" width="7.28515625" style="42" customWidth="1"/>
    <col min="12808" max="12808" width="9.28515625" style="42"/>
    <col min="12809" max="12810" width="7.28515625" style="42" customWidth="1"/>
    <col min="12811" max="13056" width="9.28515625" style="42"/>
    <col min="13057" max="13057" width="11.28515625" style="42" customWidth="1"/>
    <col min="13058" max="13058" width="8.7109375" style="42" customWidth="1"/>
    <col min="13059" max="13059" width="8.85546875" style="42" customWidth="1"/>
    <col min="13060" max="13060" width="8.28515625" style="42" customWidth="1"/>
    <col min="13061" max="13061" width="7.42578125" style="42" customWidth="1"/>
    <col min="13062" max="13062" width="9" style="42" customWidth="1"/>
    <col min="13063" max="13063" width="7.28515625" style="42" customWidth="1"/>
    <col min="13064" max="13064" width="9.28515625" style="42"/>
    <col min="13065" max="13066" width="7.28515625" style="42" customWidth="1"/>
    <col min="13067" max="13312" width="9.28515625" style="42"/>
    <col min="13313" max="13313" width="11.28515625" style="42" customWidth="1"/>
    <col min="13314" max="13314" width="8.7109375" style="42" customWidth="1"/>
    <col min="13315" max="13315" width="8.85546875" style="42" customWidth="1"/>
    <col min="13316" max="13316" width="8.28515625" style="42" customWidth="1"/>
    <col min="13317" max="13317" width="7.42578125" style="42" customWidth="1"/>
    <col min="13318" max="13318" width="9" style="42" customWidth="1"/>
    <col min="13319" max="13319" width="7.28515625" style="42" customWidth="1"/>
    <col min="13320" max="13320" width="9.28515625" style="42"/>
    <col min="13321" max="13322" width="7.28515625" style="42" customWidth="1"/>
    <col min="13323" max="13568" width="9.28515625" style="42"/>
    <col min="13569" max="13569" width="11.28515625" style="42" customWidth="1"/>
    <col min="13570" max="13570" width="8.7109375" style="42" customWidth="1"/>
    <col min="13571" max="13571" width="8.85546875" style="42" customWidth="1"/>
    <col min="13572" max="13572" width="8.28515625" style="42" customWidth="1"/>
    <col min="13573" max="13573" width="7.42578125" style="42" customWidth="1"/>
    <col min="13574" max="13574" width="9" style="42" customWidth="1"/>
    <col min="13575" max="13575" width="7.28515625" style="42" customWidth="1"/>
    <col min="13576" max="13576" width="9.28515625" style="42"/>
    <col min="13577" max="13578" width="7.28515625" style="42" customWidth="1"/>
    <col min="13579" max="13824" width="9.28515625" style="42"/>
    <col min="13825" max="13825" width="11.28515625" style="42" customWidth="1"/>
    <col min="13826" max="13826" width="8.7109375" style="42" customWidth="1"/>
    <col min="13827" max="13827" width="8.85546875" style="42" customWidth="1"/>
    <col min="13828" max="13828" width="8.28515625" style="42" customWidth="1"/>
    <col min="13829" max="13829" width="7.42578125" style="42" customWidth="1"/>
    <col min="13830" max="13830" width="9" style="42" customWidth="1"/>
    <col min="13831" max="13831" width="7.28515625" style="42" customWidth="1"/>
    <col min="13832" max="13832" width="9.28515625" style="42"/>
    <col min="13833" max="13834" width="7.28515625" style="42" customWidth="1"/>
    <col min="13835" max="14080" width="9.28515625" style="42"/>
    <col min="14081" max="14081" width="11.28515625" style="42" customWidth="1"/>
    <col min="14082" max="14082" width="8.7109375" style="42" customWidth="1"/>
    <col min="14083" max="14083" width="8.85546875" style="42" customWidth="1"/>
    <col min="14084" max="14084" width="8.28515625" style="42" customWidth="1"/>
    <col min="14085" max="14085" width="7.42578125" style="42" customWidth="1"/>
    <col min="14086" max="14086" width="9" style="42" customWidth="1"/>
    <col min="14087" max="14087" width="7.28515625" style="42" customWidth="1"/>
    <col min="14088" max="14088" width="9.28515625" style="42"/>
    <col min="14089" max="14090" width="7.28515625" style="42" customWidth="1"/>
    <col min="14091" max="14336" width="9.28515625" style="42"/>
    <col min="14337" max="14337" width="11.28515625" style="42" customWidth="1"/>
    <col min="14338" max="14338" width="8.7109375" style="42" customWidth="1"/>
    <col min="14339" max="14339" width="8.85546875" style="42" customWidth="1"/>
    <col min="14340" max="14340" width="8.28515625" style="42" customWidth="1"/>
    <col min="14341" max="14341" width="7.42578125" style="42" customWidth="1"/>
    <col min="14342" max="14342" width="9" style="42" customWidth="1"/>
    <col min="14343" max="14343" width="7.28515625" style="42" customWidth="1"/>
    <col min="14344" max="14344" width="9.28515625" style="42"/>
    <col min="14345" max="14346" width="7.28515625" style="42" customWidth="1"/>
    <col min="14347" max="14592" width="9.28515625" style="42"/>
    <col min="14593" max="14593" width="11.28515625" style="42" customWidth="1"/>
    <col min="14594" max="14594" width="8.7109375" style="42" customWidth="1"/>
    <col min="14595" max="14595" width="8.85546875" style="42" customWidth="1"/>
    <col min="14596" max="14596" width="8.28515625" style="42" customWidth="1"/>
    <col min="14597" max="14597" width="7.42578125" style="42" customWidth="1"/>
    <col min="14598" max="14598" width="9" style="42" customWidth="1"/>
    <col min="14599" max="14599" width="7.28515625" style="42" customWidth="1"/>
    <col min="14600" max="14600" width="9.28515625" style="42"/>
    <col min="14601" max="14602" width="7.28515625" style="42" customWidth="1"/>
    <col min="14603" max="14848" width="9.28515625" style="42"/>
    <col min="14849" max="14849" width="11.28515625" style="42" customWidth="1"/>
    <col min="14850" max="14850" width="8.7109375" style="42" customWidth="1"/>
    <col min="14851" max="14851" width="8.85546875" style="42" customWidth="1"/>
    <col min="14852" max="14852" width="8.28515625" style="42" customWidth="1"/>
    <col min="14853" max="14853" width="7.42578125" style="42" customWidth="1"/>
    <col min="14854" max="14854" width="9" style="42" customWidth="1"/>
    <col min="14855" max="14855" width="7.28515625" style="42" customWidth="1"/>
    <col min="14856" max="14856" width="9.28515625" style="42"/>
    <col min="14857" max="14858" width="7.28515625" style="42" customWidth="1"/>
    <col min="14859" max="15104" width="9.28515625" style="42"/>
    <col min="15105" max="15105" width="11.28515625" style="42" customWidth="1"/>
    <col min="15106" max="15106" width="8.7109375" style="42" customWidth="1"/>
    <col min="15107" max="15107" width="8.85546875" style="42" customWidth="1"/>
    <col min="15108" max="15108" width="8.28515625" style="42" customWidth="1"/>
    <col min="15109" max="15109" width="7.42578125" style="42" customWidth="1"/>
    <col min="15110" max="15110" width="9" style="42" customWidth="1"/>
    <col min="15111" max="15111" width="7.28515625" style="42" customWidth="1"/>
    <col min="15112" max="15112" width="9.28515625" style="42"/>
    <col min="15113" max="15114" width="7.28515625" style="42" customWidth="1"/>
    <col min="15115" max="15360" width="9.28515625" style="42"/>
    <col min="15361" max="15361" width="11.28515625" style="42" customWidth="1"/>
    <col min="15362" max="15362" width="8.7109375" style="42" customWidth="1"/>
    <col min="15363" max="15363" width="8.85546875" style="42" customWidth="1"/>
    <col min="15364" max="15364" width="8.28515625" style="42" customWidth="1"/>
    <col min="15365" max="15365" width="7.42578125" style="42" customWidth="1"/>
    <col min="15366" max="15366" width="9" style="42" customWidth="1"/>
    <col min="15367" max="15367" width="7.28515625" style="42" customWidth="1"/>
    <col min="15368" max="15368" width="9.28515625" style="42"/>
    <col min="15369" max="15370" width="7.28515625" style="42" customWidth="1"/>
    <col min="15371" max="15616" width="9.28515625" style="42"/>
    <col min="15617" max="15617" width="11.28515625" style="42" customWidth="1"/>
    <col min="15618" max="15618" width="8.7109375" style="42" customWidth="1"/>
    <col min="15619" max="15619" width="8.85546875" style="42" customWidth="1"/>
    <col min="15620" max="15620" width="8.28515625" style="42" customWidth="1"/>
    <col min="15621" max="15621" width="7.42578125" style="42" customWidth="1"/>
    <col min="15622" max="15622" width="9" style="42" customWidth="1"/>
    <col min="15623" max="15623" width="7.28515625" style="42" customWidth="1"/>
    <col min="15624" max="15624" width="9.28515625" style="42"/>
    <col min="15625" max="15626" width="7.28515625" style="42" customWidth="1"/>
    <col min="15627" max="15872" width="9.28515625" style="42"/>
    <col min="15873" max="15873" width="11.28515625" style="42" customWidth="1"/>
    <col min="15874" max="15874" width="8.7109375" style="42" customWidth="1"/>
    <col min="15875" max="15875" width="8.85546875" style="42" customWidth="1"/>
    <col min="15876" max="15876" width="8.28515625" style="42" customWidth="1"/>
    <col min="15877" max="15877" width="7.42578125" style="42" customWidth="1"/>
    <col min="15878" max="15878" width="9" style="42" customWidth="1"/>
    <col min="15879" max="15879" width="7.28515625" style="42" customWidth="1"/>
    <col min="15880" max="15880" width="9.28515625" style="42"/>
    <col min="15881" max="15882" width="7.28515625" style="42" customWidth="1"/>
    <col min="15883" max="16128" width="9.28515625" style="42"/>
    <col min="16129" max="16129" width="11.28515625" style="42" customWidth="1"/>
    <col min="16130" max="16130" width="8.7109375" style="42" customWidth="1"/>
    <col min="16131" max="16131" width="8.85546875" style="42" customWidth="1"/>
    <col min="16132" max="16132" width="8.28515625" style="42" customWidth="1"/>
    <col min="16133" max="16133" width="7.42578125" style="42" customWidth="1"/>
    <col min="16134" max="16134" width="9" style="42" customWidth="1"/>
    <col min="16135" max="16135" width="7.28515625" style="42" customWidth="1"/>
    <col min="16136" max="16136" width="9.28515625" style="42"/>
    <col min="16137" max="16138" width="7.28515625" style="42" customWidth="1"/>
    <col min="16139" max="16384" width="9.28515625" style="42"/>
  </cols>
  <sheetData>
    <row r="1" spans="1:12" ht="15" customHeight="1" x14ac:dyDescent="0.2">
      <c r="H1" s="223" t="s">
        <v>257</v>
      </c>
      <c r="I1" s="223"/>
      <c r="J1" s="223"/>
    </row>
    <row r="2" spans="1:12" ht="15" customHeight="1" x14ac:dyDescent="0.2">
      <c r="H2" s="165"/>
      <c r="I2" s="165"/>
      <c r="J2" s="165"/>
    </row>
    <row r="3" spans="1:12" ht="12.75" customHeight="1" x14ac:dyDescent="0.2">
      <c r="C3" s="222" t="s">
        <v>233</v>
      </c>
      <c r="D3" s="222"/>
      <c r="E3" s="222"/>
      <c r="F3" s="222"/>
      <c r="G3" s="222"/>
      <c r="H3" s="222"/>
      <c r="I3" s="222"/>
      <c r="J3" s="222"/>
    </row>
    <row r="5" spans="1:12" x14ac:dyDescent="0.2">
      <c r="B5" s="67" t="s">
        <v>234</v>
      </c>
      <c r="J5" s="43"/>
    </row>
    <row r="6" spans="1:12" x14ac:dyDescent="0.2">
      <c r="J6" s="42" t="s">
        <v>235</v>
      </c>
    </row>
    <row r="7" spans="1:12" s="70" customFormat="1" ht="48" x14ac:dyDescent="0.25">
      <c r="A7" s="68" t="s">
        <v>236</v>
      </c>
      <c r="B7" s="69" t="s">
        <v>237</v>
      </c>
      <c r="C7" s="50" t="s">
        <v>223</v>
      </c>
      <c r="D7" s="50" t="s">
        <v>224</v>
      </c>
      <c r="E7" s="50" t="s">
        <v>215</v>
      </c>
      <c r="F7" s="50" t="s">
        <v>238</v>
      </c>
      <c r="G7" s="50" t="s">
        <v>239</v>
      </c>
      <c r="H7" s="69" t="s">
        <v>240</v>
      </c>
      <c r="I7" s="69" t="s">
        <v>241</v>
      </c>
      <c r="J7" s="50" t="s">
        <v>242</v>
      </c>
    </row>
    <row r="8" spans="1:12" ht="36" x14ac:dyDescent="0.2">
      <c r="A8" s="71" t="s">
        <v>243</v>
      </c>
      <c r="B8" s="46"/>
      <c r="C8" s="46"/>
      <c r="D8" s="46"/>
      <c r="E8" s="46"/>
      <c r="F8" s="46"/>
      <c r="G8" s="46"/>
      <c r="H8" s="46"/>
      <c r="I8" s="46"/>
      <c r="J8" s="46"/>
    </row>
    <row r="9" spans="1:12" x14ac:dyDescent="0.2">
      <c r="A9" s="72">
        <v>2022</v>
      </c>
      <c r="B9" s="46">
        <f>SUM(C9:J9)</f>
        <v>6496.9</v>
      </c>
      <c r="C9" s="46">
        <v>3675.6</v>
      </c>
      <c r="D9" s="46">
        <v>1237.0999999999999</v>
      </c>
      <c r="E9" s="46">
        <v>98</v>
      </c>
      <c r="F9" s="46">
        <v>33</v>
      </c>
      <c r="G9" s="46">
        <v>29.9</v>
      </c>
      <c r="H9" s="46">
        <v>83.1</v>
      </c>
      <c r="I9" s="46">
        <v>1169.7</v>
      </c>
      <c r="J9" s="46">
        <v>170.5</v>
      </c>
      <c r="L9" s="51"/>
    </row>
    <row r="10" spans="1:12" x14ac:dyDescent="0.2">
      <c r="A10" s="72">
        <v>2021</v>
      </c>
      <c r="B10" s="46">
        <f>SUM(C10:J10)</f>
        <v>7030.6</v>
      </c>
      <c r="C10" s="46">
        <v>3219.7</v>
      </c>
      <c r="D10" s="46">
        <v>952.1</v>
      </c>
      <c r="E10" s="46">
        <v>48.1</v>
      </c>
      <c r="F10" s="46">
        <v>58.4</v>
      </c>
      <c r="G10" s="46">
        <v>152.69999999999999</v>
      </c>
      <c r="H10" s="46">
        <v>54.6</v>
      </c>
      <c r="I10" s="46">
        <v>2426.6999999999998</v>
      </c>
      <c r="J10" s="46">
        <v>118.3</v>
      </c>
      <c r="L10" s="51"/>
    </row>
    <row r="11" spans="1:12" x14ac:dyDescent="0.2">
      <c r="A11" s="72" t="s">
        <v>244</v>
      </c>
      <c r="B11" s="46">
        <f t="shared" ref="B11:J11" si="0">B9/B10*100</f>
        <v>92.408898244815504</v>
      </c>
      <c r="C11" s="46">
        <f t="shared" si="0"/>
        <v>114.15970432027829</v>
      </c>
      <c r="D11" s="46">
        <f t="shared" si="0"/>
        <v>129.9338304799916</v>
      </c>
      <c r="E11" s="46" t="s">
        <v>68</v>
      </c>
      <c r="F11" s="46">
        <f t="shared" si="0"/>
        <v>56.5068493150685</v>
      </c>
      <c r="G11" s="46">
        <f t="shared" si="0"/>
        <v>19.580877537655532</v>
      </c>
      <c r="H11" s="46">
        <f t="shared" si="0"/>
        <v>152.19780219780219</v>
      </c>
      <c r="I11" s="46">
        <f t="shared" si="0"/>
        <v>48.201260971689955</v>
      </c>
      <c r="J11" s="46">
        <f t="shared" si="0"/>
        <v>144.12510566356721</v>
      </c>
      <c r="L11" s="51"/>
    </row>
    <row r="12" spans="1:12" x14ac:dyDescent="0.2">
      <c r="A12" s="73" t="s">
        <v>245</v>
      </c>
      <c r="B12" s="52"/>
      <c r="C12" s="52"/>
      <c r="D12" s="52"/>
      <c r="E12" s="52"/>
      <c r="F12" s="52"/>
      <c r="G12" s="52"/>
      <c r="H12" s="52"/>
      <c r="I12" s="52"/>
      <c r="J12" s="52"/>
      <c r="L12" s="51"/>
    </row>
    <row r="13" spans="1:12" x14ac:dyDescent="0.2">
      <c r="A13" s="72">
        <v>2022</v>
      </c>
      <c r="B13" s="46">
        <f>SUM(C13:J13)</f>
        <v>75.2</v>
      </c>
      <c r="C13" s="46">
        <v>63.8</v>
      </c>
      <c r="D13" s="46">
        <v>11.2</v>
      </c>
      <c r="E13" s="46"/>
      <c r="F13" s="46">
        <v>0.2</v>
      </c>
      <c r="G13" s="46"/>
      <c r="H13" s="46"/>
      <c r="I13" s="46"/>
      <c r="J13" s="46"/>
      <c r="L13" s="51"/>
    </row>
    <row r="14" spans="1:12" x14ac:dyDescent="0.2">
      <c r="A14" s="72">
        <v>2021</v>
      </c>
      <c r="B14" s="46">
        <f>SUM(C14:J14)</f>
        <v>74.499999999999986</v>
      </c>
      <c r="C14" s="46">
        <v>64.599999999999994</v>
      </c>
      <c r="D14" s="46">
        <v>9.6</v>
      </c>
      <c r="E14" s="46"/>
      <c r="F14" s="46">
        <v>0.3</v>
      </c>
      <c r="G14" s="46"/>
      <c r="H14" s="46"/>
      <c r="I14" s="46"/>
      <c r="J14" s="46"/>
      <c r="L14" s="51"/>
    </row>
    <row r="15" spans="1:12" x14ac:dyDescent="0.2">
      <c r="A15" s="72" t="s">
        <v>244</v>
      </c>
      <c r="B15" s="46">
        <f>+B13/B14*100</f>
        <v>100.93959731543627</v>
      </c>
      <c r="C15" s="46">
        <f>C13/C14*100</f>
        <v>98.761609907120757</v>
      </c>
      <c r="D15" s="46">
        <f>D13/D14*100</f>
        <v>116.66666666666667</v>
      </c>
      <c r="E15" s="46"/>
      <c r="F15" s="46">
        <f>F13/F14*100</f>
        <v>66.666666666666671</v>
      </c>
      <c r="G15" s="46"/>
      <c r="H15" s="46"/>
      <c r="I15" s="46"/>
      <c r="J15" s="46"/>
      <c r="L15" s="51"/>
    </row>
    <row r="16" spans="1:12" ht="36" x14ac:dyDescent="0.2">
      <c r="A16" s="71" t="s">
        <v>246</v>
      </c>
      <c r="B16" s="52"/>
      <c r="C16" s="52"/>
      <c r="D16" s="52"/>
      <c r="E16" s="52"/>
      <c r="F16" s="52"/>
      <c r="G16" s="52"/>
      <c r="H16" s="52"/>
      <c r="I16" s="52"/>
      <c r="J16" s="52"/>
      <c r="L16" s="51"/>
    </row>
    <row r="17" spans="1:12" x14ac:dyDescent="0.2">
      <c r="A17" s="72">
        <v>2022</v>
      </c>
      <c r="B17" s="46">
        <f>SUM(C17:J17)</f>
        <v>1290.9000000000001</v>
      </c>
      <c r="C17" s="46">
        <v>1124.4000000000001</v>
      </c>
      <c r="D17" s="46">
        <v>98.4</v>
      </c>
      <c r="E17" s="46"/>
      <c r="F17" s="46">
        <v>5.5</v>
      </c>
      <c r="G17" s="46">
        <v>2</v>
      </c>
      <c r="H17" s="46"/>
      <c r="I17" s="46"/>
      <c r="J17" s="46">
        <v>60.6</v>
      </c>
      <c r="L17" s="51"/>
    </row>
    <row r="18" spans="1:12" x14ac:dyDescent="0.2">
      <c r="A18" s="72">
        <v>2021</v>
      </c>
      <c r="B18" s="46">
        <f>SUM(C18:J18)</f>
        <v>1102.8</v>
      </c>
      <c r="C18" s="46">
        <v>1017.8</v>
      </c>
      <c r="D18" s="46">
        <v>68.599999999999994</v>
      </c>
      <c r="E18" s="46"/>
      <c r="F18" s="46">
        <v>4.4000000000000004</v>
      </c>
      <c r="G18" s="46">
        <v>12</v>
      </c>
      <c r="H18" s="46"/>
      <c r="I18" s="46"/>
      <c r="J18" s="46"/>
      <c r="L18" s="51"/>
    </row>
    <row r="19" spans="1:12" x14ac:dyDescent="0.2">
      <c r="A19" s="72" t="s">
        <v>244</v>
      </c>
      <c r="B19" s="46">
        <f>B17/B18*100</f>
        <v>117.05658324265507</v>
      </c>
      <c r="C19" s="46">
        <f>C17/C18*100</f>
        <v>110.47357044606014</v>
      </c>
      <c r="D19" s="46">
        <f>D17/D18*100</f>
        <v>143.44023323615161</v>
      </c>
      <c r="E19" s="46"/>
      <c r="F19" s="46">
        <f>F17/F18*100</f>
        <v>125</v>
      </c>
      <c r="G19" s="46">
        <f>G17/G18*100</f>
        <v>16.666666666666664</v>
      </c>
      <c r="H19" s="46"/>
      <c r="I19" s="46"/>
      <c r="J19" s="46"/>
      <c r="L19" s="51"/>
    </row>
    <row r="20" spans="1:12" x14ac:dyDescent="0.2">
      <c r="A20" s="73" t="s">
        <v>247</v>
      </c>
      <c r="B20" s="52"/>
      <c r="C20" s="52"/>
      <c r="D20" s="52"/>
      <c r="E20" s="52"/>
      <c r="F20" s="52"/>
      <c r="G20" s="52"/>
      <c r="H20" s="52"/>
      <c r="I20" s="52"/>
      <c r="J20" s="52"/>
      <c r="L20" s="51"/>
    </row>
    <row r="21" spans="1:12" x14ac:dyDescent="0.2">
      <c r="A21" s="72">
        <v>2022</v>
      </c>
      <c r="B21" s="46">
        <f>SUM(C21:J21)</f>
        <v>6211.2</v>
      </c>
      <c r="C21" s="46">
        <v>409.1</v>
      </c>
      <c r="D21" s="46">
        <v>1882</v>
      </c>
      <c r="E21" s="46"/>
      <c r="F21" s="46">
        <v>6.1</v>
      </c>
      <c r="G21" s="46">
        <v>1122</v>
      </c>
      <c r="H21" s="46"/>
      <c r="I21" s="46"/>
      <c r="J21" s="46">
        <v>2792</v>
      </c>
      <c r="L21" s="51"/>
    </row>
    <row r="22" spans="1:12" x14ac:dyDescent="0.2">
      <c r="A22" s="72">
        <v>2021</v>
      </c>
      <c r="B22" s="46">
        <f>SUM(C22:J22)</f>
        <v>6748.2</v>
      </c>
      <c r="C22" s="46">
        <v>383.2</v>
      </c>
      <c r="D22" s="46">
        <v>1502.5</v>
      </c>
      <c r="E22" s="46"/>
      <c r="F22" s="46">
        <v>0.3</v>
      </c>
      <c r="G22" s="46">
        <v>999.5</v>
      </c>
      <c r="H22" s="46"/>
      <c r="I22" s="46"/>
      <c r="J22" s="46">
        <v>3862.7</v>
      </c>
      <c r="L22" s="51"/>
    </row>
    <row r="23" spans="1:12" x14ac:dyDescent="0.2">
      <c r="A23" s="72" t="s">
        <v>244</v>
      </c>
      <c r="B23" s="46">
        <f>B21/B22*100</f>
        <v>92.042322397083666</v>
      </c>
      <c r="C23" s="46">
        <f>C21/C22*100</f>
        <v>106.758872651357</v>
      </c>
      <c r="D23" s="46">
        <f>D21/D22*100</f>
        <v>125.25790349417638</v>
      </c>
      <c r="E23" s="46"/>
      <c r="F23" s="46" t="s">
        <v>248</v>
      </c>
      <c r="G23" s="46">
        <f>G21/G22*100</f>
        <v>112.25612806403203</v>
      </c>
      <c r="H23" s="46"/>
      <c r="I23" s="46"/>
      <c r="J23" s="46">
        <f>J21/J22*100</f>
        <v>72.281046936080983</v>
      </c>
      <c r="L23" s="51"/>
    </row>
    <row r="24" spans="1:12" ht="24" x14ac:dyDescent="0.2">
      <c r="A24" s="71" t="s">
        <v>249</v>
      </c>
      <c r="B24" s="52"/>
      <c r="C24" s="52"/>
      <c r="D24" s="52"/>
      <c r="E24" s="52"/>
      <c r="F24" s="52"/>
      <c r="G24" s="52"/>
      <c r="H24" s="52"/>
      <c r="I24" s="52"/>
      <c r="J24" s="52"/>
      <c r="L24" s="51"/>
    </row>
    <row r="25" spans="1:12" x14ac:dyDescent="0.2">
      <c r="A25" s="72">
        <v>2022</v>
      </c>
      <c r="B25" s="46">
        <f>SUM(C25:J25)</f>
        <v>5206.8999999999996</v>
      </c>
      <c r="C25" s="46">
        <v>711</v>
      </c>
      <c r="D25" s="46">
        <v>3747</v>
      </c>
      <c r="E25" s="46"/>
      <c r="F25" s="46">
        <v>12.1</v>
      </c>
      <c r="G25" s="46">
        <v>57.4</v>
      </c>
      <c r="H25" s="46"/>
      <c r="I25" s="46"/>
      <c r="J25" s="46">
        <v>679.4</v>
      </c>
      <c r="L25" s="51"/>
    </row>
    <row r="26" spans="1:12" x14ac:dyDescent="0.2">
      <c r="A26" s="72">
        <v>2021</v>
      </c>
      <c r="B26" s="46">
        <f>SUM(C26:J26)</f>
        <v>4447.7</v>
      </c>
      <c r="C26" s="46">
        <v>569.6</v>
      </c>
      <c r="D26" s="46">
        <v>3150.1</v>
      </c>
      <c r="E26" s="46"/>
      <c r="F26" s="46">
        <v>5.3</v>
      </c>
      <c r="G26" s="46">
        <v>59.1</v>
      </c>
      <c r="H26" s="46"/>
      <c r="I26" s="46"/>
      <c r="J26" s="46">
        <v>663.6</v>
      </c>
      <c r="L26" s="51"/>
    </row>
    <row r="27" spans="1:12" x14ac:dyDescent="0.2">
      <c r="A27" s="72" t="s">
        <v>244</v>
      </c>
      <c r="B27" s="46">
        <f>B25/B26*100</f>
        <v>117.06949659374509</v>
      </c>
      <c r="C27" s="46">
        <f>C25/C26*100</f>
        <v>124.82443820224718</v>
      </c>
      <c r="D27" s="46">
        <f>D25/D26*100</f>
        <v>118.94860480619663</v>
      </c>
      <c r="E27" s="46"/>
      <c r="F27" s="46" t="s">
        <v>98</v>
      </c>
      <c r="G27" s="46">
        <f>G25/G26*100</f>
        <v>97.123519458544834</v>
      </c>
      <c r="H27" s="46"/>
      <c r="I27" s="46"/>
      <c r="J27" s="46">
        <f>J25/J26*100</f>
        <v>102.38095238095238</v>
      </c>
      <c r="L27" s="51"/>
    </row>
    <row r="28" spans="1:12" ht="34.9" customHeight="1" x14ac:dyDescent="0.2">
      <c r="A28" s="71" t="s">
        <v>250</v>
      </c>
      <c r="B28" s="52"/>
      <c r="C28" s="52"/>
      <c r="D28" s="52"/>
      <c r="E28" s="52"/>
      <c r="F28" s="52"/>
      <c r="G28" s="52"/>
      <c r="H28" s="52"/>
      <c r="I28" s="52"/>
      <c r="J28" s="52"/>
      <c r="L28" s="51"/>
    </row>
    <row r="29" spans="1:12" x14ac:dyDescent="0.2">
      <c r="A29" s="72">
        <v>2022</v>
      </c>
      <c r="B29" s="46">
        <f>SUM(C29:J29)</f>
        <v>2725.1000000000004</v>
      </c>
      <c r="C29" s="46">
        <v>483.4</v>
      </c>
      <c r="D29" s="46">
        <v>1099.5</v>
      </c>
      <c r="E29" s="46"/>
      <c r="F29" s="46">
        <v>5.3</v>
      </c>
      <c r="G29" s="46"/>
      <c r="H29" s="46"/>
      <c r="I29" s="46"/>
      <c r="J29" s="46">
        <v>1136.9000000000001</v>
      </c>
      <c r="L29" s="51"/>
    </row>
    <row r="30" spans="1:12" x14ac:dyDescent="0.2">
      <c r="A30" s="72">
        <v>2021</v>
      </c>
      <c r="B30" s="46">
        <f>SUM(C30:J30)</f>
        <v>1765</v>
      </c>
      <c r="C30" s="46">
        <v>413</v>
      </c>
      <c r="D30" s="46">
        <v>924.2</v>
      </c>
      <c r="E30" s="46"/>
      <c r="F30" s="46">
        <v>1.9</v>
      </c>
      <c r="G30" s="46"/>
      <c r="H30" s="46"/>
      <c r="I30" s="46"/>
      <c r="J30" s="46">
        <v>425.9</v>
      </c>
      <c r="L30" s="51"/>
    </row>
    <row r="31" spans="1:12" x14ac:dyDescent="0.2">
      <c r="A31" s="72" t="s">
        <v>244</v>
      </c>
      <c r="B31" s="46">
        <f>B29/B30*100</f>
        <v>154.39660056657226</v>
      </c>
      <c r="C31" s="46">
        <f>C29/C30*100</f>
        <v>117.04600484261501</v>
      </c>
      <c r="D31" s="46">
        <f>D29/D30*100</f>
        <v>118.96775589699197</v>
      </c>
      <c r="E31" s="46"/>
      <c r="F31" s="46" t="s">
        <v>251</v>
      </c>
      <c r="G31" s="46"/>
      <c r="H31" s="46"/>
      <c r="I31" s="46"/>
      <c r="J31" s="46" t="s">
        <v>72</v>
      </c>
      <c r="L31" s="51"/>
    </row>
    <row r="32" spans="1:12" ht="24" x14ac:dyDescent="0.2">
      <c r="A32" s="71" t="s">
        <v>252</v>
      </c>
      <c r="B32" s="52"/>
      <c r="C32" s="52"/>
      <c r="D32" s="52"/>
      <c r="E32" s="52"/>
      <c r="F32" s="52"/>
      <c r="G32" s="52"/>
      <c r="H32" s="52"/>
      <c r="I32" s="52"/>
      <c r="J32" s="52"/>
      <c r="L32" s="51"/>
    </row>
    <row r="33" spans="1:12" x14ac:dyDescent="0.2">
      <c r="A33" s="72">
        <v>2022</v>
      </c>
      <c r="B33" s="46">
        <f>SUM(C33:J33)</f>
        <v>1313.7</v>
      </c>
      <c r="C33" s="46">
        <v>451.5</v>
      </c>
      <c r="D33" s="46">
        <v>385.9</v>
      </c>
      <c r="E33" s="46"/>
      <c r="F33" s="46">
        <v>3.1</v>
      </c>
      <c r="G33" s="46">
        <v>443.7</v>
      </c>
      <c r="H33" s="46"/>
      <c r="I33" s="46"/>
      <c r="J33" s="46">
        <v>29.5</v>
      </c>
      <c r="L33" s="51"/>
    </row>
    <row r="34" spans="1:12" x14ac:dyDescent="0.2">
      <c r="A34" s="72">
        <v>2021</v>
      </c>
      <c r="B34" s="46">
        <f>SUM(C34:J34)</f>
        <v>1690.2</v>
      </c>
      <c r="C34" s="46">
        <v>384.6</v>
      </c>
      <c r="D34" s="46">
        <v>189</v>
      </c>
      <c r="E34" s="46"/>
      <c r="F34" s="46">
        <v>1.1000000000000001</v>
      </c>
      <c r="G34" s="46">
        <v>1071.2</v>
      </c>
      <c r="H34" s="46"/>
      <c r="I34" s="46"/>
      <c r="J34" s="46">
        <v>44.3</v>
      </c>
      <c r="L34" s="51"/>
    </row>
    <row r="35" spans="1:12" x14ac:dyDescent="0.2">
      <c r="A35" s="72" t="s">
        <v>244</v>
      </c>
      <c r="B35" s="46">
        <f>B33/B34*100</f>
        <v>77.724529641462553</v>
      </c>
      <c r="C35" s="46">
        <f>C33/C34*100</f>
        <v>117.39469578783151</v>
      </c>
      <c r="D35" s="46" t="s">
        <v>68</v>
      </c>
      <c r="E35" s="46"/>
      <c r="F35" s="46" t="s">
        <v>251</v>
      </c>
      <c r="G35" s="46">
        <f>G33/G34*100</f>
        <v>41.420836445108286</v>
      </c>
      <c r="H35" s="46"/>
      <c r="I35" s="46"/>
      <c r="J35" s="46">
        <f>J33/J34*100</f>
        <v>66.591422121896173</v>
      </c>
      <c r="L35" s="51"/>
    </row>
    <row r="36" spans="1:12" s="75" customFormat="1" ht="36" x14ac:dyDescent="0.2">
      <c r="A36" s="71" t="s">
        <v>253</v>
      </c>
      <c r="B36" s="74"/>
      <c r="C36" s="74"/>
      <c r="D36" s="74"/>
      <c r="E36" s="74"/>
      <c r="F36" s="74"/>
      <c r="G36" s="74"/>
      <c r="H36" s="74"/>
      <c r="I36" s="74"/>
      <c r="J36" s="74"/>
      <c r="L36" s="51"/>
    </row>
    <row r="37" spans="1:12" x14ac:dyDescent="0.2">
      <c r="A37" s="72">
        <v>2022</v>
      </c>
      <c r="B37" s="46">
        <f>SUM(C37:J37)</f>
        <v>7463.7000000000007</v>
      </c>
      <c r="C37" s="46">
        <v>3336.5</v>
      </c>
      <c r="D37" s="46">
        <v>1452.3</v>
      </c>
      <c r="E37" s="46"/>
      <c r="F37" s="46">
        <v>53.8</v>
      </c>
      <c r="G37" s="46">
        <v>1010</v>
      </c>
      <c r="H37" s="46"/>
      <c r="I37" s="46"/>
      <c r="J37" s="46">
        <v>1611.1</v>
      </c>
      <c r="L37" s="51"/>
    </row>
    <row r="38" spans="1:12" x14ac:dyDescent="0.2">
      <c r="A38" s="72">
        <v>2021</v>
      </c>
      <c r="B38" s="46">
        <f>SUM(C38:J38)</f>
        <v>7422.2999999999993</v>
      </c>
      <c r="C38" s="46">
        <v>3069.8</v>
      </c>
      <c r="D38" s="46">
        <v>1274.2</v>
      </c>
      <c r="E38" s="46"/>
      <c r="F38" s="46">
        <v>29.8</v>
      </c>
      <c r="G38" s="46">
        <v>746.9</v>
      </c>
      <c r="H38" s="46"/>
      <c r="I38" s="46"/>
      <c r="J38" s="46">
        <v>2301.6</v>
      </c>
      <c r="L38" s="51"/>
    </row>
    <row r="39" spans="1:12" x14ac:dyDescent="0.2">
      <c r="A39" s="72" t="s">
        <v>244</v>
      </c>
      <c r="B39" s="46">
        <f>B37/B38*100</f>
        <v>100.55777858615255</v>
      </c>
      <c r="C39" s="46">
        <f>C37/C38*100</f>
        <v>108.68786240145938</v>
      </c>
      <c r="D39" s="46">
        <f>D37/D38*100</f>
        <v>113.97739758279704</v>
      </c>
      <c r="E39" s="46"/>
      <c r="F39" s="46">
        <f>F37/F38*100</f>
        <v>180.53691275167785</v>
      </c>
      <c r="G39" s="46">
        <f>G37/G38*100</f>
        <v>135.22559914312492</v>
      </c>
      <c r="H39" s="46"/>
      <c r="I39" s="46"/>
      <c r="J39" s="46">
        <f>J37/J38*100</f>
        <v>69.999131039277017</v>
      </c>
      <c r="L39" s="51"/>
    </row>
    <row r="40" spans="1:12" x14ac:dyDescent="0.2">
      <c r="A40" s="73" t="s">
        <v>254</v>
      </c>
      <c r="B40" s="52"/>
      <c r="C40" s="52"/>
      <c r="D40" s="52"/>
      <c r="E40" s="52"/>
      <c r="F40" s="52"/>
      <c r="G40" s="52"/>
      <c r="H40" s="52"/>
      <c r="I40" s="52"/>
      <c r="J40" s="52"/>
      <c r="L40" s="51"/>
    </row>
    <row r="41" spans="1:12" x14ac:dyDescent="0.2">
      <c r="A41" s="72">
        <v>2022</v>
      </c>
      <c r="B41" s="46">
        <f>SUM(C41:J41)</f>
        <v>33131.9</v>
      </c>
      <c r="C41" s="46">
        <v>26705.9</v>
      </c>
      <c r="D41" s="46">
        <v>3526.1</v>
      </c>
      <c r="E41" s="46"/>
      <c r="F41" s="46">
        <v>814.4</v>
      </c>
      <c r="G41" s="46">
        <v>735.7</v>
      </c>
      <c r="H41" s="46"/>
      <c r="I41" s="46"/>
      <c r="J41" s="46">
        <v>1349.8</v>
      </c>
      <c r="L41" s="51"/>
    </row>
    <row r="42" spans="1:12" x14ac:dyDescent="0.2">
      <c r="A42" s="72">
        <v>2021</v>
      </c>
      <c r="B42" s="46">
        <f>SUM(C42:J42)</f>
        <v>28412.1</v>
      </c>
      <c r="C42" s="46">
        <v>23327.1</v>
      </c>
      <c r="D42" s="46">
        <v>2884.4</v>
      </c>
      <c r="E42" s="46"/>
      <c r="F42" s="46">
        <v>458.3</v>
      </c>
      <c r="G42" s="46">
        <v>323.8</v>
      </c>
      <c r="H42" s="46"/>
      <c r="I42" s="46"/>
      <c r="J42" s="46">
        <v>1418.5</v>
      </c>
      <c r="L42" s="51"/>
    </row>
    <row r="43" spans="1:12" x14ac:dyDescent="0.2">
      <c r="A43" s="72" t="s">
        <v>244</v>
      </c>
      <c r="B43" s="46">
        <f>B41/B42*100</f>
        <v>116.61193646368977</v>
      </c>
      <c r="C43" s="46">
        <f>C41/C42*100</f>
        <v>114.48444084348249</v>
      </c>
      <c r="D43" s="46">
        <f>D41/D42*100</f>
        <v>122.24726112883096</v>
      </c>
      <c r="E43" s="46"/>
      <c r="F43" s="46">
        <f>F41/F42*100</f>
        <v>177.70019637791839</v>
      </c>
      <c r="G43" s="46" t="s">
        <v>98</v>
      </c>
      <c r="H43" s="46"/>
      <c r="I43" s="46"/>
      <c r="J43" s="46">
        <f>J41/J42*100</f>
        <v>95.156855833627063</v>
      </c>
      <c r="L43" s="51"/>
    </row>
    <row r="44" spans="1:12" ht="24" x14ac:dyDescent="0.2">
      <c r="A44" s="71" t="s">
        <v>255</v>
      </c>
      <c r="B44" s="52"/>
      <c r="C44" s="52"/>
      <c r="D44" s="52"/>
      <c r="E44" s="52"/>
      <c r="F44" s="52"/>
      <c r="G44" s="52"/>
      <c r="H44" s="52"/>
      <c r="I44" s="52"/>
      <c r="J44" s="52"/>
      <c r="L44" s="51"/>
    </row>
    <row r="45" spans="1:12" x14ac:dyDescent="0.2">
      <c r="A45" s="72">
        <v>2022</v>
      </c>
      <c r="B45" s="46">
        <f>SUM(C45:J45)</f>
        <v>15002.199999999999</v>
      </c>
      <c r="C45" s="46">
        <v>5296.9</v>
      </c>
      <c r="D45" s="46">
        <v>1077</v>
      </c>
      <c r="E45" s="46"/>
      <c r="F45" s="46">
        <v>6877.2</v>
      </c>
      <c r="G45" s="46">
        <v>1625.7</v>
      </c>
      <c r="H45" s="46"/>
      <c r="I45" s="46"/>
      <c r="J45" s="46">
        <v>125.4</v>
      </c>
      <c r="L45" s="51"/>
    </row>
    <row r="46" spans="1:12" x14ac:dyDescent="0.2">
      <c r="A46" s="72">
        <v>2021</v>
      </c>
      <c r="B46" s="46">
        <f>SUM(C46:J46)</f>
        <v>10062.5</v>
      </c>
      <c r="C46" s="46">
        <v>4410</v>
      </c>
      <c r="D46" s="46">
        <v>765.9</v>
      </c>
      <c r="E46" s="46"/>
      <c r="F46" s="46">
        <v>3636.6</v>
      </c>
      <c r="G46" s="46">
        <v>1223</v>
      </c>
      <c r="H46" s="46"/>
      <c r="I46" s="46"/>
      <c r="J46" s="46">
        <v>27</v>
      </c>
      <c r="L46" s="51"/>
    </row>
    <row r="47" spans="1:12" x14ac:dyDescent="0.2">
      <c r="A47" s="72" t="s">
        <v>244</v>
      </c>
      <c r="B47" s="46">
        <f>B45/B46*100</f>
        <v>149.09018633540373</v>
      </c>
      <c r="C47" s="46">
        <f>C45/C46*100</f>
        <v>120.1111111111111</v>
      </c>
      <c r="D47" s="46">
        <f>D45/D46*100</f>
        <v>140.61887974931452</v>
      </c>
      <c r="E47" s="46"/>
      <c r="F47" s="46">
        <f>F45/F46*100</f>
        <v>189.11070780399274</v>
      </c>
      <c r="G47" s="46">
        <f>G45/G46*100</f>
        <v>132.9272281275552</v>
      </c>
      <c r="H47" s="46"/>
      <c r="I47" s="46"/>
      <c r="J47" s="46" t="s">
        <v>74</v>
      </c>
      <c r="L47" s="51"/>
    </row>
    <row r="48" spans="1:12" s="43" customFormat="1" ht="24.6" customHeight="1" x14ac:dyDescent="0.2">
      <c r="A48" s="71" t="s">
        <v>256</v>
      </c>
      <c r="B48" s="76"/>
      <c r="C48" s="76"/>
      <c r="D48" s="76"/>
      <c r="E48" s="76"/>
      <c r="F48" s="76"/>
      <c r="G48" s="76"/>
      <c r="H48" s="76"/>
      <c r="I48" s="76"/>
      <c r="J48" s="76"/>
      <c r="L48" s="51"/>
    </row>
    <row r="49" spans="1:12" s="43" customFormat="1" x14ac:dyDescent="0.2">
      <c r="A49" s="77">
        <v>2022</v>
      </c>
      <c r="B49" s="47">
        <f>+B13+B33+B25+B37+B29+B45+B41+B21+B17+B9</f>
        <v>78917.699999999983</v>
      </c>
      <c r="C49" s="47">
        <f t="shared" ref="C49:J49" si="1">+C13+C33+C25+C37+C29+C45+C41+C21+C17+C9</f>
        <v>42258.1</v>
      </c>
      <c r="D49" s="47">
        <f>+D13+D33+D25+D37+D29+D45+D41+D21+D17+D9</f>
        <v>14516.5</v>
      </c>
      <c r="E49" s="47">
        <f t="shared" si="1"/>
        <v>98</v>
      </c>
      <c r="F49" s="47">
        <f t="shared" si="1"/>
        <v>7810.7</v>
      </c>
      <c r="G49" s="47">
        <f t="shared" si="1"/>
        <v>5026.3999999999996</v>
      </c>
      <c r="H49" s="47">
        <f t="shared" si="1"/>
        <v>83.1</v>
      </c>
      <c r="I49" s="47">
        <f t="shared" si="1"/>
        <v>1169.7</v>
      </c>
      <c r="J49" s="47">
        <f t="shared" si="1"/>
        <v>7955.2000000000007</v>
      </c>
      <c r="L49" s="51"/>
    </row>
    <row r="50" spans="1:12" s="43" customFormat="1" x14ac:dyDescent="0.2">
      <c r="A50" s="77">
        <v>2021</v>
      </c>
      <c r="B50" s="47">
        <f>+B10+B18+B22+B42+B46+B30+B38+B26+B34+B14</f>
        <v>68755.899999999994</v>
      </c>
      <c r="C50" s="47">
        <f t="shared" ref="C50:J50" si="2">+C10+C18+C22+C42+C46+C30+C38+C26+C34+C14</f>
        <v>36859.4</v>
      </c>
      <c r="D50" s="47">
        <f t="shared" si="2"/>
        <v>11720.6</v>
      </c>
      <c r="E50" s="47">
        <f t="shared" si="2"/>
        <v>48.1</v>
      </c>
      <c r="F50" s="47">
        <f t="shared" si="2"/>
        <v>4196.4000000000005</v>
      </c>
      <c r="G50" s="47">
        <f t="shared" si="2"/>
        <v>4588.2</v>
      </c>
      <c r="H50" s="47">
        <f t="shared" si="2"/>
        <v>54.6</v>
      </c>
      <c r="I50" s="47">
        <f t="shared" si="2"/>
        <v>2426.6999999999998</v>
      </c>
      <c r="J50" s="47">
        <f t="shared" si="2"/>
        <v>8861.9</v>
      </c>
      <c r="L50" s="51"/>
    </row>
    <row r="51" spans="1:12" s="43" customFormat="1" x14ac:dyDescent="0.2">
      <c r="A51" s="77" t="s">
        <v>244</v>
      </c>
      <c r="B51" s="47">
        <f t="shared" ref="B51:J51" si="3">B49/B50*100</f>
        <v>114.77953164746589</v>
      </c>
      <c r="C51" s="47">
        <f t="shared" si="3"/>
        <v>114.64673868809582</v>
      </c>
      <c r="D51" s="47">
        <f t="shared" si="3"/>
        <v>123.85458082350733</v>
      </c>
      <c r="E51" s="47" t="s">
        <v>68</v>
      </c>
      <c r="F51" s="47">
        <f t="shared" si="3"/>
        <v>186.12858640739677</v>
      </c>
      <c r="G51" s="47">
        <f t="shared" si="3"/>
        <v>109.55058628656118</v>
      </c>
      <c r="H51" s="47">
        <f t="shared" si="3"/>
        <v>152.19780219780219</v>
      </c>
      <c r="I51" s="47">
        <f t="shared" si="3"/>
        <v>48.201260971689955</v>
      </c>
      <c r="J51" s="47">
        <f t="shared" si="3"/>
        <v>89.768559789661367</v>
      </c>
      <c r="L51" s="51"/>
    </row>
    <row r="55" spans="1:12" x14ac:dyDescent="0.2">
      <c r="B55" s="53"/>
      <c r="C55" s="53"/>
      <c r="D55" s="53"/>
      <c r="E55" s="53"/>
      <c r="F55" s="53"/>
      <c r="G55" s="53"/>
      <c r="H55" s="53"/>
      <c r="I55" s="53"/>
      <c r="J55" s="53"/>
    </row>
    <row r="64" spans="1:12" ht="11.45" customHeight="1" x14ac:dyDescent="0.2"/>
  </sheetData>
  <mergeCells count="2">
    <mergeCell ref="C3:J3"/>
    <mergeCell ref="H1:J1"/>
  </mergeCells>
  <pageMargins left="0.70866141732283472" right="0.70866141732283472" top="0.35433070866141736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Nr. 1</vt:lpstr>
      <vt:lpstr>Nr.2</vt:lpstr>
      <vt:lpstr>Nr. 3</vt:lpstr>
      <vt:lpstr>Nr.4</vt:lpstr>
      <vt:lpstr>'Nr. 1'!Print_Area</vt:lpstr>
      <vt:lpstr>'Nr. 3'!Print_Area</vt:lpstr>
      <vt:lpstr>Nr.2!Print_Area</vt:lpstr>
      <vt:lpstr>Nr.4!Print_Area</vt:lpstr>
      <vt:lpstr>Nr.2!Print_Titles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Jolanta Sakavičienė</cp:lastModifiedBy>
  <cp:revision/>
  <cp:lastPrinted>2023-09-13T13:31:38Z</cp:lastPrinted>
  <dcterms:created xsi:type="dcterms:W3CDTF">2023-08-18T05:46:51Z</dcterms:created>
  <dcterms:modified xsi:type="dcterms:W3CDTF">2023-09-13T13:32:56Z</dcterms:modified>
  <cp:category/>
  <cp:contentStatus/>
</cp:coreProperties>
</file>