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kedainiusav-my.sharepoint.com/personal/jolanta_sakaviciene_kedainiai_lt/Documents/Dokumentai/seni dokumentai/2023 m sprendimai/2023-09- Tarybos posėdiis/Ataskaita/2022 m ATASKAITA/"/>
    </mc:Choice>
  </mc:AlternateContent>
  <xr:revisionPtr revIDLastSave="2" documentId="13_ncr:1_{871858EE-33B0-4747-836A-A65635C87ECF}" xr6:coauthVersionLast="47" xr6:coauthVersionMax="47" xr10:uidLastSave="{B1564B06-A244-41B1-872D-227E8C4FEA92}"/>
  <bookViews>
    <workbookView xWindow="-120" yWindow="-120" windowWidth="29040" windowHeight="15840" xr2:uid="{FC7D64C6-4E4C-477A-B368-ED2655E09274}"/>
  </bookViews>
  <sheets>
    <sheet name="1 priedas" sheetId="1" r:id="rId1"/>
    <sheet name="2 priedas" sheetId="2" r:id="rId2"/>
    <sheet name="3 priedas" sheetId="3" r:id="rId3"/>
    <sheet name="4 priedas" sheetId="4" r:id="rId4"/>
    <sheet name="5 priedas" sheetId="5" r:id="rId5"/>
    <sheet name="6 priedas" sheetId="6" r:id="rId6"/>
    <sheet name="7 priedas" sheetId="7" r:id="rId7"/>
    <sheet name="8 priedas" sheetId="8" r:id="rId8"/>
    <sheet name="9 priedas" sheetId="9" r:id="rId9"/>
    <sheet name="10 priedas" sheetId="11" r:id="rId10"/>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1" i="8" l="1"/>
  <c r="F70" i="8"/>
  <c r="H14" i="11"/>
  <c r="G12" i="11"/>
  <c r="G11" i="11" s="1"/>
  <c r="G14" i="11" s="1"/>
  <c r="F12" i="11"/>
  <c r="F11" i="11" s="1"/>
  <c r="F14" i="11" s="1"/>
  <c r="E12" i="11"/>
  <c r="E11" i="11" s="1"/>
  <c r="E14" i="11" s="1"/>
  <c r="H11" i="11"/>
  <c r="E30" i="9"/>
  <c r="H29" i="9"/>
  <c r="G29" i="9"/>
  <c r="F29" i="9"/>
  <c r="E29" i="9"/>
  <c r="E28" i="9" s="1"/>
  <c r="H28" i="9"/>
  <c r="G28" i="9"/>
  <c r="F28" i="9"/>
  <c r="H26" i="9"/>
  <c r="G26" i="9"/>
  <c r="F26" i="9"/>
  <c r="F23" i="9" s="1"/>
  <c r="E26" i="9"/>
  <c r="H24" i="9"/>
  <c r="G24" i="9"/>
  <c r="F24" i="9"/>
  <c r="E24" i="9"/>
  <c r="E23" i="9" s="1"/>
  <c r="H23" i="9"/>
  <c r="G23" i="9"/>
  <c r="H21" i="9"/>
  <c r="G21" i="9"/>
  <c r="F21" i="9"/>
  <c r="E21" i="9"/>
  <c r="H19" i="9"/>
  <c r="G19" i="9"/>
  <c r="F19" i="9"/>
  <c r="F18" i="9" s="1"/>
  <c r="E19" i="9"/>
  <c r="E18" i="9" s="1"/>
  <c r="H18" i="9"/>
  <c r="G18" i="9"/>
  <c r="E17" i="9"/>
  <c r="E16" i="9" s="1"/>
  <c r="E11" i="9" s="1"/>
  <c r="G16" i="9"/>
  <c r="F16" i="9"/>
  <c r="H12" i="9"/>
  <c r="G12" i="9"/>
  <c r="F12" i="9"/>
  <c r="F11" i="9" s="1"/>
  <c r="F32" i="9" s="1"/>
  <c r="E12" i="9"/>
  <c r="H11" i="9"/>
  <c r="H32" i="9" s="1"/>
  <c r="G11" i="9"/>
  <c r="G32" i="9" s="1"/>
  <c r="E185" i="8"/>
  <c r="E184" i="8" s="1"/>
  <c r="E181" i="8" s="1"/>
  <c r="H184" i="8"/>
  <c r="G184" i="8"/>
  <c r="F184" i="8"/>
  <c r="H182" i="8"/>
  <c r="G182" i="8"/>
  <c r="G181" i="8" s="1"/>
  <c r="F182" i="8"/>
  <c r="E182" i="8"/>
  <c r="H181" i="8"/>
  <c r="E180" i="8"/>
  <c r="E179" i="8" s="1"/>
  <c r="E178" i="8" s="1"/>
  <c r="H179" i="8"/>
  <c r="H178" i="8" s="1"/>
  <c r="G179" i="8"/>
  <c r="G178" i="8" s="1"/>
  <c r="F179" i="8"/>
  <c r="F178" i="8" s="1"/>
  <c r="H176" i="8"/>
  <c r="G176" i="8"/>
  <c r="F176" i="8"/>
  <c r="E176" i="8"/>
  <c r="H174" i="8"/>
  <c r="H173" i="8" s="1"/>
  <c r="G174" i="8"/>
  <c r="F174" i="8"/>
  <c r="F173" i="8" s="1"/>
  <c r="E174" i="8"/>
  <c r="E173" i="8" s="1"/>
  <c r="H171" i="8"/>
  <c r="H170" i="8" s="1"/>
  <c r="G171" i="8"/>
  <c r="G170" i="8" s="1"/>
  <c r="F171" i="8"/>
  <c r="F170" i="8" s="1"/>
  <c r="E171" i="8"/>
  <c r="E170" i="8" s="1"/>
  <c r="F169" i="8"/>
  <c r="F168" i="8" s="1"/>
  <c r="H168" i="8"/>
  <c r="G168" i="8"/>
  <c r="E168" i="8"/>
  <c r="E167" i="8"/>
  <c r="E166" i="8" s="1"/>
  <c r="E165" i="8" s="1"/>
  <c r="H166" i="8"/>
  <c r="H165" i="8" s="1"/>
  <c r="G166" i="8"/>
  <c r="G165" i="8" s="1"/>
  <c r="F166" i="8"/>
  <c r="F165" i="8" s="1"/>
  <c r="H161" i="8"/>
  <c r="G161" i="8"/>
  <c r="F161" i="8"/>
  <c r="E161" i="8"/>
  <c r="H159" i="8"/>
  <c r="G159" i="8"/>
  <c r="F159" i="8"/>
  <c r="E159" i="8"/>
  <c r="H156" i="8"/>
  <c r="H155" i="8" s="1"/>
  <c r="G156" i="8"/>
  <c r="G155" i="8" s="1"/>
  <c r="F156" i="8"/>
  <c r="F155" i="8" s="1"/>
  <c r="E156" i="8"/>
  <c r="E155" i="8" s="1"/>
  <c r="H153" i="8"/>
  <c r="G153" i="8"/>
  <c r="F153" i="8"/>
  <c r="E153" i="8"/>
  <c r="H151" i="8"/>
  <c r="G151" i="8"/>
  <c r="F151" i="8"/>
  <c r="E151" i="8"/>
  <c r="G150" i="8"/>
  <c r="G149" i="8" s="1"/>
  <c r="E150" i="8"/>
  <c r="E149" i="8" s="1"/>
  <c r="H149" i="8"/>
  <c r="F149" i="8"/>
  <c r="E148" i="8"/>
  <c r="H147" i="8"/>
  <c r="G147" i="8"/>
  <c r="F147" i="8"/>
  <c r="E147" i="8"/>
  <c r="H146" i="8"/>
  <c r="H145" i="8" s="1"/>
  <c r="G146" i="8"/>
  <c r="G145" i="8" s="1"/>
  <c r="E146" i="8"/>
  <c r="E145" i="8" s="1"/>
  <c r="F145" i="8"/>
  <c r="H140" i="8"/>
  <c r="G140" i="8"/>
  <c r="F140" i="8"/>
  <c r="E140" i="8"/>
  <c r="G139" i="8"/>
  <c r="H138" i="8"/>
  <c r="G138" i="8"/>
  <c r="F138" i="8"/>
  <c r="E138" i="8"/>
  <c r="H136" i="8"/>
  <c r="G136" i="8"/>
  <c r="F136" i="8"/>
  <c r="E136" i="8"/>
  <c r="G135" i="8"/>
  <c r="G134" i="8" s="1"/>
  <c r="E135" i="8"/>
  <c r="H134" i="8"/>
  <c r="F134" i="8"/>
  <c r="E134" i="8"/>
  <c r="H119" i="8"/>
  <c r="H117" i="8" s="1"/>
  <c r="F118" i="8"/>
  <c r="F117" i="8" s="1"/>
  <c r="F93" i="8" s="1"/>
  <c r="G117" i="8"/>
  <c r="E117" i="8"/>
  <c r="G116" i="8"/>
  <c r="G115" i="8" s="1"/>
  <c r="E116" i="8"/>
  <c r="E115" i="8" s="1"/>
  <c r="H115" i="8"/>
  <c r="F115" i="8"/>
  <c r="E114" i="8"/>
  <c r="E113" i="8"/>
  <c r="E112" i="8"/>
  <c r="E111" i="8"/>
  <c r="E110" i="8"/>
  <c r="E109" i="8"/>
  <c r="E108" i="8"/>
  <c r="E107" i="8"/>
  <c r="E105" i="8"/>
  <c r="E104" i="8"/>
  <c r="H103" i="8"/>
  <c r="G103" i="8"/>
  <c r="F103" i="8"/>
  <c r="H101" i="8"/>
  <c r="G101" i="8"/>
  <c r="F101" i="8"/>
  <c r="E101" i="8"/>
  <c r="G100" i="8"/>
  <c r="G99" i="8" s="1"/>
  <c r="E100" i="8"/>
  <c r="E99" i="8" s="1"/>
  <c r="H99" i="8"/>
  <c r="F99" i="8"/>
  <c r="H94" i="8"/>
  <c r="G94" i="8"/>
  <c r="F94" i="8"/>
  <c r="E94" i="8"/>
  <c r="H91" i="8"/>
  <c r="H90" i="8" s="1"/>
  <c r="G91" i="8"/>
  <c r="G90" i="8" s="1"/>
  <c r="F91" i="8"/>
  <c r="F90" i="8" s="1"/>
  <c r="E91" i="8"/>
  <c r="E90" i="8"/>
  <c r="E89" i="8"/>
  <c r="E88" i="8" s="1"/>
  <c r="E87" i="8" s="1"/>
  <c r="H88" i="8"/>
  <c r="H87" i="8" s="1"/>
  <c r="G88" i="8"/>
  <c r="G87" i="8" s="1"/>
  <c r="F88" i="8"/>
  <c r="F87" i="8" s="1"/>
  <c r="E85" i="8"/>
  <c r="E83" i="8" s="1"/>
  <c r="H83" i="8"/>
  <c r="G83" i="8"/>
  <c r="F83" i="8"/>
  <c r="H82" i="8"/>
  <c r="G82" i="8"/>
  <c r="H81" i="8"/>
  <c r="G81" i="8"/>
  <c r="G80" i="8" s="1"/>
  <c r="F81" i="8"/>
  <c r="F80" i="8" s="1"/>
  <c r="E80" i="8"/>
  <c r="H78" i="8"/>
  <c r="G78" i="8"/>
  <c r="F78" i="8"/>
  <c r="E78" i="8"/>
  <c r="G77" i="8"/>
  <c r="E77" i="8"/>
  <c r="G76" i="8"/>
  <c r="E76" i="8"/>
  <c r="G75" i="8"/>
  <c r="E75" i="8"/>
  <c r="G74" i="8"/>
  <c r="E74" i="8"/>
  <c r="G73" i="8"/>
  <c r="E73" i="8"/>
  <c r="G72" i="8"/>
  <c r="E72" i="8"/>
  <c r="G71" i="8"/>
  <c r="E71" i="8"/>
  <c r="G70" i="8"/>
  <c r="E70" i="8"/>
  <c r="G69" i="8"/>
  <c r="E69" i="8"/>
  <c r="G68" i="8"/>
  <c r="F68" i="8"/>
  <c r="E68" i="8"/>
  <c r="G67" i="8"/>
  <c r="E67" i="8"/>
  <c r="G66" i="8"/>
  <c r="E66" i="8"/>
  <c r="G65" i="8"/>
  <c r="E65" i="8"/>
  <c r="G64" i="8"/>
  <c r="E64" i="8"/>
  <c r="G63" i="8"/>
  <c r="E63" i="8"/>
  <c r="G62" i="8"/>
  <c r="E62" i="8"/>
  <c r="G61" i="8"/>
  <c r="E61" i="8"/>
  <c r="G60" i="8"/>
  <c r="E60" i="8"/>
  <c r="G59" i="8"/>
  <c r="E59" i="8"/>
  <c r="G58" i="8"/>
  <c r="F58" i="8"/>
  <c r="E58" i="8"/>
  <c r="G57" i="8"/>
  <c r="E57" i="8"/>
  <c r="G56" i="8"/>
  <c r="E56" i="8"/>
  <c r="H55" i="8"/>
  <c r="H53" i="8"/>
  <c r="G53" i="8"/>
  <c r="F53" i="8"/>
  <c r="E53" i="8"/>
  <c r="G50" i="8"/>
  <c r="E50" i="8"/>
  <c r="H42" i="8"/>
  <c r="H30" i="8" s="1"/>
  <c r="G42" i="8"/>
  <c r="E42" i="8"/>
  <c r="H36" i="8"/>
  <c r="F30" i="8"/>
  <c r="H26" i="8"/>
  <c r="H20" i="8"/>
  <c r="G15" i="8"/>
  <c r="F15" i="8"/>
  <c r="E15" i="8"/>
  <c r="H12" i="8"/>
  <c r="G12" i="8"/>
  <c r="F12" i="8"/>
  <c r="E12" i="8"/>
  <c r="G50" i="7"/>
  <c r="G48" i="7" s="1"/>
  <c r="E50" i="7"/>
  <c r="E49" i="7" s="1"/>
  <c r="H49" i="7"/>
  <c r="F49" i="7"/>
  <c r="H48" i="7"/>
  <c r="F48" i="7"/>
  <c r="H46" i="7"/>
  <c r="G46" i="7"/>
  <c r="F46" i="7"/>
  <c r="E46" i="7"/>
  <c r="G45" i="7"/>
  <c r="E45" i="7"/>
  <c r="G44" i="7"/>
  <c r="E44" i="7"/>
  <c r="G43" i="7"/>
  <c r="E43" i="7"/>
  <c r="G42" i="7"/>
  <c r="E42" i="7"/>
  <c r="G41" i="7"/>
  <c r="E41" i="7"/>
  <c r="H40" i="7"/>
  <c r="H39" i="7" s="1"/>
  <c r="H12" i="7" s="1"/>
  <c r="H11" i="7" s="1"/>
  <c r="H51" i="7" s="1"/>
  <c r="G40" i="7"/>
  <c r="E40" i="7"/>
  <c r="G39" i="7"/>
  <c r="F39" i="7"/>
  <c r="G38" i="7"/>
  <c r="E38" i="7"/>
  <c r="G37" i="7"/>
  <c r="F37" i="7"/>
  <c r="F12" i="7" s="1"/>
  <c r="F11" i="7" s="1"/>
  <c r="F51" i="7" s="1"/>
  <c r="E37" i="7"/>
  <c r="G36" i="7"/>
  <c r="E36" i="7"/>
  <c r="G35" i="7"/>
  <c r="E35" i="7"/>
  <c r="G34" i="7"/>
  <c r="E34" i="7"/>
  <c r="G33" i="7"/>
  <c r="E33" i="7"/>
  <c r="G32" i="7"/>
  <c r="E32" i="7"/>
  <c r="G31" i="7"/>
  <c r="E31" i="7"/>
  <c r="G30" i="7"/>
  <c r="E30" i="7"/>
  <c r="G29" i="7"/>
  <c r="E29" i="7"/>
  <c r="G28" i="7"/>
  <c r="E28" i="7"/>
  <c r="G27" i="7"/>
  <c r="E27" i="7"/>
  <c r="G26" i="7"/>
  <c r="E26" i="7"/>
  <c r="G25" i="7"/>
  <c r="E25" i="7"/>
  <c r="G24" i="7"/>
  <c r="E24" i="7"/>
  <c r="G23" i="7"/>
  <c r="E23" i="7"/>
  <c r="G22" i="7"/>
  <c r="E22" i="7"/>
  <c r="G21" i="7"/>
  <c r="E21" i="7"/>
  <c r="G20" i="7"/>
  <c r="E20" i="7"/>
  <c r="G19" i="7"/>
  <c r="E19" i="7"/>
  <c r="G18" i="7"/>
  <c r="E18" i="7"/>
  <c r="G17" i="7"/>
  <c r="E17" i="7"/>
  <c r="G16" i="7"/>
  <c r="E16" i="7"/>
  <c r="G15" i="7"/>
  <c r="E15" i="7"/>
  <c r="G14" i="7"/>
  <c r="E14" i="7"/>
  <c r="G13" i="7"/>
  <c r="E13" i="7"/>
  <c r="H103" i="6"/>
  <c r="G103" i="6"/>
  <c r="F103" i="6"/>
  <c r="E103" i="6"/>
  <c r="H101" i="6"/>
  <c r="G101" i="6"/>
  <c r="F101" i="6"/>
  <c r="E101" i="6"/>
  <c r="F92" i="6"/>
  <c r="F88" i="6" s="1"/>
  <c r="H88" i="6"/>
  <c r="G88" i="6"/>
  <c r="E88" i="6"/>
  <c r="H86" i="6"/>
  <c r="G86" i="6"/>
  <c r="F86" i="6"/>
  <c r="E86" i="6"/>
  <c r="H84" i="6"/>
  <c r="G84" i="6"/>
  <c r="F84" i="6"/>
  <c r="E84" i="6"/>
  <c r="H82" i="6"/>
  <c r="G82" i="6"/>
  <c r="F82" i="6"/>
  <c r="E82" i="6"/>
  <c r="G81" i="6"/>
  <c r="G80" i="6" s="1"/>
  <c r="E81" i="6"/>
  <c r="H80" i="6"/>
  <c r="F80" i="6"/>
  <c r="E80" i="6"/>
  <c r="H78" i="6"/>
  <c r="G78" i="6"/>
  <c r="F78" i="6"/>
  <c r="E78" i="6"/>
  <c r="H76" i="6"/>
  <c r="G76" i="6"/>
  <c r="F76" i="6"/>
  <c r="E76" i="6"/>
  <c r="G75" i="6"/>
  <c r="H74" i="6"/>
  <c r="G74" i="6"/>
  <c r="F74" i="6"/>
  <c r="E74" i="6"/>
  <c r="H72" i="6"/>
  <c r="G72" i="6"/>
  <c r="F72" i="6"/>
  <c r="E72" i="6"/>
  <c r="H70" i="6"/>
  <c r="G70" i="6"/>
  <c r="F70" i="6"/>
  <c r="E70" i="6"/>
  <c r="H68" i="6"/>
  <c r="G68" i="6"/>
  <c r="F68" i="6"/>
  <c r="E68" i="6"/>
  <c r="G67" i="6"/>
  <c r="G66" i="6" s="1"/>
  <c r="E67" i="6"/>
  <c r="E66" i="6" s="1"/>
  <c r="H66" i="6"/>
  <c r="F66" i="6"/>
  <c r="H63" i="6"/>
  <c r="G63" i="6"/>
  <c r="F63" i="6"/>
  <c r="E63" i="6"/>
  <c r="E62" i="6"/>
  <c r="E61" i="6"/>
  <c r="G60" i="6"/>
  <c r="F60" i="6"/>
  <c r="E60" i="6"/>
  <c r="F59" i="6"/>
  <c r="F48" i="6" s="1"/>
  <c r="G54" i="6"/>
  <c r="E54" i="6"/>
  <c r="G49" i="6"/>
  <c r="G48" i="6" s="1"/>
  <c r="E49" i="6"/>
  <c r="H48" i="6"/>
  <c r="H47" i="6" s="1"/>
  <c r="H45" i="6"/>
  <c r="G45" i="6"/>
  <c r="F45" i="6"/>
  <c r="E45" i="6"/>
  <c r="G44" i="6"/>
  <c r="G43" i="6" s="1"/>
  <c r="E44" i="6"/>
  <c r="E43" i="6" s="1"/>
  <c r="H43" i="6"/>
  <c r="F43" i="6"/>
  <c r="E42" i="6"/>
  <c r="G41" i="6"/>
  <c r="E41" i="6"/>
  <c r="G40" i="6"/>
  <c r="E40" i="6"/>
  <c r="E39" i="6"/>
  <c r="E38" i="6"/>
  <c r="G37" i="6"/>
  <c r="E37" i="6"/>
  <c r="G36" i="6"/>
  <c r="E36" i="6"/>
  <c r="G35" i="6"/>
  <c r="E35" i="6"/>
  <c r="G34" i="6"/>
  <c r="E34" i="6"/>
  <c r="E33" i="6"/>
  <c r="G32" i="6"/>
  <c r="E32" i="6"/>
  <c r="E31" i="6"/>
  <c r="H30" i="6"/>
  <c r="F30" i="6"/>
  <c r="H28" i="6"/>
  <c r="G28" i="6"/>
  <c r="F28" i="6"/>
  <c r="E28" i="6"/>
  <c r="H26" i="6"/>
  <c r="G26" i="6"/>
  <c r="F26" i="6"/>
  <c r="E26" i="6"/>
  <c r="E24" i="6"/>
  <c r="G23" i="6"/>
  <c r="E23" i="6"/>
  <c r="G22" i="6"/>
  <c r="E22" i="6"/>
  <c r="E19" i="6" s="1"/>
  <c r="G21" i="6"/>
  <c r="E21" i="6"/>
  <c r="G20" i="6"/>
  <c r="E20" i="6"/>
  <c r="H19" i="6"/>
  <c r="F19" i="6"/>
  <c r="F18" i="6" s="1"/>
  <c r="H16" i="6"/>
  <c r="G16" i="6"/>
  <c r="F16" i="6"/>
  <c r="E16" i="6"/>
  <c r="E11" i="6" s="1"/>
  <c r="H14" i="6"/>
  <c r="G14" i="6"/>
  <c r="F14" i="6"/>
  <c r="E14" i="6"/>
  <c r="G13" i="6"/>
  <c r="G12" i="6" s="1"/>
  <c r="H12" i="6"/>
  <c r="F12" i="6"/>
  <c r="E12" i="6"/>
  <c r="H56" i="5"/>
  <c r="H55" i="5" s="1"/>
  <c r="G56" i="5"/>
  <c r="F56" i="5"/>
  <c r="F55" i="5" s="1"/>
  <c r="E56" i="5"/>
  <c r="G55" i="5"/>
  <c r="E55" i="5"/>
  <c r="E53" i="5"/>
  <c r="E52" i="5"/>
  <c r="E51" i="5"/>
  <c r="E50" i="5"/>
  <c r="E49" i="5" s="1"/>
  <c r="E48" i="5" s="1"/>
  <c r="H49" i="5"/>
  <c r="H48" i="5" s="1"/>
  <c r="G49" i="5"/>
  <c r="F49" i="5"/>
  <c r="F48" i="5" s="1"/>
  <c r="G48" i="5"/>
  <c r="E46" i="5"/>
  <c r="H45" i="5"/>
  <c r="H44" i="5" s="1"/>
  <c r="G45" i="5"/>
  <c r="F45" i="5"/>
  <c r="F44" i="5" s="1"/>
  <c r="E45" i="5"/>
  <c r="E44" i="5" s="1"/>
  <c r="G44" i="5"/>
  <c r="F42" i="5"/>
  <c r="F41" i="5" s="1"/>
  <c r="F38" i="5" s="1"/>
  <c r="E42" i="5"/>
  <c r="H41" i="5"/>
  <c r="H38" i="5" s="1"/>
  <c r="G41" i="5"/>
  <c r="E41" i="5"/>
  <c r="E38" i="5" s="1"/>
  <c r="H39" i="5"/>
  <c r="G39" i="5"/>
  <c r="G38" i="5" s="1"/>
  <c r="F39" i="5"/>
  <c r="E39" i="5"/>
  <c r="H36" i="5"/>
  <c r="H35" i="5" s="1"/>
  <c r="G36" i="5"/>
  <c r="F36" i="5"/>
  <c r="F35" i="5" s="1"/>
  <c r="E36" i="5"/>
  <c r="G35" i="5"/>
  <c r="E35" i="5"/>
  <c r="E32" i="5"/>
  <c r="H31" i="5"/>
  <c r="G31" i="5"/>
  <c r="F31" i="5"/>
  <c r="E31" i="5"/>
  <c r="E26" i="5" s="1"/>
  <c r="H29" i="5"/>
  <c r="G29" i="5"/>
  <c r="F29" i="5"/>
  <c r="E29" i="5"/>
  <c r="H27" i="5"/>
  <c r="H26" i="5" s="1"/>
  <c r="G27" i="5"/>
  <c r="F27" i="5"/>
  <c r="F26" i="5" s="1"/>
  <c r="E27" i="5"/>
  <c r="G26" i="5"/>
  <c r="H24" i="5"/>
  <c r="G24" i="5"/>
  <c r="F24" i="5"/>
  <c r="F21" i="5" s="1"/>
  <c r="E24" i="5"/>
  <c r="H22" i="5"/>
  <c r="H21" i="5" s="1"/>
  <c r="G22" i="5"/>
  <c r="F22" i="5"/>
  <c r="E22" i="5"/>
  <c r="G21" i="5"/>
  <c r="E21" i="5"/>
  <c r="E17" i="5"/>
  <c r="H16" i="5"/>
  <c r="G16" i="5"/>
  <c r="G11" i="5" s="1"/>
  <c r="F16" i="5"/>
  <c r="E16" i="5"/>
  <c r="E11" i="5" s="1"/>
  <c r="E59" i="5" s="1"/>
  <c r="H12" i="5"/>
  <c r="G12" i="5"/>
  <c r="F12" i="5"/>
  <c r="E12" i="5"/>
  <c r="H11" i="5"/>
  <c r="F11" i="5"/>
  <c r="F44" i="4"/>
  <c r="H43" i="4"/>
  <c r="G43" i="4"/>
  <c r="F43" i="4"/>
  <c r="E43" i="4"/>
  <c r="F41" i="4"/>
  <c r="F38" i="4" s="1"/>
  <c r="E41" i="4"/>
  <c r="G40" i="4"/>
  <c r="G38" i="4" s="1"/>
  <c r="G45" i="4" s="1"/>
  <c r="E40" i="4"/>
  <c r="E39" i="4"/>
  <c r="E38" i="4" s="1"/>
  <c r="H38" i="4"/>
  <c r="E37" i="4"/>
  <c r="E34" i="4"/>
  <c r="E32" i="4"/>
  <c r="E30" i="4"/>
  <c r="E29" i="4"/>
  <c r="E28" i="4"/>
  <c r="E27" i="4"/>
  <c r="E26" i="4"/>
  <c r="E25" i="4"/>
  <c r="E23" i="4"/>
  <c r="E11" i="4" s="1"/>
  <c r="E45" i="4" s="1"/>
  <c r="E21" i="4"/>
  <c r="E20" i="4"/>
  <c r="F19" i="4"/>
  <c r="E19" i="4"/>
  <c r="E17" i="4"/>
  <c r="E16" i="4"/>
  <c r="E14" i="4"/>
  <c r="H11" i="4"/>
  <c r="H45" i="4" s="1"/>
  <c r="G11" i="4"/>
  <c r="F11" i="4"/>
  <c r="F45" i="4" s="1"/>
  <c r="E48" i="3"/>
  <c r="E47" i="3" s="1"/>
  <c r="H47" i="3"/>
  <c r="G47" i="3"/>
  <c r="F47" i="3"/>
  <c r="E42" i="3"/>
  <c r="E41" i="3"/>
  <c r="E40" i="3"/>
  <c r="H38" i="3"/>
  <c r="G38" i="3"/>
  <c r="F38" i="3"/>
  <c r="F37" i="3"/>
  <c r="H36" i="3"/>
  <c r="G36" i="3"/>
  <c r="F36" i="3"/>
  <c r="E36" i="3"/>
  <c r="E32" i="3"/>
  <c r="E29" i="3"/>
  <c r="E28" i="3"/>
  <c r="E27" i="3"/>
  <c r="E25" i="3"/>
  <c r="E21" i="3"/>
  <c r="E17" i="3"/>
  <c r="E16" i="3"/>
  <c r="E14" i="3"/>
  <c r="E11" i="3" s="1"/>
  <c r="H11" i="3"/>
  <c r="H60" i="3" s="1"/>
  <c r="G11" i="3"/>
  <c r="F11" i="3"/>
  <c r="F60" i="3" s="1"/>
  <c r="F56" i="2"/>
  <c r="F52" i="2" s="1"/>
  <c r="E54" i="2"/>
  <c r="E52" i="2" s="1"/>
  <c r="H52" i="2"/>
  <c r="G52" i="2"/>
  <c r="H46" i="2"/>
  <c r="G46" i="2"/>
  <c r="F46" i="2"/>
  <c r="E46" i="2"/>
  <c r="E41" i="2"/>
  <c r="E39" i="2"/>
  <c r="E38" i="2"/>
  <c r="H37" i="2"/>
  <c r="G37" i="2"/>
  <c r="F37" i="2"/>
  <c r="H35" i="2"/>
  <c r="G35" i="2"/>
  <c r="F35" i="2"/>
  <c r="E35" i="2"/>
  <c r="E33" i="2"/>
  <c r="E32" i="2" s="1"/>
  <c r="H32" i="2"/>
  <c r="G32" i="2"/>
  <c r="F32" i="2"/>
  <c r="H30" i="2"/>
  <c r="H58" i="2" s="1"/>
  <c r="G30" i="2"/>
  <c r="F30" i="2"/>
  <c r="E30" i="2"/>
  <c r="E29" i="2"/>
  <c r="E26" i="2"/>
  <c r="G25" i="2"/>
  <c r="G11" i="2" s="1"/>
  <c r="E25" i="2"/>
  <c r="E24" i="2"/>
  <c r="E23" i="2"/>
  <c r="E21" i="2"/>
  <c r="E19" i="2"/>
  <c r="E18" i="2"/>
  <c r="E17" i="2"/>
  <c r="E15" i="2"/>
  <c r="H11" i="2"/>
  <c r="F11" i="2"/>
  <c r="G306" i="1"/>
  <c r="E306" i="1"/>
  <c r="G304" i="1"/>
  <c r="E304" i="1"/>
  <c r="H303" i="1"/>
  <c r="G303" i="1"/>
  <c r="F303" i="1"/>
  <c r="E303" i="1"/>
  <c r="G301" i="1"/>
  <c r="F301" i="1"/>
  <c r="E301" i="1"/>
  <c r="G300" i="1"/>
  <c r="E300" i="1"/>
  <c r="G298" i="1"/>
  <c r="E298" i="1"/>
  <c r="G296" i="1"/>
  <c r="E296" i="1"/>
  <c r="G294" i="1"/>
  <c r="E294" i="1"/>
  <c r="G293" i="1"/>
  <c r="E293" i="1"/>
  <c r="G291" i="1"/>
  <c r="E291" i="1"/>
  <c r="G289" i="1"/>
  <c r="E289" i="1"/>
  <c r="E288" i="1"/>
  <c r="F286" i="1"/>
  <c r="F279" i="1" s="1"/>
  <c r="E285" i="1"/>
  <c r="E283" i="1"/>
  <c r="G280" i="1"/>
  <c r="G279" i="1" s="1"/>
  <c r="E280" i="1"/>
  <c r="E279" i="1" s="1"/>
  <c r="E276" i="1" s="1"/>
  <c r="H279" i="1"/>
  <c r="G278" i="1"/>
  <c r="E278" i="1"/>
  <c r="E277" i="1"/>
  <c r="H272" i="1"/>
  <c r="H271" i="1" s="1"/>
  <c r="G272" i="1"/>
  <c r="G271" i="1" s="1"/>
  <c r="F272" i="1"/>
  <c r="F271" i="1" s="1"/>
  <c r="E272" i="1"/>
  <c r="E271" i="1" s="1"/>
  <c r="E270" i="1"/>
  <c r="E269" i="1"/>
  <c r="H268" i="1"/>
  <c r="H266" i="1" s="1"/>
  <c r="H265" i="1" s="1"/>
  <c r="G268" i="1"/>
  <c r="G266" i="1" s="1"/>
  <c r="G265" i="1" s="1"/>
  <c r="F268" i="1"/>
  <c r="F265" i="1"/>
  <c r="G264" i="1"/>
  <c r="E264" i="1"/>
  <c r="G263" i="1"/>
  <c r="E263" i="1"/>
  <c r="G262" i="1"/>
  <c r="E262" i="1"/>
  <c r="G261" i="1"/>
  <c r="E261" i="1"/>
  <c r="G260" i="1"/>
  <c r="E260" i="1"/>
  <c r="G259" i="1"/>
  <c r="E259" i="1"/>
  <c r="H258" i="1"/>
  <c r="G258" i="1"/>
  <c r="E258" i="1"/>
  <c r="G257" i="1"/>
  <c r="F257" i="1"/>
  <c r="E257" i="1"/>
  <c r="G256" i="1"/>
  <c r="E256" i="1"/>
  <c r="G255" i="1"/>
  <c r="E255" i="1"/>
  <c r="G254" i="1"/>
  <c r="E254" i="1"/>
  <c r="E252" i="1"/>
  <c r="E251" i="1"/>
  <c r="H250" i="1"/>
  <c r="H242" i="1" s="1"/>
  <c r="H241" i="1" s="1"/>
  <c r="G250" i="1"/>
  <c r="G242" i="1" s="1"/>
  <c r="F250" i="1"/>
  <c r="F242" i="1" s="1"/>
  <c r="E246" i="1"/>
  <c r="E243" i="1"/>
  <c r="E239" i="1"/>
  <c r="E237" i="1"/>
  <c r="E235" i="1"/>
  <c r="E233" i="1"/>
  <c r="E230" i="1"/>
  <c r="E229" i="1"/>
  <c r="E225" i="1"/>
  <c r="E224" i="1"/>
  <c r="E223" i="1"/>
  <c r="E220" i="1"/>
  <c r="E219" i="1"/>
  <c r="E218" i="1"/>
  <c r="E217" i="1"/>
  <c r="E216" i="1"/>
  <c r="F214" i="1"/>
  <c r="E214" i="1"/>
  <c r="E213" i="1"/>
  <c r="E209" i="1"/>
  <c r="E208" i="1"/>
  <c r="E207" i="1"/>
  <c r="E205" i="1"/>
  <c r="E204" i="1"/>
  <c r="F201" i="1"/>
  <c r="E201" i="1"/>
  <c r="E199" i="1"/>
  <c r="E196" i="1"/>
  <c r="H195" i="1"/>
  <c r="H194" i="1" s="1"/>
  <c r="H193" i="1" s="1"/>
  <c r="G195" i="1"/>
  <c r="G194" i="1" s="1"/>
  <c r="G193" i="1" s="1"/>
  <c r="E192" i="1"/>
  <c r="E185" i="1"/>
  <c r="E184" i="1"/>
  <c r="E183" i="1"/>
  <c r="E182" i="1"/>
  <c r="F181" i="1"/>
  <c r="F178" i="1" s="1"/>
  <c r="F175" i="1" s="1"/>
  <c r="E180" i="1"/>
  <c r="H178" i="1"/>
  <c r="H175" i="1" s="1"/>
  <c r="H172" i="1" s="1"/>
  <c r="G178" i="1"/>
  <c r="G175" i="1" s="1"/>
  <c r="G172" i="1" s="1"/>
  <c r="E177" i="1"/>
  <c r="F173" i="1"/>
  <c r="E173" i="1"/>
  <c r="G171" i="1"/>
  <c r="E171" i="1"/>
  <c r="E169" i="1"/>
  <c r="E168" i="1"/>
  <c r="E167" i="1"/>
  <c r="H166" i="1"/>
  <c r="H159" i="1" s="1"/>
  <c r="H148" i="1" s="1"/>
  <c r="G166" i="1"/>
  <c r="F166" i="1"/>
  <c r="E164" i="1"/>
  <c r="E163" i="1"/>
  <c r="E162" i="1"/>
  <c r="G160" i="1"/>
  <c r="F160" i="1"/>
  <c r="E160" i="1"/>
  <c r="F157" i="1"/>
  <c r="E157" i="1"/>
  <c r="E156" i="1" s="1"/>
  <c r="G155" i="1"/>
  <c r="E155" i="1"/>
  <c r="E154" i="1"/>
  <c r="G153" i="1"/>
  <c r="E153" i="1"/>
  <c r="G152" i="1"/>
  <c r="E152" i="1"/>
  <c r="G151" i="1"/>
  <c r="E151" i="1"/>
  <c r="G150" i="1"/>
  <c r="E150" i="1"/>
  <c r="G149" i="1"/>
  <c r="E149" i="1"/>
  <c r="G146" i="1"/>
  <c r="E146" i="1"/>
  <c r="G144" i="1"/>
  <c r="E144" i="1"/>
  <c r="G142" i="1"/>
  <c r="E142" i="1"/>
  <c r="G141" i="1"/>
  <c r="F141" i="1"/>
  <c r="E141" i="1"/>
  <c r="G140" i="1"/>
  <c r="E140" i="1"/>
  <c r="E138" i="1"/>
  <c r="E137" i="1"/>
  <c r="H135" i="1"/>
  <c r="G135" i="1"/>
  <c r="F135" i="1"/>
  <c r="E128" i="1"/>
  <c r="E127" i="1"/>
  <c r="H126" i="1"/>
  <c r="G126" i="1"/>
  <c r="F126" i="1"/>
  <c r="H125" i="1"/>
  <c r="G125" i="1"/>
  <c r="E125" i="1"/>
  <c r="E123" i="1"/>
  <c r="G121" i="1"/>
  <c r="E121" i="1"/>
  <c r="G120" i="1"/>
  <c r="E120" i="1"/>
  <c r="G119" i="1"/>
  <c r="E119" i="1"/>
  <c r="G118" i="1"/>
  <c r="E118" i="1"/>
  <c r="G117" i="1"/>
  <c r="E117" i="1"/>
  <c r="G116" i="1"/>
  <c r="E116" i="1"/>
  <c r="H115" i="1"/>
  <c r="G115" i="1"/>
  <c r="F115" i="1"/>
  <c r="E115" i="1"/>
  <c r="G114" i="1"/>
  <c r="E114" i="1"/>
  <c r="G113" i="1"/>
  <c r="E113" i="1"/>
  <c r="G112" i="1"/>
  <c r="E112" i="1"/>
  <c r="G111" i="1"/>
  <c r="E111" i="1"/>
  <c r="E109" i="1"/>
  <c r="F108" i="1"/>
  <c r="F105" i="1" s="1"/>
  <c r="E106" i="1"/>
  <c r="H105" i="1"/>
  <c r="H92" i="1" s="1"/>
  <c r="G105" i="1"/>
  <c r="E102" i="1"/>
  <c r="E99" i="1"/>
  <c r="E98" i="1"/>
  <c r="E97" i="1"/>
  <c r="E95" i="1"/>
  <c r="E94" i="1"/>
  <c r="G93" i="1"/>
  <c r="F93" i="1"/>
  <c r="E93" i="1"/>
  <c r="G91" i="1"/>
  <c r="E91" i="1"/>
  <c r="G90" i="1"/>
  <c r="E90" i="1"/>
  <c r="G89" i="1"/>
  <c r="E89" i="1"/>
  <c r="G88" i="1"/>
  <c r="E88" i="1"/>
  <c r="E86" i="1"/>
  <c r="G85" i="1"/>
  <c r="E85" i="1"/>
  <c r="E83" i="1"/>
  <c r="E81" i="1"/>
  <c r="H80" i="1"/>
  <c r="H63" i="1" s="1"/>
  <c r="H59" i="1" s="1"/>
  <c r="G80" i="1"/>
  <c r="G63" i="1" s="1"/>
  <c r="G59" i="1" s="1"/>
  <c r="F80" i="1"/>
  <c r="F76" i="1"/>
  <c r="E72" i="1"/>
  <c r="E71" i="1"/>
  <c r="E70" i="1"/>
  <c r="E69" i="1"/>
  <c r="E65" i="1"/>
  <c r="E60" i="1"/>
  <c r="E57" i="1"/>
  <c r="E55" i="1"/>
  <c r="F52" i="1"/>
  <c r="F47" i="1" s="1"/>
  <c r="F42" i="1" s="1"/>
  <c r="F10" i="1" s="1"/>
  <c r="E49" i="1"/>
  <c r="E48" i="1"/>
  <c r="H47" i="1"/>
  <c r="G47" i="1"/>
  <c r="H43" i="1"/>
  <c r="G43" i="1"/>
  <c r="E43" i="1"/>
  <c r="E41" i="1"/>
  <c r="G40" i="1"/>
  <c r="E40" i="1"/>
  <c r="E39" i="1"/>
  <c r="G38" i="1"/>
  <c r="E36" i="1"/>
  <c r="H35" i="1"/>
  <c r="G35" i="1"/>
  <c r="E35" i="1"/>
  <c r="E34" i="1"/>
  <c r="G33" i="1"/>
  <c r="E33" i="1"/>
  <c r="G32" i="1"/>
  <c r="E32" i="1"/>
  <c r="G31" i="1"/>
  <c r="E31" i="1"/>
  <c r="E30" i="1"/>
  <c r="H29" i="1"/>
  <c r="E29" i="1"/>
  <c r="G28" i="1"/>
  <c r="E28" i="1"/>
  <c r="G27" i="1"/>
  <c r="E27" i="1"/>
  <c r="E26" i="1"/>
  <c r="G25" i="1"/>
  <c r="E25" i="1"/>
  <c r="G24" i="1"/>
  <c r="E24" i="1"/>
  <c r="G23" i="1"/>
  <c r="E23" i="1"/>
  <c r="G22" i="1"/>
  <c r="E22" i="1"/>
  <c r="G21" i="1"/>
  <c r="E21" i="1"/>
  <c r="G20" i="1"/>
  <c r="E20" i="1"/>
  <c r="G19" i="1"/>
  <c r="E19" i="1"/>
  <c r="E18" i="1"/>
  <c r="E17" i="1"/>
  <c r="E16" i="1"/>
  <c r="E15" i="1"/>
  <c r="E14" i="1"/>
  <c r="E13" i="1"/>
  <c r="F12" i="1"/>
  <c r="E12" i="1"/>
  <c r="G11" i="1"/>
  <c r="E11" i="1"/>
  <c r="G92" i="1" l="1"/>
  <c r="G84" i="1" s="1"/>
  <c r="E268" i="1"/>
  <c r="E266" i="1" s="1"/>
  <c r="E265" i="1" s="1"/>
  <c r="E166" i="1"/>
  <c r="E159" i="1" s="1"/>
  <c r="E148" i="1" s="1"/>
  <c r="G124" i="1"/>
  <c r="G122" i="1" s="1"/>
  <c r="F159" i="1"/>
  <c r="F148" i="1" s="1"/>
  <c r="E126" i="1"/>
  <c r="H84" i="1"/>
  <c r="F92" i="1"/>
  <c r="F84" i="1" s="1"/>
  <c r="F195" i="1"/>
  <c r="F194" i="1" s="1"/>
  <c r="F193" i="1" s="1"/>
  <c r="F276" i="1"/>
  <c r="G159" i="1"/>
  <c r="E80" i="1"/>
  <c r="E63" i="1" s="1"/>
  <c r="E59" i="1" s="1"/>
  <c r="E105" i="1"/>
  <c r="E92" i="1" s="1"/>
  <c r="E84" i="1" s="1"/>
  <c r="E250" i="1"/>
  <c r="E242" i="1" s="1"/>
  <c r="E241" i="1" s="1"/>
  <c r="H124" i="1"/>
  <c r="H122" i="1" s="1"/>
  <c r="H276" i="1"/>
  <c r="F241" i="1"/>
  <c r="G241" i="1"/>
  <c r="E47" i="1"/>
  <c r="E42" i="1" s="1"/>
  <c r="E10" i="1" s="1"/>
  <c r="F63" i="1"/>
  <c r="F59" i="1" s="1"/>
  <c r="E135" i="1"/>
  <c r="E195" i="1"/>
  <c r="E194" i="1" s="1"/>
  <c r="E193" i="1" s="1"/>
  <c r="E178" i="1"/>
  <c r="E175" i="1" s="1"/>
  <c r="E172" i="1" s="1"/>
  <c r="F172" i="1"/>
  <c r="F124" i="1"/>
  <c r="F122" i="1" s="1"/>
  <c r="G276" i="1"/>
  <c r="G42" i="1"/>
  <c r="G10" i="1" s="1"/>
  <c r="H42" i="1"/>
  <c r="H10" i="1" s="1"/>
  <c r="E37" i="2"/>
  <c r="G58" i="2"/>
  <c r="F58" i="2"/>
  <c r="E11" i="2"/>
  <c r="E38" i="3"/>
  <c r="E60" i="3"/>
  <c r="G60" i="3"/>
  <c r="G19" i="6"/>
  <c r="F47" i="6"/>
  <c r="G49" i="7"/>
  <c r="G173" i="8"/>
  <c r="E30" i="8"/>
  <c r="E11" i="8" s="1"/>
  <c r="E55" i="8"/>
  <c r="F55" i="8"/>
  <c r="G30" i="8"/>
  <c r="G11" i="8" s="1"/>
  <c r="G186" i="8" s="1"/>
  <c r="E158" i="8"/>
  <c r="F65" i="6"/>
  <c r="F11" i="6"/>
  <c r="E30" i="6"/>
  <c r="E18" i="6" s="1"/>
  <c r="G30" i="6"/>
  <c r="G18" i="6" s="1"/>
  <c r="G105" i="6" s="1"/>
  <c r="H18" i="6"/>
  <c r="E48" i="6"/>
  <c r="E47" i="6" s="1"/>
  <c r="G47" i="6"/>
  <c r="G11" i="6"/>
  <c r="H11" i="6"/>
  <c r="E65" i="6"/>
  <c r="H65" i="6"/>
  <c r="E39" i="7"/>
  <c r="E12" i="7" s="1"/>
  <c r="E11" i="7" s="1"/>
  <c r="E51" i="7" s="1"/>
  <c r="G12" i="7"/>
  <c r="G11" i="7" s="1"/>
  <c r="G51" i="7" s="1"/>
  <c r="E48" i="7"/>
  <c r="H80" i="8"/>
  <c r="E103" i="8"/>
  <c r="E93" i="8" s="1"/>
  <c r="H158" i="8"/>
  <c r="H15" i="8"/>
  <c r="H11" i="8" s="1"/>
  <c r="H186" i="8" s="1"/>
  <c r="G158" i="8"/>
  <c r="F181" i="8"/>
  <c r="F158" i="8"/>
  <c r="F11" i="8"/>
  <c r="F186" i="8" s="1"/>
  <c r="G55" i="8"/>
  <c r="E32" i="9"/>
  <c r="H93" i="8"/>
  <c r="G93" i="8"/>
  <c r="G65" i="6"/>
  <c r="F59" i="5"/>
  <c r="H59" i="5"/>
  <c r="G59" i="5"/>
  <c r="G148" i="1"/>
  <c r="E124" i="1" l="1"/>
  <c r="E122" i="1" s="1"/>
  <c r="E308" i="1" s="1"/>
  <c r="H308" i="1"/>
  <c r="F308" i="1"/>
  <c r="G308" i="1"/>
  <c r="E58" i="2"/>
  <c r="E105" i="6"/>
  <c r="H105" i="6"/>
  <c r="F105" i="6"/>
  <c r="E186" i="8"/>
</calcChain>
</file>

<file path=xl/sharedStrings.xml><?xml version="1.0" encoding="utf-8"?>
<sst xmlns="http://schemas.openxmlformats.org/spreadsheetml/2006/main" count="1904" uniqueCount="730">
  <si>
    <t xml:space="preserve">                                                                      Kėdainių rajono savivaldybės tarybos</t>
  </si>
  <si>
    <t>3 priedas</t>
  </si>
  <si>
    <t>KĖDAINIŲ RAJONO SAVIVALDYBĖS 2022 METŲ BIUDŽETO ASIGNAVIMAI  SAVARANKIŠKOMS FUNKCIJOMS ATLIKTI</t>
  </si>
  <si>
    <t>(tūkst. Eur)</t>
  </si>
  <si>
    <t>Eil.   Nr.</t>
  </si>
  <si>
    <t>Progra- mos kodas</t>
  </si>
  <si>
    <t>Asignavimų valdytojas</t>
  </si>
  <si>
    <t>Funkcijos kodas</t>
  </si>
  <si>
    <t>Iš viso</t>
  </si>
  <si>
    <t>iš jų darbo užmokesčiui</t>
  </si>
  <si>
    <t>Planas</t>
  </si>
  <si>
    <t>Įvykdyta</t>
  </si>
  <si>
    <t>2</t>
  </si>
  <si>
    <t>01</t>
  </si>
  <si>
    <t>ŠVIETIMAS IR UGDYMAS</t>
  </si>
  <si>
    <t>Kėdainių lopšelis-darželis „Aviliukas“</t>
  </si>
  <si>
    <t>09.01.01.01</t>
  </si>
  <si>
    <t>Kėdainių lopšelis-darželis „Pasaka“</t>
  </si>
  <si>
    <t>Kėdainių lopšelis-darželis „Puriena“</t>
  </si>
  <si>
    <t>Kėdainių lopšelis-darželis „Vaikystė“</t>
  </si>
  <si>
    <t>Kėdainių lopšelis-darželis „Varpelis“</t>
  </si>
  <si>
    <t>Kėdainių lopšelis-darželis „Vyturėlis“</t>
  </si>
  <si>
    <t>Kėdainių lopšelis-darželis „Žilvitis“</t>
  </si>
  <si>
    <t>Kėdainių r. Vilainių mokykla-darželis „Obelėlė“</t>
  </si>
  <si>
    <t>09.01.02.01</t>
  </si>
  <si>
    <t>Kėdainių „Atžalyno“ gimnazija</t>
  </si>
  <si>
    <t>09.02.02.01</t>
  </si>
  <si>
    <t>Kėdainių šviesioji gimnazija</t>
  </si>
  <si>
    <t>09.02.02.01
09.05.01.01</t>
  </si>
  <si>
    <t>Kėdainių r. Akademijos gimnazija</t>
  </si>
  <si>
    <t>Kėdainių r. Josvainių gimnazija</t>
  </si>
  <si>
    <t>Kėdainių r. Krakių Mikalojaus Katkaus gimnazija</t>
  </si>
  <si>
    <t>Kėdainių r. Šėtos  gimnazija</t>
  </si>
  <si>
    <t>Lietuvos sporto universiteto Kėdainių „Aušros“ progimnazija</t>
  </si>
  <si>
    <t>09.02.01.01</t>
  </si>
  <si>
    <t>Kėdainių „Ryto“ progimnazija</t>
  </si>
  <si>
    <t>Kėdainių Juozo Paukštelio progimnazija</t>
  </si>
  <si>
    <t>Kėdainių r. Dotnuvos pagrindinė mokykla</t>
  </si>
  <si>
    <t>Kėdainių r. Labūnavos pagrindinė mokykla</t>
  </si>
  <si>
    <t>Kėdainių r. Miegėnų pagrindinė mokykla</t>
  </si>
  <si>
    <t>Kėdainių r. Surviliškio Vinco Svirskio pagrindinė mokykla</t>
  </si>
  <si>
    <t>Kėdainių r. Truskavos pagrindinė mokykla</t>
  </si>
  <si>
    <t>Kėdainių suaugusiųjų ir jaunimo mokymo centras</t>
  </si>
  <si>
    <t>09.02.01.01
09.02.02.01 
09.05.01.01
09.05.01.02</t>
  </si>
  <si>
    <t>Kėdainių „Spindulio“ mokykla</t>
  </si>
  <si>
    <t>Kėdainių dailės mokykla</t>
  </si>
  <si>
    <t>09.05.01.01</t>
  </si>
  <si>
    <t>Kėdainių kalbų mokykla</t>
  </si>
  <si>
    <t>Kurti modernias ir šiuolaikines mokymosi erdves Kėdainių kalbų mokykloje</t>
  </si>
  <si>
    <t>Kėdainių muzikos  mokykla</t>
  </si>
  <si>
    <t xml:space="preserve">Kėdainių švietimo pagalbos tarnyba </t>
  </si>
  <si>
    <t>09.05.01.01  09.05.01.02 09.05.01.03</t>
  </si>
  <si>
    <t>Josvainių socialinis ir ugdymo centras</t>
  </si>
  <si>
    <t>Šėtos socialinis ir ugdymo  centras</t>
  </si>
  <si>
    <t xml:space="preserve">Kėdainių rajono savivaldybės administracija iš viso: </t>
  </si>
  <si>
    <t>32.1</t>
  </si>
  <si>
    <t xml:space="preserve">Kėdainių rajono savivaldybės administracija </t>
  </si>
  <si>
    <t xml:space="preserve">09.08.01.09    </t>
  </si>
  <si>
    <t>32.2</t>
  </si>
  <si>
    <t>Įgyvendinti  Kėdainių rajono savivaldybės mokytojų motyvacijos programą</t>
  </si>
  <si>
    <t>09.</t>
  </si>
  <si>
    <t>32.3</t>
  </si>
  <si>
    <t xml:space="preserve">Finansuoti vaikų vasaros stovyklų ir kitų neformaliojo vaikų švietimo veiklų programas  </t>
  </si>
  <si>
    <t>09.08.01.01</t>
  </si>
  <si>
    <t>32.4</t>
  </si>
  <si>
    <t>Skatinti  savivaldybės gabius mokinius</t>
  </si>
  <si>
    <t>09.06.01.01</t>
  </si>
  <si>
    <t>32.5</t>
  </si>
  <si>
    <t>Kėdainių rajono savivaldybės 2022 m. biudžeto asignavimai investicijų projektams ir remonto darbams finansuoti pagal objektus:</t>
  </si>
  <si>
    <t>32.5.1</t>
  </si>
  <si>
    <t>Atnaujinti Lietuvos sporto universiteto Kėdainių  „Aušros“ progimnaziją, kuriant modernias ir saugias erdves</t>
  </si>
  <si>
    <t>32.5.2</t>
  </si>
  <si>
    <t>Atnaujinti Kėdainių muzikos mokyklos pastato fasadą, laiptus į rūsį</t>
  </si>
  <si>
    <t>32.5.3</t>
  </si>
  <si>
    <t>Remontuoti Kėdainių „Ryto“ progimnaziją, kuriant šiuolaikines mokymosi erdves</t>
  </si>
  <si>
    <t>32.5.4</t>
  </si>
  <si>
    <t>Atnaujinti Kėdainių J.Paukštelio progimnazijos vidaus erdves</t>
  </si>
  <si>
    <t>32.5.5</t>
  </si>
  <si>
    <t>Sudaryti saugias ugdymo sąlygas įstaigose, vykdančiose ugdymo programas</t>
  </si>
  <si>
    <t>32.5.6</t>
  </si>
  <si>
    <t>Įrengti vėdinimo  ir kondicionavimo sistemas savivaldybės ugdymo įstaigose</t>
  </si>
  <si>
    <t>32.5.7</t>
  </si>
  <si>
    <t>Koofinansuoti  švietimo įstaigų dalyvavimą infrastruktūros gerinimo/modernizavimo projektuose</t>
  </si>
  <si>
    <t>32.5.8</t>
  </si>
  <si>
    <t>Parengti bendrojo ir ikimokyklinio ugdymo įstaigų (skyrių) pastatų modernizavimo technines dokumentacijas ir atlikti darbus</t>
  </si>
  <si>
    <t>32.5.9</t>
  </si>
  <si>
    <t>Įrengti gamtos ir technologijų mokslų laboratorijas</t>
  </si>
  <si>
    <t>09</t>
  </si>
  <si>
    <t>32.5.10</t>
  </si>
  <si>
    <t xml:space="preserve">Modernizuoti Kėdainių šviesiosios gimnazijos pastatą Kėdainiuose, Didžioji g. 60 </t>
  </si>
  <si>
    <t>32.5.11</t>
  </si>
  <si>
    <t>Vykdyti Kėdainių lopšelio-darželio „Žilvitis“ infrastruktūros modernizavimo projektą</t>
  </si>
  <si>
    <t>02</t>
  </si>
  <si>
    <t>SVEIKATOS APSAUGA</t>
  </si>
  <si>
    <t>Kėdainių rajono savivaldybės visuomenės sveikatos biuras iš viso:</t>
  </si>
  <si>
    <t xml:space="preserve">07.04.01.02 </t>
  </si>
  <si>
    <t>iš jų: aprūpinti ikimokyklinio ugdymo įstaigų sveikatos kabinetus metodinėmis priemonėmis</t>
  </si>
  <si>
    <t xml:space="preserve">iš jų: įsigyti išorinių defibriliatorių su papildoma komplektacija </t>
  </si>
  <si>
    <t>35.1</t>
  </si>
  <si>
    <t>07.06.01.09</t>
  </si>
  <si>
    <t>35.2</t>
  </si>
  <si>
    <t>Vykdyti E. sveikatos informacinės sistemos diegimo,  palaikymo ir tobulinimo VšĮ PSPC  ir VšĮ Kėdainių ligoninėje 2022 -2026 m. programą</t>
  </si>
  <si>
    <t>07.01.03.01</t>
  </si>
  <si>
    <t>35.3</t>
  </si>
  <si>
    <t>Vykdyti VšĮ Kėdainių ligoninės dantų protezavimo  programą</t>
  </si>
  <si>
    <t>07.02.03.01</t>
  </si>
  <si>
    <t>35.4</t>
  </si>
  <si>
    <t>Vykdyti Ultragarsinių diagnostinių paslaugų teikimo efektyvumo gerinimo Kėdainių rajono savivaldybėje 2017–2022 m. programą</t>
  </si>
  <si>
    <t>35.5</t>
  </si>
  <si>
    <t>Vykdyti trūkstamos sveikatos priežiūros specialistų skatinimo dirbti Kėdainių rajono savivaldybės viešosiose asmens priežiūros įstaigose 2022-2026 m. programą</t>
  </si>
  <si>
    <t>07.06.01.01</t>
  </si>
  <si>
    <t>35.6</t>
  </si>
  <si>
    <t xml:space="preserve">Vykdyti Kėdainių rajono tuberkuliozės prevencijos, ankstyvosios diagnostikos, gydymo ir kontrolės 2017–2022 m. programą </t>
  </si>
  <si>
    <t>35.7</t>
  </si>
  <si>
    <t>Vykdyti pirminės asmens sveikatos priežiūros paslaugų prieinamumo ir kokybės užtikrinimo Kėdainių rajono kaimiškųjų vietovių gyventojams 2017–2023 m. programą</t>
  </si>
  <si>
    <t>07.06.01.06</t>
  </si>
  <si>
    <t>35.8</t>
  </si>
  <si>
    <t xml:space="preserve">Vykdyti ambulatorinės akušerinės ir ginekologinės pagalbos kokybės gerinimo Kėdainių rajono savivaldybės moterims 2019-2024 m. programą </t>
  </si>
  <si>
    <t>07.02.01.01</t>
  </si>
  <si>
    <t>35.9</t>
  </si>
  <si>
    <t>Diegti pacientų eilių valdymo sistemą Kėdainių rajono asmens sveikatos priežiūros įstaigose</t>
  </si>
  <si>
    <t>35.10</t>
  </si>
  <si>
    <t>Vykdyti endoskopinių paslaugų prieinamumo ir kokybės gerinimo Kėdainių rajono savivaldybėje 2020-2025 m. programą</t>
  </si>
  <si>
    <t>07.03.01.01</t>
  </si>
  <si>
    <t>35.11</t>
  </si>
  <si>
    <t>Vykdyti mamografijos paslaugų tęstinumo, kokybės gerinimo Kėdainių rajono savivaldybėje 2020-2025 m. programą</t>
  </si>
  <si>
    <t>35.12</t>
  </si>
  <si>
    <t>Vykdyti anestezijos paslaugų vaikams ir suaugusiesiems kokybės gerinimo Kėdainių rajono savivaldybėje 2022-2027 m. programą</t>
  </si>
  <si>
    <t>35.13</t>
  </si>
  <si>
    <t>Vykdyti rentgeno paslaugų atnaujinimo, kokybės gerinimo Kėdainių rajono savivaldybėje 2022-2027 m. programą</t>
  </si>
  <si>
    <t>35.14</t>
  </si>
  <si>
    <t xml:space="preserve">Vykdyti tinkamų ir saugių darbo sąlygų užtikrinimo, įrengiant vėdinimo bei kondicionavimo sistemas VšĮ PSPC 2022-2026 m. programą  </t>
  </si>
  <si>
    <t>35.15</t>
  </si>
  <si>
    <t>Vykdyti pirminės asmens sveikatos priežiūros prieinamumo užtikrinimo Kėdainių raj. Pernaravos seniūnijos Langakių kaimo gyventojams programą</t>
  </si>
  <si>
    <t>35.16</t>
  </si>
  <si>
    <t>Vykdyti aplinkos apsaugos rėmimo specialiąją programą (pridedama 13 priedas)</t>
  </si>
  <si>
    <t>07.06.01.02</t>
  </si>
  <si>
    <t>35.17</t>
  </si>
  <si>
    <t>35.17.1</t>
  </si>
  <si>
    <t>Gerinti pirminės asmens sveikatos priežiūros paslaugų teikimo prieinamumą tuberkuliozės srityje</t>
  </si>
  <si>
    <t>35.17.2</t>
  </si>
  <si>
    <t xml:space="preserve">Didinti pirminės asmens sveikatos priežiūros veiklos efektyvumą VšĮ Kėdainių pirminės sveikatos priežiūros centre </t>
  </si>
  <si>
    <t>35.17.3</t>
  </si>
  <si>
    <t>Įrengti medicinos punktą Langakių kaime</t>
  </si>
  <si>
    <t>03</t>
  </si>
  <si>
    <t>SOCIALINĖS APSAUGOS PLĖTOJIMAS</t>
  </si>
  <si>
    <t>Kėdainių bendruomenės socialinis centras</t>
  </si>
  <si>
    <t>10.01.02.02
10.07.01.01
10.09.01.01</t>
  </si>
  <si>
    <t>iš jų: vykdyti socialinės paramos 2022 m. programą</t>
  </si>
  <si>
    <t xml:space="preserve">iš jų: teikti integralią pagalbą į namus Kėdainių rajone </t>
  </si>
  <si>
    <t>Dotnuvos slaugos namai</t>
  </si>
  <si>
    <t>10.02.01.02</t>
  </si>
  <si>
    <t xml:space="preserve">10.02.01.02 </t>
  </si>
  <si>
    <t>Kėdainių pagalbos šeimai centras</t>
  </si>
  <si>
    <t>10.04.01.01</t>
  </si>
  <si>
    <t>42.1</t>
  </si>
  <si>
    <t>10.01.02.01
10.01.02.02
10.06.01.01
10.09.01.01 
10.09.01.09</t>
  </si>
  <si>
    <t>42.2</t>
  </si>
  <si>
    <t>Organizuoti  nemokamą socialiai remtinų vaikų maitinimą ikimokyklinėse įstaigose</t>
  </si>
  <si>
    <t>10.07.01.01</t>
  </si>
  <si>
    <t>42.3</t>
  </si>
  <si>
    <t>Kompensuoti nemokamo mokinių maitinimo kainą bendrojo lavinimo mokyklose</t>
  </si>
  <si>
    <t>42.4</t>
  </si>
  <si>
    <t xml:space="preserve">Organizuoti socialinės reabilitacijos paslaugų neįgaliesiems bendruomenėje projektų konkursus </t>
  </si>
  <si>
    <t>10.01.02.01</t>
  </si>
  <si>
    <t>42.5</t>
  </si>
  <si>
    <t>Dengti kainų skirtumą gyventojams už šildymą</t>
  </si>
  <si>
    <t>10.06.01.01</t>
  </si>
  <si>
    <t>42.6</t>
  </si>
  <si>
    <t>Kompensuoti  karšto ir šalto vandens pardavimo kainą socialiai remtiniems  asmenims</t>
  </si>
  <si>
    <t>42.7</t>
  </si>
  <si>
    <t>Kompensuoti kelionės išlaidas už lengvatinį keleivių vežimą</t>
  </si>
  <si>
    <t>09.06.01.01
10.01.02.40
10.02.01.40</t>
  </si>
  <si>
    <t>42.8</t>
  </si>
  <si>
    <t>Užtikrinti paslaugų teikimą VšĮ "Gyvenimo namai sutrikusio intelekto asmenims"</t>
  </si>
  <si>
    <t>10.01.02.40</t>
  </si>
  <si>
    <t>42.9</t>
  </si>
  <si>
    <t>Finansuoti dienos socialinės globos paslaugų teikimą Kėdainių socialinės globos namuose</t>
  </si>
  <si>
    <t>10.01.02.02</t>
  </si>
  <si>
    <t>42.10</t>
  </si>
  <si>
    <t>Finansuoti vaikų dienos centrų veiklos programas</t>
  </si>
  <si>
    <t>42.11</t>
  </si>
  <si>
    <t>Teikti vienkartinę išmoką gimus vaikui Lietuvos Respublikos teritorijoje ir gyvenančiam Kėdainių rajono savivaldybėje</t>
  </si>
  <si>
    <t>42.12</t>
  </si>
  <si>
    <t xml:space="preserve"> Finansuoti Kėdainių rajono moterų krizių centro  veiklos programą</t>
  </si>
  <si>
    <t>10.04.01.40</t>
  </si>
  <si>
    <t>42.13</t>
  </si>
  <si>
    <t>42.13.1</t>
  </si>
  <si>
    <t xml:space="preserve">Užtikrinti socialinio būsto fondo plėtrą Kėdainiuose </t>
  </si>
  <si>
    <t>06.01.01.01</t>
  </si>
  <si>
    <t>42.13.2</t>
  </si>
  <si>
    <t xml:space="preserve">Remontuoti savivaldybės ir socialinį būstą </t>
  </si>
  <si>
    <t>10.06.01.40 06.01.01.01</t>
  </si>
  <si>
    <t>42.13.3</t>
  </si>
  <si>
    <t>Pritaikyti viešąją aplinką specialiųjų poreikių turintiems gyventojams</t>
  </si>
  <si>
    <t>42.13.4</t>
  </si>
  <si>
    <t>Plėtoti bendruomeninių vaikų globos namų ir vaikų dienos centrų tinklą Kėdainių rajono savivaldybėje</t>
  </si>
  <si>
    <t>42.13.5</t>
  </si>
  <si>
    <t>Prisidėti prie savivaldybei priklausančio būsto renovacijos savivaldybės biudžeto lėšomis</t>
  </si>
  <si>
    <t>Kėdainių rajono savivaldybės administracijos Kėdainių miesto seniūnija</t>
  </si>
  <si>
    <t xml:space="preserve">10.06.01.01 10.07.01.01
10.09.01.09 </t>
  </si>
  <si>
    <t>Kėdainių rajono savivaldybės administracijos Dotnuvos seniūnija</t>
  </si>
  <si>
    <t>10.06.01.01 10.07.01.01
10.09.01.09</t>
  </si>
  <si>
    <t>Kėdainių rajono savivaldybės administracijos Gudžiūnų seniūnija</t>
  </si>
  <si>
    <t>Kėdainių rajono savivaldybės administracijos Josvainių seniūnija</t>
  </si>
  <si>
    <t>Kėdainių rajono savivaldybės administracijos Krakių seniūnija</t>
  </si>
  <si>
    <t>Kėdainių rajono savivaldybės administracijos Pelėdnagių seniūnija</t>
  </si>
  <si>
    <t>Kėdainių rajono savivaldybės administracijos Pernaravos seniūnija</t>
  </si>
  <si>
    <t>Kėdainių rajono savivaldybės administracijos Surviliškio seniūnija</t>
  </si>
  <si>
    <t>Kėdainių rajono savivaldybės administracijos Šėtos seniūnija</t>
  </si>
  <si>
    <t>Kėdainių rajono savivaldybės administracijos Truskavos seniūnija</t>
  </si>
  <si>
    <t>Kėdainių rajono savivaldybės administracijos Vilainių seniūnija</t>
  </si>
  <si>
    <t>04</t>
  </si>
  <si>
    <t xml:space="preserve">SPORTO VEIKLOS PLĖTRA </t>
  </si>
  <si>
    <t>Kėdainių sporto centras</t>
  </si>
  <si>
    <t>08.01.01.03</t>
  </si>
  <si>
    <t>56.1</t>
  </si>
  <si>
    <t>08.06.01.09</t>
  </si>
  <si>
    <t>56.2</t>
  </si>
  <si>
    <t>Finansuoti strateginių sporto šakų programas, iš jų:</t>
  </si>
  <si>
    <t xml:space="preserve">VšĮ "Veržlusis Nevėžis" krepšinio komandos Kėdainių "Nevėžis - Optibet" veiklos programai </t>
  </si>
  <si>
    <t>VšĮ „Sporto perspektyvos“ veiklos programai</t>
  </si>
  <si>
    <t>Kėdainių bokso federacijos veiklos programai</t>
  </si>
  <si>
    <t>VšĮ „Sporto perspektyvos“ vaikų ir jaunimo futbolo plėtros veiklos programai</t>
  </si>
  <si>
    <t>Asociacijos „Krepšinio naktis“ veiklos programai</t>
  </si>
  <si>
    <t>56.3</t>
  </si>
  <si>
    <t>Finansuoti fizinio aktyvumo ir sporto veiklos projektus</t>
  </si>
  <si>
    <t>56.4</t>
  </si>
  <si>
    <t xml:space="preserve">Finansuoti Vaikų mokymo plaukti veiklos programą, dalyvaujant projekte „Mokėk plaukti ir saugiau elgtis vandenyje“ </t>
  </si>
  <si>
    <t>56.5</t>
  </si>
  <si>
    <t xml:space="preserve">Teikti apdovanojimus aukšto meistriškumo sportininkams ir jų treneriams už sporto pasiekimus </t>
  </si>
  <si>
    <t>01-11</t>
  </si>
  <si>
    <t>56.6</t>
  </si>
  <si>
    <t>56.6.1</t>
  </si>
  <si>
    <t>Atnaujinti Kėdainių sporto centro bazes</t>
  </si>
  <si>
    <t>56.6.2</t>
  </si>
  <si>
    <t xml:space="preserve">Atnaujinti Kėdainių miesto ir rajono progimnazijų ir gimnazijų stadionus /sporto aikštynus  </t>
  </si>
  <si>
    <t>56.6.3</t>
  </si>
  <si>
    <t>Atnaujinti ir (arba) plėsti bendruomeninę fizinio aktyvumo infrastruktūrą  mieste ir rajone, pritaikant ją bendruomenės poreikiams bei laisvalaikiui</t>
  </si>
  <si>
    <t>05</t>
  </si>
  <si>
    <t>KULTŪROS VEIKLOS PLĖTRA</t>
  </si>
  <si>
    <t>Kėdainių kultūros centras</t>
  </si>
  <si>
    <t>08.02.01.08</t>
  </si>
  <si>
    <t>Akademijos kultūros centras</t>
  </si>
  <si>
    <t>Josvainių kultūros centras</t>
  </si>
  <si>
    <t>Krakių kultūros centras</t>
  </si>
  <si>
    <t>Šėtos kultūros centras</t>
  </si>
  <si>
    <t>Truskavos kultūros centras</t>
  </si>
  <si>
    <t>Kėdainių rajono savivaldybės Mikalojaus Daukšos viešoji biblioteka</t>
  </si>
  <si>
    <t>08.02.01.01</t>
  </si>
  <si>
    <t>Kėdainių krašto muziejus</t>
  </si>
  <si>
    <t>08.02.01.02</t>
  </si>
  <si>
    <t xml:space="preserve">iš jų: dalyvauti projekte „Inovacijų keliu per buvusios LDK žemes“ </t>
  </si>
  <si>
    <t>iš jų: Dalyvauti akcijoje "Žydų kelias"</t>
  </si>
  <si>
    <t>08.06.01.01</t>
  </si>
  <si>
    <t>75.1</t>
  </si>
  <si>
    <t>08.02.01.06
08.06.01.09</t>
  </si>
  <si>
    <t>75.2</t>
  </si>
  <si>
    <t>Užtikrinti rajono nevyriausybinių organizacijų (įskaitant bendruomenines organizacijas) plėtrą, finansuojant projektus socialinio, pilietinio, kultūros paveldo pažinimo, etninės kultūros puoselėjimo, užimtumo bei verslumo srityse</t>
  </si>
  <si>
    <t>08.04.01.01</t>
  </si>
  <si>
    <t>75.3</t>
  </si>
  <si>
    <t>Sudaryti sąlygas bendruomeninių organizacijų veiklai</t>
  </si>
  <si>
    <t>75.4</t>
  </si>
  <si>
    <t>Skatinti nevyriausybinių organizacijų, bendruomeninių organizacijų plėtrą rajone</t>
  </si>
  <si>
    <t>75.5</t>
  </si>
  <si>
    <t>Finansuoti Kėdainių rajono vietos veiklos grupės teritorijos vietos plėtros 2015-2023 m. strategijos įgyvendinimą</t>
  </si>
  <si>
    <t>01-10</t>
  </si>
  <si>
    <t>75.6</t>
  </si>
  <si>
    <t>Finansuoti Kėdainių miesto vietos veiklos grupės 2016–2022 m. vietos plėtros strategijos įgyvendinimą</t>
  </si>
  <si>
    <t>75.7</t>
  </si>
  <si>
    <t>75.7.1</t>
  </si>
  <si>
    <t>Aktualizuoti Kėdainių krašto muziejų, padidinant kultūros paveldo aktualumą, lankomumą ir žinomumą (įskaitant ekspozicijų atnaujinimą)</t>
  </si>
  <si>
    <t>75.7.2</t>
  </si>
  <si>
    <t>Atnaujinti Truskavos kultūros centrą, pritaikant jį kaimo bendruomenės poreikiams bei kultūrinei veiklai</t>
  </si>
  <si>
    <t>75.7.3</t>
  </si>
  <si>
    <t xml:space="preserve">Remontuoti Akademijos kultūros centrą </t>
  </si>
  <si>
    <t>75.7.4</t>
  </si>
  <si>
    <t>Rekonstruoti Kėdainių rajono savivaldybės kultūros centro pastatą Kėdainiuose, J. Basanavičiaus g. 24</t>
  </si>
  <si>
    <t>06</t>
  </si>
  <si>
    <t>KULTŪROS PAVELDO IŠSAUGOJIMAS, TURIZMO SKATINIMAS IR VYSTYMAS</t>
  </si>
  <si>
    <t>Kėdainių krašto muziejus iš viso:</t>
  </si>
  <si>
    <t>04.07.03.01</t>
  </si>
  <si>
    <t>iš jų: modernizuoti Kėdainių krašto muziejaus Daugiakultūrio centrą</t>
  </si>
  <si>
    <t>79.1</t>
  </si>
  <si>
    <t>Finansuoti VšĮ Kėdainių turizmo ir verslo informacijos centro turizmo veiklos programą</t>
  </si>
  <si>
    <t>79.2</t>
  </si>
  <si>
    <t>Įgyvendinti Kėdainių rajono savivaldybės bažnyčių rėmimo programą</t>
  </si>
  <si>
    <t>08.04.01.02</t>
  </si>
  <si>
    <t>79.3</t>
  </si>
  <si>
    <t>79.3.1</t>
  </si>
  <si>
    <t xml:space="preserve">Įgyvendinti priemones, skirtas kovų už Lietuvos Nepriklausomybę vietoms ir paminklams įamžinti </t>
  </si>
  <si>
    <t xml:space="preserve">08.02.01.07
</t>
  </si>
  <si>
    <t>79.3.2</t>
  </si>
  <si>
    <t xml:space="preserve">Parengti projektus ir remontuoti koplytėles, koplytstulpius, skulptūras, kapinaites  ir kapus   </t>
  </si>
  <si>
    <t>08.02.01.07</t>
  </si>
  <si>
    <t>79.3.3</t>
  </si>
  <si>
    <t>Atlikti Paberžės klebonijos ir svirno restauravimo ir remonto darbus</t>
  </si>
  <si>
    <t>79.3.4</t>
  </si>
  <si>
    <t>Įrengti  valstybinės reikšmės kelių nuorodas į savivaldybės kultūros paveldo objektus</t>
  </si>
  <si>
    <t>79.3.5</t>
  </si>
  <si>
    <t>Atlikti archeologinius ir kitus tyrinėjimus kultūros paveldo teritorijose, vykdyti paveldo objektams parengtų tvarkybos projektų ekspertizę, parengti sąmatas</t>
  </si>
  <si>
    <t>79.3.6</t>
  </si>
  <si>
    <t>Atlikti kultūros paveldo objektų ar objektų, esančių kultūros paveldo teritorijų prieigose tvarkybos darbus seniūnijose</t>
  </si>
  <si>
    <t>79.3.7</t>
  </si>
  <si>
    <t>Kompleksiškai sutvarkyti ir pritaikyti bendruomenei ir verslui Kėdainių miesto viešąsias erdves (miesto parko, universalaus daugiafunkcio aikštyno prieigos)</t>
  </si>
  <si>
    <t xml:space="preserve">04.07.03.01 </t>
  </si>
  <si>
    <t>79.3.8</t>
  </si>
  <si>
    <t>Remontuoti Minareto fasadą</t>
  </si>
  <si>
    <t>79.3.9</t>
  </si>
  <si>
    <t>Įgyvendinti projektą „Jonavos, Kėdainių ir Raseinių rajonų savivaldybes jungiančių trasų ir turizmo maršrutų informacinės infrastruktūros plėtra“</t>
  </si>
  <si>
    <t>79.3.10</t>
  </si>
  <si>
    <t xml:space="preserve">Rengti nekilnojamųjų kultūros paveldo objektų, vietovių  individualius apsaugos reglamentus </t>
  </si>
  <si>
    <t>79.3.11</t>
  </si>
  <si>
    <t>Parengti Nekilnojamųjų kultūros vertybių vertinimo medžiagą ir pristatyti nekilnojamojo kultūros paveldo vertinimo tarybai</t>
  </si>
  <si>
    <t>79.3.12</t>
  </si>
  <si>
    <t>Atlikti Bakainių piliakalnio su priešpiliu ir papiliu, priešpilio tvarkybos darbus</t>
  </si>
  <si>
    <t>79.3.13</t>
  </si>
  <si>
    <t xml:space="preserve">Įgyvendinti dalyvaujamojo biudžeto iniciatyvų projektus "Justinavos pliažas" ir "Tako iki kabančio tilto per Nevėžį Surviliškyje sutvarkymas" </t>
  </si>
  <si>
    <t>79.3.14</t>
  </si>
  <si>
    <t xml:space="preserve">Įgyvendinti kultūros paveldo objektų, esančių Kėdainių rajono savivaldybės teritorijoje ir kultūros paveldo statinių, esančių Kėdainių senamiesčio dalyje išsaugojimo darbų finansavimo programą </t>
  </si>
  <si>
    <t>07</t>
  </si>
  <si>
    <t>INFRASTRUKTŪROS OBJEKTŲ  PRIEŽIŪRA IR PLĖTRA</t>
  </si>
  <si>
    <t>Kėdainių rajono savivaldybės administracija iš viso :</t>
  </si>
  <si>
    <t>81.1</t>
  </si>
  <si>
    <t>81.1.1</t>
  </si>
  <si>
    <t>Rengti specialiuosius, bendruosius, detaliuosius, geodezinius planus bei  topografines nuotraukas</t>
  </si>
  <si>
    <t>04.09.01.01</t>
  </si>
  <si>
    <t>81.1.2</t>
  </si>
  <si>
    <t xml:space="preserve">Parengti Senojo Upytės kelio specialųjį planą ("Isos slėnis") </t>
  </si>
  <si>
    <t>81.1.3</t>
  </si>
  <si>
    <t xml:space="preserve">Atlikti turto inventorizavimą, teisinę registraciją, parengti  dokumentus turto pardavimui  </t>
  </si>
  <si>
    <t>01.06.01.02</t>
  </si>
  <si>
    <t>81.1.4</t>
  </si>
  <si>
    <t xml:space="preserve">Rengti infrastruktūros objektų tvarkymo investicinius projektus, paraiškas, kitą techninę dokumentaciją  Europos Sąjungos fondų paramai gauti </t>
  </si>
  <si>
    <t>81.1.5</t>
  </si>
  <si>
    <t>Parengti Kėdainių rajono atsinaujinančių energijos išteklių plėtros  planą</t>
  </si>
  <si>
    <t>04.03.07.01</t>
  </si>
  <si>
    <t>81.1.6</t>
  </si>
  <si>
    <t>Įrengti, rekonstruoti, išplėsti vandentiekio ir/ar nuotekų tinklus Kėdainių mieste (Algirdo g., Parakinės g., Rūtų g., Pievų g., Šviesos g.)</t>
  </si>
  <si>
    <t>05.02.01.01 
06.03.01.01</t>
  </si>
  <si>
    <t>81.1.7</t>
  </si>
  <si>
    <t>Rekonstruoti ir plėsti vandentiekio ir buitinių nuotekų infrastruktūrą Šėtos miestelyje, Kunionių kaime bei Kėdainių mieste</t>
  </si>
  <si>
    <t>06.03.01.01</t>
  </si>
  <si>
    <t>81.1.8</t>
  </si>
  <si>
    <t>Rekonstruoti ir plėsti Kėdainių miesto paviršinių nuotekų tinklus</t>
  </si>
  <si>
    <t>05.02.01.01</t>
  </si>
  <si>
    <t>81.1.9</t>
  </si>
  <si>
    <t>Rekonstruoti Kėdainių miesto nuotekų valyklą</t>
  </si>
  <si>
    <t>81.1.10</t>
  </si>
  <si>
    <t>Rekonstruoti Akademijos  nuotekų valyklą</t>
  </si>
  <si>
    <t>81.1.11</t>
  </si>
  <si>
    <t>Išplėsti  buitinių  nuotekų tinklus Labūnavos gyvenvietėje, Nevėžio g, ir Vainikų g.</t>
  </si>
  <si>
    <t>81.1.12</t>
  </si>
  <si>
    <t xml:space="preserve">Suprojektuoti ir įrengti inžinerinius tinklus Kėdainių miesto vakariniame kvartale </t>
  </si>
  <si>
    <t>81.1.13</t>
  </si>
  <si>
    <t xml:space="preserve">Plėsti vandentiekio ir nuotekų tinklus Šlapaberžės kaime </t>
  </si>
  <si>
    <t>81.1.14</t>
  </si>
  <si>
    <t xml:space="preserve">Išplėsti vandentiekio ir nuotekų tinklus Lipliūnų k. Greisupio g. </t>
  </si>
  <si>
    <t>81.1.15</t>
  </si>
  <si>
    <t>Parengti vandentiekio ir nuotekų tinklų įrengimo  Krakių miestelio Klaipėdos, Lauko, Neries, Miško  ir P.Lukšio gatvėse techninę dokumentaciją ir atlikti darbus</t>
  </si>
  <si>
    <t>81.1.16</t>
  </si>
  <si>
    <t>Parengti vandentiekio ir nuotekų tinklų išplėtimo Angirių k. techninę dokumentaciją ir atlikti darbus</t>
  </si>
  <si>
    <t>81.1.17</t>
  </si>
  <si>
    <t>Įrengti vandens gręžinį ir vandentiekio tinklus Gineitų k., Vilainių sen.</t>
  </si>
  <si>
    <t>81.1.18</t>
  </si>
  <si>
    <t>Parengti nuotekų tinklų įrengimo Josvainių mstl. P.Cvirkos g. projektą</t>
  </si>
  <si>
    <t>05.02.01.01.</t>
  </si>
  <si>
    <t>81.1.19</t>
  </si>
  <si>
    <t xml:space="preserve">Įrengti biologinius ar individualius  nuotekų valymo įrenginius </t>
  </si>
  <si>
    <t>81.1.20</t>
  </si>
  <si>
    <t>Parengti buitinių nuotekų tinklų išplėtimo Pavermenio kaime techninį projektą ir atlikti darbus</t>
  </si>
  <si>
    <t>81.1.21</t>
  </si>
  <si>
    <t xml:space="preserve">Parengti vandentiekio ir nuotekų tinklų išplėtimo Mantviliškio  kaime techninį projektą </t>
  </si>
  <si>
    <t>81.1.22</t>
  </si>
  <si>
    <t>Remontuoti objektus pagal administracijos direktoriaus įsakymus</t>
  </si>
  <si>
    <t>81.1.23</t>
  </si>
  <si>
    <t>Likviduoti avarinius židinius</t>
  </si>
  <si>
    <t>81.1.24</t>
  </si>
  <si>
    <t>Įgyvendinti projektą "Kėdainių gatvių apšvietimo modernizavimas"</t>
  </si>
  <si>
    <t>06.04.01.01</t>
  </si>
  <si>
    <t>81.1.25</t>
  </si>
  <si>
    <t>Rekonstruoti/įrengti/modernizuoti Kėdainių miesto ir rajono  gatvių apšvietimą</t>
  </si>
  <si>
    <t>81.1.26</t>
  </si>
  <si>
    <t xml:space="preserve">Įrengti pėsčiųjų ir dviračių takus Pramonės g. Kėdainių mieste  </t>
  </si>
  <si>
    <t>04.05.01.02</t>
  </si>
  <si>
    <t>81.1.27</t>
  </si>
  <si>
    <t>Remontuoti biudžetinių įstaigų kiemus</t>
  </si>
  <si>
    <t>81.1.28</t>
  </si>
  <si>
    <t>Finansuoti inžinerines paslaugas, darbus ir įrengimus</t>
  </si>
  <si>
    <t>81.1.29</t>
  </si>
  <si>
    <t>Remontuoti viešųjų ir biudžetinių įstaigų stogus</t>
  </si>
  <si>
    <t>81.1.30</t>
  </si>
  <si>
    <t>Apmokėti Europos Sąjungos projektų,  kuriems taikomas apmokėjimas kompensavimo būdu, išlaidas</t>
  </si>
  <si>
    <t>81.1.31</t>
  </si>
  <si>
    <t xml:space="preserve">Įgyvendinti projektą "Kėdainių miesto A. Kanapinsko, P. Lukšio, Mindaugo, Pavasario ir Žemaitės gatvių rekonstrukcija"     </t>
  </si>
  <si>
    <t>04.05.01.02 06.04.01.01</t>
  </si>
  <si>
    <t>81.1.32</t>
  </si>
  <si>
    <t>Atlikti Savivaldybės pastato ir jo aplinkos sutvarkymo darbus</t>
  </si>
  <si>
    <t>01.03.02.09</t>
  </si>
  <si>
    <t>81.1.33</t>
  </si>
  <si>
    <t xml:space="preserve">Atnaujinti daugiabučių namų kiemų kietąsias dangas </t>
  </si>
  <si>
    <t>81.1.34</t>
  </si>
  <si>
    <t>Plėsti dviračių takų infrastruktūrą mieste ir rajone</t>
  </si>
  <si>
    <t>08</t>
  </si>
  <si>
    <t>APLINKOS APSAUGA</t>
  </si>
  <si>
    <t>94.1</t>
  </si>
  <si>
    <t>05.06.01.01</t>
  </si>
  <si>
    <t>94.2</t>
  </si>
  <si>
    <t>05.03.01.01</t>
  </si>
  <si>
    <t>94.3</t>
  </si>
  <si>
    <t>Vykdyti atliekų tvarkymo sistemos organizavimo funkciją</t>
  </si>
  <si>
    <t>05.01.01.01</t>
  </si>
  <si>
    <t>94.4</t>
  </si>
  <si>
    <t>Vykdyti savivaldybės viešųjų teritorijų tvarkymą</t>
  </si>
  <si>
    <t>94.5</t>
  </si>
  <si>
    <t>Sutvarkyti naudotas padangas, kurių turėtojų nustatyti neįmanoma arba kuris neegzistuoja</t>
  </si>
  <si>
    <t>94.6</t>
  </si>
  <si>
    <t>Sutvarkyti namų ūkiuose susidariusias asbesto atliekas</t>
  </si>
  <si>
    <t>94.7</t>
  </si>
  <si>
    <t>Įsigyti tekstilės atliekų surinkimo konteinerius Kėdainių rajono savivaldybėje</t>
  </si>
  <si>
    <t>94.8</t>
  </si>
  <si>
    <t>94.8.1</t>
  </si>
  <si>
    <t xml:space="preserve">Finansuoti žvyro įsigijimą seniūnijų keliams prižiūrėti </t>
  </si>
  <si>
    <t>94.8.2</t>
  </si>
  <si>
    <t>Atnaujinti ir plėsti komunalinių atliekų tvarkymo infrastruktūrą Kėdainių rajono savivaldybėje</t>
  </si>
  <si>
    <t>94.8.3</t>
  </si>
  <si>
    <t>Likviduoti apleistus (bešeimininkius ar savivaldybei nuosavybės teise priklausančius) pastatus ir kitus aplinką žalojančius objektus</t>
  </si>
  <si>
    <t xml:space="preserve">05.01.01.01  05.02.01.01
06.03.01.01                       </t>
  </si>
  <si>
    <t xml:space="preserve">05.01.01.01
06.02.01.01                       </t>
  </si>
  <si>
    <t xml:space="preserve">05.01.01.01               </t>
  </si>
  <si>
    <t xml:space="preserve"> ŽEMĖS ŪKIO PLĖTRA IR MELIORACIJA</t>
  </si>
  <si>
    <t>Kėdainių rajono savivaldybės administracija iš viso:</t>
  </si>
  <si>
    <t>107.1</t>
  </si>
  <si>
    <t xml:space="preserve">Kėdainių rajono savivaldybės administracija  </t>
  </si>
  <si>
    <t>107.2</t>
  </si>
  <si>
    <t>107.2.1</t>
  </si>
  <si>
    <t>Rengti projektus ir remontuoti gyvenviečių lietaus nuotekų-drenažų sistemas</t>
  </si>
  <si>
    <t>107.2.2</t>
  </si>
  <si>
    <t xml:space="preserve">Parengti projektus ir atnaujinti hidrotechninius įrenginius </t>
  </si>
  <si>
    <t>04.02.01.01</t>
  </si>
  <si>
    <t>10</t>
  </si>
  <si>
    <t>PARAMA VERSLUI IR VERSLO PLĖTRA</t>
  </si>
  <si>
    <t>109.1</t>
  </si>
  <si>
    <t>04.01.02.09</t>
  </si>
  <si>
    <t>109.2</t>
  </si>
  <si>
    <t>Finansuoti VšĮ Kėdainių turizmo ir verslo informacijos centro viešųjų paslaugų verslui  programą</t>
  </si>
  <si>
    <t>04.01.01.01</t>
  </si>
  <si>
    <t>109.3</t>
  </si>
  <si>
    <t>Teikti finansinę paramą verslą pradedantiems ar sunkumų patiriantiems SVV subjektams Kėdainių rajone per Savivaldybės smulkiojo verslo rėmimo fondą</t>
  </si>
  <si>
    <t>11</t>
  </si>
  <si>
    <t>SAVIVALDYBĖS VALDYMO TOBULINIMAS</t>
  </si>
  <si>
    <t>Kėdainių rajono savivaldybės priešgaisrinė tarnyba</t>
  </si>
  <si>
    <t>03.02.01.01</t>
  </si>
  <si>
    <t>Kėdainių rajono savivaldybės kontrolės ir audito tarnyba</t>
  </si>
  <si>
    <t>01.01.01.09</t>
  </si>
  <si>
    <t>113.1</t>
  </si>
  <si>
    <t>01.01.01.02
01.01.01.09
01.03.02.09
01.06.01.02
04.05.06.09 06.06.01.01
06.06.01.09</t>
  </si>
  <si>
    <t>113.2</t>
  </si>
  <si>
    <t>Įgyvendinti priemones, finansuojamas iš Savivaldybės administracijos direktoriaus rezervo</t>
  </si>
  <si>
    <t>01.06.01.04</t>
  </si>
  <si>
    <t>113.3</t>
  </si>
  <si>
    <t xml:space="preserve">Įgyvendinti priemones, finansuojamas iš Savivaldybės mero fondo </t>
  </si>
  <si>
    <t>113.4</t>
  </si>
  <si>
    <t xml:space="preserve">Kompensuoti UAB "Kėdbusas" nuostolingus  maršrutus </t>
  </si>
  <si>
    <t>04.05.01.01</t>
  </si>
  <si>
    <t>113.5</t>
  </si>
  <si>
    <t>Dalyvauti Kauno regiono plėtros agentūros veikloje</t>
  </si>
  <si>
    <t>113.6</t>
  </si>
  <si>
    <t xml:space="preserve">Finansuoti prevencinę programą „Saugios aplinkos kūrimas ir bendruomenės teisėtvarkos kūrimas" </t>
  </si>
  <si>
    <t>03.01.01.01</t>
  </si>
  <si>
    <t>113.7</t>
  </si>
  <si>
    <t>Mokėti palūkanas</t>
  </si>
  <si>
    <t>01.07.01.01</t>
  </si>
  <si>
    <t>113.8</t>
  </si>
  <si>
    <t>Grąžinti valstybės biudžeto lėšas (dotaciją)</t>
  </si>
  <si>
    <t>01.08.01.02</t>
  </si>
  <si>
    <t>113.9</t>
  </si>
  <si>
    <t>Kompensuoti įstaigoms socialinių pašalpų skaičiavimą ir mokėjimą, komunalinių paslaugų išlaidų padidėjimą, išeitines išmokas</t>
  </si>
  <si>
    <t>01.03.02.09
04.01.02.01</t>
  </si>
  <si>
    <t>iš jų: užimtumo didinimo programai įgyvendinti</t>
  </si>
  <si>
    <t>04.01.02.01</t>
  </si>
  <si>
    <t>Iš viso asignavimų</t>
  </si>
  <si>
    <t xml:space="preserve">                                                                   _____________________________________                                                                                       </t>
  </si>
  <si>
    <t>4 priedas</t>
  </si>
  <si>
    <t xml:space="preserve"> 2022 METŲ ASIGNAVIMAI ĮSTAIGOMS IŠ PAJAMŲ, GAUTŲ UŽ PREKES IR PASLAUGAS </t>
  </si>
  <si>
    <t xml:space="preserve">09.02.01.01   </t>
  </si>
  <si>
    <t>Kėdainių r. Miegenų pagrindinė mokykla</t>
  </si>
  <si>
    <t>Kėdainių švietimo pagalbos tarnyba</t>
  </si>
  <si>
    <t>09.05.01.03</t>
  </si>
  <si>
    <t>Kėdainių rajono savivaldybės visuomenės sveikatos biuras</t>
  </si>
  <si>
    <t>07.04.01.02</t>
  </si>
  <si>
    <t>10.01.02.02 10.07.01.01</t>
  </si>
  <si>
    <t>10.09.01.09</t>
  </si>
  <si>
    <t xml:space="preserve">05.01.01.01 </t>
  </si>
  <si>
    <t xml:space="preserve">06.02.01.01                       </t>
  </si>
  <si>
    <t>06.02.01.01</t>
  </si>
  <si>
    <t xml:space="preserve">01.03.02.09  </t>
  </si>
  <si>
    <t xml:space="preserve">                                                             ____________________________________</t>
  </si>
  <si>
    <t xml:space="preserve">                                                        </t>
  </si>
  <si>
    <t>5 priedas</t>
  </si>
  <si>
    <t xml:space="preserve"> 2022 METŲ ASIGNAVIMAI ĮSTAIGOMS IŠ PAJAMŲ, GAUTŲ UŽ ILGALAIKIO IR TRUMPALAIKIO MATERIALIOJO TURTO NUOMĄ</t>
  </si>
  <si>
    <t>Kėdainių "Ryto" progimnazija</t>
  </si>
  <si>
    <t xml:space="preserve">                                                                 ___________________________________________</t>
  </si>
  <si>
    <t xml:space="preserve">                                                               Kėdainių rajono savivaldybės tarybos</t>
  </si>
  <si>
    <t>2022 METŲ ASIGNAVIMAI ĮSTAIGOMS IŠ PAJAMŲ, GAUTŲ UŽ IŠLAIKYMĄ ŠVIETIMO, SOCIALINĖS APSAUGOS IR KITOSE ĮSTAIGOSE</t>
  </si>
  <si>
    <t xml:space="preserve">Šėtos socialinis ir ugdymo centras </t>
  </si>
  <si>
    <t xml:space="preserve">                                                                    ___________________________________________</t>
  </si>
  <si>
    <t xml:space="preserve">                                                                  Kėdainių rajono savivaldybės tarybos</t>
  </si>
  <si>
    <t>7 priedas</t>
  </si>
  <si>
    <t xml:space="preserve">KĖDAINIŲ RAJONO SAVIVALDYBĖS 2022 METŲ BIUDŽETO ASIGNAVIMAI PROJEKTAMS FINANSUOTI EUROPOS SĄJUNGOS LĖŠOMIS </t>
  </si>
  <si>
    <t>Kėdainių suaugusiųjų ir jaunimo mokymo centras iš viso, iš jų dalyvauti projektuose:</t>
  </si>
  <si>
    <t>2.1</t>
  </si>
  <si>
    <t>"Draugiška senjorams bendruomenė"</t>
  </si>
  <si>
    <t>2.2</t>
  </si>
  <si>
    <t>"Jaunimo erdvė be standartų"</t>
  </si>
  <si>
    <t>2.3</t>
  </si>
  <si>
    <t>"Praktinis profesinių įgūdžių gidas - galimybė tau"</t>
  </si>
  <si>
    <t>09.05.01.02</t>
  </si>
  <si>
    <t>3.1</t>
  </si>
  <si>
    <t>3.2</t>
  </si>
  <si>
    <t>3.3</t>
  </si>
  <si>
    <t>Kokybės krepšelio projektui</t>
  </si>
  <si>
    <t>3.4</t>
  </si>
  <si>
    <t>Projektui "Karjeros specialistų tinklo vystymas"</t>
  </si>
  <si>
    <t>4</t>
  </si>
  <si>
    <t>5</t>
  </si>
  <si>
    <t>5.1</t>
  </si>
  <si>
    <t>iš jų: įgyvendinti projektą "Kėdainių ir Anykščių rajono savivaldybių mokyklų sveikatos kabinetų atnaujinimas"</t>
  </si>
  <si>
    <t>6</t>
  </si>
  <si>
    <t>6.1</t>
  </si>
  <si>
    <t>Įgyvendinti priemones, skirtas žemo slenksčio paslaugų kokybės gerinimui Kėdainių rajono savivaldybėje</t>
  </si>
  <si>
    <t>07.06.01.05</t>
  </si>
  <si>
    <t>8</t>
  </si>
  <si>
    <t>8.1</t>
  </si>
  <si>
    <t>9</t>
  </si>
  <si>
    <t>9.1</t>
  </si>
  <si>
    <t>iš jų: įgyvendinti projektą „Vaikų gerovės ir saugumo didinimo, paslaugų šeimai, globėjams (rūpintojams) kokybės didinimo bei prieinamumo plėtra“</t>
  </si>
  <si>
    <t>10.1</t>
  </si>
  <si>
    <t>Teikti kompleksines paslaugas šeimai Kėdainių rajone</t>
  </si>
  <si>
    <t>10.2</t>
  </si>
  <si>
    <t>10.3</t>
  </si>
  <si>
    <t>12</t>
  </si>
  <si>
    <t>12.1</t>
  </si>
  <si>
    <t>Tobulinti Kėdainių sporto centro infrastruktūrą (Parko g. 4, Vilainiai)</t>
  </si>
  <si>
    <t>Kėdainių kultūros centras iš viso:</t>
  </si>
  <si>
    <t>14.1</t>
  </si>
  <si>
    <t>iš jų: dalyvauti projekte "Gyvenimo spalvos"</t>
  </si>
  <si>
    <t>15.1</t>
  </si>
  <si>
    <t>15.2</t>
  </si>
  <si>
    <t>17.1</t>
  </si>
  <si>
    <t xml:space="preserve">04.07.03.01. </t>
  </si>
  <si>
    <t>17.2</t>
  </si>
  <si>
    <t>Kompleksiškai sutvarkyti Kėdainių Sinagogą (Smilgos g. 5A, Kėdainiai), pritaikant kultūrinėms bei kitoms reikmėms</t>
  </si>
  <si>
    <t>19.1</t>
  </si>
  <si>
    <t>19.2</t>
  </si>
  <si>
    <t>06.04.01.01.</t>
  </si>
  <si>
    <t>19.3</t>
  </si>
  <si>
    <t>Kompleksiškai atnaujinti daugiabučių namų kvartalus (II etapas)</t>
  </si>
  <si>
    <t>04-08</t>
  </si>
  <si>
    <t>19.4</t>
  </si>
  <si>
    <t>19.5</t>
  </si>
  <si>
    <t>Kompleksiškai atnaujinti daugiabučių namų kvartalus (I etapas)</t>
  </si>
  <si>
    <t>21.1</t>
  </si>
  <si>
    <t>21.2</t>
  </si>
  <si>
    <t xml:space="preserve">                                                               ___________________________________________</t>
  </si>
  <si>
    <t xml:space="preserve">                                                                           Kėdainių rajono savivaldybės tarybos</t>
  </si>
  <si>
    <t>8 priedas</t>
  </si>
  <si>
    <t>2022 METŲ VALSTYBĖS BIUDŽETO SPECIALIOS TIKSLINĖS DOTACIJOS SAVIVALDYBĖS BIUDŽETUI VALSTYBINĖMS (VALSTYBĖS PERDUOTOMS SAVIVALDYBEI) FUNKCIJOMS ATLIKTI ASIGNAVIMAI</t>
  </si>
  <si>
    <t>02.1</t>
  </si>
  <si>
    <t xml:space="preserve"> Sveikos gyvensenos plėtojimui ir stiprinimui, visuomenės sveikatos stebėsenai</t>
  </si>
  <si>
    <t>02.2</t>
  </si>
  <si>
    <t>Visuomenės psichikos sveikatos gerinimui</t>
  </si>
  <si>
    <t>02.3</t>
  </si>
  <si>
    <t>Neveiksnių asmenų būklės peržiūrėjimui</t>
  </si>
  <si>
    <t>03.1</t>
  </si>
  <si>
    <t>Socialinėms paslaugoms:
Socialinei globai asmenims su sunkia negalia</t>
  </si>
  <si>
    <t xml:space="preserve"> iš jų: finansuoti dienos socialinės globos paslaugas Kėdainių socialinės globos namuose</t>
  </si>
  <si>
    <t>03.2</t>
  </si>
  <si>
    <t>Socialinėms paslaugoms:
 Socialinei priežiūrai socialinės rizikos šeimoms</t>
  </si>
  <si>
    <t>03.3</t>
  </si>
  <si>
    <t xml:space="preserve">Socialinėms paslaugoms:
Teikti šeimoms individualios priežiūros darbuotojų paslaugas </t>
  </si>
  <si>
    <t>03.4</t>
  </si>
  <si>
    <t>Socialinių išmokų ir kompensacijų skaičiavimas ir mokėjimas</t>
  </si>
  <si>
    <t xml:space="preserve">10.03.01.01
10.07.01.01
10.09.01.09 </t>
  </si>
  <si>
    <t>03.5</t>
  </si>
  <si>
    <t>Išlaidoms už įsigytus produktus, mokinio reikmenis ir socialinei paramai mokiniams administruoti</t>
  </si>
  <si>
    <t>03.6</t>
  </si>
  <si>
    <t>Būsto nuomos ar išperkamosios būsto nuomos mokesčių dalies kompensacijoms</t>
  </si>
  <si>
    <t>09.1</t>
  </si>
  <si>
    <t>Žemės ūkio funkcijoms vykdyti</t>
  </si>
  <si>
    <t>04.02.01.04</t>
  </si>
  <si>
    <t>09.2</t>
  </si>
  <si>
    <t>Kėdainių rajono savivaldybės 2021 m. valstybei nuosavybės teise priklausančių melioracijos statinių priežiūrai ir remonto darbams įskaitant priešprojektinius tyrinėjimus, techninės sąmatinės dokumentacijos sudarymą, ekspertizę, darbų techninę priežiūrą bei kitus susijusius darbus</t>
  </si>
  <si>
    <t>iš jų: polderiams eksploatuoti</t>
  </si>
  <si>
    <t>Tvarkyti erdvinių duomenų rinkinį</t>
  </si>
  <si>
    <t>04.02.01.02</t>
  </si>
  <si>
    <t>11.1</t>
  </si>
  <si>
    <t>Priešgaisrinių tarnybų organizavimas</t>
  </si>
  <si>
    <t>11.2</t>
  </si>
  <si>
    <t>Gyventojų registro tvarkymas ir duomenų valstybės registrui teikimas</t>
  </si>
  <si>
    <t>01.03.03.02</t>
  </si>
  <si>
    <t>11.3</t>
  </si>
  <si>
    <t>Archyvinių dokumentų tvarkymas</t>
  </si>
  <si>
    <t>11.4</t>
  </si>
  <si>
    <t>Civilinės būklės aktų registravimas</t>
  </si>
  <si>
    <t>11.5</t>
  </si>
  <si>
    <t>Civilinės saugos organizavimas</t>
  </si>
  <si>
    <t>02.02.01.01</t>
  </si>
  <si>
    <t>11.6</t>
  </si>
  <si>
    <t>Valstybinės kalbos vartojimo ir taisyklingumo kontrolė</t>
  </si>
  <si>
    <t>11.7</t>
  </si>
  <si>
    <t>Mobilizacijos administravimas</t>
  </si>
  <si>
    <t>02.01.01.04</t>
  </si>
  <si>
    <t>11.8</t>
  </si>
  <si>
    <t>Jaunimo teisių apsauga</t>
  </si>
  <si>
    <t>11.9</t>
  </si>
  <si>
    <t>Pirminė teisinė pagalba</t>
  </si>
  <si>
    <t>11.10</t>
  </si>
  <si>
    <t>Duomenų teikimas Valstybės suteiktos pagalbos registrui</t>
  </si>
  <si>
    <t>11.11</t>
  </si>
  <si>
    <t>Gyvenamosios vietos deklaravimas</t>
  </si>
  <si>
    <t>11.12</t>
  </si>
  <si>
    <t>Užimtumo didinimo programos įgyvendinimas</t>
  </si>
  <si>
    <t>11.13</t>
  </si>
  <si>
    <t>Koordinuotai teikiamų paslaugų vaikams nuo gimimo iki 18 metų (turintiems didelių ir labai didelių specialiųjų ugdymosi poreikių − iki 21 metų) ir vaiko atstovams koordinavimas</t>
  </si>
  <si>
    <t>09.08.01.09</t>
  </si>
  <si>
    <t>11.14</t>
  </si>
  <si>
    <t>Valstybinės žemės ir kito valstybinio turto valdymas, naudojimas ir disponavimas juo patikėjimo teise</t>
  </si>
  <si>
    <t>01.06.01.03</t>
  </si>
  <si>
    <t xml:space="preserve">                                                                                               ________________________________</t>
  </si>
  <si>
    <t xml:space="preserve">                                                              Kėdainių rajono savivaldybės tarybos</t>
  </si>
  <si>
    <t>9 priedas</t>
  </si>
  <si>
    <t>2022 METŲ VALSTYBĖS BIUDŽETO SPECIALIOS TIKSLINĖS DOTACIJOS SAVIVALDYBĖS BIUDŽETUI UGDYMO REIKMĖMS FINANSUOTI ASIGNAVIMAI</t>
  </si>
  <si>
    <t>01.1</t>
  </si>
  <si>
    <t>Specialioji tikslinė dotacija ugdymo reikmėms finansuoti</t>
  </si>
  <si>
    <t>09.02.01.01
09.02.02.01</t>
  </si>
  <si>
    <t>Kėdainių švietimo pagalbos tarnyba iš viso:</t>
  </si>
  <si>
    <t>29.1</t>
  </si>
  <si>
    <t>Kėdainių švietimo pagalbos tarnyba (pedagoginė - psichologinė tarnyba)</t>
  </si>
  <si>
    <t>29.2</t>
  </si>
  <si>
    <t>Organizuoti ir vykdyti mokymosi pasiekimų patikrinimus</t>
  </si>
  <si>
    <t>29.3</t>
  </si>
  <si>
    <t xml:space="preserve"> VšĮ Alternatyviojo ugdymo centras</t>
  </si>
  <si>
    <t>29.4</t>
  </si>
  <si>
    <t xml:space="preserve"> VšĮ „Pažinimo taku“</t>
  </si>
  <si>
    <t>Šėtos socialinis ir ugdymo centras</t>
  </si>
  <si>
    <t>01.2</t>
  </si>
  <si>
    <t>Kita tikslinė dotacija mokyklos specialiųjų ugdymosi poreikių turintiems mokiniams</t>
  </si>
  <si>
    <t>04.1</t>
  </si>
  <si>
    <t xml:space="preserve">                                                                                         ___________________________</t>
  </si>
  <si>
    <t xml:space="preserve">                                                    Kėdainių rajono savivaldybės tarybos</t>
  </si>
  <si>
    <t>10 priedas</t>
  </si>
  <si>
    <t xml:space="preserve">2022 METŲ VALSTYBĖS BIUDŽETO SPECIALIOS TIKSLINĖS DOTACIJOS SAVIVALDYBĖS BIUDŽETUI KITI ASIGNAVIMAI </t>
  </si>
  <si>
    <t>Kita dotacija neformaliajam vaikų švietimui</t>
  </si>
  <si>
    <t xml:space="preserve"> 09.05.01.03</t>
  </si>
  <si>
    <t>Kėdainių rajono savivaldybės administracija</t>
  </si>
  <si>
    <t xml:space="preserve"> 09.05.01.01</t>
  </si>
  <si>
    <t xml:space="preserve">Kita dotacija 2022 metais biudžetinių įstaigų vadovaujančių darbuotojų minimaliems pareiginės algos koeficientams padidinti, siekiant gerinti jų darbo apmokėjimo sąlygas </t>
  </si>
  <si>
    <t>01.3</t>
  </si>
  <si>
    <t>Kita dotacija pedagoginių darbuotojų, išlaikomų iš savivaldybės biudžeto lėšų (išskyrus valstybės biudžeto specialias tikslines dotacijas),darbo užmokesčiui didinti</t>
  </si>
  <si>
    <t>01.4</t>
  </si>
  <si>
    <t>Kita dotacija išlaidoms, susijusioms su ugdymu, maitinimu ir pavėžėjimu socialinę riziką patiriantiems vaikams ikimokykliniame ugdyme</t>
  </si>
  <si>
    <t>01.5</t>
  </si>
  <si>
    <t>Kita dotacija ugdyti ir pavežėti į mokyklą ir atgal vaikus, atvykusius į Lietuvos Respubliką iš Ukrainos dėl Rusijos federacijos karinių veiksmų Ukrainoje</t>
  </si>
  <si>
    <t>01.06</t>
  </si>
  <si>
    <t>Kita dotacija 2022 metais lietuvių kalbos mokyti  suaugusius asmenys, atvykusius į Lietuvos Respubliką iš Ukrainos dėl Rusijos federacijos karinių veiksmų Ukrainoje</t>
  </si>
  <si>
    <t>01.07</t>
  </si>
  <si>
    <t>Kita dotacija savivaldybės mokyklų mokytojų, dirbančių pagal ikimokyklinio, priešmokyklinio, bendrojo ugdymo programas, personalo optimizavimui ir atnaujinimui</t>
  </si>
  <si>
    <t>01.08</t>
  </si>
  <si>
    <t>Kita dotacija savivaldybės bendrojo ugdymo mokyklų tinklo stiprinimo iniciatyvoms skatinti</t>
  </si>
  <si>
    <t>01.9</t>
  </si>
  <si>
    <t>Kita dotacija valstybės investicijų 2022 m. programoje numatytoms kapitalo investicijoms</t>
  </si>
  <si>
    <t xml:space="preserve"> Kita dotacija plėtoti visuomenės psichologinės gerovės ir psichikos sveikatos stiprinimo paslaugas gyventojams bendruomenėse</t>
  </si>
  <si>
    <t xml:space="preserve">10.01.02.02
</t>
  </si>
  <si>
    <t>Kita dotacija akredituotai vaikų dienos socialinei priežiūrai organizuoti</t>
  </si>
  <si>
    <t xml:space="preserve">Kita dotacija užtikrinti 2022 metais Lietuvos Respublikos piniginės socialinės paramos nepasiturintiems gyventojams įstatymo įgyvendinimą dėl padidėjusių išlaidų būsto šildymo išlaidų kompensacijoms teikti </t>
  </si>
  <si>
    <t>10.</t>
  </si>
  <si>
    <t>Kita dotacija užtikrinti 2022 metais Lietuvos Respublikos piniginės socialinės paramos nepasiturintiems gyventojams įstatymo įgyvendinimą dėl valstybės remiamų pajamų dydžio padidinimo</t>
  </si>
  <si>
    <t xml:space="preserve">10.06.01.01 10.07.01.01
</t>
  </si>
  <si>
    <t>Kita dotacija 2022 metais asmeninei pagalbai teikti ir administruoti</t>
  </si>
  <si>
    <t>Kita dotacija socialinių paslaugų srities darbuotojų minimaliems pareiginės algos pastoviosios dalies koeficientams didinti</t>
  </si>
  <si>
    <t>03.7</t>
  </si>
  <si>
    <t>Kita dotaacija 2022 metais būstams pritaikyti neįgaliesiems</t>
  </si>
  <si>
    <t>03.8</t>
  </si>
  <si>
    <t>Kita dotaacija mokėti 20 proc. Bazinės socialinės išmokos (BSĮ) neįgaliesiems</t>
  </si>
  <si>
    <t>03.9</t>
  </si>
  <si>
    <t>Kita dotacija 2022 metais socialinės reabilitacijos paslaugų neįgaliesiems teikimo bendruomenėje projektams finansuoti ir administruoti</t>
  </si>
  <si>
    <t>03.10</t>
  </si>
  <si>
    <t>Kita dotacija socialinių paslaugų šakos kolektyvinėje sutartyje nustatytiems įsipareigojimams igyvendinti</t>
  </si>
  <si>
    <t>03.11</t>
  </si>
  <si>
    <t>Kita dotacija už būsto suteikimą užsieniečiams, pasitraukusiems iš Ukrainos dėl Rusijos federacijos karinių veiksmų Ukrainoje, finansuoti</t>
  </si>
  <si>
    <t>03.12</t>
  </si>
  <si>
    <t>Kita dotacija kompensuoti iki 2022 m. birželio 13 d. savivaldybės patirtas išlaidas užsieniečiams, pasitraukusiems iš Ukrainos dėl Rusijos federacijos karinių veiksmų Ukrainoje, priimti ir pagalbai jiems teikti įgyvendinant Lietuvos Respublikos piniginės socialinės paramos nepasiturintiems gyventojams įstatymą</t>
  </si>
  <si>
    <t>03.13</t>
  </si>
  <si>
    <t>Kita dotacija vienkartinėms išmokoms įsikurti gyvenamojoje vietoje savivaldybės teritorijoje ir (ar) mėnesinėms kompensacijoms vaiko ugdymo pagal ikimokyklinio ir priešmokyklinio ugdymo programą išlaidoms</t>
  </si>
  <si>
    <t>03.14</t>
  </si>
  <si>
    <t>Kita dotacija itegraliai pagalbai teikti nuo 2022 m. sausio 1 d. iki 2022 m. gruodžio 31 d.</t>
  </si>
  <si>
    <t>03.15</t>
  </si>
  <si>
    <t xml:space="preserve">  Kita dotacija teikti socialines paslaugas dėl karinių veiksmų iš Ukrainos pasitraukusiems gyventojams savivaldybėje</t>
  </si>
  <si>
    <t>05.1</t>
  </si>
  <si>
    <t>Kita dotacija savivaldybės viešajai bibliotekai dokumentams 2022 metais įsigyti</t>
  </si>
  <si>
    <t>05.2</t>
  </si>
  <si>
    <t>05.3</t>
  </si>
  <si>
    <t>05.4</t>
  </si>
  <si>
    <t>Kita dotacija nevyriausybinių organizacijų ir bendruomeninės veiklos stiprinimui</t>
  </si>
  <si>
    <t>10.09.01.01</t>
  </si>
  <si>
    <t>07.1</t>
  </si>
  <si>
    <t>Kita dotacija  savivaldybės institucijos valdomiems vietinės reikšmės keliams</t>
  </si>
  <si>
    <t>08.1</t>
  </si>
  <si>
    <t>Kita dotacija „Sosnovskio barsčio naikinimas Kėdainių rajone“</t>
  </si>
  <si>
    <t>08.2</t>
  </si>
  <si>
    <t>Kita dotacija atkurti Nevėžio upės vientisumą nugriaunant neeksploatuojamus hidroelekrinės statinius</t>
  </si>
  <si>
    <t>Kita dotacija investicinių žemės sklypų, iki kurių ribos ir (ar) kurių ribose įrengiama ir (ar) sutvarkoma infrastruktūra, projektui "Kėdainių miesto viešosios infrastruktūros, svarbios verslui, atnaujinimas ir plėtra" įgyvendinti</t>
  </si>
  <si>
    <t>04.01.01.06</t>
  </si>
  <si>
    <t xml:space="preserve"> Kita dotacija kompensuoti savivaldybės patirtas išlaidas, esant valstybės lygio ekstremaliajai situacijai, siekiant šalinti COVID-19 ligos (koronaviruso infekcijos) padarinius</t>
  </si>
  <si>
    <t xml:space="preserve"> Kita dotacija kompensuoti savivaldybės patirtas išlaidas valdant nepaprastąją padėtį dėl užsieniečių, pasitraukusių iš Ukrainos dėl Rusijos federacijos karinių veiksmų Ukrainoje</t>
  </si>
  <si>
    <t xml:space="preserve">                                                             Kėdainių rajono savivaldybės tarybos</t>
  </si>
  <si>
    <t>2022 METŲ VALSTYBĖS BIUDŽETO DOTACIJOS IŠ KITŲ VALDYMO LYGIŲ SAVIVALDYBĖS BIUDŽETUI PROJEKTAMS FINANSUOTI  ASIGNAVIMAI</t>
  </si>
  <si>
    <t>KĖDAINIŲ RAJONO SAVIVALDYBĖS  2022 METŲ BIUDŽETO ASIGNAVIMAI INVESTICIJŲ PROJEKTAMS FINANSUOTI  PASKOLŲ LĖŠOMIS PAGAL OBJEKTUS</t>
  </si>
  <si>
    <t xml:space="preserve">                                                                  2023 m. rugsėjo 29 d. sprendimo Nr. TS-</t>
  </si>
  <si>
    <t xml:space="preserve">                                                                2023 m. rugsėjo 29 d. sprendimo Nr. TS-</t>
  </si>
  <si>
    <t xml:space="preserve">                                                          2023 m. rugsėjo 29 d. sprendimo Nr. TS-</t>
  </si>
  <si>
    <t xml:space="preserve">                                                                    2023 m. rugsėjo 29 d. sprendimo Nr. TS-</t>
  </si>
  <si>
    <t xml:space="preserve">                                                                                   2023 m. rugsėjo 29 d. sprendimo Nr. TS-</t>
  </si>
  <si>
    <t xml:space="preserve">                                                                           2023 m. rugsėjo 29 d. sprendimo Nr. TS-</t>
  </si>
  <si>
    <t xml:space="preserve">                                                                              2023 m. rugsėjo 29 d. sprendimo Nr. TS-</t>
  </si>
  <si>
    <t>2 priedas</t>
  </si>
  <si>
    <t>1 priedas</t>
  </si>
  <si>
    <t>6 priedas</t>
  </si>
  <si>
    <t>2021 m. finansavimo atstatymas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</si>
</sst>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0.0;;"/>
    <numFmt numFmtId="166" formatCode="0.0"/>
    <numFmt numFmtId="167" formatCode="#,##0.0_ ;\-#,##0.0\ "/>
    <numFmt numFmtId="168" formatCode="0.0_ ;\-0.0\ "/>
    <numFmt numFmtId="169" formatCode="0.0;\-0.0;"/>
  </numFmts>
  <fonts count="14" x14ac:knownFonts="1">
    <font>
      <sz val="11"/>
      <color theme="1"/>
      <name val="Calibri"/>
      <family val="2"/>
      <charset val="186"/>
      <scheme val="minor"/>
    </font>
    <font>
      <sz val="10"/>
      <name val="Times New Roman"/>
      <family val="1"/>
      <charset val="186"/>
    </font>
    <font>
      <sz val="12"/>
      <name val="Times New Roman"/>
      <family val="1"/>
      <charset val="186"/>
    </font>
    <font>
      <b/>
      <sz val="10"/>
      <name val="Times New Roman"/>
      <family val="1"/>
      <charset val="186"/>
    </font>
    <font>
      <sz val="8"/>
      <name val="Times New Roman"/>
      <family val="1"/>
      <charset val="186"/>
    </font>
    <font>
      <b/>
      <i/>
      <sz val="10"/>
      <name val="Times New Roman"/>
      <family val="1"/>
      <charset val="186"/>
    </font>
    <font>
      <i/>
      <sz val="10"/>
      <name val="Times New Roman"/>
      <family val="1"/>
      <charset val="186"/>
    </font>
    <font>
      <b/>
      <sz val="9"/>
      <name val="Times New Roman"/>
      <family val="1"/>
      <charset val="186"/>
    </font>
    <font>
      <b/>
      <sz val="11"/>
      <name val="Times New Roman"/>
      <family val="1"/>
      <charset val="186"/>
    </font>
    <font>
      <sz val="10"/>
      <name val="Arial"/>
      <family val="2"/>
      <charset val="186"/>
    </font>
    <font>
      <sz val="11"/>
      <name val="Calibri"/>
      <family val="2"/>
      <charset val="186"/>
    </font>
    <font>
      <sz val="9"/>
      <name val="Times New Roman"/>
      <family val="1"/>
      <charset val="186"/>
    </font>
    <font>
      <sz val="10"/>
      <color rgb="FFFF0000"/>
      <name val="Times New Roman"/>
      <family val="1"/>
      <charset val="186"/>
    </font>
    <font>
      <i/>
      <sz val="10"/>
      <color theme="1"/>
      <name val="Times New Roman"/>
      <family val="1"/>
      <charset val="186"/>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5">
    <xf numFmtId="0" fontId="0" fillId="0" borderId="0"/>
    <xf numFmtId="0" fontId="1" fillId="0" borderId="0"/>
    <xf numFmtId="0" fontId="1" fillId="0" borderId="0"/>
    <xf numFmtId="0" fontId="9" fillId="0" borderId="0"/>
    <xf numFmtId="0" fontId="1" fillId="0" borderId="0"/>
  </cellStyleXfs>
  <cellXfs count="282">
    <xf numFmtId="0" fontId="0" fillId="0" borderId="0" xfId="0"/>
    <xf numFmtId="0" fontId="1" fillId="0" borderId="0" xfId="0" applyFont="1" applyAlignment="1">
      <alignment horizontal="right" vertical="center"/>
    </xf>
    <xf numFmtId="0" fontId="1" fillId="0" borderId="0" xfId="0" applyFont="1" applyAlignment="1">
      <alignment horizontal="center" vertical="center"/>
    </xf>
    <xf numFmtId="0" fontId="2" fillId="0" borderId="0" xfId="0" applyFont="1" applyAlignment="1">
      <alignment horizontal="center"/>
    </xf>
    <xf numFmtId="0" fontId="1" fillId="0" borderId="0" xfId="0" applyFont="1"/>
    <xf numFmtId="49" fontId="1" fillId="0" borderId="0" xfId="0" applyNumberFormat="1" applyFont="1" applyAlignment="1">
      <alignment horizontal="center" vertical="center"/>
    </xf>
    <xf numFmtId="0" fontId="1" fillId="0" borderId="0" xfId="0" applyFont="1" applyAlignment="1">
      <alignment vertical="center"/>
    </xf>
    <xf numFmtId="0" fontId="2" fillId="0" borderId="0" xfId="0" applyFont="1" applyAlignment="1">
      <alignment horizontal="right" vertical="center"/>
    </xf>
    <xf numFmtId="49" fontId="3" fillId="0" borderId="0" xfId="0" applyNumberFormat="1" applyFont="1" applyAlignment="1">
      <alignment horizontal="center" vertical="center" wrapText="1"/>
    </xf>
    <xf numFmtId="0" fontId="1" fillId="0" borderId="0" xfId="0" applyFont="1" applyAlignment="1">
      <alignment wrapText="1"/>
    </xf>
    <xf numFmtId="0" fontId="3" fillId="0" borderId="6" xfId="0" applyFont="1" applyBorder="1" applyAlignment="1">
      <alignment horizontal="center" vertical="center" wrapText="1"/>
    </xf>
    <xf numFmtId="0" fontId="3" fillId="0" borderId="6" xfId="0" applyFont="1" applyBorder="1" applyAlignment="1">
      <alignment horizontal="center" vertical="center"/>
    </xf>
    <xf numFmtId="49" fontId="3" fillId="0" borderId="6" xfId="0" applyNumberFormat="1" applyFont="1" applyBorder="1" applyAlignment="1">
      <alignment horizontal="center" vertical="center"/>
    </xf>
    <xf numFmtId="49" fontId="3" fillId="0" borderId="6" xfId="0" applyNumberFormat="1" applyFont="1" applyBorder="1" applyAlignment="1">
      <alignment horizontal="center" vertical="center" wrapText="1"/>
    </xf>
    <xf numFmtId="0" fontId="1" fillId="0" borderId="6" xfId="0" applyFont="1" applyBorder="1" applyAlignment="1">
      <alignment horizontal="right" vertical="center"/>
    </xf>
    <xf numFmtId="0" fontId="3" fillId="0" borderId="6" xfId="0" applyFont="1" applyBorder="1" applyAlignment="1">
      <alignment horizontal="left" vertical="center" wrapText="1"/>
    </xf>
    <xf numFmtId="164" fontId="3" fillId="0" borderId="6" xfId="0" applyNumberFormat="1" applyFont="1" applyBorder="1" applyAlignment="1">
      <alignment horizontal="center" vertical="center" wrapText="1"/>
    </xf>
    <xf numFmtId="165" fontId="1" fillId="0" borderId="0" xfId="0" applyNumberFormat="1" applyFont="1"/>
    <xf numFmtId="49" fontId="1" fillId="0" borderId="6" xfId="0" applyNumberFormat="1" applyFont="1" applyBorder="1" applyAlignment="1">
      <alignment horizontal="center" vertical="center"/>
    </xf>
    <xf numFmtId="166" fontId="1" fillId="0" borderId="6" xfId="0" applyNumberFormat="1" applyFont="1" applyBorder="1" applyAlignment="1">
      <alignment vertical="center"/>
    </xf>
    <xf numFmtId="164" fontId="1" fillId="0" borderId="6" xfId="0" applyNumberFormat="1" applyFont="1" applyBorder="1" applyAlignment="1">
      <alignment horizontal="right" vertical="center"/>
    </xf>
    <xf numFmtId="0" fontId="1" fillId="0" borderId="6" xfId="0" applyFont="1" applyBorder="1"/>
    <xf numFmtId="164" fontId="1" fillId="0" borderId="0" xfId="0" applyNumberFormat="1" applyFont="1" applyAlignment="1">
      <alignment horizontal="right" vertical="center"/>
    </xf>
    <xf numFmtId="166" fontId="1" fillId="0" borderId="6" xfId="0" applyNumberFormat="1" applyFont="1" applyBorder="1"/>
    <xf numFmtId="166" fontId="1" fillId="0" borderId="6" xfId="0" applyNumberFormat="1" applyFont="1" applyBorder="1" applyAlignment="1">
      <alignment vertical="center" wrapText="1"/>
    </xf>
    <xf numFmtId="49" fontId="1" fillId="0" borderId="6" xfId="0" applyNumberFormat="1" applyFont="1" applyBorder="1" applyAlignment="1">
      <alignment horizontal="center" vertical="center" wrapText="1"/>
    </xf>
    <xf numFmtId="0" fontId="1" fillId="0" borderId="6" xfId="0" applyFont="1" applyBorder="1" applyAlignment="1">
      <alignment vertical="center"/>
    </xf>
    <xf numFmtId="166" fontId="1" fillId="2" borderId="6" xfId="0" applyNumberFormat="1" applyFont="1" applyFill="1" applyBorder="1" applyAlignment="1">
      <alignment vertical="center"/>
    </xf>
    <xf numFmtId="49" fontId="1" fillId="2" borderId="6" xfId="0" applyNumberFormat="1" applyFont="1" applyFill="1" applyBorder="1" applyAlignment="1">
      <alignment horizontal="center" vertical="center"/>
    </xf>
    <xf numFmtId="164" fontId="1" fillId="2" borderId="6" xfId="0" applyNumberFormat="1" applyFont="1" applyFill="1" applyBorder="1" applyAlignment="1">
      <alignment horizontal="right" vertical="center"/>
    </xf>
    <xf numFmtId="0" fontId="1" fillId="2" borderId="6" xfId="0" applyFont="1" applyFill="1" applyBorder="1"/>
    <xf numFmtId="166" fontId="1" fillId="0" borderId="7" xfId="0" applyNumberFormat="1" applyFont="1" applyBorder="1" applyAlignment="1">
      <alignment vertical="center"/>
    </xf>
    <xf numFmtId="0" fontId="1" fillId="0" borderId="2" xfId="0" applyFont="1" applyBorder="1" applyAlignment="1">
      <alignment horizontal="right" vertical="center"/>
    </xf>
    <xf numFmtId="49" fontId="1" fillId="0" borderId="2" xfId="0" applyNumberFormat="1" applyFont="1" applyBorder="1" applyAlignment="1">
      <alignment horizontal="center" vertical="center"/>
    </xf>
    <xf numFmtId="166" fontId="1" fillId="2" borderId="6" xfId="0" applyNumberFormat="1" applyFont="1" applyFill="1" applyBorder="1"/>
    <xf numFmtId="166" fontId="1" fillId="0" borderId="6" xfId="1" applyNumberFormat="1" applyBorder="1" applyAlignment="1">
      <alignment vertical="center" wrapText="1"/>
    </xf>
    <xf numFmtId="165" fontId="1" fillId="0" borderId="6" xfId="0" applyNumberFormat="1" applyFont="1" applyBorder="1"/>
    <xf numFmtId="164" fontId="1" fillId="0" borderId="0" xfId="1" applyNumberFormat="1" applyAlignment="1">
      <alignment horizontal="right" vertical="center"/>
    </xf>
    <xf numFmtId="49" fontId="4" fillId="2" borderId="6" xfId="0" applyNumberFormat="1" applyFont="1" applyFill="1" applyBorder="1" applyAlignment="1">
      <alignment horizontal="right" vertical="center"/>
    </xf>
    <xf numFmtId="49" fontId="1" fillId="2" borderId="6" xfId="0" applyNumberFormat="1" applyFont="1" applyFill="1" applyBorder="1" applyAlignment="1">
      <alignment horizontal="center" vertical="center" wrapText="1"/>
    </xf>
    <xf numFmtId="164" fontId="1" fillId="2" borderId="6" xfId="1" applyNumberFormat="1" applyFill="1" applyBorder="1" applyAlignment="1">
      <alignment horizontal="right" vertical="center"/>
    </xf>
    <xf numFmtId="49" fontId="4" fillId="0" borderId="6" xfId="0" applyNumberFormat="1" applyFont="1" applyBorder="1" applyAlignment="1">
      <alignment horizontal="right" vertical="center"/>
    </xf>
    <xf numFmtId="164" fontId="1" fillId="0" borderId="6" xfId="1" applyNumberFormat="1" applyBorder="1" applyAlignment="1">
      <alignment horizontal="right" vertical="center"/>
    </xf>
    <xf numFmtId="166" fontId="1" fillId="0" borderId="6" xfId="1" applyNumberFormat="1" applyBorder="1" applyAlignment="1">
      <alignment horizontal="left" vertical="center" wrapText="1"/>
    </xf>
    <xf numFmtId="49" fontId="5" fillId="0" borderId="6" xfId="0" applyNumberFormat="1" applyFont="1" applyBorder="1" applyAlignment="1">
      <alignment vertical="center" wrapText="1"/>
    </xf>
    <xf numFmtId="164" fontId="3" fillId="0" borderId="6" xfId="0" applyNumberFormat="1" applyFont="1" applyBorder="1" applyAlignment="1">
      <alignment horizontal="right" vertical="center"/>
    </xf>
    <xf numFmtId="0" fontId="1" fillId="0" borderId="6" xfId="0" applyFont="1" applyBorder="1" applyAlignment="1">
      <alignment vertical="center" wrapText="1"/>
    </xf>
    <xf numFmtId="49" fontId="1" fillId="0" borderId="6" xfId="0" applyNumberFormat="1" applyFont="1" applyBorder="1" applyAlignment="1">
      <alignment vertical="center" wrapText="1"/>
    </xf>
    <xf numFmtId="0" fontId="1" fillId="0" borderId="6" xfId="0" applyFont="1" applyBorder="1" applyAlignment="1">
      <alignment horizontal="left" vertical="center" wrapText="1"/>
    </xf>
    <xf numFmtId="0" fontId="1" fillId="0" borderId="6" xfId="0" applyFont="1" applyBorder="1" applyAlignment="1">
      <alignment horizontal="center" vertical="center"/>
    </xf>
    <xf numFmtId="164" fontId="1" fillId="2" borderId="6" xfId="0" applyNumberFormat="1" applyFont="1" applyFill="1" applyBorder="1" applyAlignment="1">
      <alignment vertical="center"/>
    </xf>
    <xf numFmtId="164" fontId="1" fillId="0" borderId="6" xfId="0" applyNumberFormat="1" applyFont="1" applyBorder="1" applyAlignment="1">
      <alignment vertical="center"/>
    </xf>
    <xf numFmtId="49" fontId="3" fillId="0" borderId="6" xfId="0" applyNumberFormat="1" applyFont="1" applyBorder="1" applyAlignment="1">
      <alignment horizontal="left" vertical="center" wrapText="1"/>
    </xf>
    <xf numFmtId="164" fontId="3" fillId="0" borderId="6" xfId="0" applyNumberFormat="1" applyFont="1" applyBorder="1" applyAlignment="1">
      <alignment horizontal="center" vertical="center"/>
    </xf>
    <xf numFmtId="164" fontId="1" fillId="0" borderId="0" xfId="0" applyNumberFormat="1" applyFont="1"/>
    <xf numFmtId="0" fontId="1" fillId="0" borderId="2" xfId="0" applyFont="1" applyBorder="1" applyAlignment="1">
      <alignment horizontal="center" vertical="center"/>
    </xf>
    <xf numFmtId="49" fontId="1" fillId="0" borderId="2" xfId="0" applyNumberFormat="1" applyFont="1" applyBorder="1" applyAlignment="1">
      <alignment horizontal="center" vertical="center" wrapText="1"/>
    </xf>
    <xf numFmtId="165" fontId="1" fillId="0" borderId="6" xfId="0" applyNumberFormat="1" applyFont="1" applyBorder="1" applyAlignment="1">
      <alignment vertical="center"/>
    </xf>
    <xf numFmtId="166" fontId="6" fillId="0" borderId="6" xfId="0" applyNumberFormat="1" applyFont="1" applyBorder="1" applyAlignment="1">
      <alignment vertical="center" wrapText="1"/>
    </xf>
    <xf numFmtId="0" fontId="1" fillId="0" borderId="6" xfId="2" applyBorder="1" applyAlignment="1">
      <alignment vertical="center" wrapText="1"/>
    </xf>
    <xf numFmtId="0" fontId="1" fillId="0" borderId="6" xfId="0" applyFont="1" applyBorder="1" applyAlignment="1">
      <alignment horizontal="left" vertical="top" wrapText="1"/>
    </xf>
    <xf numFmtId="0" fontId="6" fillId="2" borderId="6" xfId="0" applyFont="1" applyFill="1" applyBorder="1" applyAlignment="1">
      <alignment horizontal="left" vertical="center" wrapText="1"/>
    </xf>
    <xf numFmtId="166" fontId="6" fillId="2" borderId="6" xfId="0" applyNumberFormat="1" applyFont="1" applyFill="1" applyBorder="1" applyAlignment="1">
      <alignment vertical="center" wrapText="1"/>
    </xf>
    <xf numFmtId="166" fontId="1" fillId="0" borderId="6" xfId="1" applyNumberFormat="1" applyBorder="1" applyAlignment="1">
      <alignment vertical="center"/>
    </xf>
    <xf numFmtId="49" fontId="1" fillId="0" borderId="6" xfId="1" applyNumberFormat="1" applyBorder="1" applyAlignment="1">
      <alignment horizontal="center" vertical="center"/>
    </xf>
    <xf numFmtId="0" fontId="1" fillId="0" borderId="6" xfId="0" applyFont="1" applyBorder="1" applyAlignment="1">
      <alignment horizontal="center" vertical="center" wrapText="1"/>
    </xf>
    <xf numFmtId="166" fontId="1" fillId="2" borderId="6" xfId="0" applyNumberFormat="1" applyFont="1" applyFill="1" applyBorder="1" applyAlignment="1">
      <alignment horizontal="left" vertical="center" wrapText="1"/>
    </xf>
    <xf numFmtId="0" fontId="1" fillId="2" borderId="6" xfId="0" applyFont="1" applyFill="1" applyBorder="1" applyAlignment="1">
      <alignment horizontal="center" vertical="center" wrapText="1"/>
    </xf>
    <xf numFmtId="165" fontId="1" fillId="2" borderId="6" xfId="0" applyNumberFormat="1" applyFont="1" applyFill="1" applyBorder="1" applyAlignment="1">
      <alignment vertical="center"/>
    </xf>
    <xf numFmtId="49" fontId="1" fillId="0" borderId="6" xfId="1" applyNumberFormat="1" applyBorder="1" applyAlignment="1">
      <alignment horizontal="center" vertical="center" wrapText="1"/>
    </xf>
    <xf numFmtId="0" fontId="1" fillId="2" borderId="6" xfId="0" applyFont="1" applyFill="1" applyBorder="1" applyAlignment="1">
      <alignment vertical="center" wrapText="1"/>
    </xf>
    <xf numFmtId="49" fontId="1" fillId="2" borderId="6" xfId="1" applyNumberFormat="1" applyFill="1" applyBorder="1" applyAlignment="1">
      <alignment horizontal="center" vertical="center"/>
    </xf>
    <xf numFmtId="166" fontId="1" fillId="2" borderId="6" xfId="0" applyNumberFormat="1" applyFont="1" applyFill="1" applyBorder="1" applyAlignment="1">
      <alignment vertical="center" wrapText="1"/>
    </xf>
    <xf numFmtId="166" fontId="1" fillId="0" borderId="6" xfId="0" applyNumberFormat="1" applyFont="1" applyBorder="1" applyAlignment="1">
      <alignment horizontal="left" vertical="center" wrapText="1"/>
    </xf>
    <xf numFmtId="167" fontId="1" fillId="0" borderId="0" xfId="0" applyNumberFormat="1" applyFont="1"/>
    <xf numFmtId="0" fontId="1" fillId="2" borderId="6" xfId="2" applyFill="1" applyBorder="1" applyAlignment="1">
      <alignment vertical="center" wrapText="1"/>
    </xf>
    <xf numFmtId="0" fontId="6" fillId="2" borderId="6" xfId="2" applyFont="1" applyFill="1" applyBorder="1" applyAlignment="1">
      <alignment vertical="center" wrapText="1"/>
    </xf>
    <xf numFmtId="165" fontId="1" fillId="2" borderId="6" xfId="0" applyNumberFormat="1" applyFont="1" applyFill="1" applyBorder="1"/>
    <xf numFmtId="49" fontId="1" fillId="2" borderId="2" xfId="0" applyNumberFormat="1" applyFont="1" applyFill="1" applyBorder="1" applyAlignment="1">
      <alignment horizontal="center" vertical="center"/>
    </xf>
    <xf numFmtId="164" fontId="3" fillId="0" borderId="0" xfId="0" applyNumberFormat="1" applyFont="1" applyAlignment="1">
      <alignment horizontal="right" vertical="center"/>
    </xf>
    <xf numFmtId="0" fontId="1" fillId="0" borderId="0" xfId="0" applyFont="1" applyAlignment="1">
      <alignment horizontal="right"/>
    </xf>
    <xf numFmtId="166" fontId="3" fillId="0" borderId="6" xfId="0" applyNumberFormat="1" applyFont="1" applyBorder="1" applyAlignment="1">
      <alignment vertical="center" wrapText="1"/>
    </xf>
    <xf numFmtId="49" fontId="3" fillId="0" borderId="2" xfId="0" applyNumberFormat="1" applyFont="1" applyBorder="1" applyAlignment="1">
      <alignment horizontal="center" vertical="center"/>
    </xf>
    <xf numFmtId="0" fontId="4" fillId="0" borderId="6" xfId="0" applyFont="1" applyBorder="1" applyAlignment="1">
      <alignment horizontal="right" vertical="center"/>
    </xf>
    <xf numFmtId="0" fontId="1" fillId="2" borderId="6" xfId="0" applyFont="1" applyFill="1" applyBorder="1" applyAlignment="1">
      <alignment horizontal="left" vertical="center" wrapText="1"/>
    </xf>
    <xf numFmtId="49" fontId="7" fillId="0" borderId="6" xfId="0" applyNumberFormat="1" applyFont="1" applyBorder="1" applyAlignment="1">
      <alignment horizontal="left" vertical="center" wrapText="1"/>
    </xf>
    <xf numFmtId="165" fontId="1" fillId="0" borderId="0" xfId="0" applyNumberFormat="1" applyFont="1" applyAlignment="1">
      <alignment vertical="center"/>
    </xf>
    <xf numFmtId="167" fontId="1" fillId="0" borderId="6" xfId="0" applyNumberFormat="1" applyFont="1" applyBorder="1" applyAlignment="1">
      <alignment horizontal="center" vertical="center" wrapText="1"/>
    </xf>
    <xf numFmtId="167" fontId="1" fillId="0" borderId="6" xfId="0" applyNumberFormat="1" applyFont="1" applyBorder="1" applyAlignment="1">
      <alignment horizontal="center" vertical="center"/>
    </xf>
    <xf numFmtId="0" fontId="1" fillId="0" borderId="6" xfId="0" applyFont="1" applyBorder="1" applyAlignment="1">
      <alignment horizontal="left" vertical="center"/>
    </xf>
    <xf numFmtId="49" fontId="1" fillId="0" borderId="6" xfId="2" applyNumberFormat="1" applyBorder="1" applyAlignment="1">
      <alignment horizontal="center" vertical="center" wrapText="1"/>
    </xf>
    <xf numFmtId="49" fontId="1" fillId="2" borderId="6" xfId="2" applyNumberFormat="1" applyFill="1" applyBorder="1" applyAlignment="1">
      <alignment horizontal="center" vertical="center" wrapText="1"/>
    </xf>
    <xf numFmtId="49" fontId="1" fillId="2" borderId="6" xfId="1" applyNumberFormat="1" applyFill="1" applyBorder="1" applyAlignment="1">
      <alignment horizontal="center" vertical="center" wrapText="1"/>
    </xf>
    <xf numFmtId="49" fontId="3" fillId="0" borderId="6" xfId="1" applyNumberFormat="1" applyFont="1" applyBorder="1" applyAlignment="1">
      <alignment horizontal="center" vertical="center" wrapText="1"/>
    </xf>
    <xf numFmtId="0" fontId="1" fillId="0" borderId="0" xfId="0" applyFont="1" applyAlignment="1">
      <alignment horizontal="left"/>
    </xf>
    <xf numFmtId="168" fontId="1" fillId="0" borderId="0" xfId="0" applyNumberFormat="1" applyFont="1"/>
    <xf numFmtId="49" fontId="8" fillId="0" borderId="6" xfId="0" applyNumberFormat="1" applyFont="1" applyBorder="1" applyAlignment="1">
      <alignment horizontal="right" vertical="center" wrapText="1"/>
    </xf>
    <xf numFmtId="166" fontId="1" fillId="0" borderId="0" xfId="0" applyNumberFormat="1" applyFont="1"/>
    <xf numFmtId="164" fontId="1" fillId="0" borderId="0" xfId="0" applyNumberFormat="1" applyFont="1" applyAlignment="1">
      <alignment vertical="center"/>
    </xf>
    <xf numFmtId="4" fontId="1" fillId="0" borderId="0" xfId="0" applyNumberFormat="1" applyFont="1"/>
    <xf numFmtId="0" fontId="1" fillId="0" borderId="0" xfId="0" applyFont="1" applyAlignment="1">
      <alignment vertical="center" wrapText="1"/>
    </xf>
    <xf numFmtId="164" fontId="3" fillId="0" borderId="0" xfId="0" applyNumberFormat="1" applyFont="1"/>
    <xf numFmtId="0" fontId="3" fillId="0" borderId="0" xfId="0" applyFont="1"/>
    <xf numFmtId="164" fontId="3" fillId="0" borderId="0" xfId="0" applyNumberFormat="1" applyFont="1" applyAlignment="1">
      <alignment vertical="center"/>
    </xf>
    <xf numFmtId="166" fontId="1" fillId="0" borderId="0" xfId="0" applyNumberFormat="1" applyFont="1" applyAlignment="1">
      <alignment vertical="center"/>
    </xf>
    <xf numFmtId="168" fontId="1" fillId="0" borderId="0" xfId="0" applyNumberFormat="1" applyFont="1" applyAlignment="1">
      <alignment vertical="center"/>
    </xf>
    <xf numFmtId="2" fontId="1" fillId="0" borderId="0" xfId="0" applyNumberFormat="1" applyFont="1" applyAlignment="1">
      <alignment horizontal="center" vertical="center"/>
    </xf>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lignment horizontal="center" vertical="center" wrapText="1"/>
    </xf>
    <xf numFmtId="167" fontId="3" fillId="0" borderId="6" xfId="0" applyNumberFormat="1" applyFont="1" applyBorder="1" applyAlignment="1">
      <alignment horizontal="center" vertical="center"/>
    </xf>
    <xf numFmtId="167" fontId="1" fillId="0" borderId="6" xfId="0" applyNumberFormat="1" applyFont="1" applyBorder="1" applyAlignment="1">
      <alignment horizontal="right" vertical="center"/>
    </xf>
    <xf numFmtId="166" fontId="1" fillId="0" borderId="7" xfId="0" applyNumberFormat="1" applyFont="1" applyBorder="1" applyAlignment="1">
      <alignment vertical="center" wrapText="1"/>
    </xf>
    <xf numFmtId="166" fontId="1" fillId="0" borderId="3" xfId="0" applyNumberFormat="1" applyFont="1" applyBorder="1" applyAlignment="1">
      <alignment vertical="center" wrapText="1"/>
    </xf>
    <xf numFmtId="166" fontId="1" fillId="0" borderId="3" xfId="0" applyNumberFormat="1" applyFont="1" applyBorder="1" applyAlignment="1">
      <alignment horizontal="left" vertical="center" wrapText="1"/>
    </xf>
    <xf numFmtId="49" fontId="1" fillId="0" borderId="2" xfId="1" applyNumberFormat="1" applyBorder="1" applyAlignment="1">
      <alignment horizontal="center" vertical="center" wrapText="1"/>
    </xf>
    <xf numFmtId="167" fontId="3" fillId="0" borderId="6" xfId="0" applyNumberFormat="1" applyFont="1" applyBorder="1" applyAlignment="1">
      <alignment horizontal="right" vertical="center"/>
    </xf>
    <xf numFmtId="49" fontId="3" fillId="0" borderId="6" xfId="0" applyNumberFormat="1" applyFont="1" applyBorder="1" applyAlignment="1">
      <alignment horizontal="right" vertical="center"/>
    </xf>
    <xf numFmtId="166" fontId="1" fillId="0" borderId="0" xfId="0" applyNumberFormat="1" applyFont="1" applyAlignment="1">
      <alignment horizontal="right" vertical="center"/>
    </xf>
    <xf numFmtId="167" fontId="1" fillId="0" borderId="0" xfId="0" applyNumberFormat="1" applyFont="1" applyAlignment="1">
      <alignment horizontal="right" vertical="center"/>
    </xf>
    <xf numFmtId="0" fontId="1" fillId="0" borderId="0" xfId="0" applyFont="1" applyAlignment="1">
      <alignment horizontal="center"/>
    </xf>
    <xf numFmtId="166" fontId="1" fillId="0" borderId="3" xfId="0" applyNumberFormat="1" applyFont="1" applyBorder="1" applyAlignment="1">
      <alignment vertical="center"/>
    </xf>
    <xf numFmtId="166" fontId="1" fillId="0" borderId="6" xfId="0" applyNumberFormat="1" applyFont="1" applyBorder="1" applyAlignment="1">
      <alignment horizontal="left" vertical="center"/>
    </xf>
    <xf numFmtId="167" fontId="1" fillId="0" borderId="6" xfId="0" applyNumberFormat="1" applyFont="1" applyBorder="1" applyAlignment="1">
      <alignment horizontal="right" vertical="center" wrapText="1"/>
    </xf>
    <xf numFmtId="167" fontId="1" fillId="0" borderId="0" xfId="0" applyNumberFormat="1" applyFont="1" applyAlignment="1">
      <alignment vertical="center"/>
    </xf>
    <xf numFmtId="0" fontId="3" fillId="0" borderId="4" xfId="0" applyFont="1" applyBorder="1" applyAlignment="1">
      <alignment horizontal="left" vertical="center" wrapText="1"/>
    </xf>
    <xf numFmtId="166" fontId="1" fillId="0" borderId="4" xfId="0" applyNumberFormat="1" applyFont="1" applyBorder="1" applyAlignment="1">
      <alignment vertical="center" wrapText="1"/>
    </xf>
    <xf numFmtId="166" fontId="1" fillId="0" borderId="4" xfId="0" applyNumberFormat="1" applyFont="1" applyBorder="1" applyAlignment="1">
      <alignment vertical="center"/>
    </xf>
    <xf numFmtId="49" fontId="3" fillId="0" borderId="4" xfId="0" applyNumberFormat="1" applyFont="1" applyBorder="1" applyAlignment="1">
      <alignment horizontal="left" vertical="center" wrapText="1"/>
    </xf>
    <xf numFmtId="49" fontId="3" fillId="0" borderId="4" xfId="0" applyNumberFormat="1" applyFont="1" applyBorder="1" applyAlignment="1">
      <alignment horizontal="right" vertical="center"/>
    </xf>
    <xf numFmtId="49" fontId="3" fillId="0" borderId="0" xfId="0" applyNumberFormat="1" applyFont="1" applyAlignment="1">
      <alignment horizontal="right" vertical="center"/>
    </xf>
    <xf numFmtId="164" fontId="3" fillId="0" borderId="0" xfId="0" applyNumberFormat="1" applyFont="1" applyAlignment="1">
      <alignment horizontal="center" vertical="center"/>
    </xf>
    <xf numFmtId="49" fontId="1" fillId="0" borderId="6" xfId="0" applyNumberFormat="1" applyFont="1" applyBorder="1" applyAlignment="1">
      <alignment horizontal="right" vertical="center"/>
    </xf>
    <xf numFmtId="164" fontId="1" fillId="0" borderId="6" xfId="0" applyNumberFormat="1" applyFont="1" applyBorder="1" applyAlignment="1">
      <alignment horizontal="right" vertical="center" wrapText="1"/>
    </xf>
    <xf numFmtId="49" fontId="6" fillId="0" borderId="6" xfId="0" applyNumberFormat="1" applyFont="1" applyBorder="1" applyAlignment="1">
      <alignment vertical="center" wrapText="1"/>
    </xf>
    <xf numFmtId="166" fontId="1" fillId="0" borderId="6" xfId="0" applyNumberFormat="1" applyFont="1" applyBorder="1" applyAlignment="1">
      <alignment horizontal="right"/>
    </xf>
    <xf numFmtId="166" fontId="1" fillId="0" borderId="7" xfId="0" applyNumberFormat="1" applyFont="1" applyBorder="1" applyAlignment="1">
      <alignment horizontal="left" vertical="center" wrapText="1"/>
    </xf>
    <xf numFmtId="166" fontId="4" fillId="0" borderId="0" xfId="0" applyNumberFormat="1" applyFont="1"/>
    <xf numFmtId="164" fontId="3" fillId="0" borderId="6" xfId="1" applyNumberFormat="1" applyFont="1" applyBorder="1" applyAlignment="1">
      <alignment horizontal="center" vertical="center"/>
    </xf>
    <xf numFmtId="49" fontId="1" fillId="0" borderId="6" xfId="0" applyNumberFormat="1" applyFont="1" applyBorder="1" applyAlignment="1">
      <alignment horizontal="left" vertical="center" wrapText="1"/>
    </xf>
    <xf numFmtId="164" fontId="1" fillId="0" borderId="6" xfId="1" applyNumberFormat="1" applyBorder="1" applyAlignment="1">
      <alignment horizontal="center" vertical="center"/>
    </xf>
    <xf numFmtId="166" fontId="1" fillId="0" borderId="6" xfId="0" applyNumberFormat="1" applyFont="1" applyBorder="1" applyAlignment="1">
      <alignment horizontal="right" vertical="center"/>
    </xf>
    <xf numFmtId="49" fontId="1" fillId="2" borderId="6" xfId="0" applyNumberFormat="1" applyFont="1" applyFill="1" applyBorder="1" applyAlignment="1">
      <alignment vertical="center" wrapText="1"/>
    </xf>
    <xf numFmtId="0" fontId="1" fillId="2" borderId="6" xfId="0" applyFont="1" applyFill="1" applyBorder="1" applyAlignment="1">
      <alignment horizontal="right"/>
    </xf>
    <xf numFmtId="164" fontId="1" fillId="0" borderId="6" xfId="1" applyNumberFormat="1" applyBorder="1" applyAlignment="1">
      <alignment vertical="center"/>
    </xf>
    <xf numFmtId="49" fontId="1" fillId="0" borderId="7" xfId="0" applyNumberFormat="1" applyFont="1" applyBorder="1" applyAlignment="1">
      <alignment horizontal="left" vertical="center" wrapText="1"/>
    </xf>
    <xf numFmtId="49" fontId="6" fillId="0" borderId="7" xfId="0" applyNumberFormat="1" applyFont="1" applyBorder="1" applyAlignment="1">
      <alignment horizontal="left" vertical="center" wrapText="1"/>
    </xf>
    <xf numFmtId="49" fontId="1" fillId="0" borderId="3" xfId="0" applyNumberFormat="1" applyFont="1" applyBorder="1" applyAlignment="1">
      <alignment vertical="center" wrapText="1"/>
    </xf>
    <xf numFmtId="49" fontId="1" fillId="0" borderId="4" xfId="0" applyNumberFormat="1" applyFont="1" applyBorder="1" applyAlignment="1">
      <alignment vertical="center" wrapText="1"/>
    </xf>
    <xf numFmtId="166" fontId="4" fillId="0" borderId="0" xfId="0" applyNumberFormat="1" applyFont="1" applyAlignment="1">
      <alignment vertical="center"/>
    </xf>
    <xf numFmtId="0" fontId="1" fillId="0" borderId="0" xfId="3" applyFont="1" applyAlignment="1">
      <alignment horizontal="left" vertical="center"/>
    </xf>
    <xf numFmtId="0" fontId="6" fillId="0" borderId="0" xfId="3" applyFont="1" applyAlignment="1">
      <alignment horizontal="left" vertical="center"/>
    </xf>
    <xf numFmtId="166" fontId="3" fillId="0" borderId="0" xfId="0" applyNumberFormat="1" applyFont="1" applyAlignment="1">
      <alignment vertical="center"/>
    </xf>
    <xf numFmtId="0" fontId="2" fillId="0" borderId="0" xfId="0" applyFont="1" applyAlignment="1">
      <alignment horizontal="right"/>
    </xf>
    <xf numFmtId="49" fontId="1" fillId="0" borderId="0" xfId="0" applyNumberFormat="1" applyFont="1" applyAlignment="1">
      <alignment horizontal="right" vertical="center"/>
    </xf>
    <xf numFmtId="0" fontId="3" fillId="0" borderId="6" xfId="0" applyFont="1" applyBorder="1" applyAlignment="1">
      <alignment horizontal="center"/>
    </xf>
    <xf numFmtId="166" fontId="1" fillId="0" borderId="0" xfId="0" applyNumberFormat="1" applyFont="1" applyAlignment="1">
      <alignment horizontal="left"/>
    </xf>
    <xf numFmtId="0" fontId="6" fillId="0" borderId="6" xfId="0" applyFont="1" applyBorder="1" applyAlignment="1">
      <alignment horizontal="left" vertical="center" wrapText="1"/>
    </xf>
    <xf numFmtId="164" fontId="6" fillId="0" borderId="6" xfId="0" applyNumberFormat="1" applyFont="1" applyBorder="1" applyAlignment="1">
      <alignment horizontal="right" vertical="center" wrapText="1"/>
    </xf>
    <xf numFmtId="164" fontId="6" fillId="0" borderId="6" xfId="0" applyNumberFormat="1" applyFont="1" applyBorder="1" applyAlignment="1">
      <alignment vertical="center" wrapText="1"/>
    </xf>
    <xf numFmtId="166" fontId="10" fillId="0" borderId="0" xfId="0" applyNumberFormat="1" applyFont="1"/>
    <xf numFmtId="49" fontId="3" fillId="2" borderId="6" xfId="0" applyNumberFormat="1" applyFont="1" applyFill="1" applyBorder="1" applyAlignment="1">
      <alignment horizontal="center" vertical="center" wrapText="1"/>
    </xf>
    <xf numFmtId="164" fontId="1" fillId="2" borderId="6" xfId="0" applyNumberFormat="1" applyFont="1" applyFill="1" applyBorder="1" applyAlignment="1">
      <alignment horizontal="right" vertical="center" wrapText="1"/>
    </xf>
    <xf numFmtId="166" fontId="1" fillId="0" borderId="0" xfId="0" applyNumberFormat="1" applyFont="1" applyAlignment="1">
      <alignment horizontal="center"/>
    </xf>
    <xf numFmtId="164" fontId="6" fillId="0" borderId="6" xfId="0" applyNumberFormat="1" applyFont="1" applyBorder="1" applyAlignment="1">
      <alignment horizontal="right" vertical="center"/>
    </xf>
    <xf numFmtId="0" fontId="1" fillId="2" borderId="6" xfId="0" applyFont="1" applyFill="1" applyBorder="1" applyAlignment="1">
      <alignment horizontal="center" vertical="center"/>
    </xf>
    <xf numFmtId="166" fontId="1" fillId="2" borderId="6" xfId="0" applyNumberFormat="1" applyFont="1" applyFill="1" applyBorder="1" applyAlignment="1">
      <alignment horizontal="left" vertical="center"/>
    </xf>
    <xf numFmtId="0" fontId="6" fillId="0" borderId="6" xfId="0" applyFont="1" applyBorder="1" applyAlignment="1">
      <alignment vertical="center" wrapText="1"/>
    </xf>
    <xf numFmtId="166" fontId="1" fillId="2" borderId="0" xfId="0" applyNumberFormat="1" applyFont="1" applyFill="1"/>
    <xf numFmtId="49" fontId="3" fillId="0" borderId="6" xfId="0" applyNumberFormat="1" applyFont="1" applyBorder="1" applyAlignment="1">
      <alignment horizontal="right" vertical="center" wrapText="1"/>
    </xf>
    <xf numFmtId="0" fontId="1" fillId="0" borderId="0" xfId="0" applyFont="1" applyAlignment="1">
      <alignment horizontal="right" vertical="center" wrapText="1"/>
    </xf>
    <xf numFmtId="49" fontId="1" fillId="0" borderId="0" xfId="0" applyNumberFormat="1" applyFont="1" applyAlignment="1">
      <alignment vertical="center"/>
    </xf>
    <xf numFmtId="0" fontId="7" fillId="0" borderId="0" xfId="0" applyFont="1" applyAlignment="1">
      <alignment horizontal="center" vertical="center" wrapText="1"/>
    </xf>
    <xf numFmtId="49" fontId="11" fillId="0" borderId="0" xfId="0" applyNumberFormat="1" applyFont="1" applyAlignment="1">
      <alignment horizontal="center" vertical="center"/>
    </xf>
    <xf numFmtId="49" fontId="11" fillId="0" borderId="0" xfId="0" applyNumberFormat="1" applyFont="1" applyAlignment="1">
      <alignment vertical="center"/>
    </xf>
    <xf numFmtId="0" fontId="11" fillId="0" borderId="0" xfId="0" applyFont="1" applyAlignment="1">
      <alignment horizontal="center" vertical="center"/>
    </xf>
    <xf numFmtId="0" fontId="11" fillId="0" borderId="0" xfId="0" applyFont="1" applyAlignment="1">
      <alignment horizontal="right" vertical="center"/>
    </xf>
    <xf numFmtId="164" fontId="3" fillId="0" borderId="0" xfId="0" applyNumberFormat="1" applyFont="1" applyAlignment="1">
      <alignment horizontal="center" vertical="center" wrapText="1"/>
    </xf>
    <xf numFmtId="49" fontId="6" fillId="0" borderId="6" xfId="0" applyNumberFormat="1" applyFont="1" applyBorder="1" applyAlignment="1">
      <alignment horizontal="left" vertical="center" wrapText="1"/>
    </xf>
    <xf numFmtId="164" fontId="6" fillId="0" borderId="0" xfId="0" applyNumberFormat="1" applyFont="1" applyAlignment="1">
      <alignment horizontal="center" vertical="center" wrapText="1"/>
    </xf>
    <xf numFmtId="166" fontId="1" fillId="0" borderId="0" xfId="0" applyNumberFormat="1" applyFont="1" applyAlignment="1">
      <alignment horizontal="right"/>
    </xf>
    <xf numFmtId="49" fontId="1" fillId="0" borderId="2" xfId="0" applyNumberFormat="1" applyFont="1" applyBorder="1" applyAlignment="1">
      <alignment horizontal="right" vertical="center"/>
    </xf>
    <xf numFmtId="17" fontId="4" fillId="0" borderId="6" xfId="0" applyNumberFormat="1" applyFont="1" applyBorder="1" applyAlignment="1">
      <alignment horizontal="right" vertical="center"/>
    </xf>
    <xf numFmtId="49" fontId="6" fillId="0" borderId="6" xfId="0" applyNumberFormat="1" applyFont="1" applyBorder="1" applyAlignment="1">
      <alignment horizontal="center" vertical="center"/>
    </xf>
    <xf numFmtId="49" fontId="6" fillId="0" borderId="2" xfId="0" applyNumberFormat="1" applyFont="1" applyBorder="1" applyAlignment="1">
      <alignment horizontal="center" vertical="center"/>
    </xf>
    <xf numFmtId="166" fontId="1" fillId="0" borderId="6" xfId="4" applyNumberFormat="1" applyBorder="1" applyAlignment="1">
      <alignment vertical="center" wrapText="1"/>
    </xf>
    <xf numFmtId="49" fontId="3" fillId="0" borderId="0" xfId="0" applyNumberFormat="1" applyFont="1" applyAlignment="1">
      <alignment horizontal="center" vertical="center"/>
    </xf>
    <xf numFmtId="164" fontId="1" fillId="0" borderId="0" xfId="0" applyNumberFormat="1" applyFont="1" applyAlignment="1">
      <alignment horizontal="center" vertical="center"/>
    </xf>
    <xf numFmtId="166" fontId="3" fillId="0" borderId="6" xfId="0" applyNumberFormat="1" applyFont="1" applyBorder="1" applyAlignment="1">
      <alignment horizontal="center" vertical="center"/>
    </xf>
    <xf numFmtId="1" fontId="3" fillId="0" borderId="6" xfId="0" applyNumberFormat="1" applyFont="1" applyBorder="1" applyAlignment="1">
      <alignment horizontal="center"/>
    </xf>
    <xf numFmtId="166" fontId="6" fillId="0" borderId="6" xfId="0" applyNumberFormat="1" applyFont="1" applyBorder="1" applyAlignment="1">
      <alignment horizontal="left" vertical="center" wrapText="1"/>
    </xf>
    <xf numFmtId="166" fontId="1" fillId="2" borderId="6" xfId="0" applyNumberFormat="1" applyFont="1" applyFill="1" applyBorder="1" applyAlignment="1">
      <alignment horizontal="right" vertical="center"/>
    </xf>
    <xf numFmtId="166" fontId="1" fillId="2" borderId="6" xfId="0" applyNumberFormat="1" applyFont="1" applyFill="1" applyBorder="1" applyAlignment="1">
      <alignment horizontal="right"/>
    </xf>
    <xf numFmtId="166" fontId="1" fillId="2" borderId="6" xfId="1" applyNumberFormat="1" applyFill="1" applyBorder="1" applyAlignment="1">
      <alignment vertical="center" wrapText="1"/>
    </xf>
    <xf numFmtId="49" fontId="1" fillId="0" borderId="6" xfId="0" applyNumberFormat="1" applyFont="1" applyBorder="1" applyAlignment="1">
      <alignment horizontal="center" vertical="top" wrapText="1"/>
    </xf>
    <xf numFmtId="49" fontId="6" fillId="0" borderId="6" xfId="0" applyNumberFormat="1" applyFont="1" applyBorder="1" applyAlignment="1">
      <alignment horizontal="center" vertical="center" wrapText="1"/>
    </xf>
    <xf numFmtId="166" fontId="1" fillId="0" borderId="0" xfId="0" applyNumberFormat="1" applyFont="1" applyAlignment="1">
      <alignment horizontal="left" vertical="center"/>
    </xf>
    <xf numFmtId="166" fontId="12" fillId="0" borderId="0" xfId="0" applyNumberFormat="1" applyFont="1"/>
    <xf numFmtId="166" fontId="12" fillId="0" borderId="6" xfId="0" applyNumberFormat="1" applyFont="1" applyBorder="1"/>
    <xf numFmtId="165" fontId="3" fillId="0" borderId="6" xfId="0" applyNumberFormat="1" applyFont="1" applyBorder="1" applyAlignment="1">
      <alignment horizontal="center" vertical="center"/>
    </xf>
    <xf numFmtId="0" fontId="6" fillId="0" borderId="6" xfId="0" applyFont="1" applyBorder="1" applyAlignment="1">
      <alignment horizontal="center" vertical="center"/>
    </xf>
    <xf numFmtId="0" fontId="1" fillId="0" borderId="0" xfId="3" applyFont="1" applyAlignment="1">
      <alignment vertical="center" wrapText="1"/>
    </xf>
    <xf numFmtId="49" fontId="6" fillId="0" borderId="0" xfId="0" applyNumberFormat="1" applyFont="1" applyAlignment="1">
      <alignment horizontal="left" vertical="center" wrapText="1"/>
    </xf>
    <xf numFmtId="166" fontId="6" fillId="0" borderId="0" xfId="0" applyNumberFormat="1" applyFont="1" applyAlignment="1">
      <alignment horizontal="left" vertical="center" wrapText="1"/>
    </xf>
    <xf numFmtId="166" fontId="6" fillId="0" borderId="0" xfId="0" applyNumberFormat="1" applyFont="1" applyAlignment="1">
      <alignment vertical="center" wrapText="1"/>
    </xf>
    <xf numFmtId="49" fontId="1" fillId="0" borderId="0" xfId="0" applyNumberFormat="1" applyFont="1" applyAlignment="1">
      <alignment vertical="center" wrapText="1"/>
    </xf>
    <xf numFmtId="1" fontId="3" fillId="0" borderId="6" xfId="0" applyNumberFormat="1" applyFont="1" applyBorder="1" applyAlignment="1">
      <alignment horizontal="center" vertical="center"/>
    </xf>
    <xf numFmtId="168" fontId="1" fillId="0" borderId="0" xfId="0" applyNumberFormat="1" applyFont="1" applyAlignment="1">
      <alignment horizontal="right"/>
    </xf>
    <xf numFmtId="169" fontId="1" fillId="0" borderId="0" xfId="1" applyNumberFormat="1" applyAlignment="1">
      <alignment horizontal="right" vertical="center"/>
    </xf>
    <xf numFmtId="166" fontId="1" fillId="0" borderId="0" xfId="1" applyNumberFormat="1" applyAlignment="1">
      <alignment horizontal="right" vertical="center"/>
    </xf>
    <xf numFmtId="164" fontId="3" fillId="2" borderId="6" xfId="0" applyNumberFormat="1" applyFont="1" applyFill="1" applyBorder="1" applyAlignment="1">
      <alignment horizontal="center" vertical="center"/>
    </xf>
    <xf numFmtId="49" fontId="1" fillId="0" borderId="0" xfId="0" applyNumberFormat="1" applyFont="1" applyAlignment="1">
      <alignment horizontal="left" vertical="center"/>
    </xf>
    <xf numFmtId="49" fontId="1" fillId="0" borderId="0" xfId="0" applyNumberFormat="1" applyFont="1" applyAlignment="1">
      <alignment horizontal="right" vertical="center" wrapText="1"/>
    </xf>
    <xf numFmtId="49" fontId="1" fillId="0" borderId="0" xfId="0" applyNumberFormat="1" applyFont="1" applyAlignment="1">
      <alignment horizontal="center"/>
    </xf>
    <xf numFmtId="0" fontId="3" fillId="0" borderId="6" xfId="0" applyFont="1" applyBorder="1" applyAlignment="1">
      <alignment horizontal="right" vertical="center"/>
    </xf>
    <xf numFmtId="0" fontId="1" fillId="0" borderId="6" xfId="0" applyFont="1" applyBorder="1" applyAlignment="1">
      <alignment horizontal="right"/>
    </xf>
    <xf numFmtId="167" fontId="3" fillId="0" borderId="6" xfId="0" applyNumberFormat="1" applyFont="1" applyBorder="1" applyAlignment="1">
      <alignment horizontal="center" vertical="center" wrapText="1"/>
    </xf>
    <xf numFmtId="169" fontId="1" fillId="0" borderId="6" xfId="1" applyNumberFormat="1" applyBorder="1" applyAlignment="1">
      <alignment horizontal="right" vertical="center"/>
    </xf>
    <xf numFmtId="168" fontId="1" fillId="0" borderId="6" xfId="1" applyNumberFormat="1" applyBorder="1" applyAlignment="1">
      <alignment horizontal="right" vertical="center"/>
    </xf>
    <xf numFmtId="0" fontId="4" fillId="0" borderId="0" xfId="0" applyFont="1"/>
    <xf numFmtId="167" fontId="1" fillId="0" borderId="6" xfId="1" applyNumberFormat="1" applyBorder="1" applyAlignment="1">
      <alignment horizontal="right" vertical="center"/>
    </xf>
    <xf numFmtId="49" fontId="3" fillId="0" borderId="4" xfId="0" applyNumberFormat="1" applyFont="1" applyBorder="1" applyAlignment="1">
      <alignment horizontal="right"/>
    </xf>
    <xf numFmtId="166" fontId="3" fillId="0" borderId="6" xfId="0" applyNumberFormat="1" applyFont="1" applyBorder="1" applyAlignment="1">
      <alignment horizontal="center"/>
    </xf>
    <xf numFmtId="164" fontId="13" fillId="0" borderId="6" xfId="0" applyNumberFormat="1" applyFont="1" applyBorder="1" applyAlignment="1">
      <alignment horizontal="right" vertical="center"/>
    </xf>
    <xf numFmtId="0" fontId="1" fillId="2" borderId="6" xfId="0" applyFont="1" applyFill="1" applyBorder="1" applyAlignment="1">
      <alignment horizontal="right" vertical="center"/>
    </xf>
    <xf numFmtId="0" fontId="1" fillId="2" borderId="0" xfId="0" applyFont="1" applyFill="1"/>
    <xf numFmtId="49" fontId="1" fillId="2" borderId="6" xfId="0" applyNumberFormat="1" applyFont="1" applyFill="1" applyBorder="1" applyAlignment="1">
      <alignment horizontal="left" vertical="center" wrapText="1"/>
    </xf>
    <xf numFmtId="0" fontId="6" fillId="0" borderId="6" xfId="0" applyFont="1" applyBorder="1" applyAlignment="1">
      <alignment horizontal="right" vertical="center"/>
    </xf>
    <xf numFmtId="166" fontId="6" fillId="2" borderId="6" xfId="0" applyNumberFormat="1" applyFont="1" applyFill="1" applyBorder="1" applyAlignment="1">
      <alignment vertical="center"/>
    </xf>
    <xf numFmtId="164" fontId="6" fillId="0" borderId="6" xfId="1" applyNumberFormat="1" applyFont="1" applyBorder="1" applyAlignment="1">
      <alignment horizontal="right" vertical="center"/>
    </xf>
    <xf numFmtId="166" fontId="6" fillId="0" borderId="6" xfId="0" applyNumberFormat="1" applyFont="1" applyBorder="1"/>
    <xf numFmtId="164" fontId="6" fillId="2" borderId="6" xfId="0" applyNumberFormat="1" applyFont="1" applyFill="1" applyBorder="1" applyAlignment="1">
      <alignment horizontal="right" vertical="center"/>
    </xf>
    <xf numFmtId="166" fontId="6" fillId="0" borderId="6" xfId="0" applyNumberFormat="1" applyFont="1" applyBorder="1" applyAlignment="1">
      <alignment horizontal="right"/>
    </xf>
    <xf numFmtId="0" fontId="6" fillId="0" borderId="6" xfId="0" applyFont="1" applyBorder="1" applyAlignment="1">
      <alignment vertical="center"/>
    </xf>
    <xf numFmtId="166" fontId="6" fillId="0" borderId="6" xfId="0" applyNumberFormat="1" applyFont="1" applyBorder="1" applyAlignment="1">
      <alignment horizontal="right" vertical="center"/>
    </xf>
    <xf numFmtId="167" fontId="3" fillId="2" borderId="6" xfId="0" applyNumberFormat="1" applyFont="1" applyFill="1" applyBorder="1" applyAlignment="1">
      <alignment horizontal="center" vertical="center"/>
    </xf>
    <xf numFmtId="167" fontId="1" fillId="2" borderId="6" xfId="0" applyNumberFormat="1" applyFont="1" applyFill="1" applyBorder="1" applyAlignment="1">
      <alignment horizontal="right" vertical="center"/>
    </xf>
    <xf numFmtId="49" fontId="1" fillId="2" borderId="0" xfId="0" applyNumberFormat="1" applyFont="1" applyFill="1"/>
    <xf numFmtId="165" fontId="1" fillId="2" borderId="0" xfId="0" applyNumberFormat="1" applyFont="1" applyFill="1"/>
    <xf numFmtId="164" fontId="5" fillId="0" borderId="6" xfId="0" applyNumberFormat="1" applyFont="1" applyBorder="1" applyAlignment="1">
      <alignment horizontal="right" vertical="center"/>
    </xf>
    <xf numFmtId="164" fontId="5" fillId="0" borderId="6" xfId="1" applyNumberFormat="1" applyFont="1" applyBorder="1" applyAlignment="1">
      <alignment horizontal="right" vertical="center"/>
    </xf>
    <xf numFmtId="49" fontId="1" fillId="0" borderId="0" xfId="0" applyNumberFormat="1" applyFont="1"/>
    <xf numFmtId="0" fontId="1" fillId="0" borderId="2" xfId="0" applyFont="1" applyBorder="1" applyAlignment="1">
      <alignment horizontal="right" vertical="center"/>
    </xf>
    <xf numFmtId="0" fontId="1" fillId="0" borderId="5" xfId="0" applyFont="1" applyBorder="1" applyAlignment="1">
      <alignment horizontal="right" vertical="center"/>
    </xf>
    <xf numFmtId="49" fontId="1" fillId="0" borderId="2" xfId="0" applyNumberFormat="1" applyFont="1" applyBorder="1" applyAlignment="1">
      <alignment horizontal="center" vertical="center"/>
    </xf>
    <xf numFmtId="49" fontId="1" fillId="0" borderId="5"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1" fillId="0" borderId="8" xfId="0" applyNumberFormat="1" applyFont="1" applyBorder="1" applyAlignment="1">
      <alignment horizontal="center" vertical="center"/>
    </xf>
    <xf numFmtId="49" fontId="1" fillId="2" borderId="6" xfId="0" applyNumberFormat="1" applyFont="1" applyFill="1" applyBorder="1" applyAlignment="1">
      <alignment horizontal="center" vertical="center"/>
    </xf>
    <xf numFmtId="0" fontId="1" fillId="0" borderId="8" xfId="0" applyFont="1" applyBorder="1" applyAlignment="1">
      <alignment horizontal="right" vertical="center"/>
    </xf>
    <xf numFmtId="49" fontId="1" fillId="0" borderId="6"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5" xfId="0" applyNumberFormat="1" applyFont="1" applyBorder="1" applyAlignment="1">
      <alignment horizontal="center" vertical="center"/>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49" fontId="1" fillId="0" borderId="2" xfId="0" applyNumberFormat="1" applyFont="1" applyBorder="1" applyAlignment="1">
      <alignment horizontal="center" vertical="center" wrapText="1"/>
    </xf>
    <xf numFmtId="49" fontId="1" fillId="0" borderId="8"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0" fontId="1" fillId="0" borderId="6" xfId="0" applyFont="1" applyBorder="1" applyAlignment="1">
      <alignment horizontal="right" vertical="center"/>
    </xf>
    <xf numFmtId="49" fontId="1" fillId="2" borderId="6" xfId="0" applyNumberFormat="1" applyFont="1" applyFill="1" applyBorder="1" applyAlignment="1">
      <alignment horizontal="center" vertical="center" wrapText="1"/>
    </xf>
    <xf numFmtId="0" fontId="2" fillId="0" borderId="0" xfId="0" applyFont="1" applyAlignment="1">
      <alignment horizontal="right" vertical="center"/>
    </xf>
    <xf numFmtId="0" fontId="2" fillId="0" borderId="0" xfId="0" applyFont="1" applyAlignment="1">
      <alignment horizontal="right"/>
    </xf>
    <xf numFmtId="49" fontId="3" fillId="0" borderId="0" xfId="0" applyNumberFormat="1" applyFont="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 fillId="0" borderId="1" xfId="0" applyFont="1" applyBorder="1" applyAlignment="1">
      <alignment horizontal="right" vertical="center"/>
    </xf>
    <xf numFmtId="0" fontId="3" fillId="0" borderId="0" xfId="0" applyFont="1" applyAlignment="1">
      <alignment horizontal="center" vertical="center" wrapText="1"/>
    </xf>
    <xf numFmtId="49" fontId="1" fillId="0" borderId="1" xfId="0" applyNumberFormat="1" applyFont="1" applyBorder="1" applyAlignment="1">
      <alignment horizontal="right" vertical="center" wrapText="1"/>
    </xf>
    <xf numFmtId="49" fontId="1" fillId="2" borderId="2" xfId="0" applyNumberFormat="1" applyFont="1" applyFill="1" applyBorder="1" applyAlignment="1">
      <alignment horizontal="center" vertical="center"/>
    </xf>
    <xf numFmtId="49" fontId="1" fillId="2" borderId="5" xfId="0" applyNumberFormat="1" applyFont="1" applyFill="1" applyBorder="1" applyAlignment="1">
      <alignment horizontal="center" vertical="center"/>
    </xf>
    <xf numFmtId="0" fontId="11" fillId="0" borderId="1" xfId="0" applyFont="1" applyBorder="1" applyAlignment="1">
      <alignment horizontal="right" vertical="center" wrapText="1"/>
    </xf>
    <xf numFmtId="0" fontId="7" fillId="0" borderId="0" xfId="0" applyFont="1" applyAlignment="1">
      <alignment horizontal="center" vertical="center" wrapText="1"/>
    </xf>
    <xf numFmtId="0" fontId="1" fillId="0" borderId="1" xfId="0" applyFont="1" applyBorder="1" applyAlignment="1">
      <alignment horizontal="right" vertical="center" wrapText="1"/>
    </xf>
    <xf numFmtId="0" fontId="11" fillId="0" borderId="1" xfId="0" applyFont="1" applyBorder="1" applyAlignment="1">
      <alignment horizontal="right" vertical="center"/>
    </xf>
    <xf numFmtId="0" fontId="1" fillId="0" borderId="1" xfId="0" applyFont="1" applyBorder="1" applyAlignment="1">
      <alignment horizontal="right"/>
    </xf>
  </cellXfs>
  <cellStyles count="5">
    <cellStyle name="Įprastas" xfId="0" builtinId="0"/>
    <cellStyle name="Įprastas 2" xfId="3" xr:uid="{2826C783-5BD2-44CC-9177-DFDC316ED017}"/>
    <cellStyle name="Normal_biudžetas 6_2009 m 02 men biudzetas." xfId="2" xr:uid="{86406686-E9BB-46DD-A143-B81D0FC026BA}"/>
    <cellStyle name="Normal_Sheet1" xfId="4" xr:uid="{44F1C332-7DD4-4D09-AFE8-F8F96884066E}"/>
    <cellStyle name="Normal_Sheet1_2009 m 02 men biudzetas." xfId="1" xr:uid="{F41FF51E-2EB3-4857-84BF-941711C2F5A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A3BD2-3062-4196-ACEA-81C9A896A226}">
  <dimension ref="A1:W339"/>
  <sheetViews>
    <sheetView tabSelected="1" workbookViewId="0">
      <selection activeCell="A5" sqref="A5:G5"/>
    </sheetView>
  </sheetViews>
  <sheetFormatPr defaultRowHeight="12.75" x14ac:dyDescent="0.2"/>
  <cols>
    <col min="1" max="1" width="5.85546875" style="1" customWidth="1"/>
    <col min="2" max="2" width="6.7109375" style="2" customWidth="1"/>
    <col min="3" max="3" width="51.28515625" style="6" customWidth="1"/>
    <col min="4" max="4" width="10.7109375" style="5" customWidth="1"/>
    <col min="5" max="6" width="9.7109375" style="6" customWidth="1"/>
    <col min="7" max="7" width="10.42578125" style="6" customWidth="1"/>
    <col min="8" max="8" width="10.140625" style="4" customWidth="1"/>
    <col min="9" max="9" width="11.5703125" style="4" customWidth="1"/>
    <col min="10" max="10" width="9.140625" style="4"/>
    <col min="11" max="11" width="8.28515625" style="4" customWidth="1"/>
    <col min="12" max="256" width="9.140625" style="4"/>
    <col min="257" max="257" width="5.85546875" style="4" customWidth="1"/>
    <col min="258" max="258" width="6.7109375" style="4" customWidth="1"/>
    <col min="259" max="259" width="51.28515625" style="4" customWidth="1"/>
    <col min="260" max="260" width="10.7109375" style="4" customWidth="1"/>
    <col min="261" max="262" width="9.7109375" style="4" customWidth="1"/>
    <col min="263" max="263" width="11" style="4" customWidth="1"/>
    <col min="264" max="264" width="10.85546875" style="4" bestFit="1" customWidth="1"/>
    <col min="265" max="265" width="11.5703125" style="4" customWidth="1"/>
    <col min="266" max="266" width="9.140625" style="4"/>
    <col min="267" max="267" width="8.28515625" style="4" customWidth="1"/>
    <col min="268" max="512" width="9.140625" style="4"/>
    <col min="513" max="513" width="5.85546875" style="4" customWidth="1"/>
    <col min="514" max="514" width="6.7109375" style="4" customWidth="1"/>
    <col min="515" max="515" width="51.28515625" style="4" customWidth="1"/>
    <col min="516" max="516" width="10.7109375" style="4" customWidth="1"/>
    <col min="517" max="518" width="9.7109375" style="4" customWidth="1"/>
    <col min="519" max="519" width="11" style="4" customWidth="1"/>
    <col min="520" max="520" width="10.85546875" style="4" bestFit="1" customWidth="1"/>
    <col min="521" max="521" width="11.5703125" style="4" customWidth="1"/>
    <col min="522" max="522" width="9.140625" style="4"/>
    <col min="523" max="523" width="8.28515625" style="4" customWidth="1"/>
    <col min="524" max="768" width="9.140625" style="4"/>
    <col min="769" max="769" width="5.85546875" style="4" customWidth="1"/>
    <col min="770" max="770" width="6.7109375" style="4" customWidth="1"/>
    <col min="771" max="771" width="51.28515625" style="4" customWidth="1"/>
    <col min="772" max="772" width="10.7109375" style="4" customWidth="1"/>
    <col min="773" max="774" width="9.7109375" style="4" customWidth="1"/>
    <col min="775" max="775" width="11" style="4" customWidth="1"/>
    <col min="776" max="776" width="10.85546875" style="4" bestFit="1" customWidth="1"/>
    <col min="777" max="777" width="11.5703125" style="4" customWidth="1"/>
    <col min="778" max="778" width="9.140625" style="4"/>
    <col min="779" max="779" width="8.28515625" style="4" customWidth="1"/>
    <col min="780" max="1024" width="9.140625" style="4"/>
    <col min="1025" max="1025" width="5.85546875" style="4" customWidth="1"/>
    <col min="1026" max="1026" width="6.7109375" style="4" customWidth="1"/>
    <col min="1027" max="1027" width="51.28515625" style="4" customWidth="1"/>
    <col min="1028" max="1028" width="10.7109375" style="4" customWidth="1"/>
    <col min="1029" max="1030" width="9.7109375" style="4" customWidth="1"/>
    <col min="1031" max="1031" width="11" style="4" customWidth="1"/>
    <col min="1032" max="1032" width="10.85546875" style="4" bestFit="1" customWidth="1"/>
    <col min="1033" max="1033" width="11.5703125" style="4" customWidth="1"/>
    <col min="1034" max="1034" width="9.140625" style="4"/>
    <col min="1035" max="1035" width="8.28515625" style="4" customWidth="1"/>
    <col min="1036" max="1280" width="9.140625" style="4"/>
    <col min="1281" max="1281" width="5.85546875" style="4" customWidth="1"/>
    <col min="1282" max="1282" width="6.7109375" style="4" customWidth="1"/>
    <col min="1283" max="1283" width="51.28515625" style="4" customWidth="1"/>
    <col min="1284" max="1284" width="10.7109375" style="4" customWidth="1"/>
    <col min="1285" max="1286" width="9.7109375" style="4" customWidth="1"/>
    <col min="1287" max="1287" width="11" style="4" customWidth="1"/>
    <col min="1288" max="1288" width="10.85546875" style="4" bestFit="1" customWidth="1"/>
    <col min="1289" max="1289" width="11.5703125" style="4" customWidth="1"/>
    <col min="1290" max="1290" width="9.140625" style="4"/>
    <col min="1291" max="1291" width="8.28515625" style="4" customWidth="1"/>
    <col min="1292" max="1536" width="9.140625" style="4"/>
    <col min="1537" max="1537" width="5.85546875" style="4" customWidth="1"/>
    <col min="1538" max="1538" width="6.7109375" style="4" customWidth="1"/>
    <col min="1539" max="1539" width="51.28515625" style="4" customWidth="1"/>
    <col min="1540" max="1540" width="10.7109375" style="4" customWidth="1"/>
    <col min="1541" max="1542" width="9.7109375" style="4" customWidth="1"/>
    <col min="1543" max="1543" width="11" style="4" customWidth="1"/>
    <col min="1544" max="1544" width="10.85546875" style="4" bestFit="1" customWidth="1"/>
    <col min="1545" max="1545" width="11.5703125" style="4" customWidth="1"/>
    <col min="1546" max="1546" width="9.140625" style="4"/>
    <col min="1547" max="1547" width="8.28515625" style="4" customWidth="1"/>
    <col min="1548" max="1792" width="9.140625" style="4"/>
    <col min="1793" max="1793" width="5.85546875" style="4" customWidth="1"/>
    <col min="1794" max="1794" width="6.7109375" style="4" customWidth="1"/>
    <col min="1795" max="1795" width="51.28515625" style="4" customWidth="1"/>
    <col min="1796" max="1796" width="10.7109375" style="4" customWidth="1"/>
    <col min="1797" max="1798" width="9.7109375" style="4" customWidth="1"/>
    <col min="1799" max="1799" width="11" style="4" customWidth="1"/>
    <col min="1800" max="1800" width="10.85546875" style="4" bestFit="1" customWidth="1"/>
    <col min="1801" max="1801" width="11.5703125" style="4" customWidth="1"/>
    <col min="1802" max="1802" width="9.140625" style="4"/>
    <col min="1803" max="1803" width="8.28515625" style="4" customWidth="1"/>
    <col min="1804" max="2048" width="9.140625" style="4"/>
    <col min="2049" max="2049" width="5.85546875" style="4" customWidth="1"/>
    <col min="2050" max="2050" width="6.7109375" style="4" customWidth="1"/>
    <col min="2051" max="2051" width="51.28515625" style="4" customWidth="1"/>
    <col min="2052" max="2052" width="10.7109375" style="4" customWidth="1"/>
    <col min="2053" max="2054" width="9.7109375" style="4" customWidth="1"/>
    <col min="2055" max="2055" width="11" style="4" customWidth="1"/>
    <col min="2056" max="2056" width="10.85546875" style="4" bestFit="1" customWidth="1"/>
    <col min="2057" max="2057" width="11.5703125" style="4" customWidth="1"/>
    <col min="2058" max="2058" width="9.140625" style="4"/>
    <col min="2059" max="2059" width="8.28515625" style="4" customWidth="1"/>
    <col min="2060" max="2304" width="9.140625" style="4"/>
    <col min="2305" max="2305" width="5.85546875" style="4" customWidth="1"/>
    <col min="2306" max="2306" width="6.7109375" style="4" customWidth="1"/>
    <col min="2307" max="2307" width="51.28515625" style="4" customWidth="1"/>
    <col min="2308" max="2308" width="10.7109375" style="4" customWidth="1"/>
    <col min="2309" max="2310" width="9.7109375" style="4" customWidth="1"/>
    <col min="2311" max="2311" width="11" style="4" customWidth="1"/>
    <col min="2312" max="2312" width="10.85546875" style="4" bestFit="1" customWidth="1"/>
    <col min="2313" max="2313" width="11.5703125" style="4" customWidth="1"/>
    <col min="2314" max="2314" width="9.140625" style="4"/>
    <col min="2315" max="2315" width="8.28515625" style="4" customWidth="1"/>
    <col min="2316" max="2560" width="9.140625" style="4"/>
    <col min="2561" max="2561" width="5.85546875" style="4" customWidth="1"/>
    <col min="2562" max="2562" width="6.7109375" style="4" customWidth="1"/>
    <col min="2563" max="2563" width="51.28515625" style="4" customWidth="1"/>
    <col min="2564" max="2564" width="10.7109375" style="4" customWidth="1"/>
    <col min="2565" max="2566" width="9.7109375" style="4" customWidth="1"/>
    <col min="2567" max="2567" width="11" style="4" customWidth="1"/>
    <col min="2568" max="2568" width="10.85546875" style="4" bestFit="1" customWidth="1"/>
    <col min="2569" max="2569" width="11.5703125" style="4" customWidth="1"/>
    <col min="2570" max="2570" width="9.140625" style="4"/>
    <col min="2571" max="2571" width="8.28515625" style="4" customWidth="1"/>
    <col min="2572" max="2816" width="9.140625" style="4"/>
    <col min="2817" max="2817" width="5.85546875" style="4" customWidth="1"/>
    <col min="2818" max="2818" width="6.7109375" style="4" customWidth="1"/>
    <col min="2819" max="2819" width="51.28515625" style="4" customWidth="1"/>
    <col min="2820" max="2820" width="10.7109375" style="4" customWidth="1"/>
    <col min="2821" max="2822" width="9.7109375" style="4" customWidth="1"/>
    <col min="2823" max="2823" width="11" style="4" customWidth="1"/>
    <col min="2824" max="2824" width="10.85546875" style="4" bestFit="1" customWidth="1"/>
    <col min="2825" max="2825" width="11.5703125" style="4" customWidth="1"/>
    <col min="2826" max="2826" width="9.140625" style="4"/>
    <col min="2827" max="2827" width="8.28515625" style="4" customWidth="1"/>
    <col min="2828" max="3072" width="9.140625" style="4"/>
    <col min="3073" max="3073" width="5.85546875" style="4" customWidth="1"/>
    <col min="3074" max="3074" width="6.7109375" style="4" customWidth="1"/>
    <col min="3075" max="3075" width="51.28515625" style="4" customWidth="1"/>
    <col min="3076" max="3076" width="10.7109375" style="4" customWidth="1"/>
    <col min="3077" max="3078" width="9.7109375" style="4" customWidth="1"/>
    <col min="3079" max="3079" width="11" style="4" customWidth="1"/>
    <col min="3080" max="3080" width="10.85546875" style="4" bestFit="1" customWidth="1"/>
    <col min="3081" max="3081" width="11.5703125" style="4" customWidth="1"/>
    <col min="3082" max="3082" width="9.140625" style="4"/>
    <col min="3083" max="3083" width="8.28515625" style="4" customWidth="1"/>
    <col min="3084" max="3328" width="9.140625" style="4"/>
    <col min="3329" max="3329" width="5.85546875" style="4" customWidth="1"/>
    <col min="3330" max="3330" width="6.7109375" style="4" customWidth="1"/>
    <col min="3331" max="3331" width="51.28515625" style="4" customWidth="1"/>
    <col min="3332" max="3332" width="10.7109375" style="4" customWidth="1"/>
    <col min="3333" max="3334" width="9.7109375" style="4" customWidth="1"/>
    <col min="3335" max="3335" width="11" style="4" customWidth="1"/>
    <col min="3336" max="3336" width="10.85546875" style="4" bestFit="1" customWidth="1"/>
    <col min="3337" max="3337" width="11.5703125" style="4" customWidth="1"/>
    <col min="3338" max="3338" width="9.140625" style="4"/>
    <col min="3339" max="3339" width="8.28515625" style="4" customWidth="1"/>
    <col min="3340" max="3584" width="9.140625" style="4"/>
    <col min="3585" max="3585" width="5.85546875" style="4" customWidth="1"/>
    <col min="3586" max="3586" width="6.7109375" style="4" customWidth="1"/>
    <col min="3587" max="3587" width="51.28515625" style="4" customWidth="1"/>
    <col min="3588" max="3588" width="10.7109375" style="4" customWidth="1"/>
    <col min="3589" max="3590" width="9.7109375" style="4" customWidth="1"/>
    <col min="3591" max="3591" width="11" style="4" customWidth="1"/>
    <col min="3592" max="3592" width="10.85546875" style="4" bestFit="1" customWidth="1"/>
    <col min="3593" max="3593" width="11.5703125" style="4" customWidth="1"/>
    <col min="3594" max="3594" width="9.140625" style="4"/>
    <col min="3595" max="3595" width="8.28515625" style="4" customWidth="1"/>
    <col min="3596" max="3840" width="9.140625" style="4"/>
    <col min="3841" max="3841" width="5.85546875" style="4" customWidth="1"/>
    <col min="3842" max="3842" width="6.7109375" style="4" customWidth="1"/>
    <col min="3843" max="3843" width="51.28515625" style="4" customWidth="1"/>
    <col min="3844" max="3844" width="10.7109375" style="4" customWidth="1"/>
    <col min="3845" max="3846" width="9.7109375" style="4" customWidth="1"/>
    <col min="3847" max="3847" width="11" style="4" customWidth="1"/>
    <col min="3848" max="3848" width="10.85546875" style="4" bestFit="1" customWidth="1"/>
    <col min="3849" max="3849" width="11.5703125" style="4" customWidth="1"/>
    <col min="3850" max="3850" width="9.140625" style="4"/>
    <col min="3851" max="3851" width="8.28515625" style="4" customWidth="1"/>
    <col min="3852" max="4096" width="9.140625" style="4"/>
    <col min="4097" max="4097" width="5.85546875" style="4" customWidth="1"/>
    <col min="4098" max="4098" width="6.7109375" style="4" customWidth="1"/>
    <col min="4099" max="4099" width="51.28515625" style="4" customWidth="1"/>
    <col min="4100" max="4100" width="10.7109375" style="4" customWidth="1"/>
    <col min="4101" max="4102" width="9.7109375" style="4" customWidth="1"/>
    <col min="4103" max="4103" width="11" style="4" customWidth="1"/>
    <col min="4104" max="4104" width="10.85546875" style="4" bestFit="1" customWidth="1"/>
    <col min="4105" max="4105" width="11.5703125" style="4" customWidth="1"/>
    <col min="4106" max="4106" width="9.140625" style="4"/>
    <col min="4107" max="4107" width="8.28515625" style="4" customWidth="1"/>
    <col min="4108" max="4352" width="9.140625" style="4"/>
    <col min="4353" max="4353" width="5.85546875" style="4" customWidth="1"/>
    <col min="4354" max="4354" width="6.7109375" style="4" customWidth="1"/>
    <col min="4355" max="4355" width="51.28515625" style="4" customWidth="1"/>
    <col min="4356" max="4356" width="10.7109375" style="4" customWidth="1"/>
    <col min="4357" max="4358" width="9.7109375" style="4" customWidth="1"/>
    <col min="4359" max="4359" width="11" style="4" customWidth="1"/>
    <col min="4360" max="4360" width="10.85546875" style="4" bestFit="1" customWidth="1"/>
    <col min="4361" max="4361" width="11.5703125" style="4" customWidth="1"/>
    <col min="4362" max="4362" width="9.140625" style="4"/>
    <col min="4363" max="4363" width="8.28515625" style="4" customWidth="1"/>
    <col min="4364" max="4608" width="9.140625" style="4"/>
    <col min="4609" max="4609" width="5.85546875" style="4" customWidth="1"/>
    <col min="4610" max="4610" width="6.7109375" style="4" customWidth="1"/>
    <col min="4611" max="4611" width="51.28515625" style="4" customWidth="1"/>
    <col min="4612" max="4612" width="10.7109375" style="4" customWidth="1"/>
    <col min="4613" max="4614" width="9.7109375" style="4" customWidth="1"/>
    <col min="4615" max="4615" width="11" style="4" customWidth="1"/>
    <col min="4616" max="4616" width="10.85546875" style="4" bestFit="1" customWidth="1"/>
    <col min="4617" max="4617" width="11.5703125" style="4" customWidth="1"/>
    <col min="4618" max="4618" width="9.140625" style="4"/>
    <col min="4619" max="4619" width="8.28515625" style="4" customWidth="1"/>
    <col min="4620" max="4864" width="9.140625" style="4"/>
    <col min="4865" max="4865" width="5.85546875" style="4" customWidth="1"/>
    <col min="4866" max="4866" width="6.7109375" style="4" customWidth="1"/>
    <col min="4867" max="4867" width="51.28515625" style="4" customWidth="1"/>
    <col min="4868" max="4868" width="10.7109375" style="4" customWidth="1"/>
    <col min="4869" max="4870" width="9.7109375" style="4" customWidth="1"/>
    <col min="4871" max="4871" width="11" style="4" customWidth="1"/>
    <col min="4872" max="4872" width="10.85546875" style="4" bestFit="1" customWidth="1"/>
    <col min="4873" max="4873" width="11.5703125" style="4" customWidth="1"/>
    <col min="4874" max="4874" width="9.140625" style="4"/>
    <col min="4875" max="4875" width="8.28515625" style="4" customWidth="1"/>
    <col min="4876" max="5120" width="9.140625" style="4"/>
    <col min="5121" max="5121" width="5.85546875" style="4" customWidth="1"/>
    <col min="5122" max="5122" width="6.7109375" style="4" customWidth="1"/>
    <col min="5123" max="5123" width="51.28515625" style="4" customWidth="1"/>
    <col min="5124" max="5124" width="10.7109375" style="4" customWidth="1"/>
    <col min="5125" max="5126" width="9.7109375" style="4" customWidth="1"/>
    <col min="5127" max="5127" width="11" style="4" customWidth="1"/>
    <col min="5128" max="5128" width="10.85546875" style="4" bestFit="1" customWidth="1"/>
    <col min="5129" max="5129" width="11.5703125" style="4" customWidth="1"/>
    <col min="5130" max="5130" width="9.140625" style="4"/>
    <col min="5131" max="5131" width="8.28515625" style="4" customWidth="1"/>
    <col min="5132" max="5376" width="9.140625" style="4"/>
    <col min="5377" max="5377" width="5.85546875" style="4" customWidth="1"/>
    <col min="5378" max="5378" width="6.7109375" style="4" customWidth="1"/>
    <col min="5379" max="5379" width="51.28515625" style="4" customWidth="1"/>
    <col min="5380" max="5380" width="10.7109375" style="4" customWidth="1"/>
    <col min="5381" max="5382" width="9.7109375" style="4" customWidth="1"/>
    <col min="5383" max="5383" width="11" style="4" customWidth="1"/>
    <col min="5384" max="5384" width="10.85546875" style="4" bestFit="1" customWidth="1"/>
    <col min="5385" max="5385" width="11.5703125" style="4" customWidth="1"/>
    <col min="5386" max="5386" width="9.140625" style="4"/>
    <col min="5387" max="5387" width="8.28515625" style="4" customWidth="1"/>
    <col min="5388" max="5632" width="9.140625" style="4"/>
    <col min="5633" max="5633" width="5.85546875" style="4" customWidth="1"/>
    <col min="5634" max="5634" width="6.7109375" style="4" customWidth="1"/>
    <col min="5635" max="5635" width="51.28515625" style="4" customWidth="1"/>
    <col min="5636" max="5636" width="10.7109375" style="4" customWidth="1"/>
    <col min="5637" max="5638" width="9.7109375" style="4" customWidth="1"/>
    <col min="5639" max="5639" width="11" style="4" customWidth="1"/>
    <col min="5640" max="5640" width="10.85546875" style="4" bestFit="1" customWidth="1"/>
    <col min="5641" max="5641" width="11.5703125" style="4" customWidth="1"/>
    <col min="5642" max="5642" width="9.140625" style="4"/>
    <col min="5643" max="5643" width="8.28515625" style="4" customWidth="1"/>
    <col min="5644" max="5888" width="9.140625" style="4"/>
    <col min="5889" max="5889" width="5.85546875" style="4" customWidth="1"/>
    <col min="5890" max="5890" width="6.7109375" style="4" customWidth="1"/>
    <col min="5891" max="5891" width="51.28515625" style="4" customWidth="1"/>
    <col min="5892" max="5892" width="10.7109375" style="4" customWidth="1"/>
    <col min="5893" max="5894" width="9.7109375" style="4" customWidth="1"/>
    <col min="5895" max="5895" width="11" style="4" customWidth="1"/>
    <col min="5896" max="5896" width="10.85546875" style="4" bestFit="1" customWidth="1"/>
    <col min="5897" max="5897" width="11.5703125" style="4" customWidth="1"/>
    <col min="5898" max="5898" width="9.140625" style="4"/>
    <col min="5899" max="5899" width="8.28515625" style="4" customWidth="1"/>
    <col min="5900" max="6144" width="9.140625" style="4"/>
    <col min="6145" max="6145" width="5.85546875" style="4" customWidth="1"/>
    <col min="6146" max="6146" width="6.7109375" style="4" customWidth="1"/>
    <col min="6147" max="6147" width="51.28515625" style="4" customWidth="1"/>
    <col min="6148" max="6148" width="10.7109375" style="4" customWidth="1"/>
    <col min="6149" max="6150" width="9.7109375" style="4" customWidth="1"/>
    <col min="6151" max="6151" width="11" style="4" customWidth="1"/>
    <col min="6152" max="6152" width="10.85546875" style="4" bestFit="1" customWidth="1"/>
    <col min="6153" max="6153" width="11.5703125" style="4" customWidth="1"/>
    <col min="6154" max="6154" width="9.140625" style="4"/>
    <col min="6155" max="6155" width="8.28515625" style="4" customWidth="1"/>
    <col min="6156" max="6400" width="9.140625" style="4"/>
    <col min="6401" max="6401" width="5.85546875" style="4" customWidth="1"/>
    <col min="6402" max="6402" width="6.7109375" style="4" customWidth="1"/>
    <col min="6403" max="6403" width="51.28515625" style="4" customWidth="1"/>
    <col min="6404" max="6404" width="10.7109375" style="4" customWidth="1"/>
    <col min="6405" max="6406" width="9.7109375" style="4" customWidth="1"/>
    <col min="6407" max="6407" width="11" style="4" customWidth="1"/>
    <col min="6408" max="6408" width="10.85546875" style="4" bestFit="1" customWidth="1"/>
    <col min="6409" max="6409" width="11.5703125" style="4" customWidth="1"/>
    <col min="6410" max="6410" width="9.140625" style="4"/>
    <col min="6411" max="6411" width="8.28515625" style="4" customWidth="1"/>
    <col min="6412" max="6656" width="9.140625" style="4"/>
    <col min="6657" max="6657" width="5.85546875" style="4" customWidth="1"/>
    <col min="6658" max="6658" width="6.7109375" style="4" customWidth="1"/>
    <col min="6659" max="6659" width="51.28515625" style="4" customWidth="1"/>
    <col min="6660" max="6660" width="10.7109375" style="4" customWidth="1"/>
    <col min="6661" max="6662" width="9.7109375" style="4" customWidth="1"/>
    <col min="6663" max="6663" width="11" style="4" customWidth="1"/>
    <col min="6664" max="6664" width="10.85546875" style="4" bestFit="1" customWidth="1"/>
    <col min="6665" max="6665" width="11.5703125" style="4" customWidth="1"/>
    <col min="6666" max="6666" width="9.140625" style="4"/>
    <col min="6667" max="6667" width="8.28515625" style="4" customWidth="1"/>
    <col min="6668" max="6912" width="9.140625" style="4"/>
    <col min="6913" max="6913" width="5.85546875" style="4" customWidth="1"/>
    <col min="6914" max="6914" width="6.7109375" style="4" customWidth="1"/>
    <col min="6915" max="6915" width="51.28515625" style="4" customWidth="1"/>
    <col min="6916" max="6916" width="10.7109375" style="4" customWidth="1"/>
    <col min="6917" max="6918" width="9.7109375" style="4" customWidth="1"/>
    <col min="6919" max="6919" width="11" style="4" customWidth="1"/>
    <col min="6920" max="6920" width="10.85546875" style="4" bestFit="1" customWidth="1"/>
    <col min="6921" max="6921" width="11.5703125" style="4" customWidth="1"/>
    <col min="6922" max="6922" width="9.140625" style="4"/>
    <col min="6923" max="6923" width="8.28515625" style="4" customWidth="1"/>
    <col min="6924" max="7168" width="9.140625" style="4"/>
    <col min="7169" max="7169" width="5.85546875" style="4" customWidth="1"/>
    <col min="7170" max="7170" width="6.7109375" style="4" customWidth="1"/>
    <col min="7171" max="7171" width="51.28515625" style="4" customWidth="1"/>
    <col min="7172" max="7172" width="10.7109375" style="4" customWidth="1"/>
    <col min="7173" max="7174" width="9.7109375" style="4" customWidth="1"/>
    <col min="7175" max="7175" width="11" style="4" customWidth="1"/>
    <col min="7176" max="7176" width="10.85546875" style="4" bestFit="1" customWidth="1"/>
    <col min="7177" max="7177" width="11.5703125" style="4" customWidth="1"/>
    <col min="7178" max="7178" width="9.140625" style="4"/>
    <col min="7179" max="7179" width="8.28515625" style="4" customWidth="1"/>
    <col min="7180" max="7424" width="9.140625" style="4"/>
    <col min="7425" max="7425" width="5.85546875" style="4" customWidth="1"/>
    <col min="7426" max="7426" width="6.7109375" style="4" customWidth="1"/>
    <col min="7427" max="7427" width="51.28515625" style="4" customWidth="1"/>
    <col min="7428" max="7428" width="10.7109375" style="4" customWidth="1"/>
    <col min="7429" max="7430" width="9.7109375" style="4" customWidth="1"/>
    <col min="7431" max="7431" width="11" style="4" customWidth="1"/>
    <col min="7432" max="7432" width="10.85546875" style="4" bestFit="1" customWidth="1"/>
    <col min="7433" max="7433" width="11.5703125" style="4" customWidth="1"/>
    <col min="7434" max="7434" width="9.140625" style="4"/>
    <col min="7435" max="7435" width="8.28515625" style="4" customWidth="1"/>
    <col min="7436" max="7680" width="9.140625" style="4"/>
    <col min="7681" max="7681" width="5.85546875" style="4" customWidth="1"/>
    <col min="7682" max="7682" width="6.7109375" style="4" customWidth="1"/>
    <col min="7683" max="7683" width="51.28515625" style="4" customWidth="1"/>
    <col min="7684" max="7684" width="10.7109375" style="4" customWidth="1"/>
    <col min="7685" max="7686" width="9.7109375" style="4" customWidth="1"/>
    <col min="7687" max="7687" width="11" style="4" customWidth="1"/>
    <col min="7688" max="7688" width="10.85546875" style="4" bestFit="1" customWidth="1"/>
    <col min="7689" max="7689" width="11.5703125" style="4" customWidth="1"/>
    <col min="7690" max="7690" width="9.140625" style="4"/>
    <col min="7691" max="7691" width="8.28515625" style="4" customWidth="1"/>
    <col min="7692" max="7936" width="9.140625" style="4"/>
    <col min="7937" max="7937" width="5.85546875" style="4" customWidth="1"/>
    <col min="7938" max="7938" width="6.7109375" style="4" customWidth="1"/>
    <col min="7939" max="7939" width="51.28515625" style="4" customWidth="1"/>
    <col min="7940" max="7940" width="10.7109375" style="4" customWidth="1"/>
    <col min="7941" max="7942" width="9.7109375" style="4" customWidth="1"/>
    <col min="7943" max="7943" width="11" style="4" customWidth="1"/>
    <col min="7944" max="7944" width="10.85546875" style="4" bestFit="1" customWidth="1"/>
    <col min="7945" max="7945" width="11.5703125" style="4" customWidth="1"/>
    <col min="7946" max="7946" width="9.140625" style="4"/>
    <col min="7947" max="7947" width="8.28515625" style="4" customWidth="1"/>
    <col min="7948" max="8192" width="9.140625" style="4"/>
    <col min="8193" max="8193" width="5.85546875" style="4" customWidth="1"/>
    <col min="8194" max="8194" width="6.7109375" style="4" customWidth="1"/>
    <col min="8195" max="8195" width="51.28515625" style="4" customWidth="1"/>
    <col min="8196" max="8196" width="10.7109375" style="4" customWidth="1"/>
    <col min="8197" max="8198" width="9.7109375" style="4" customWidth="1"/>
    <col min="8199" max="8199" width="11" style="4" customWidth="1"/>
    <col min="8200" max="8200" width="10.85546875" style="4" bestFit="1" customWidth="1"/>
    <col min="8201" max="8201" width="11.5703125" style="4" customWidth="1"/>
    <col min="8202" max="8202" width="9.140625" style="4"/>
    <col min="8203" max="8203" width="8.28515625" style="4" customWidth="1"/>
    <col min="8204" max="8448" width="9.140625" style="4"/>
    <col min="8449" max="8449" width="5.85546875" style="4" customWidth="1"/>
    <col min="8450" max="8450" width="6.7109375" style="4" customWidth="1"/>
    <col min="8451" max="8451" width="51.28515625" style="4" customWidth="1"/>
    <col min="8452" max="8452" width="10.7109375" style="4" customWidth="1"/>
    <col min="8453" max="8454" width="9.7109375" style="4" customWidth="1"/>
    <col min="8455" max="8455" width="11" style="4" customWidth="1"/>
    <col min="8456" max="8456" width="10.85546875" style="4" bestFit="1" customWidth="1"/>
    <col min="8457" max="8457" width="11.5703125" style="4" customWidth="1"/>
    <col min="8458" max="8458" width="9.140625" style="4"/>
    <col min="8459" max="8459" width="8.28515625" style="4" customWidth="1"/>
    <col min="8460" max="8704" width="9.140625" style="4"/>
    <col min="8705" max="8705" width="5.85546875" style="4" customWidth="1"/>
    <col min="8706" max="8706" width="6.7109375" style="4" customWidth="1"/>
    <col min="8707" max="8707" width="51.28515625" style="4" customWidth="1"/>
    <col min="8708" max="8708" width="10.7109375" style="4" customWidth="1"/>
    <col min="8709" max="8710" width="9.7109375" style="4" customWidth="1"/>
    <col min="8711" max="8711" width="11" style="4" customWidth="1"/>
    <col min="8712" max="8712" width="10.85546875" style="4" bestFit="1" customWidth="1"/>
    <col min="8713" max="8713" width="11.5703125" style="4" customWidth="1"/>
    <col min="8714" max="8714" width="9.140625" style="4"/>
    <col min="8715" max="8715" width="8.28515625" style="4" customWidth="1"/>
    <col min="8716" max="8960" width="9.140625" style="4"/>
    <col min="8961" max="8961" width="5.85546875" style="4" customWidth="1"/>
    <col min="8962" max="8962" width="6.7109375" style="4" customWidth="1"/>
    <col min="8963" max="8963" width="51.28515625" style="4" customWidth="1"/>
    <col min="8964" max="8964" width="10.7109375" style="4" customWidth="1"/>
    <col min="8965" max="8966" width="9.7109375" style="4" customWidth="1"/>
    <col min="8967" max="8967" width="11" style="4" customWidth="1"/>
    <col min="8968" max="8968" width="10.85546875" style="4" bestFit="1" customWidth="1"/>
    <col min="8969" max="8969" width="11.5703125" style="4" customWidth="1"/>
    <col min="8970" max="8970" width="9.140625" style="4"/>
    <col min="8971" max="8971" width="8.28515625" style="4" customWidth="1"/>
    <col min="8972" max="9216" width="9.140625" style="4"/>
    <col min="9217" max="9217" width="5.85546875" style="4" customWidth="1"/>
    <col min="9218" max="9218" width="6.7109375" style="4" customWidth="1"/>
    <col min="9219" max="9219" width="51.28515625" style="4" customWidth="1"/>
    <col min="9220" max="9220" width="10.7109375" style="4" customWidth="1"/>
    <col min="9221" max="9222" width="9.7109375" style="4" customWidth="1"/>
    <col min="9223" max="9223" width="11" style="4" customWidth="1"/>
    <col min="9224" max="9224" width="10.85546875" style="4" bestFit="1" customWidth="1"/>
    <col min="9225" max="9225" width="11.5703125" style="4" customWidth="1"/>
    <col min="9226" max="9226" width="9.140625" style="4"/>
    <col min="9227" max="9227" width="8.28515625" style="4" customWidth="1"/>
    <col min="9228" max="9472" width="9.140625" style="4"/>
    <col min="9473" max="9473" width="5.85546875" style="4" customWidth="1"/>
    <col min="9474" max="9474" width="6.7109375" style="4" customWidth="1"/>
    <col min="9475" max="9475" width="51.28515625" style="4" customWidth="1"/>
    <col min="9476" max="9476" width="10.7109375" style="4" customWidth="1"/>
    <col min="9477" max="9478" width="9.7109375" style="4" customWidth="1"/>
    <col min="9479" max="9479" width="11" style="4" customWidth="1"/>
    <col min="9480" max="9480" width="10.85546875" style="4" bestFit="1" customWidth="1"/>
    <col min="9481" max="9481" width="11.5703125" style="4" customWidth="1"/>
    <col min="9482" max="9482" width="9.140625" style="4"/>
    <col min="9483" max="9483" width="8.28515625" style="4" customWidth="1"/>
    <col min="9484" max="9728" width="9.140625" style="4"/>
    <col min="9729" max="9729" width="5.85546875" style="4" customWidth="1"/>
    <col min="9730" max="9730" width="6.7109375" style="4" customWidth="1"/>
    <col min="9731" max="9731" width="51.28515625" style="4" customWidth="1"/>
    <col min="9732" max="9732" width="10.7109375" style="4" customWidth="1"/>
    <col min="9733" max="9734" width="9.7109375" style="4" customWidth="1"/>
    <col min="9735" max="9735" width="11" style="4" customWidth="1"/>
    <col min="9736" max="9736" width="10.85546875" style="4" bestFit="1" customWidth="1"/>
    <col min="9737" max="9737" width="11.5703125" style="4" customWidth="1"/>
    <col min="9738" max="9738" width="9.140625" style="4"/>
    <col min="9739" max="9739" width="8.28515625" style="4" customWidth="1"/>
    <col min="9740" max="9984" width="9.140625" style="4"/>
    <col min="9985" max="9985" width="5.85546875" style="4" customWidth="1"/>
    <col min="9986" max="9986" width="6.7109375" style="4" customWidth="1"/>
    <col min="9987" max="9987" width="51.28515625" style="4" customWidth="1"/>
    <col min="9988" max="9988" width="10.7109375" style="4" customWidth="1"/>
    <col min="9989" max="9990" width="9.7109375" style="4" customWidth="1"/>
    <col min="9991" max="9991" width="11" style="4" customWidth="1"/>
    <col min="9992" max="9992" width="10.85546875" style="4" bestFit="1" customWidth="1"/>
    <col min="9993" max="9993" width="11.5703125" style="4" customWidth="1"/>
    <col min="9994" max="9994" width="9.140625" style="4"/>
    <col min="9995" max="9995" width="8.28515625" style="4" customWidth="1"/>
    <col min="9996" max="10240" width="9.140625" style="4"/>
    <col min="10241" max="10241" width="5.85546875" style="4" customWidth="1"/>
    <col min="10242" max="10242" width="6.7109375" style="4" customWidth="1"/>
    <col min="10243" max="10243" width="51.28515625" style="4" customWidth="1"/>
    <col min="10244" max="10244" width="10.7109375" style="4" customWidth="1"/>
    <col min="10245" max="10246" width="9.7109375" style="4" customWidth="1"/>
    <col min="10247" max="10247" width="11" style="4" customWidth="1"/>
    <col min="10248" max="10248" width="10.85546875" style="4" bestFit="1" customWidth="1"/>
    <col min="10249" max="10249" width="11.5703125" style="4" customWidth="1"/>
    <col min="10250" max="10250" width="9.140625" style="4"/>
    <col min="10251" max="10251" width="8.28515625" style="4" customWidth="1"/>
    <col min="10252" max="10496" width="9.140625" style="4"/>
    <col min="10497" max="10497" width="5.85546875" style="4" customWidth="1"/>
    <col min="10498" max="10498" width="6.7109375" style="4" customWidth="1"/>
    <col min="10499" max="10499" width="51.28515625" style="4" customWidth="1"/>
    <col min="10500" max="10500" width="10.7109375" style="4" customWidth="1"/>
    <col min="10501" max="10502" width="9.7109375" style="4" customWidth="1"/>
    <col min="10503" max="10503" width="11" style="4" customWidth="1"/>
    <col min="10504" max="10504" width="10.85546875" style="4" bestFit="1" customWidth="1"/>
    <col min="10505" max="10505" width="11.5703125" style="4" customWidth="1"/>
    <col min="10506" max="10506" width="9.140625" style="4"/>
    <col min="10507" max="10507" width="8.28515625" style="4" customWidth="1"/>
    <col min="10508" max="10752" width="9.140625" style="4"/>
    <col min="10753" max="10753" width="5.85546875" style="4" customWidth="1"/>
    <col min="10754" max="10754" width="6.7109375" style="4" customWidth="1"/>
    <col min="10755" max="10755" width="51.28515625" style="4" customWidth="1"/>
    <col min="10756" max="10756" width="10.7109375" style="4" customWidth="1"/>
    <col min="10757" max="10758" width="9.7109375" style="4" customWidth="1"/>
    <col min="10759" max="10759" width="11" style="4" customWidth="1"/>
    <col min="10760" max="10760" width="10.85546875" style="4" bestFit="1" customWidth="1"/>
    <col min="10761" max="10761" width="11.5703125" style="4" customWidth="1"/>
    <col min="10762" max="10762" width="9.140625" style="4"/>
    <col min="10763" max="10763" width="8.28515625" style="4" customWidth="1"/>
    <col min="10764" max="11008" width="9.140625" style="4"/>
    <col min="11009" max="11009" width="5.85546875" style="4" customWidth="1"/>
    <col min="11010" max="11010" width="6.7109375" style="4" customWidth="1"/>
    <col min="11011" max="11011" width="51.28515625" style="4" customWidth="1"/>
    <col min="11012" max="11012" width="10.7109375" style="4" customWidth="1"/>
    <col min="11013" max="11014" width="9.7109375" style="4" customWidth="1"/>
    <col min="11015" max="11015" width="11" style="4" customWidth="1"/>
    <col min="11016" max="11016" width="10.85546875" style="4" bestFit="1" customWidth="1"/>
    <col min="11017" max="11017" width="11.5703125" style="4" customWidth="1"/>
    <col min="11018" max="11018" width="9.140625" style="4"/>
    <col min="11019" max="11019" width="8.28515625" style="4" customWidth="1"/>
    <col min="11020" max="11264" width="9.140625" style="4"/>
    <col min="11265" max="11265" width="5.85546875" style="4" customWidth="1"/>
    <col min="11266" max="11266" width="6.7109375" style="4" customWidth="1"/>
    <col min="11267" max="11267" width="51.28515625" style="4" customWidth="1"/>
    <col min="11268" max="11268" width="10.7109375" style="4" customWidth="1"/>
    <col min="11269" max="11270" width="9.7109375" style="4" customWidth="1"/>
    <col min="11271" max="11271" width="11" style="4" customWidth="1"/>
    <col min="11272" max="11272" width="10.85546875" style="4" bestFit="1" customWidth="1"/>
    <col min="11273" max="11273" width="11.5703125" style="4" customWidth="1"/>
    <col min="11274" max="11274" width="9.140625" style="4"/>
    <col min="11275" max="11275" width="8.28515625" style="4" customWidth="1"/>
    <col min="11276" max="11520" width="9.140625" style="4"/>
    <col min="11521" max="11521" width="5.85546875" style="4" customWidth="1"/>
    <col min="11522" max="11522" width="6.7109375" style="4" customWidth="1"/>
    <col min="11523" max="11523" width="51.28515625" style="4" customWidth="1"/>
    <col min="11524" max="11524" width="10.7109375" style="4" customWidth="1"/>
    <col min="11525" max="11526" width="9.7109375" style="4" customWidth="1"/>
    <col min="11527" max="11527" width="11" style="4" customWidth="1"/>
    <col min="11528" max="11528" width="10.85546875" style="4" bestFit="1" customWidth="1"/>
    <col min="11529" max="11529" width="11.5703125" style="4" customWidth="1"/>
    <col min="11530" max="11530" width="9.140625" style="4"/>
    <col min="11531" max="11531" width="8.28515625" style="4" customWidth="1"/>
    <col min="11532" max="11776" width="9.140625" style="4"/>
    <col min="11777" max="11777" width="5.85546875" style="4" customWidth="1"/>
    <col min="11778" max="11778" width="6.7109375" style="4" customWidth="1"/>
    <col min="11779" max="11779" width="51.28515625" style="4" customWidth="1"/>
    <col min="11780" max="11780" width="10.7109375" style="4" customWidth="1"/>
    <col min="11781" max="11782" width="9.7109375" style="4" customWidth="1"/>
    <col min="11783" max="11783" width="11" style="4" customWidth="1"/>
    <col min="11784" max="11784" width="10.85546875" style="4" bestFit="1" customWidth="1"/>
    <col min="11785" max="11785" width="11.5703125" style="4" customWidth="1"/>
    <col min="11786" max="11786" width="9.140625" style="4"/>
    <col min="11787" max="11787" width="8.28515625" style="4" customWidth="1"/>
    <col min="11788" max="12032" width="9.140625" style="4"/>
    <col min="12033" max="12033" width="5.85546875" style="4" customWidth="1"/>
    <col min="12034" max="12034" width="6.7109375" style="4" customWidth="1"/>
    <col min="12035" max="12035" width="51.28515625" style="4" customWidth="1"/>
    <col min="12036" max="12036" width="10.7109375" style="4" customWidth="1"/>
    <col min="12037" max="12038" width="9.7109375" style="4" customWidth="1"/>
    <col min="12039" max="12039" width="11" style="4" customWidth="1"/>
    <col min="12040" max="12040" width="10.85546875" style="4" bestFit="1" customWidth="1"/>
    <col min="12041" max="12041" width="11.5703125" style="4" customWidth="1"/>
    <col min="12042" max="12042" width="9.140625" style="4"/>
    <col min="12043" max="12043" width="8.28515625" style="4" customWidth="1"/>
    <col min="12044" max="12288" width="9.140625" style="4"/>
    <col min="12289" max="12289" width="5.85546875" style="4" customWidth="1"/>
    <col min="12290" max="12290" width="6.7109375" style="4" customWidth="1"/>
    <col min="12291" max="12291" width="51.28515625" style="4" customWidth="1"/>
    <col min="12292" max="12292" width="10.7109375" style="4" customWidth="1"/>
    <col min="12293" max="12294" width="9.7109375" style="4" customWidth="1"/>
    <col min="12295" max="12295" width="11" style="4" customWidth="1"/>
    <col min="12296" max="12296" width="10.85546875" style="4" bestFit="1" customWidth="1"/>
    <col min="12297" max="12297" width="11.5703125" style="4" customWidth="1"/>
    <col min="12298" max="12298" width="9.140625" style="4"/>
    <col min="12299" max="12299" width="8.28515625" style="4" customWidth="1"/>
    <col min="12300" max="12544" width="9.140625" style="4"/>
    <col min="12545" max="12545" width="5.85546875" style="4" customWidth="1"/>
    <col min="12546" max="12546" width="6.7109375" style="4" customWidth="1"/>
    <col min="12547" max="12547" width="51.28515625" style="4" customWidth="1"/>
    <col min="12548" max="12548" width="10.7109375" style="4" customWidth="1"/>
    <col min="12549" max="12550" width="9.7109375" style="4" customWidth="1"/>
    <col min="12551" max="12551" width="11" style="4" customWidth="1"/>
    <col min="12552" max="12552" width="10.85546875" style="4" bestFit="1" customWidth="1"/>
    <col min="12553" max="12553" width="11.5703125" style="4" customWidth="1"/>
    <col min="12554" max="12554" width="9.140625" style="4"/>
    <col min="12555" max="12555" width="8.28515625" style="4" customWidth="1"/>
    <col min="12556" max="12800" width="9.140625" style="4"/>
    <col min="12801" max="12801" width="5.85546875" style="4" customWidth="1"/>
    <col min="12802" max="12802" width="6.7109375" style="4" customWidth="1"/>
    <col min="12803" max="12803" width="51.28515625" style="4" customWidth="1"/>
    <col min="12804" max="12804" width="10.7109375" style="4" customWidth="1"/>
    <col min="12805" max="12806" width="9.7109375" style="4" customWidth="1"/>
    <col min="12807" max="12807" width="11" style="4" customWidth="1"/>
    <col min="12808" max="12808" width="10.85546875" style="4" bestFit="1" customWidth="1"/>
    <col min="12809" max="12809" width="11.5703125" style="4" customWidth="1"/>
    <col min="12810" max="12810" width="9.140625" style="4"/>
    <col min="12811" max="12811" width="8.28515625" style="4" customWidth="1"/>
    <col min="12812" max="13056" width="9.140625" style="4"/>
    <col min="13057" max="13057" width="5.85546875" style="4" customWidth="1"/>
    <col min="13058" max="13058" width="6.7109375" style="4" customWidth="1"/>
    <col min="13059" max="13059" width="51.28515625" style="4" customWidth="1"/>
    <col min="13060" max="13060" width="10.7109375" style="4" customWidth="1"/>
    <col min="13061" max="13062" width="9.7109375" style="4" customWidth="1"/>
    <col min="13063" max="13063" width="11" style="4" customWidth="1"/>
    <col min="13064" max="13064" width="10.85546875" style="4" bestFit="1" customWidth="1"/>
    <col min="13065" max="13065" width="11.5703125" style="4" customWidth="1"/>
    <col min="13066" max="13066" width="9.140625" style="4"/>
    <col min="13067" max="13067" width="8.28515625" style="4" customWidth="1"/>
    <col min="13068" max="13312" width="9.140625" style="4"/>
    <col min="13313" max="13313" width="5.85546875" style="4" customWidth="1"/>
    <col min="13314" max="13314" width="6.7109375" style="4" customWidth="1"/>
    <col min="13315" max="13315" width="51.28515625" style="4" customWidth="1"/>
    <col min="13316" max="13316" width="10.7109375" style="4" customWidth="1"/>
    <col min="13317" max="13318" width="9.7109375" style="4" customWidth="1"/>
    <col min="13319" max="13319" width="11" style="4" customWidth="1"/>
    <col min="13320" max="13320" width="10.85546875" style="4" bestFit="1" customWidth="1"/>
    <col min="13321" max="13321" width="11.5703125" style="4" customWidth="1"/>
    <col min="13322" max="13322" width="9.140625" style="4"/>
    <col min="13323" max="13323" width="8.28515625" style="4" customWidth="1"/>
    <col min="13324" max="13568" width="9.140625" style="4"/>
    <col min="13569" max="13569" width="5.85546875" style="4" customWidth="1"/>
    <col min="13570" max="13570" width="6.7109375" style="4" customWidth="1"/>
    <col min="13571" max="13571" width="51.28515625" style="4" customWidth="1"/>
    <col min="13572" max="13572" width="10.7109375" style="4" customWidth="1"/>
    <col min="13573" max="13574" width="9.7109375" style="4" customWidth="1"/>
    <col min="13575" max="13575" width="11" style="4" customWidth="1"/>
    <col min="13576" max="13576" width="10.85546875" style="4" bestFit="1" customWidth="1"/>
    <col min="13577" max="13577" width="11.5703125" style="4" customWidth="1"/>
    <col min="13578" max="13578" width="9.140625" style="4"/>
    <col min="13579" max="13579" width="8.28515625" style="4" customWidth="1"/>
    <col min="13580" max="13824" width="9.140625" style="4"/>
    <col min="13825" max="13825" width="5.85546875" style="4" customWidth="1"/>
    <col min="13826" max="13826" width="6.7109375" style="4" customWidth="1"/>
    <col min="13827" max="13827" width="51.28515625" style="4" customWidth="1"/>
    <col min="13828" max="13828" width="10.7109375" style="4" customWidth="1"/>
    <col min="13829" max="13830" width="9.7109375" style="4" customWidth="1"/>
    <col min="13831" max="13831" width="11" style="4" customWidth="1"/>
    <col min="13832" max="13832" width="10.85546875" style="4" bestFit="1" customWidth="1"/>
    <col min="13833" max="13833" width="11.5703125" style="4" customWidth="1"/>
    <col min="13834" max="13834" width="9.140625" style="4"/>
    <col min="13835" max="13835" width="8.28515625" style="4" customWidth="1"/>
    <col min="13836" max="14080" width="9.140625" style="4"/>
    <col min="14081" max="14081" width="5.85546875" style="4" customWidth="1"/>
    <col min="14082" max="14082" width="6.7109375" style="4" customWidth="1"/>
    <col min="14083" max="14083" width="51.28515625" style="4" customWidth="1"/>
    <col min="14084" max="14084" width="10.7109375" style="4" customWidth="1"/>
    <col min="14085" max="14086" width="9.7109375" style="4" customWidth="1"/>
    <col min="14087" max="14087" width="11" style="4" customWidth="1"/>
    <col min="14088" max="14088" width="10.85546875" style="4" bestFit="1" customWidth="1"/>
    <col min="14089" max="14089" width="11.5703125" style="4" customWidth="1"/>
    <col min="14090" max="14090" width="9.140625" style="4"/>
    <col min="14091" max="14091" width="8.28515625" style="4" customWidth="1"/>
    <col min="14092" max="14336" width="9.140625" style="4"/>
    <col min="14337" max="14337" width="5.85546875" style="4" customWidth="1"/>
    <col min="14338" max="14338" width="6.7109375" style="4" customWidth="1"/>
    <col min="14339" max="14339" width="51.28515625" style="4" customWidth="1"/>
    <col min="14340" max="14340" width="10.7109375" style="4" customWidth="1"/>
    <col min="14341" max="14342" width="9.7109375" style="4" customWidth="1"/>
    <col min="14343" max="14343" width="11" style="4" customWidth="1"/>
    <col min="14344" max="14344" width="10.85546875" style="4" bestFit="1" customWidth="1"/>
    <col min="14345" max="14345" width="11.5703125" style="4" customWidth="1"/>
    <col min="14346" max="14346" width="9.140625" style="4"/>
    <col min="14347" max="14347" width="8.28515625" style="4" customWidth="1"/>
    <col min="14348" max="14592" width="9.140625" style="4"/>
    <col min="14593" max="14593" width="5.85546875" style="4" customWidth="1"/>
    <col min="14594" max="14594" width="6.7109375" style="4" customWidth="1"/>
    <col min="14595" max="14595" width="51.28515625" style="4" customWidth="1"/>
    <col min="14596" max="14596" width="10.7109375" style="4" customWidth="1"/>
    <col min="14597" max="14598" width="9.7109375" style="4" customWidth="1"/>
    <col min="14599" max="14599" width="11" style="4" customWidth="1"/>
    <col min="14600" max="14600" width="10.85546875" style="4" bestFit="1" customWidth="1"/>
    <col min="14601" max="14601" width="11.5703125" style="4" customWidth="1"/>
    <col min="14602" max="14602" width="9.140625" style="4"/>
    <col min="14603" max="14603" width="8.28515625" style="4" customWidth="1"/>
    <col min="14604" max="14848" width="9.140625" style="4"/>
    <col min="14849" max="14849" width="5.85546875" style="4" customWidth="1"/>
    <col min="14850" max="14850" width="6.7109375" style="4" customWidth="1"/>
    <col min="14851" max="14851" width="51.28515625" style="4" customWidth="1"/>
    <col min="14852" max="14852" width="10.7109375" style="4" customWidth="1"/>
    <col min="14853" max="14854" width="9.7109375" style="4" customWidth="1"/>
    <col min="14855" max="14855" width="11" style="4" customWidth="1"/>
    <col min="14856" max="14856" width="10.85546875" style="4" bestFit="1" customWidth="1"/>
    <col min="14857" max="14857" width="11.5703125" style="4" customWidth="1"/>
    <col min="14858" max="14858" width="9.140625" style="4"/>
    <col min="14859" max="14859" width="8.28515625" style="4" customWidth="1"/>
    <col min="14860" max="15104" width="9.140625" style="4"/>
    <col min="15105" max="15105" width="5.85546875" style="4" customWidth="1"/>
    <col min="15106" max="15106" width="6.7109375" style="4" customWidth="1"/>
    <col min="15107" max="15107" width="51.28515625" style="4" customWidth="1"/>
    <col min="15108" max="15108" width="10.7109375" style="4" customWidth="1"/>
    <col min="15109" max="15110" width="9.7109375" style="4" customWidth="1"/>
    <col min="15111" max="15111" width="11" style="4" customWidth="1"/>
    <col min="15112" max="15112" width="10.85546875" style="4" bestFit="1" customWidth="1"/>
    <col min="15113" max="15113" width="11.5703125" style="4" customWidth="1"/>
    <col min="15114" max="15114" width="9.140625" style="4"/>
    <col min="15115" max="15115" width="8.28515625" style="4" customWidth="1"/>
    <col min="15116" max="15360" width="9.140625" style="4"/>
    <col min="15361" max="15361" width="5.85546875" style="4" customWidth="1"/>
    <col min="15362" max="15362" width="6.7109375" style="4" customWidth="1"/>
    <col min="15363" max="15363" width="51.28515625" style="4" customWidth="1"/>
    <col min="15364" max="15364" width="10.7109375" style="4" customWidth="1"/>
    <col min="15365" max="15366" width="9.7109375" style="4" customWidth="1"/>
    <col min="15367" max="15367" width="11" style="4" customWidth="1"/>
    <col min="15368" max="15368" width="10.85546875" style="4" bestFit="1" customWidth="1"/>
    <col min="15369" max="15369" width="11.5703125" style="4" customWidth="1"/>
    <col min="15370" max="15370" width="9.140625" style="4"/>
    <col min="15371" max="15371" width="8.28515625" style="4" customWidth="1"/>
    <col min="15372" max="15616" width="9.140625" style="4"/>
    <col min="15617" max="15617" width="5.85546875" style="4" customWidth="1"/>
    <col min="15618" max="15618" width="6.7109375" style="4" customWidth="1"/>
    <col min="15619" max="15619" width="51.28515625" style="4" customWidth="1"/>
    <col min="15620" max="15620" width="10.7109375" style="4" customWidth="1"/>
    <col min="15621" max="15622" width="9.7109375" style="4" customWidth="1"/>
    <col min="15623" max="15623" width="11" style="4" customWidth="1"/>
    <col min="15624" max="15624" width="10.85546875" style="4" bestFit="1" customWidth="1"/>
    <col min="15625" max="15625" width="11.5703125" style="4" customWidth="1"/>
    <col min="15626" max="15626" width="9.140625" style="4"/>
    <col min="15627" max="15627" width="8.28515625" style="4" customWidth="1"/>
    <col min="15628" max="15872" width="9.140625" style="4"/>
    <col min="15873" max="15873" width="5.85546875" style="4" customWidth="1"/>
    <col min="15874" max="15874" width="6.7109375" style="4" customWidth="1"/>
    <col min="15875" max="15875" width="51.28515625" style="4" customWidth="1"/>
    <col min="15876" max="15876" width="10.7109375" style="4" customWidth="1"/>
    <col min="15877" max="15878" width="9.7109375" style="4" customWidth="1"/>
    <col min="15879" max="15879" width="11" style="4" customWidth="1"/>
    <col min="15880" max="15880" width="10.85546875" style="4" bestFit="1" customWidth="1"/>
    <col min="15881" max="15881" width="11.5703125" style="4" customWidth="1"/>
    <col min="15882" max="15882" width="9.140625" style="4"/>
    <col min="15883" max="15883" width="8.28515625" style="4" customWidth="1"/>
    <col min="15884" max="16128" width="9.140625" style="4"/>
    <col min="16129" max="16129" width="5.85546875" style="4" customWidth="1"/>
    <col min="16130" max="16130" width="6.7109375" style="4" customWidth="1"/>
    <col min="16131" max="16131" width="51.28515625" style="4" customWidth="1"/>
    <col min="16132" max="16132" width="10.7109375" style="4" customWidth="1"/>
    <col min="16133" max="16134" width="9.7109375" style="4" customWidth="1"/>
    <col min="16135" max="16135" width="11" style="4" customWidth="1"/>
    <col min="16136" max="16136" width="10.85546875" style="4" bestFit="1" customWidth="1"/>
    <col min="16137" max="16137" width="11.5703125" style="4" customWidth="1"/>
    <col min="16138" max="16138" width="9.140625" style="4"/>
    <col min="16139" max="16139" width="8.28515625" style="4" customWidth="1"/>
    <col min="16140" max="16384" width="9.140625" style="4"/>
  </cols>
  <sheetData>
    <row r="1" spans="1:14" ht="15.75" customHeight="1" x14ac:dyDescent="0.25">
      <c r="C1" s="264" t="s">
        <v>0</v>
      </c>
      <c r="D1" s="264"/>
      <c r="E1" s="264"/>
      <c r="F1" s="264"/>
      <c r="G1" s="264"/>
      <c r="H1" s="264"/>
    </row>
    <row r="2" spans="1:14" ht="15.75" x14ac:dyDescent="0.25">
      <c r="C2" s="264" t="s">
        <v>725</v>
      </c>
      <c r="D2" s="264"/>
      <c r="E2" s="264"/>
      <c r="F2" s="264"/>
      <c r="G2" s="264"/>
      <c r="H2" s="264"/>
    </row>
    <row r="3" spans="1:14" ht="14.25" customHeight="1" x14ac:dyDescent="0.2">
      <c r="B3" s="5"/>
      <c r="E3" s="263" t="s">
        <v>727</v>
      </c>
      <c r="F3" s="263"/>
      <c r="G3" s="263"/>
      <c r="H3" s="263"/>
    </row>
    <row r="4" spans="1:14" ht="15.75" x14ac:dyDescent="0.2">
      <c r="B4" s="5"/>
      <c r="E4" s="7"/>
      <c r="F4" s="7"/>
      <c r="G4" s="7"/>
    </row>
    <row r="5" spans="1:14" ht="25.5" customHeight="1" x14ac:dyDescent="0.2">
      <c r="A5" s="265" t="s">
        <v>2</v>
      </c>
      <c r="B5" s="265"/>
      <c r="C5" s="265"/>
      <c r="D5" s="265"/>
      <c r="E5" s="265"/>
      <c r="F5" s="265"/>
      <c r="G5" s="265"/>
    </row>
    <row r="6" spans="1:14" ht="15" customHeight="1" x14ac:dyDescent="0.2">
      <c r="B6" s="5"/>
      <c r="E6" s="1"/>
      <c r="F6" s="1"/>
      <c r="G6" s="272" t="s">
        <v>3</v>
      </c>
      <c r="H6" s="272"/>
    </row>
    <row r="7" spans="1:14" ht="27" customHeight="1" x14ac:dyDescent="0.2">
      <c r="A7" s="266" t="s">
        <v>4</v>
      </c>
      <c r="B7" s="268" t="s">
        <v>5</v>
      </c>
      <c r="C7" s="266" t="s">
        <v>6</v>
      </c>
      <c r="D7" s="268" t="s">
        <v>7</v>
      </c>
      <c r="E7" s="270" t="s">
        <v>8</v>
      </c>
      <c r="F7" s="271"/>
      <c r="G7" s="270" t="s">
        <v>9</v>
      </c>
      <c r="H7" s="271"/>
      <c r="K7" s="9"/>
    </row>
    <row r="8" spans="1:14" ht="15.75" customHeight="1" x14ac:dyDescent="0.2">
      <c r="A8" s="267"/>
      <c r="B8" s="269"/>
      <c r="C8" s="267"/>
      <c r="D8" s="269"/>
      <c r="E8" s="10" t="s">
        <v>10</v>
      </c>
      <c r="F8" s="10" t="s">
        <v>11</v>
      </c>
      <c r="G8" s="10" t="s">
        <v>10</v>
      </c>
      <c r="H8" s="11" t="s">
        <v>11</v>
      </c>
      <c r="K8" s="9"/>
    </row>
    <row r="9" spans="1:14" x14ac:dyDescent="0.2">
      <c r="A9" s="11">
        <v>1</v>
      </c>
      <c r="B9" s="12" t="s">
        <v>12</v>
      </c>
      <c r="C9" s="10">
        <v>3</v>
      </c>
      <c r="D9" s="13">
        <v>4</v>
      </c>
      <c r="E9" s="10">
        <v>5</v>
      </c>
      <c r="F9" s="10">
        <v>6</v>
      </c>
      <c r="G9" s="10">
        <v>7</v>
      </c>
      <c r="H9" s="11">
        <v>8</v>
      </c>
    </row>
    <row r="10" spans="1:14" ht="20.100000000000001" customHeight="1" x14ac:dyDescent="0.2">
      <c r="A10" s="14">
        <v>1</v>
      </c>
      <c r="B10" s="12" t="s">
        <v>13</v>
      </c>
      <c r="C10" s="15" t="s">
        <v>14</v>
      </c>
      <c r="D10" s="13"/>
      <c r="E10" s="16">
        <f>+E11+E12+E13+E14+E15+E16+E17+E18+E19+E20+E21+E22+E23+E24+E25+E26+E27+E28+E29+E30+E31+E32+E33+E34+E35+E36+E38+E39+E40+E41+E42</f>
        <v>12501.499999999995</v>
      </c>
      <c r="F10" s="16">
        <f>+F11+F12+F13+F14+F15+F16+F17+F18+F19+F20+F21+F22+F23+F24+F25+F26+F27+F28+F29+F30+F31+F32+F33+F34+F35+F36+F38+F39+F40+F41+F42</f>
        <v>12361.5</v>
      </c>
      <c r="G10" s="16">
        <f>+G11+G12+G13+G14+G15+G16+G17+G18+G19+G20+G21+G22+G23+G24+G25+G26+G27+G28+G29+G30+G31+G32+G33+G34+G35+G36+G38+G39+G40+G41+G42</f>
        <v>9322</v>
      </c>
      <c r="H10" s="16">
        <f>+H11+H12+H13+H14+H15+H16+H17+H18+H19+H20+H21+H22+H23+H24+H25+H26+H27+H28+H29+H30+H31+H32+H33+H34+H35+H36+H38+H39+H40+H41+H42</f>
        <v>9285.5</v>
      </c>
      <c r="J10" s="17"/>
      <c r="K10" s="17"/>
      <c r="L10" s="17"/>
      <c r="M10" s="17"/>
    </row>
    <row r="11" spans="1:14" ht="12.6" customHeight="1" x14ac:dyDescent="0.2">
      <c r="A11" s="14">
        <v>2</v>
      </c>
      <c r="B11" s="18"/>
      <c r="C11" s="19" t="s">
        <v>15</v>
      </c>
      <c r="D11" s="18" t="s">
        <v>16</v>
      </c>
      <c r="E11" s="20">
        <f>365.8+13.3+3.4+9.2</f>
        <v>391.7</v>
      </c>
      <c r="F11" s="20">
        <v>391.7</v>
      </c>
      <c r="G11" s="20">
        <f>310+8.3+9.9+9.2</f>
        <v>337.4</v>
      </c>
      <c r="H11" s="21">
        <v>337.4</v>
      </c>
      <c r="J11" s="17"/>
      <c r="M11" s="17"/>
      <c r="N11" s="22"/>
    </row>
    <row r="12" spans="1:14" ht="12.6" customHeight="1" x14ac:dyDescent="0.2">
      <c r="A12" s="14">
        <v>3</v>
      </c>
      <c r="B12" s="18"/>
      <c r="C12" s="19" t="s">
        <v>17</v>
      </c>
      <c r="D12" s="18" t="s">
        <v>16</v>
      </c>
      <c r="E12" s="20">
        <f>394.6+3.5</f>
        <v>398.1</v>
      </c>
      <c r="F12" s="29">
        <f>398+0.1</f>
        <v>398.1</v>
      </c>
      <c r="G12" s="20">
        <v>336.9</v>
      </c>
      <c r="H12" s="21">
        <v>336.9</v>
      </c>
      <c r="J12" s="17"/>
      <c r="M12" s="17"/>
      <c r="N12" s="22"/>
    </row>
    <row r="13" spans="1:14" ht="12.6" customHeight="1" x14ac:dyDescent="0.2">
      <c r="A13" s="14">
        <v>4</v>
      </c>
      <c r="B13" s="18"/>
      <c r="C13" s="19" t="s">
        <v>18</v>
      </c>
      <c r="D13" s="18" t="s">
        <v>16</v>
      </c>
      <c r="E13" s="20">
        <f>360.8+1.4+3.7</f>
        <v>365.9</v>
      </c>
      <c r="F13" s="20">
        <v>365.9</v>
      </c>
      <c r="G13" s="20">
        <v>300.10000000000002</v>
      </c>
      <c r="H13" s="21">
        <v>300.10000000000002</v>
      </c>
      <c r="J13" s="17"/>
      <c r="M13" s="17"/>
      <c r="N13" s="22"/>
    </row>
    <row r="14" spans="1:14" ht="12.6" customHeight="1" x14ac:dyDescent="0.2">
      <c r="A14" s="14">
        <v>5</v>
      </c>
      <c r="B14" s="18"/>
      <c r="C14" s="19" t="s">
        <v>19</v>
      </c>
      <c r="D14" s="18" t="s">
        <v>16</v>
      </c>
      <c r="E14" s="20">
        <f>358.2+3.1+3.6+2.6</f>
        <v>367.50000000000006</v>
      </c>
      <c r="F14" s="20">
        <v>367.5</v>
      </c>
      <c r="G14" s="20">
        <v>299.2</v>
      </c>
      <c r="H14" s="21">
        <v>299.2</v>
      </c>
      <c r="J14" s="17"/>
      <c r="M14" s="17"/>
      <c r="N14" s="22"/>
    </row>
    <row r="15" spans="1:14" ht="12.6" customHeight="1" x14ac:dyDescent="0.2">
      <c r="A15" s="14">
        <v>6</v>
      </c>
      <c r="B15" s="18"/>
      <c r="C15" s="19" t="s">
        <v>20</v>
      </c>
      <c r="D15" s="18" t="s">
        <v>16</v>
      </c>
      <c r="E15" s="20">
        <f>372.8+3.4+3.4+3.9+2</f>
        <v>385.49999999999994</v>
      </c>
      <c r="F15" s="20">
        <v>385.5</v>
      </c>
      <c r="G15" s="20">
        <v>310.8</v>
      </c>
      <c r="H15" s="21">
        <v>310.8</v>
      </c>
      <c r="J15" s="17"/>
      <c r="M15" s="17"/>
      <c r="N15" s="22"/>
    </row>
    <row r="16" spans="1:14" ht="12.6" customHeight="1" x14ac:dyDescent="0.2">
      <c r="A16" s="14">
        <v>7</v>
      </c>
      <c r="B16" s="18"/>
      <c r="C16" s="19" t="s">
        <v>21</v>
      </c>
      <c r="D16" s="18" t="s">
        <v>16</v>
      </c>
      <c r="E16" s="20">
        <f>442.2+3.2+4+0.8</f>
        <v>450.2</v>
      </c>
      <c r="F16" s="20">
        <v>450.2</v>
      </c>
      <c r="G16" s="20">
        <v>376.4</v>
      </c>
      <c r="H16" s="21">
        <v>376.4</v>
      </c>
      <c r="J16" s="17"/>
      <c r="M16" s="17"/>
      <c r="N16" s="22"/>
    </row>
    <row r="17" spans="1:14" ht="12.6" customHeight="1" x14ac:dyDescent="0.2">
      <c r="A17" s="14">
        <v>8</v>
      </c>
      <c r="B17" s="18"/>
      <c r="C17" s="19" t="s">
        <v>22</v>
      </c>
      <c r="D17" s="18" t="s">
        <v>16</v>
      </c>
      <c r="E17" s="20">
        <f>399.1+4.2+5</f>
        <v>408.3</v>
      </c>
      <c r="F17" s="20">
        <v>408.3</v>
      </c>
      <c r="G17" s="20">
        <v>333</v>
      </c>
      <c r="H17" s="23">
        <v>333</v>
      </c>
      <c r="J17" s="17"/>
      <c r="M17" s="17"/>
      <c r="N17" s="22"/>
    </row>
    <row r="18" spans="1:14" ht="12.6" customHeight="1" x14ac:dyDescent="0.2">
      <c r="A18" s="14">
        <v>9</v>
      </c>
      <c r="B18" s="18"/>
      <c r="C18" s="24" t="s">
        <v>23</v>
      </c>
      <c r="D18" s="18" t="s">
        <v>24</v>
      </c>
      <c r="E18" s="20">
        <f>351.4+7.2+3.7+1+4+0.3+4.6+7.9+0.4</f>
        <v>380.49999999999994</v>
      </c>
      <c r="F18" s="20">
        <v>380.2</v>
      </c>
      <c r="G18" s="20">
        <v>292.7</v>
      </c>
      <c r="H18" s="21">
        <v>292.7</v>
      </c>
      <c r="J18" s="17"/>
      <c r="M18" s="17"/>
      <c r="N18" s="22"/>
    </row>
    <row r="19" spans="1:14" ht="12.6" customHeight="1" x14ac:dyDescent="0.2">
      <c r="A19" s="14">
        <v>10</v>
      </c>
      <c r="B19" s="18"/>
      <c r="C19" s="19" t="s">
        <v>25</v>
      </c>
      <c r="D19" s="18" t="s">
        <v>26</v>
      </c>
      <c r="E19" s="20">
        <f>377.7+6.4+5.7+5.9</f>
        <v>395.69999999999993</v>
      </c>
      <c r="F19" s="20">
        <v>395.7</v>
      </c>
      <c r="G19" s="20">
        <f>286.8+7.7</f>
        <v>294.5</v>
      </c>
      <c r="H19" s="21">
        <v>294.5</v>
      </c>
      <c r="J19" s="17"/>
      <c r="M19" s="17"/>
      <c r="N19" s="22"/>
    </row>
    <row r="20" spans="1:14" ht="25.9" customHeight="1" x14ac:dyDescent="0.2">
      <c r="A20" s="14">
        <v>11</v>
      </c>
      <c r="B20" s="18"/>
      <c r="C20" s="19" t="s">
        <v>27</v>
      </c>
      <c r="D20" s="25" t="s">
        <v>28</v>
      </c>
      <c r="E20" s="20">
        <f>356.4+4.1</f>
        <v>360.5</v>
      </c>
      <c r="F20" s="20">
        <v>360.3</v>
      </c>
      <c r="G20" s="20">
        <f>232.4+5.9</f>
        <v>238.3</v>
      </c>
      <c r="H20" s="26">
        <v>238.3</v>
      </c>
      <c r="J20" s="17"/>
      <c r="M20" s="17"/>
      <c r="N20" s="22"/>
    </row>
    <row r="21" spans="1:14" ht="12.6" customHeight="1" x14ac:dyDescent="0.2">
      <c r="A21" s="14">
        <v>12</v>
      </c>
      <c r="B21" s="18"/>
      <c r="C21" s="24" t="s">
        <v>29</v>
      </c>
      <c r="D21" s="18" t="s">
        <v>26</v>
      </c>
      <c r="E21" s="20">
        <f>753.4+7.5+8.8+8+2.5+1.5</f>
        <v>781.69999999999993</v>
      </c>
      <c r="F21" s="20">
        <v>781.5</v>
      </c>
      <c r="G21" s="20">
        <f>597.5+2.7</f>
        <v>600.20000000000005</v>
      </c>
      <c r="H21" s="21">
        <v>600.20000000000005</v>
      </c>
      <c r="J21" s="17"/>
      <c r="M21" s="17"/>
      <c r="N21" s="22"/>
    </row>
    <row r="22" spans="1:14" ht="12.6" customHeight="1" x14ac:dyDescent="0.2">
      <c r="A22" s="14">
        <v>13</v>
      </c>
      <c r="B22" s="18"/>
      <c r="C22" s="24" t="s">
        <v>30</v>
      </c>
      <c r="D22" s="18" t="s">
        <v>26</v>
      </c>
      <c r="E22" s="20">
        <f>347.4+0.5+4.1+5.1+8.5+2.2</f>
        <v>367.8</v>
      </c>
      <c r="F22" s="20">
        <v>367.4</v>
      </c>
      <c r="G22" s="20">
        <f>260.9+3.5</f>
        <v>264.39999999999998</v>
      </c>
      <c r="H22" s="21">
        <v>264.39999999999998</v>
      </c>
      <c r="J22" s="17"/>
      <c r="K22" s="17"/>
      <c r="L22" s="22"/>
      <c r="M22" s="17"/>
    </row>
    <row r="23" spans="1:14" ht="12.6" customHeight="1" x14ac:dyDescent="0.2">
      <c r="A23" s="14">
        <v>14</v>
      </c>
      <c r="B23" s="18"/>
      <c r="C23" s="24" t="s">
        <v>31</v>
      </c>
      <c r="D23" s="18" t="s">
        <v>26</v>
      </c>
      <c r="E23" s="20">
        <f>771.1+3.2+9-5.3</f>
        <v>778.00000000000011</v>
      </c>
      <c r="F23" s="20">
        <v>778</v>
      </c>
      <c r="G23" s="20">
        <f>601.5-3.1</f>
        <v>598.4</v>
      </c>
      <c r="H23" s="21">
        <v>598.4</v>
      </c>
      <c r="J23" s="17"/>
      <c r="K23" s="17"/>
      <c r="L23" s="22"/>
      <c r="M23" s="17"/>
    </row>
    <row r="24" spans="1:14" ht="12.6" customHeight="1" x14ac:dyDescent="0.2">
      <c r="A24" s="14">
        <v>15</v>
      </c>
      <c r="B24" s="18"/>
      <c r="C24" s="27" t="s">
        <v>32</v>
      </c>
      <c r="D24" s="28" t="s">
        <v>26</v>
      </c>
      <c r="E24" s="29">
        <f>401.5+1.7+12.4+18.2+38+9.3+3-4.2</f>
        <v>479.9</v>
      </c>
      <c r="F24" s="29">
        <v>479.9</v>
      </c>
      <c r="G24" s="29">
        <f>284.8+1.7+28.2+24.7+4.6</f>
        <v>344</v>
      </c>
      <c r="H24" s="21">
        <v>344</v>
      </c>
      <c r="J24" s="17"/>
      <c r="K24" s="17"/>
      <c r="L24" s="22"/>
      <c r="M24" s="17"/>
    </row>
    <row r="25" spans="1:14" ht="12.6" customHeight="1" x14ac:dyDescent="0.2">
      <c r="A25" s="14">
        <v>16</v>
      </c>
      <c r="B25" s="18"/>
      <c r="C25" s="24" t="s">
        <v>33</v>
      </c>
      <c r="D25" s="18" t="s">
        <v>34</v>
      </c>
      <c r="E25" s="20">
        <f>565.9+3.7+11</f>
        <v>580.6</v>
      </c>
      <c r="F25" s="20">
        <v>580.6</v>
      </c>
      <c r="G25" s="20">
        <f>398.8+3</f>
        <v>401.8</v>
      </c>
      <c r="H25" s="21">
        <v>401.8</v>
      </c>
      <c r="J25" s="17"/>
      <c r="K25" s="17"/>
      <c r="L25" s="22"/>
      <c r="M25" s="17"/>
    </row>
    <row r="26" spans="1:14" ht="12.6" customHeight="1" x14ac:dyDescent="0.2">
      <c r="A26" s="14">
        <v>17</v>
      </c>
      <c r="B26" s="18"/>
      <c r="C26" s="19" t="s">
        <v>35</v>
      </c>
      <c r="D26" s="18" t="s">
        <v>34</v>
      </c>
      <c r="E26" s="20">
        <f>392.2+15+6.7</f>
        <v>413.9</v>
      </c>
      <c r="F26" s="20">
        <v>413.9</v>
      </c>
      <c r="G26" s="20">
        <v>289.10000000000002</v>
      </c>
      <c r="H26" s="21">
        <v>289.10000000000002</v>
      </c>
      <c r="J26" s="17"/>
      <c r="K26" s="17"/>
      <c r="L26" s="22"/>
      <c r="M26" s="17"/>
    </row>
    <row r="27" spans="1:14" ht="12.6" customHeight="1" x14ac:dyDescent="0.2">
      <c r="A27" s="14">
        <v>18</v>
      </c>
      <c r="B27" s="18"/>
      <c r="C27" s="24" t="s">
        <v>36</v>
      </c>
      <c r="D27" s="18" t="s">
        <v>34</v>
      </c>
      <c r="E27" s="20">
        <f>385.3+1.7+7.1</f>
        <v>394.1</v>
      </c>
      <c r="F27" s="20">
        <v>394.1</v>
      </c>
      <c r="G27" s="20">
        <f>263.5+1.7+19.4</f>
        <v>284.59999999999997</v>
      </c>
      <c r="H27" s="21">
        <v>284.60000000000002</v>
      </c>
      <c r="J27" s="17"/>
      <c r="K27" s="17"/>
      <c r="L27" s="22"/>
      <c r="M27" s="17"/>
    </row>
    <row r="28" spans="1:14" ht="12.6" customHeight="1" x14ac:dyDescent="0.2">
      <c r="A28" s="14">
        <v>19</v>
      </c>
      <c r="B28" s="18"/>
      <c r="C28" s="24" t="s">
        <v>37</v>
      </c>
      <c r="D28" s="18" t="s">
        <v>34</v>
      </c>
      <c r="E28" s="20">
        <f>244.4+3.5</f>
        <v>247.9</v>
      </c>
      <c r="F28" s="20">
        <v>247.9</v>
      </c>
      <c r="G28" s="20">
        <f>185.8+11.6</f>
        <v>197.4</v>
      </c>
      <c r="H28" s="21">
        <v>197.4</v>
      </c>
      <c r="J28" s="17"/>
      <c r="K28" s="17"/>
      <c r="L28" s="22"/>
      <c r="M28" s="17"/>
    </row>
    <row r="29" spans="1:14" ht="12.6" customHeight="1" x14ac:dyDescent="0.2">
      <c r="A29" s="14">
        <v>20</v>
      </c>
      <c r="B29" s="18"/>
      <c r="C29" s="24" t="s">
        <v>38</v>
      </c>
      <c r="D29" s="18" t="s">
        <v>34</v>
      </c>
      <c r="E29" s="20">
        <f>710.6+6.7+11.3-3.1</f>
        <v>725.5</v>
      </c>
      <c r="F29" s="20">
        <v>722.4</v>
      </c>
      <c r="G29" s="20">
        <v>513.29999999999995</v>
      </c>
      <c r="H29" s="30">
        <f>513.3</f>
        <v>513.29999999999995</v>
      </c>
      <c r="J29" s="17"/>
      <c r="K29" s="17"/>
      <c r="L29" s="22"/>
      <c r="M29" s="17"/>
    </row>
    <row r="30" spans="1:14" ht="12.6" customHeight="1" x14ac:dyDescent="0.2">
      <c r="A30" s="14">
        <v>21</v>
      </c>
      <c r="B30" s="18"/>
      <c r="C30" s="24" t="s">
        <v>39</v>
      </c>
      <c r="D30" s="18" t="s">
        <v>34</v>
      </c>
      <c r="E30" s="20">
        <f>162.2+3.6+2.5+3.5</f>
        <v>171.79999999999998</v>
      </c>
      <c r="F30" s="20">
        <v>171.7</v>
      </c>
      <c r="G30" s="20">
        <v>119.8</v>
      </c>
      <c r="H30" s="21">
        <v>119.8</v>
      </c>
      <c r="J30" s="17"/>
      <c r="K30" s="17"/>
      <c r="L30" s="22"/>
      <c r="M30" s="17"/>
    </row>
    <row r="31" spans="1:14" ht="12.6" customHeight="1" x14ac:dyDescent="0.2">
      <c r="A31" s="14">
        <v>22</v>
      </c>
      <c r="B31" s="18"/>
      <c r="C31" s="24" t="s">
        <v>40</v>
      </c>
      <c r="D31" s="18" t="s">
        <v>34</v>
      </c>
      <c r="E31" s="20">
        <f>204.1+12.8+2.6</f>
        <v>219.5</v>
      </c>
      <c r="F31" s="20">
        <v>219.5</v>
      </c>
      <c r="G31" s="20">
        <f>160.5+12.6-0.9</f>
        <v>172.2</v>
      </c>
      <c r="H31" s="21">
        <v>172.2</v>
      </c>
      <c r="J31" s="17"/>
      <c r="K31" s="17"/>
      <c r="L31" s="22"/>
      <c r="M31" s="17"/>
    </row>
    <row r="32" spans="1:14" ht="12.6" customHeight="1" x14ac:dyDescent="0.2">
      <c r="A32" s="14">
        <v>23</v>
      </c>
      <c r="B32" s="18"/>
      <c r="C32" s="24" t="s">
        <v>41</v>
      </c>
      <c r="D32" s="18" t="s">
        <v>34</v>
      </c>
      <c r="E32" s="20">
        <f>189.5-38</f>
        <v>151.5</v>
      </c>
      <c r="F32" s="20">
        <v>151.4</v>
      </c>
      <c r="G32" s="20">
        <f>143.3-46.9</f>
        <v>96.4</v>
      </c>
      <c r="H32" s="21">
        <v>96.4</v>
      </c>
      <c r="J32" s="17"/>
      <c r="K32" s="17"/>
      <c r="L32" s="22"/>
      <c r="M32" s="17"/>
    </row>
    <row r="33" spans="1:13" ht="51" x14ac:dyDescent="0.2">
      <c r="A33" s="14">
        <v>24</v>
      </c>
      <c r="B33" s="18"/>
      <c r="C33" s="24" t="s">
        <v>42</v>
      </c>
      <c r="D33" s="25" t="s">
        <v>43</v>
      </c>
      <c r="E33" s="20">
        <f>454.6+8.8</f>
        <v>463.40000000000003</v>
      </c>
      <c r="F33" s="20">
        <v>463.4</v>
      </c>
      <c r="G33" s="20">
        <f>322.5+11.3</f>
        <v>333.8</v>
      </c>
      <c r="H33" s="26">
        <v>333.8</v>
      </c>
      <c r="J33" s="17"/>
      <c r="K33" s="17"/>
      <c r="L33" s="22"/>
      <c r="M33" s="17"/>
    </row>
    <row r="34" spans="1:13" ht="12.6" customHeight="1" x14ac:dyDescent="0.2">
      <c r="A34" s="14">
        <v>25</v>
      </c>
      <c r="B34" s="18"/>
      <c r="C34" s="31" t="s">
        <v>44</v>
      </c>
      <c r="D34" s="25" t="s">
        <v>34</v>
      </c>
      <c r="E34" s="20">
        <f>0.2+6.5+8+24.7</f>
        <v>39.4</v>
      </c>
      <c r="F34" s="20">
        <v>39.4</v>
      </c>
      <c r="G34" s="20"/>
      <c r="H34" s="21"/>
      <c r="J34" s="17"/>
      <c r="K34" s="17"/>
      <c r="L34" s="22"/>
      <c r="M34" s="17"/>
    </row>
    <row r="35" spans="1:13" ht="12.6" customHeight="1" x14ac:dyDescent="0.2">
      <c r="A35" s="14">
        <v>26</v>
      </c>
      <c r="B35" s="18"/>
      <c r="C35" s="19" t="s">
        <v>45</v>
      </c>
      <c r="D35" s="18" t="s">
        <v>46</v>
      </c>
      <c r="E35" s="20">
        <f>291.7+11+5.6+22.5</f>
        <v>330.8</v>
      </c>
      <c r="F35" s="20">
        <v>330.6</v>
      </c>
      <c r="G35" s="20">
        <f>284.8+22.5</f>
        <v>307.3</v>
      </c>
      <c r="H35" s="30">
        <f>307.3-0.1</f>
        <v>307.2</v>
      </c>
      <c r="J35" s="17"/>
      <c r="K35" s="17"/>
      <c r="L35" s="22"/>
      <c r="M35" s="17"/>
    </row>
    <row r="36" spans="1:13" ht="12.6" customHeight="1" x14ac:dyDescent="0.2">
      <c r="A36" s="242">
        <v>27</v>
      </c>
      <c r="B36" s="18"/>
      <c r="C36" s="19" t="s">
        <v>47</v>
      </c>
      <c r="D36" s="244" t="s">
        <v>46</v>
      </c>
      <c r="E36" s="20">
        <f>329.8+5</f>
        <v>334.8</v>
      </c>
      <c r="F36" s="20">
        <v>305.3</v>
      </c>
      <c r="G36" s="20">
        <v>323.5</v>
      </c>
      <c r="H36" s="23">
        <v>295.2</v>
      </c>
      <c r="J36" s="17"/>
      <c r="K36" s="17"/>
      <c r="L36" s="22"/>
      <c r="M36" s="17"/>
    </row>
    <row r="37" spans="1:13" ht="25.5" x14ac:dyDescent="0.2">
      <c r="A37" s="243"/>
      <c r="B37" s="18"/>
      <c r="C37" s="24" t="s">
        <v>48</v>
      </c>
      <c r="D37" s="245"/>
      <c r="E37" s="29">
        <v>5</v>
      </c>
      <c r="F37" s="29">
        <v>5</v>
      </c>
      <c r="G37" s="29"/>
      <c r="H37" s="34"/>
      <c r="J37" s="9"/>
      <c r="K37" s="17"/>
      <c r="L37" s="22"/>
      <c r="M37" s="17"/>
    </row>
    <row r="38" spans="1:13" ht="12.6" customHeight="1" x14ac:dyDescent="0.2">
      <c r="A38" s="14">
        <v>28</v>
      </c>
      <c r="B38" s="18"/>
      <c r="C38" s="19" t="s">
        <v>49</v>
      </c>
      <c r="D38" s="18" t="s">
        <v>46</v>
      </c>
      <c r="E38" s="20">
        <v>890.6</v>
      </c>
      <c r="F38" s="20">
        <v>890.6</v>
      </c>
      <c r="G38" s="20">
        <f>871.2-5.2</f>
        <v>866</v>
      </c>
      <c r="H38" s="21">
        <v>866</v>
      </c>
      <c r="J38" s="17"/>
      <c r="K38" s="17"/>
      <c r="L38" s="22"/>
      <c r="M38" s="17"/>
    </row>
    <row r="39" spans="1:13" ht="38.25" x14ac:dyDescent="0.2">
      <c r="A39" s="14">
        <v>29</v>
      </c>
      <c r="B39" s="18"/>
      <c r="C39" s="19" t="s">
        <v>50</v>
      </c>
      <c r="D39" s="25" t="s">
        <v>51</v>
      </c>
      <c r="E39" s="20">
        <f>135+2.7+1.4+1.2</f>
        <v>140.29999999999998</v>
      </c>
      <c r="F39" s="20">
        <v>140.19999999999999</v>
      </c>
      <c r="G39" s="20">
        <v>113.4</v>
      </c>
      <c r="H39" s="26">
        <v>113.4</v>
      </c>
      <c r="J39" s="17"/>
      <c r="K39" s="17"/>
      <c r="L39" s="22"/>
      <c r="M39" s="17"/>
    </row>
    <row r="40" spans="1:13" ht="12.6" customHeight="1" x14ac:dyDescent="0.2">
      <c r="A40" s="14">
        <v>30</v>
      </c>
      <c r="B40" s="18"/>
      <c r="C40" s="35" t="s">
        <v>52</v>
      </c>
      <c r="D40" s="18" t="s">
        <v>16</v>
      </c>
      <c r="E40" s="20">
        <f>134.7+1.9+0.9</f>
        <v>137.5</v>
      </c>
      <c r="F40" s="20">
        <v>136.5</v>
      </c>
      <c r="G40" s="20">
        <f>108.4+4.5</f>
        <v>112.9</v>
      </c>
      <c r="H40" s="21">
        <v>112.9</v>
      </c>
      <c r="J40" s="17"/>
      <c r="K40" s="17"/>
      <c r="L40" s="22"/>
      <c r="M40" s="17"/>
    </row>
    <row r="41" spans="1:13" ht="12.6" customHeight="1" x14ac:dyDescent="0.2">
      <c r="A41" s="14">
        <v>31</v>
      </c>
      <c r="B41" s="18"/>
      <c r="C41" s="35" t="s">
        <v>53</v>
      </c>
      <c r="D41" s="18" t="s">
        <v>16</v>
      </c>
      <c r="E41" s="20">
        <f>151.4+2.4</f>
        <v>153.80000000000001</v>
      </c>
      <c r="F41" s="20">
        <v>153.6</v>
      </c>
      <c r="G41" s="20">
        <v>124.6</v>
      </c>
      <c r="H41" s="36">
        <v>124.6</v>
      </c>
      <c r="I41" s="17"/>
      <c r="J41" s="17"/>
      <c r="K41" s="17"/>
      <c r="L41" s="22"/>
      <c r="M41" s="17"/>
    </row>
    <row r="42" spans="1:13" ht="12.6" customHeight="1" x14ac:dyDescent="0.2">
      <c r="A42" s="14">
        <v>32</v>
      </c>
      <c r="B42" s="18"/>
      <c r="C42" s="66" t="s">
        <v>54</v>
      </c>
      <c r="D42" s="28"/>
      <c r="E42" s="40">
        <f>+E43+E47+E44+E45+E46</f>
        <v>794.80000000000007</v>
      </c>
      <c r="F42" s="40">
        <f>+F43+F47+F44+F45+F46</f>
        <v>690.2</v>
      </c>
      <c r="G42" s="40">
        <f>+G43+G45+G46+G47</f>
        <v>139.6</v>
      </c>
      <c r="H42" s="40">
        <f>+H43+H45+H46+H47</f>
        <v>131.5</v>
      </c>
      <c r="I42" s="17"/>
      <c r="J42" s="17"/>
      <c r="K42" s="17"/>
      <c r="L42" s="37"/>
      <c r="M42" s="17"/>
    </row>
    <row r="43" spans="1:13" ht="15" customHeight="1" x14ac:dyDescent="0.2">
      <c r="A43" s="38" t="s">
        <v>55</v>
      </c>
      <c r="B43" s="28"/>
      <c r="C43" s="27" t="s">
        <v>56</v>
      </c>
      <c r="D43" s="39" t="s">
        <v>57</v>
      </c>
      <c r="E43" s="40">
        <f>136.7+18.5-5.6</f>
        <v>149.6</v>
      </c>
      <c r="F43" s="40">
        <v>141.1</v>
      </c>
      <c r="G43" s="40">
        <f>124.9+18.2-3.5</f>
        <v>139.6</v>
      </c>
      <c r="H43" s="77">
        <f>131.6-0.1</f>
        <v>131.5</v>
      </c>
      <c r="I43" s="17"/>
      <c r="J43" s="17"/>
      <c r="K43" s="17"/>
      <c r="L43" s="37"/>
      <c r="M43" s="17"/>
    </row>
    <row r="44" spans="1:13" ht="25.5" x14ac:dyDescent="0.2">
      <c r="A44" s="41" t="s">
        <v>58</v>
      </c>
      <c r="B44" s="18"/>
      <c r="C44" s="24" t="s">
        <v>59</v>
      </c>
      <c r="D44" s="25" t="s">
        <v>60</v>
      </c>
      <c r="E44" s="42">
        <v>69</v>
      </c>
      <c r="F44" s="42">
        <v>63.5</v>
      </c>
      <c r="G44" s="20"/>
      <c r="H44" s="36"/>
      <c r="I44" s="17"/>
      <c r="J44" s="17"/>
      <c r="K44" s="17"/>
    </row>
    <row r="45" spans="1:13" ht="25.5" x14ac:dyDescent="0.2">
      <c r="A45" s="41" t="s">
        <v>61</v>
      </c>
      <c r="B45" s="18"/>
      <c r="C45" s="43" t="s">
        <v>62</v>
      </c>
      <c r="D45" s="18" t="s">
        <v>63</v>
      </c>
      <c r="E45" s="42">
        <v>50</v>
      </c>
      <c r="F45" s="42">
        <v>50</v>
      </c>
      <c r="G45" s="20"/>
      <c r="H45" s="36"/>
      <c r="I45" s="17"/>
      <c r="J45" s="17"/>
      <c r="K45" s="17"/>
    </row>
    <row r="46" spans="1:13" ht="12.6" customHeight="1" x14ac:dyDescent="0.2">
      <c r="A46" s="41" t="s">
        <v>64</v>
      </c>
      <c r="B46" s="18"/>
      <c r="C46" s="43" t="s">
        <v>65</v>
      </c>
      <c r="D46" s="18" t="s">
        <v>66</v>
      </c>
      <c r="E46" s="42">
        <v>14</v>
      </c>
      <c r="F46" s="42">
        <v>10</v>
      </c>
      <c r="G46" s="20"/>
      <c r="H46" s="36"/>
      <c r="I46" s="17"/>
      <c r="J46" s="17"/>
      <c r="K46" s="17"/>
    </row>
    <row r="47" spans="1:13" ht="39" customHeight="1" x14ac:dyDescent="0.2">
      <c r="A47" s="41" t="s">
        <v>67</v>
      </c>
      <c r="B47" s="18"/>
      <c r="C47" s="44" t="s">
        <v>68</v>
      </c>
      <c r="D47" s="18"/>
      <c r="E47" s="239">
        <f>SUM(E48:E58)</f>
        <v>512.20000000000005</v>
      </c>
      <c r="F47" s="239">
        <f>SUM(F48:F58)</f>
        <v>425.6</v>
      </c>
      <c r="G47" s="239">
        <f>SUM(G48:G58)</f>
        <v>0</v>
      </c>
      <c r="H47" s="239">
        <f>SUM(H48:H58)</f>
        <v>0</v>
      </c>
      <c r="I47" s="17"/>
      <c r="J47" s="17"/>
      <c r="K47" s="17"/>
    </row>
    <row r="48" spans="1:13" ht="25.5" x14ac:dyDescent="0.2">
      <c r="A48" s="41" t="s">
        <v>69</v>
      </c>
      <c r="B48" s="18"/>
      <c r="C48" s="46" t="s">
        <v>70</v>
      </c>
      <c r="D48" s="18" t="s">
        <v>34</v>
      </c>
      <c r="E48" s="42">
        <f>124.1-25</f>
        <v>99.1</v>
      </c>
      <c r="F48" s="42">
        <v>86.7</v>
      </c>
      <c r="G48" s="20"/>
      <c r="H48" s="36"/>
      <c r="I48" s="17"/>
      <c r="J48" s="17"/>
      <c r="K48" s="17"/>
    </row>
    <row r="49" spans="1:16" ht="25.5" x14ac:dyDescent="0.2">
      <c r="A49" s="41" t="s">
        <v>71</v>
      </c>
      <c r="B49" s="18"/>
      <c r="C49" s="47" t="s">
        <v>72</v>
      </c>
      <c r="D49" s="18" t="s">
        <v>46</v>
      </c>
      <c r="E49" s="40">
        <f>50-9.6</f>
        <v>40.4</v>
      </c>
      <c r="F49" s="42">
        <v>40.299999999999997</v>
      </c>
      <c r="G49" s="20"/>
      <c r="H49" s="36"/>
      <c r="I49" s="17"/>
      <c r="J49" s="17"/>
      <c r="K49" s="17"/>
    </row>
    <row r="50" spans="1:16" ht="25.5" x14ac:dyDescent="0.2">
      <c r="A50" s="41" t="s">
        <v>73</v>
      </c>
      <c r="B50" s="18"/>
      <c r="C50" s="48" t="s">
        <v>74</v>
      </c>
      <c r="D50" s="18" t="s">
        <v>34</v>
      </c>
      <c r="E50" s="40">
        <v>30</v>
      </c>
      <c r="F50" s="42">
        <v>30</v>
      </c>
      <c r="G50" s="20"/>
      <c r="H50" s="36"/>
      <c r="I50" s="17"/>
      <c r="J50" s="17"/>
      <c r="K50" s="17"/>
    </row>
    <row r="51" spans="1:16" ht="17.25" customHeight="1" x14ac:dyDescent="0.2">
      <c r="A51" s="41" t="s">
        <v>75</v>
      </c>
      <c r="B51" s="18"/>
      <c r="C51" s="43" t="s">
        <v>76</v>
      </c>
      <c r="D51" s="18" t="s">
        <v>34</v>
      </c>
      <c r="E51" s="40">
        <v>25</v>
      </c>
      <c r="F51" s="42">
        <v>25</v>
      </c>
      <c r="G51" s="20"/>
      <c r="H51" s="36"/>
      <c r="I51" s="17"/>
      <c r="J51" s="17"/>
      <c r="K51" s="17"/>
    </row>
    <row r="52" spans="1:16" ht="25.5" x14ac:dyDescent="0.2">
      <c r="A52" s="41" t="s">
        <v>77</v>
      </c>
      <c r="B52" s="18"/>
      <c r="C52" s="48" t="s">
        <v>78</v>
      </c>
      <c r="D52" s="25" t="s">
        <v>60</v>
      </c>
      <c r="E52" s="40">
        <v>100</v>
      </c>
      <c r="F52" s="40">
        <f>94.1+0.1</f>
        <v>94.199999999999989</v>
      </c>
      <c r="G52" s="20"/>
      <c r="H52" s="36"/>
      <c r="I52" s="17"/>
      <c r="J52" s="17"/>
      <c r="K52" s="17"/>
    </row>
    <row r="53" spans="1:16" ht="25.5" x14ac:dyDescent="0.2">
      <c r="A53" s="41" t="s">
        <v>79</v>
      </c>
      <c r="B53" s="49"/>
      <c r="C53" s="46" t="s">
        <v>80</v>
      </c>
      <c r="D53" s="25" t="s">
        <v>60</v>
      </c>
      <c r="E53" s="50">
        <v>50</v>
      </c>
      <c r="F53" s="51">
        <v>50</v>
      </c>
      <c r="G53" s="51"/>
      <c r="H53" s="36"/>
      <c r="I53" s="17"/>
      <c r="J53" s="17"/>
      <c r="K53" s="17"/>
    </row>
    <row r="54" spans="1:16" ht="25.5" x14ac:dyDescent="0.2">
      <c r="A54" s="41" t="s">
        <v>81</v>
      </c>
      <c r="B54" s="18"/>
      <c r="C54" s="43" t="s">
        <v>82</v>
      </c>
      <c r="D54" s="25" t="s">
        <v>60</v>
      </c>
      <c r="E54" s="40">
        <v>50</v>
      </c>
      <c r="F54" s="42">
        <v>1.6</v>
      </c>
      <c r="G54" s="20"/>
      <c r="H54" s="36"/>
      <c r="I54" s="17"/>
      <c r="J54" s="17"/>
      <c r="K54" s="17"/>
    </row>
    <row r="55" spans="1:16" ht="38.25" x14ac:dyDescent="0.2">
      <c r="A55" s="41" t="s">
        <v>83</v>
      </c>
      <c r="B55" s="18"/>
      <c r="C55" s="43" t="s">
        <v>84</v>
      </c>
      <c r="D55" s="25" t="s">
        <v>60</v>
      </c>
      <c r="E55" s="40">
        <f>30+10</f>
        <v>40</v>
      </c>
      <c r="F55" s="42">
        <v>20.6</v>
      </c>
      <c r="G55" s="20"/>
      <c r="H55" s="36"/>
      <c r="I55" s="17"/>
      <c r="J55" s="17"/>
      <c r="K55" s="17"/>
    </row>
    <row r="56" spans="1:16" ht="18" customHeight="1" x14ac:dyDescent="0.2">
      <c r="A56" s="41" t="s">
        <v>85</v>
      </c>
      <c r="B56" s="18"/>
      <c r="C56" s="43" t="s">
        <v>86</v>
      </c>
      <c r="D56" s="25" t="s">
        <v>87</v>
      </c>
      <c r="E56" s="40">
        <v>20</v>
      </c>
      <c r="F56" s="42">
        <v>20</v>
      </c>
      <c r="G56" s="20"/>
      <c r="H56" s="36"/>
      <c r="I56" s="17"/>
      <c r="J56" s="17"/>
      <c r="K56" s="17"/>
    </row>
    <row r="57" spans="1:16" ht="25.5" x14ac:dyDescent="0.2">
      <c r="A57" s="41" t="s">
        <v>88</v>
      </c>
      <c r="B57" s="18"/>
      <c r="C57" s="43" t="s">
        <v>89</v>
      </c>
      <c r="D57" s="25" t="s">
        <v>26</v>
      </c>
      <c r="E57" s="40">
        <f>157.2-100</f>
        <v>57.199999999999989</v>
      </c>
      <c r="F57" s="42">
        <v>57.2</v>
      </c>
      <c r="G57" s="20"/>
      <c r="H57" s="36"/>
      <c r="I57" s="17"/>
      <c r="J57" s="17"/>
      <c r="K57" s="17"/>
    </row>
    <row r="58" spans="1:16" ht="25.5" x14ac:dyDescent="0.2">
      <c r="A58" s="41" t="s">
        <v>90</v>
      </c>
      <c r="B58" s="18"/>
      <c r="C58" s="43" t="s">
        <v>91</v>
      </c>
      <c r="D58" s="18" t="s">
        <v>16</v>
      </c>
      <c r="E58" s="42">
        <v>0.5</v>
      </c>
      <c r="F58" s="42">
        <v>0</v>
      </c>
      <c r="G58" s="20"/>
      <c r="H58" s="36"/>
      <c r="I58" s="17"/>
      <c r="J58" s="17"/>
      <c r="K58" s="17"/>
      <c r="P58" s="17"/>
    </row>
    <row r="59" spans="1:16" ht="20.100000000000001" customHeight="1" x14ac:dyDescent="0.2">
      <c r="A59" s="14">
        <v>33</v>
      </c>
      <c r="B59" s="12" t="s">
        <v>92</v>
      </c>
      <c r="C59" s="52" t="s">
        <v>93</v>
      </c>
      <c r="D59" s="13"/>
      <c r="E59" s="53">
        <f>+E60+E63</f>
        <v>623.79999999999995</v>
      </c>
      <c r="F59" s="53">
        <f>+F60+F63</f>
        <v>564.40000000000009</v>
      </c>
      <c r="G59" s="53">
        <f>+G60+G63</f>
        <v>62.5</v>
      </c>
      <c r="H59" s="53">
        <f>+H60+H63</f>
        <v>62.5</v>
      </c>
      <c r="I59" s="17"/>
      <c r="J59" s="17"/>
      <c r="K59" s="17"/>
      <c r="M59" s="54"/>
      <c r="P59" s="17"/>
    </row>
    <row r="60" spans="1:16" ht="25.5" x14ac:dyDescent="0.2">
      <c r="A60" s="255">
        <v>34</v>
      </c>
      <c r="B60" s="12"/>
      <c r="C60" s="24" t="s">
        <v>94</v>
      </c>
      <c r="D60" s="258" t="s">
        <v>95</v>
      </c>
      <c r="E60" s="20">
        <f>63.7+E61+E62</f>
        <v>128.69999999999999</v>
      </c>
      <c r="F60" s="20">
        <v>128.69999999999999</v>
      </c>
      <c r="G60" s="20">
        <v>62.5</v>
      </c>
      <c r="H60" s="57">
        <v>62.5</v>
      </c>
      <c r="I60" s="17"/>
      <c r="J60" s="17"/>
      <c r="K60" s="17"/>
      <c r="P60" s="17"/>
    </row>
    <row r="61" spans="1:16" ht="25.5" x14ac:dyDescent="0.2">
      <c r="A61" s="256"/>
      <c r="B61" s="12"/>
      <c r="C61" s="58" t="s">
        <v>96</v>
      </c>
      <c r="D61" s="259"/>
      <c r="E61" s="29">
        <v>35</v>
      </c>
      <c r="F61" s="29">
        <v>35</v>
      </c>
      <c r="G61" s="20"/>
      <c r="H61" s="36"/>
      <c r="I61" s="17"/>
      <c r="J61" s="17"/>
      <c r="K61" s="17"/>
      <c r="P61" s="17"/>
    </row>
    <row r="62" spans="1:16" ht="21" customHeight="1" x14ac:dyDescent="0.2">
      <c r="A62" s="257"/>
      <c r="B62" s="12"/>
      <c r="C62" s="58" t="s">
        <v>97</v>
      </c>
      <c r="D62" s="260"/>
      <c r="E62" s="29">
        <v>30</v>
      </c>
      <c r="F62" s="29">
        <v>30</v>
      </c>
      <c r="G62" s="20"/>
      <c r="H62" s="36"/>
      <c r="I62" s="17"/>
      <c r="J62" s="17"/>
      <c r="K62" s="17"/>
      <c r="P62" s="17"/>
    </row>
    <row r="63" spans="1:16" ht="15.75" customHeight="1" x14ac:dyDescent="0.2">
      <c r="A63" s="14">
        <v>35</v>
      </c>
      <c r="B63" s="18"/>
      <c r="C63" s="66" t="s">
        <v>54</v>
      </c>
      <c r="D63" s="39"/>
      <c r="E63" s="29">
        <f>+E65+E66+E67+E68+E69+E70+E71+E72+E73+E74+E75+E76+E77+E79+E80+E64+E78</f>
        <v>495.1</v>
      </c>
      <c r="F63" s="29">
        <f>+F65+F66+F67+F68+F69+F70+F71+F72+F73+F74+F75+F76+F77+F79+F80+F64+F78</f>
        <v>435.70000000000005</v>
      </c>
      <c r="G63" s="29">
        <f>+G65+G66+G67+G68+G69+G70+G71+G72+G73+G74+G75+G76+G77+G79+G80+G64+G78</f>
        <v>0</v>
      </c>
      <c r="H63" s="29">
        <f>+H65+H66+H67+H68+H69+H70+H71+H72+H73+H74+H75+H76+H77+H79+H80+H64+H78</f>
        <v>0</v>
      </c>
      <c r="I63" s="17"/>
      <c r="J63" s="17"/>
      <c r="K63" s="17"/>
      <c r="P63" s="17"/>
    </row>
    <row r="64" spans="1:16" ht="13.5" customHeight="1" x14ac:dyDescent="0.2">
      <c r="A64" s="41" t="s">
        <v>98</v>
      </c>
      <c r="B64" s="18"/>
      <c r="C64" s="19" t="s">
        <v>56</v>
      </c>
      <c r="D64" s="18" t="s">
        <v>99</v>
      </c>
      <c r="E64" s="20">
        <v>3</v>
      </c>
      <c r="F64" s="20">
        <v>3</v>
      </c>
      <c r="G64" s="20"/>
      <c r="H64" s="36"/>
      <c r="I64" s="17"/>
      <c r="J64" s="17"/>
      <c r="K64" s="17"/>
      <c r="P64" s="17"/>
    </row>
    <row r="65" spans="1:16" ht="42" customHeight="1" x14ac:dyDescent="0.2">
      <c r="A65" s="41" t="s">
        <v>100</v>
      </c>
      <c r="B65" s="18"/>
      <c r="C65" s="59" t="s">
        <v>101</v>
      </c>
      <c r="D65" s="25" t="s">
        <v>102</v>
      </c>
      <c r="E65" s="20">
        <f>43.9+1</f>
        <v>44.9</v>
      </c>
      <c r="F65" s="20">
        <v>44.9</v>
      </c>
      <c r="G65" s="20"/>
      <c r="H65" s="36"/>
      <c r="I65" s="17"/>
      <c r="J65" s="17"/>
      <c r="K65" s="17"/>
      <c r="P65" s="17"/>
    </row>
    <row r="66" spans="1:16" x14ac:dyDescent="0.2">
      <c r="A66" s="41" t="s">
        <v>103</v>
      </c>
      <c r="B66" s="18"/>
      <c r="C66" s="59" t="s">
        <v>104</v>
      </c>
      <c r="D66" s="25" t="s">
        <v>105</v>
      </c>
      <c r="E66" s="20">
        <v>20</v>
      </c>
      <c r="F66" s="20">
        <v>20</v>
      </c>
      <c r="G66" s="20"/>
      <c r="H66" s="36"/>
      <c r="I66" s="17"/>
      <c r="J66" s="17"/>
      <c r="K66" s="17"/>
      <c r="P66" s="17"/>
    </row>
    <row r="67" spans="1:16" ht="38.25" x14ac:dyDescent="0.2">
      <c r="A67" s="41" t="s">
        <v>106</v>
      </c>
      <c r="B67" s="18"/>
      <c r="C67" s="59" t="s">
        <v>107</v>
      </c>
      <c r="D67" s="25" t="s">
        <v>102</v>
      </c>
      <c r="E67" s="20">
        <v>5.2</v>
      </c>
      <c r="F67" s="20">
        <v>5.2</v>
      </c>
      <c r="G67" s="20"/>
      <c r="H67" s="36"/>
      <c r="I67" s="17"/>
      <c r="J67" s="17"/>
      <c r="K67" s="17"/>
      <c r="P67" s="17"/>
    </row>
    <row r="68" spans="1:16" ht="38.25" x14ac:dyDescent="0.2">
      <c r="A68" s="41" t="s">
        <v>108</v>
      </c>
      <c r="B68" s="18"/>
      <c r="C68" s="59" t="s">
        <v>109</v>
      </c>
      <c r="D68" s="25" t="s">
        <v>110</v>
      </c>
      <c r="E68" s="20">
        <v>18.2</v>
      </c>
      <c r="F68" s="20">
        <v>0</v>
      </c>
      <c r="G68" s="20"/>
      <c r="H68" s="36"/>
      <c r="I68" s="17"/>
      <c r="J68" s="17"/>
      <c r="K68" s="17"/>
      <c r="P68" s="17"/>
    </row>
    <row r="69" spans="1:16" ht="38.25" x14ac:dyDescent="0.2">
      <c r="A69" s="41" t="s">
        <v>111</v>
      </c>
      <c r="B69" s="18"/>
      <c r="C69" s="59" t="s">
        <v>112</v>
      </c>
      <c r="D69" s="25" t="s">
        <v>102</v>
      </c>
      <c r="E69" s="20">
        <f>25.2+1</f>
        <v>26.2</v>
      </c>
      <c r="F69" s="20">
        <v>26.2</v>
      </c>
      <c r="G69" s="20"/>
      <c r="H69" s="36"/>
      <c r="I69" s="17"/>
      <c r="J69" s="17"/>
      <c r="K69" s="17"/>
      <c r="P69" s="17"/>
    </row>
    <row r="70" spans="1:16" ht="38.25" x14ac:dyDescent="0.2">
      <c r="A70" s="41" t="s">
        <v>113</v>
      </c>
      <c r="B70" s="18"/>
      <c r="C70" s="59" t="s">
        <v>114</v>
      </c>
      <c r="D70" s="25" t="s">
        <v>115</v>
      </c>
      <c r="E70" s="20">
        <f>48+48.5</f>
        <v>96.5</v>
      </c>
      <c r="F70" s="20">
        <v>95.3</v>
      </c>
      <c r="G70" s="20"/>
      <c r="H70" s="36"/>
      <c r="I70" s="17"/>
      <c r="J70" s="17"/>
      <c r="K70" s="17"/>
      <c r="P70" s="17"/>
    </row>
    <row r="71" spans="1:16" ht="45" customHeight="1" x14ac:dyDescent="0.2">
      <c r="A71" s="41" t="s">
        <v>116</v>
      </c>
      <c r="B71" s="18"/>
      <c r="C71" s="59" t="s">
        <v>117</v>
      </c>
      <c r="D71" s="25" t="s">
        <v>118</v>
      </c>
      <c r="E71" s="20">
        <f>7-1</f>
        <v>6</v>
      </c>
      <c r="F71" s="20">
        <v>6</v>
      </c>
      <c r="G71" s="20"/>
      <c r="H71" s="36"/>
      <c r="I71" s="17"/>
      <c r="J71" s="17"/>
      <c r="K71" s="17"/>
      <c r="P71" s="17"/>
    </row>
    <row r="72" spans="1:16" ht="25.5" x14ac:dyDescent="0.2">
      <c r="A72" s="41" t="s">
        <v>119</v>
      </c>
      <c r="B72" s="18"/>
      <c r="C72" s="59" t="s">
        <v>120</v>
      </c>
      <c r="D72" s="25" t="s">
        <v>102</v>
      </c>
      <c r="E72" s="20">
        <f>23-9</f>
        <v>14</v>
      </c>
      <c r="F72" s="20">
        <v>12.5</v>
      </c>
      <c r="G72" s="20"/>
      <c r="H72" s="36"/>
      <c r="I72" s="17"/>
      <c r="J72" s="17"/>
      <c r="K72" s="17"/>
      <c r="P72" s="17"/>
    </row>
    <row r="73" spans="1:16" ht="25.5" x14ac:dyDescent="0.2">
      <c r="A73" s="41" t="s">
        <v>121</v>
      </c>
      <c r="B73" s="18"/>
      <c r="C73" s="59" t="s">
        <v>122</v>
      </c>
      <c r="D73" s="25" t="s">
        <v>123</v>
      </c>
      <c r="E73" s="20">
        <v>21.1</v>
      </c>
      <c r="F73" s="20">
        <v>21.1</v>
      </c>
      <c r="G73" s="20"/>
      <c r="H73" s="36"/>
      <c r="I73" s="17"/>
      <c r="J73" s="17"/>
      <c r="K73" s="17"/>
      <c r="P73" s="17"/>
    </row>
    <row r="74" spans="1:16" ht="25.5" x14ac:dyDescent="0.2">
      <c r="A74" s="41" t="s">
        <v>124</v>
      </c>
      <c r="B74" s="18"/>
      <c r="C74" s="59" t="s">
        <v>125</v>
      </c>
      <c r="D74" s="25" t="s">
        <v>123</v>
      </c>
      <c r="E74" s="20">
        <v>19.100000000000001</v>
      </c>
      <c r="F74" s="20">
        <v>19.100000000000001</v>
      </c>
      <c r="G74" s="20"/>
      <c r="H74" s="36"/>
      <c r="I74" s="17"/>
      <c r="J74" s="17"/>
      <c r="K74" s="17"/>
      <c r="P74" s="17"/>
    </row>
    <row r="75" spans="1:16" ht="27.6" customHeight="1" x14ac:dyDescent="0.2">
      <c r="A75" s="41" t="s">
        <v>126</v>
      </c>
      <c r="B75" s="18"/>
      <c r="C75" s="60" t="s">
        <v>127</v>
      </c>
      <c r="D75" s="25" t="s">
        <v>118</v>
      </c>
      <c r="E75" s="20">
        <v>31.8</v>
      </c>
      <c r="F75" s="20">
        <v>31.8</v>
      </c>
      <c r="G75" s="20"/>
      <c r="H75" s="36"/>
      <c r="I75" s="17"/>
      <c r="J75" s="17"/>
      <c r="K75" s="17"/>
      <c r="P75" s="17"/>
    </row>
    <row r="76" spans="1:16" ht="27.6" customHeight="1" x14ac:dyDescent="0.2">
      <c r="A76" s="41" t="s">
        <v>128</v>
      </c>
      <c r="B76" s="18"/>
      <c r="C76" s="60" t="s">
        <v>129</v>
      </c>
      <c r="D76" s="25" t="s">
        <v>118</v>
      </c>
      <c r="E76" s="20">
        <v>41.4</v>
      </c>
      <c r="F76" s="29">
        <f>31.9+0.1</f>
        <v>32</v>
      </c>
      <c r="G76" s="20"/>
      <c r="H76" s="36"/>
      <c r="I76" s="17"/>
      <c r="J76" s="17"/>
      <c r="K76" s="17"/>
      <c r="P76" s="17"/>
    </row>
    <row r="77" spans="1:16" ht="38.25" x14ac:dyDescent="0.2">
      <c r="A77" s="41" t="s">
        <v>130</v>
      </c>
      <c r="B77" s="18"/>
      <c r="C77" s="60" t="s">
        <v>131</v>
      </c>
      <c r="D77" s="25" t="s">
        <v>110</v>
      </c>
      <c r="E77" s="20">
        <v>39</v>
      </c>
      <c r="F77" s="20">
        <v>38.299999999999997</v>
      </c>
      <c r="G77" s="20"/>
      <c r="H77" s="36"/>
      <c r="I77" s="17"/>
      <c r="J77" s="17"/>
      <c r="K77" s="17"/>
      <c r="P77" s="17"/>
    </row>
    <row r="78" spans="1:16" ht="38.25" x14ac:dyDescent="0.2">
      <c r="A78" s="41" t="s">
        <v>132</v>
      </c>
      <c r="B78" s="18"/>
      <c r="C78" s="60" t="s">
        <v>133</v>
      </c>
      <c r="D78" s="25"/>
      <c r="E78" s="20">
        <v>8.3000000000000007</v>
      </c>
      <c r="F78" s="20">
        <v>8.3000000000000007</v>
      </c>
      <c r="G78" s="20"/>
      <c r="H78" s="36"/>
      <c r="I78" s="17"/>
      <c r="J78" s="17"/>
      <c r="K78" s="17"/>
      <c r="P78" s="17"/>
    </row>
    <row r="79" spans="1:16" ht="29.25" customHeight="1" x14ac:dyDescent="0.2">
      <c r="A79" s="41" t="s">
        <v>134</v>
      </c>
      <c r="B79" s="18"/>
      <c r="C79" s="59" t="s">
        <v>135</v>
      </c>
      <c r="D79" s="25" t="s">
        <v>136</v>
      </c>
      <c r="E79" s="20">
        <v>87.3</v>
      </c>
      <c r="F79" s="20">
        <v>62.7</v>
      </c>
      <c r="G79" s="20"/>
      <c r="H79" s="36"/>
      <c r="I79" s="17"/>
      <c r="J79" s="17"/>
      <c r="K79" s="17"/>
      <c r="P79" s="17"/>
    </row>
    <row r="80" spans="1:16" ht="38.450000000000003" customHeight="1" x14ac:dyDescent="0.2">
      <c r="A80" s="41" t="s">
        <v>137</v>
      </c>
      <c r="B80" s="18"/>
      <c r="C80" s="44" t="s">
        <v>68</v>
      </c>
      <c r="D80" s="25"/>
      <c r="E80" s="239">
        <f>+E81+E82+E83</f>
        <v>13.099999999999998</v>
      </c>
      <c r="F80" s="239">
        <f>+F81+F82+F83</f>
        <v>9.3000000000000007</v>
      </c>
      <c r="G80" s="239">
        <f>+G81+G82+G83</f>
        <v>0</v>
      </c>
      <c r="H80" s="239">
        <f>+H81+H82+H83</f>
        <v>0</v>
      </c>
      <c r="I80" s="17"/>
      <c r="J80" s="17"/>
      <c r="K80" s="17"/>
      <c r="P80" s="17"/>
    </row>
    <row r="81" spans="1:16" ht="25.5" x14ac:dyDescent="0.2">
      <c r="A81" s="41" t="s">
        <v>138</v>
      </c>
      <c r="B81" s="18"/>
      <c r="C81" s="59" t="s">
        <v>139</v>
      </c>
      <c r="D81" s="25" t="s">
        <v>115</v>
      </c>
      <c r="E81" s="20">
        <f>7-6.9</f>
        <v>9.9999999999999645E-2</v>
      </c>
      <c r="F81" s="20">
        <v>0</v>
      </c>
      <c r="G81" s="20"/>
      <c r="H81" s="36"/>
      <c r="I81" s="17"/>
      <c r="J81" s="17"/>
      <c r="K81" s="17"/>
      <c r="P81" s="17"/>
    </row>
    <row r="82" spans="1:16" ht="25.5" x14ac:dyDescent="0.2">
      <c r="A82" s="41" t="s">
        <v>140</v>
      </c>
      <c r="B82" s="18"/>
      <c r="C82" s="47" t="s">
        <v>141</v>
      </c>
      <c r="D82" s="25" t="s">
        <v>123</v>
      </c>
      <c r="E82" s="20">
        <v>6.3</v>
      </c>
      <c r="F82" s="20">
        <v>2.6</v>
      </c>
      <c r="G82" s="20"/>
      <c r="H82" s="36"/>
      <c r="I82" s="17"/>
      <c r="J82" s="17"/>
      <c r="K82" s="17"/>
      <c r="P82" s="17"/>
    </row>
    <row r="83" spans="1:16" ht="12.6" customHeight="1" x14ac:dyDescent="0.2">
      <c r="A83" s="41" t="s">
        <v>142</v>
      </c>
      <c r="B83" s="18"/>
      <c r="C83" s="47" t="s">
        <v>143</v>
      </c>
      <c r="D83" s="25" t="s">
        <v>115</v>
      </c>
      <c r="E83" s="20">
        <f>15-8.3</f>
        <v>6.6999999999999993</v>
      </c>
      <c r="F83" s="20">
        <v>6.7</v>
      </c>
      <c r="G83" s="20"/>
      <c r="H83" s="36"/>
      <c r="I83" s="17"/>
      <c r="J83" s="17"/>
      <c r="K83" s="17"/>
      <c r="P83" s="17"/>
    </row>
    <row r="84" spans="1:16" ht="21.75" customHeight="1" x14ac:dyDescent="0.2">
      <c r="A84" s="14">
        <v>36</v>
      </c>
      <c r="B84" s="12" t="s">
        <v>144</v>
      </c>
      <c r="C84" s="52" t="s">
        <v>145</v>
      </c>
      <c r="D84" s="13"/>
      <c r="E84" s="53">
        <f>+E85+E88+E89+E90+E91+E92+E111+E112+E113+E114+E115+E116+E117+E118+E119+E120+E121</f>
        <v>9702.1000000000022</v>
      </c>
      <c r="F84" s="53">
        <f>+F85+F88+F89+F90+F91+F92+F111+F112+F113+F114+F115+F116+F117+F118+F119+F120+F121</f>
        <v>9445.2000000000007</v>
      </c>
      <c r="G84" s="53">
        <f>+G85+G88+G89+G90+G91+G92+G111+G112+G113+G114+G115+G116+G117+G118+G119+G120+G121</f>
        <v>2996.2000000000003</v>
      </c>
      <c r="H84" s="53">
        <f>+H85+H88+H89+H90+H91+H92+H111+H112+H113+H114+H115+H116+H117+H118+H119+H120+H121</f>
        <v>2979.5000000000005</v>
      </c>
      <c r="I84" s="17"/>
      <c r="J84" s="17"/>
      <c r="K84" s="17"/>
      <c r="M84" s="54"/>
      <c r="P84" s="17"/>
    </row>
    <row r="85" spans="1:16" ht="12.6" customHeight="1" x14ac:dyDescent="0.2">
      <c r="A85" s="261">
        <v>37</v>
      </c>
      <c r="B85" s="252"/>
      <c r="C85" s="27" t="s">
        <v>146</v>
      </c>
      <c r="D85" s="262" t="s">
        <v>147</v>
      </c>
      <c r="E85" s="29">
        <f>1240-53.2+15+3.4+1.7+3.1</f>
        <v>1210</v>
      </c>
      <c r="F85" s="29">
        <v>1206.7</v>
      </c>
      <c r="G85" s="29">
        <f>985.8-52.4</f>
        <v>933.4</v>
      </c>
      <c r="H85" s="36">
        <v>932.5</v>
      </c>
      <c r="I85" s="17"/>
      <c r="J85" s="17"/>
      <c r="K85" s="17"/>
      <c r="P85" s="17"/>
    </row>
    <row r="86" spans="1:16" ht="12.6" customHeight="1" x14ac:dyDescent="0.2">
      <c r="A86" s="261"/>
      <c r="B86" s="252"/>
      <c r="C86" s="61" t="s">
        <v>148</v>
      </c>
      <c r="D86" s="262"/>
      <c r="E86" s="231">
        <f>186.9+15+3.1</f>
        <v>205</v>
      </c>
      <c r="F86" s="231">
        <v>203.2</v>
      </c>
      <c r="G86" s="29"/>
      <c r="H86" s="36"/>
      <c r="I86" s="17"/>
      <c r="J86" s="17"/>
      <c r="K86" s="17"/>
      <c r="P86" s="17"/>
    </row>
    <row r="87" spans="1:16" ht="12.6" customHeight="1" x14ac:dyDescent="0.2">
      <c r="A87" s="261"/>
      <c r="B87" s="252"/>
      <c r="C87" s="62" t="s">
        <v>149</v>
      </c>
      <c r="D87" s="262"/>
      <c r="E87" s="231">
        <v>1</v>
      </c>
      <c r="F87" s="231">
        <v>1</v>
      </c>
      <c r="G87" s="29"/>
      <c r="H87" s="36"/>
      <c r="I87" s="17"/>
      <c r="J87" s="17"/>
      <c r="K87" s="17"/>
      <c r="P87" s="17"/>
    </row>
    <row r="88" spans="1:16" ht="12.6" customHeight="1" x14ac:dyDescent="0.2">
      <c r="A88" s="14">
        <v>38</v>
      </c>
      <c r="B88" s="18"/>
      <c r="C88" s="63" t="s">
        <v>150</v>
      </c>
      <c r="D88" s="64" t="s">
        <v>151</v>
      </c>
      <c r="E88" s="20">
        <f>288.7+6.1-2.9+4.2</f>
        <v>296.10000000000002</v>
      </c>
      <c r="F88" s="20">
        <v>284</v>
      </c>
      <c r="G88" s="20">
        <f>214.4-2.9</f>
        <v>211.5</v>
      </c>
      <c r="H88" s="36">
        <v>199.6</v>
      </c>
      <c r="I88" s="17"/>
      <c r="J88" s="17"/>
      <c r="K88" s="17"/>
      <c r="P88" s="17"/>
    </row>
    <row r="89" spans="1:16" ht="12.6" customHeight="1" x14ac:dyDescent="0.2">
      <c r="A89" s="14">
        <v>39</v>
      </c>
      <c r="B89" s="18"/>
      <c r="C89" s="35" t="s">
        <v>52</v>
      </c>
      <c r="D89" s="25" t="s">
        <v>152</v>
      </c>
      <c r="E89" s="20">
        <f>307.3+2.8-11.6+3+2+0.5</f>
        <v>304</v>
      </c>
      <c r="F89" s="20">
        <v>302.89999999999998</v>
      </c>
      <c r="G89" s="51">
        <f>269.7-11.4+5.8</f>
        <v>264.10000000000002</v>
      </c>
      <c r="H89" s="36">
        <v>264.10000000000002</v>
      </c>
      <c r="I89" s="17"/>
      <c r="J89" s="17"/>
      <c r="K89" s="17"/>
      <c r="P89" s="17"/>
    </row>
    <row r="90" spans="1:16" ht="12.6" customHeight="1" x14ac:dyDescent="0.2">
      <c r="A90" s="14">
        <v>40</v>
      </c>
      <c r="B90" s="18"/>
      <c r="C90" s="35" t="s">
        <v>53</v>
      </c>
      <c r="D90" s="65" t="s">
        <v>151</v>
      </c>
      <c r="E90" s="20">
        <f>322.1+4.3-8.2+2.4</f>
        <v>320.60000000000002</v>
      </c>
      <c r="F90" s="20">
        <v>320.3</v>
      </c>
      <c r="G90" s="20">
        <f>270.4-8.1</f>
        <v>262.29999999999995</v>
      </c>
      <c r="H90" s="36">
        <v>262.3</v>
      </c>
      <c r="I90" s="17"/>
      <c r="J90" s="17"/>
      <c r="K90" s="17"/>
      <c r="M90" s="17"/>
      <c r="P90" s="17"/>
    </row>
    <row r="91" spans="1:16" ht="12.6" customHeight="1" x14ac:dyDescent="0.2">
      <c r="A91" s="14">
        <v>41</v>
      </c>
      <c r="B91" s="18"/>
      <c r="C91" s="19" t="s">
        <v>153</v>
      </c>
      <c r="D91" s="64" t="s">
        <v>154</v>
      </c>
      <c r="E91" s="20">
        <f>1291.2+9.2-46.3+8.9+26.4</f>
        <v>1289.4000000000003</v>
      </c>
      <c r="F91" s="20">
        <v>1289.3</v>
      </c>
      <c r="G91" s="20">
        <f>1014.1-45.6</f>
        <v>968.5</v>
      </c>
      <c r="H91" s="36">
        <v>968.5</v>
      </c>
      <c r="I91" s="17"/>
      <c r="J91" s="17"/>
      <c r="K91" s="17"/>
      <c r="P91" s="17"/>
    </row>
    <row r="92" spans="1:16" ht="15" customHeight="1" x14ac:dyDescent="0.2">
      <c r="A92" s="14">
        <v>42</v>
      </c>
      <c r="B92" s="18"/>
      <c r="C92" s="66" t="s">
        <v>54</v>
      </c>
      <c r="D92" s="28"/>
      <c r="E92" s="40">
        <f>+E93+E94+E95+E97+E98+E99+E100+E96+E101+E102+E105+E103+E104</f>
        <v>2708.0000000000005</v>
      </c>
      <c r="F92" s="40">
        <f>+F93+F94+F95+F97+F98+F99+F100+F96+F101+F102+F105+F103+F104</f>
        <v>2553.8000000000002</v>
      </c>
      <c r="G92" s="40">
        <f>+G93+G94+G95+G97+G98+G99+G100+G96+G101+G102+G105+G103</f>
        <v>71.7</v>
      </c>
      <c r="H92" s="40">
        <f>+H93+H94+H95+H97+H98+H99+H100+H96+H101+H102+H105+H103</f>
        <v>69.8</v>
      </c>
      <c r="I92" s="17"/>
      <c r="J92" s="17"/>
      <c r="K92" s="17"/>
      <c r="P92" s="17"/>
    </row>
    <row r="93" spans="1:16" ht="63.75" x14ac:dyDescent="0.2">
      <c r="A93" s="41" t="s">
        <v>155</v>
      </c>
      <c r="B93" s="18"/>
      <c r="C93" s="66" t="s">
        <v>56</v>
      </c>
      <c r="D93" s="67" t="s">
        <v>156</v>
      </c>
      <c r="E93" s="29">
        <f>1173.2-53.6-138+75.7-53.9+1.7+93</f>
        <v>1098.1000000000004</v>
      </c>
      <c r="F93" s="29">
        <f>498+90.9+482.4+1.7</f>
        <v>1073</v>
      </c>
      <c r="G93" s="29">
        <f>70+1.7</f>
        <v>71.7</v>
      </c>
      <c r="H93" s="68">
        <v>69.8</v>
      </c>
      <c r="I93" s="17"/>
      <c r="J93" s="17"/>
      <c r="K93" s="17"/>
      <c r="P93" s="17"/>
    </row>
    <row r="94" spans="1:16" ht="27.6" customHeight="1" x14ac:dyDescent="0.2">
      <c r="A94" s="41" t="s">
        <v>157</v>
      </c>
      <c r="B94" s="18"/>
      <c r="C94" s="48" t="s">
        <v>158</v>
      </c>
      <c r="D94" s="69" t="s">
        <v>159</v>
      </c>
      <c r="E94" s="20">
        <f>50+18</f>
        <v>68</v>
      </c>
      <c r="F94" s="20">
        <v>61</v>
      </c>
      <c r="G94" s="20"/>
      <c r="H94" s="36"/>
      <c r="I94" s="17"/>
      <c r="J94" s="17"/>
      <c r="K94" s="17"/>
      <c r="P94" s="17"/>
    </row>
    <row r="95" spans="1:16" ht="26.25" customHeight="1" x14ac:dyDescent="0.2">
      <c r="A95" s="41" t="s">
        <v>160</v>
      </c>
      <c r="B95" s="18"/>
      <c r="C95" s="59" t="s">
        <v>161</v>
      </c>
      <c r="D95" s="69" t="s">
        <v>159</v>
      </c>
      <c r="E95" s="20">
        <f>150+76+7.8</f>
        <v>233.8</v>
      </c>
      <c r="F95" s="20">
        <v>223</v>
      </c>
      <c r="G95" s="20"/>
      <c r="H95" s="36"/>
      <c r="I95" s="17"/>
      <c r="J95" s="17"/>
      <c r="K95" s="17"/>
      <c r="P95" s="17"/>
    </row>
    <row r="96" spans="1:16" ht="28.5" customHeight="1" x14ac:dyDescent="0.2">
      <c r="A96" s="41" t="s">
        <v>162</v>
      </c>
      <c r="B96" s="18"/>
      <c r="C96" s="46" t="s">
        <v>163</v>
      </c>
      <c r="D96" s="18" t="s">
        <v>164</v>
      </c>
      <c r="E96" s="51">
        <v>16</v>
      </c>
      <c r="F96" s="51">
        <v>16</v>
      </c>
      <c r="G96" s="51"/>
      <c r="H96" s="36"/>
      <c r="I96" s="17"/>
      <c r="J96" s="17"/>
      <c r="K96" s="17"/>
      <c r="P96" s="17"/>
    </row>
    <row r="97" spans="1:16" ht="16.5" customHeight="1" x14ac:dyDescent="0.2">
      <c r="A97" s="41" t="s">
        <v>165</v>
      </c>
      <c r="B97" s="18"/>
      <c r="C97" s="46" t="s">
        <v>166</v>
      </c>
      <c r="D97" s="64" t="s">
        <v>167</v>
      </c>
      <c r="E97" s="20">
        <f>80+25+48.5-27.5</f>
        <v>126</v>
      </c>
      <c r="F97" s="20">
        <v>120.7</v>
      </c>
      <c r="G97" s="20"/>
      <c r="H97" s="36"/>
      <c r="I97" s="17"/>
      <c r="J97" s="17"/>
      <c r="K97" s="17"/>
      <c r="P97" s="17"/>
    </row>
    <row r="98" spans="1:16" ht="26.25" customHeight="1" x14ac:dyDescent="0.2">
      <c r="A98" s="41" t="s">
        <v>168</v>
      </c>
      <c r="B98" s="18"/>
      <c r="C98" s="46" t="s">
        <v>169</v>
      </c>
      <c r="D98" s="69" t="s">
        <v>167</v>
      </c>
      <c r="E98" s="20">
        <f>97+34-10-5+13.5+3</f>
        <v>132.5</v>
      </c>
      <c r="F98" s="20">
        <v>130</v>
      </c>
      <c r="G98" s="20"/>
      <c r="H98" s="36"/>
      <c r="I98" s="17"/>
      <c r="J98" s="17"/>
      <c r="K98" s="17"/>
      <c r="P98" s="17"/>
    </row>
    <row r="99" spans="1:16" ht="39" customHeight="1" x14ac:dyDescent="0.2">
      <c r="A99" s="41" t="s">
        <v>170</v>
      </c>
      <c r="B99" s="18"/>
      <c r="C99" s="46" t="s">
        <v>171</v>
      </c>
      <c r="D99" s="69" t="s">
        <v>172</v>
      </c>
      <c r="E99" s="51">
        <f>376+82.2+4.4</f>
        <v>462.59999999999997</v>
      </c>
      <c r="F99" s="51">
        <v>448.4</v>
      </c>
      <c r="G99" s="51"/>
      <c r="H99" s="36"/>
      <c r="I99" s="17"/>
      <c r="J99" s="17"/>
      <c r="K99" s="17"/>
      <c r="P99" s="17"/>
    </row>
    <row r="100" spans="1:16" ht="25.5" x14ac:dyDescent="0.2">
      <c r="A100" s="41" t="s">
        <v>173</v>
      </c>
      <c r="B100" s="18"/>
      <c r="C100" s="46" t="s">
        <v>174</v>
      </c>
      <c r="D100" s="18" t="s">
        <v>175</v>
      </c>
      <c r="E100" s="51">
        <v>60</v>
      </c>
      <c r="F100" s="51">
        <v>60</v>
      </c>
      <c r="G100" s="51"/>
      <c r="H100" s="36"/>
      <c r="I100" s="17"/>
      <c r="J100" s="17"/>
      <c r="K100" s="17"/>
      <c r="P100" s="17"/>
    </row>
    <row r="101" spans="1:16" ht="25.5" x14ac:dyDescent="0.2">
      <c r="A101" s="41" t="s">
        <v>176</v>
      </c>
      <c r="B101" s="18"/>
      <c r="C101" s="46" t="s">
        <v>177</v>
      </c>
      <c r="D101" s="18" t="s">
        <v>178</v>
      </c>
      <c r="E101" s="51">
        <v>7</v>
      </c>
      <c r="F101" s="51">
        <v>3.4</v>
      </c>
      <c r="G101" s="51"/>
      <c r="H101" s="36"/>
      <c r="I101" s="17"/>
      <c r="J101" s="17"/>
      <c r="K101" s="17"/>
      <c r="P101" s="17"/>
    </row>
    <row r="102" spans="1:16" x14ac:dyDescent="0.2">
      <c r="A102" s="41" t="s">
        <v>179</v>
      </c>
      <c r="B102" s="18"/>
      <c r="C102" s="70" t="s">
        <v>180</v>
      </c>
      <c r="D102" s="71" t="s">
        <v>154</v>
      </c>
      <c r="E102" s="50">
        <f>75.2+3.2+0.5</f>
        <v>78.900000000000006</v>
      </c>
      <c r="F102" s="50">
        <v>78.8</v>
      </c>
      <c r="G102" s="50"/>
      <c r="H102" s="36"/>
      <c r="I102" s="17"/>
      <c r="J102" s="17"/>
      <c r="K102" s="17"/>
      <c r="P102" s="17"/>
    </row>
    <row r="103" spans="1:16" ht="25.5" x14ac:dyDescent="0.2">
      <c r="A103" s="41" t="s">
        <v>181</v>
      </c>
      <c r="B103" s="18"/>
      <c r="C103" s="46" t="s">
        <v>182</v>
      </c>
      <c r="D103" s="64" t="s">
        <v>154</v>
      </c>
      <c r="E103" s="51">
        <v>30</v>
      </c>
      <c r="F103" s="51">
        <v>29.1</v>
      </c>
      <c r="G103" s="51"/>
      <c r="H103" s="36"/>
      <c r="I103" s="17"/>
      <c r="J103" s="17"/>
      <c r="K103" s="17"/>
      <c r="P103" s="17"/>
    </row>
    <row r="104" spans="1:16" ht="25.5" x14ac:dyDescent="0.2">
      <c r="A104" s="41" t="s">
        <v>183</v>
      </c>
      <c r="B104" s="18"/>
      <c r="C104" s="46" t="s">
        <v>184</v>
      </c>
      <c r="D104" s="64" t="s">
        <v>185</v>
      </c>
      <c r="E104" s="51">
        <v>13.5</v>
      </c>
      <c r="F104" s="51">
        <v>13.5</v>
      </c>
      <c r="G104" s="51"/>
      <c r="H104" s="36"/>
      <c r="I104" s="17"/>
      <c r="J104" s="17"/>
      <c r="K104" s="17"/>
      <c r="P104" s="17"/>
    </row>
    <row r="105" spans="1:16" ht="39" customHeight="1" x14ac:dyDescent="0.2">
      <c r="A105" s="41" t="s">
        <v>186</v>
      </c>
      <c r="B105" s="18"/>
      <c r="C105" s="44" t="s">
        <v>68</v>
      </c>
      <c r="D105" s="12"/>
      <c r="E105" s="240">
        <f>SUM(E106:E110)</f>
        <v>381.59999999999997</v>
      </c>
      <c r="F105" s="240">
        <f>SUM(F106:F110)</f>
        <v>296.89999999999998</v>
      </c>
      <c r="G105" s="240">
        <f>SUM(G106:G109)</f>
        <v>0</v>
      </c>
      <c r="H105" s="240">
        <f>SUM(H106:H109)</f>
        <v>0</v>
      </c>
      <c r="I105" s="17"/>
      <c r="J105" s="17"/>
      <c r="K105" s="17"/>
      <c r="P105" s="17"/>
    </row>
    <row r="106" spans="1:16" ht="15.75" customHeight="1" x14ac:dyDescent="0.2">
      <c r="A106" s="41" t="s">
        <v>187</v>
      </c>
      <c r="B106" s="18"/>
      <c r="C106" s="46" t="s">
        <v>188</v>
      </c>
      <c r="D106" s="18" t="s">
        <v>189</v>
      </c>
      <c r="E106" s="51">
        <f>15.2+150-15.2</f>
        <v>150</v>
      </c>
      <c r="F106" s="51">
        <v>93</v>
      </c>
      <c r="G106" s="51"/>
      <c r="H106" s="36"/>
      <c r="I106" s="17"/>
      <c r="J106" s="17"/>
      <c r="P106" s="17"/>
    </row>
    <row r="107" spans="1:16" ht="25.5" x14ac:dyDescent="0.2">
      <c r="A107" s="41" t="s">
        <v>190</v>
      </c>
      <c r="B107" s="18"/>
      <c r="C107" s="46" t="s">
        <v>191</v>
      </c>
      <c r="D107" s="25" t="s">
        <v>192</v>
      </c>
      <c r="E107" s="50">
        <v>200</v>
      </c>
      <c r="F107" s="50">
        <v>174.2</v>
      </c>
      <c r="G107" s="51"/>
      <c r="H107" s="36"/>
      <c r="I107" s="17"/>
      <c r="J107" s="17"/>
      <c r="K107" s="17"/>
      <c r="P107" s="17"/>
    </row>
    <row r="108" spans="1:16" ht="29.25" customHeight="1" x14ac:dyDescent="0.2">
      <c r="A108" s="41" t="s">
        <v>193</v>
      </c>
      <c r="B108" s="18"/>
      <c r="C108" s="46" t="s">
        <v>194</v>
      </c>
      <c r="D108" s="18" t="s">
        <v>175</v>
      </c>
      <c r="E108" s="50">
        <v>30</v>
      </c>
      <c r="F108" s="50">
        <f>28.1+0.1</f>
        <v>28.200000000000003</v>
      </c>
      <c r="G108" s="51"/>
      <c r="H108" s="36"/>
      <c r="I108" s="17"/>
      <c r="J108" s="17"/>
      <c r="K108" s="17"/>
      <c r="P108" s="17"/>
    </row>
    <row r="109" spans="1:16" ht="29.45" customHeight="1" x14ac:dyDescent="0.2">
      <c r="A109" s="41" t="s">
        <v>195</v>
      </c>
      <c r="B109" s="18"/>
      <c r="C109" s="47" t="s">
        <v>196</v>
      </c>
      <c r="D109" s="18" t="s">
        <v>154</v>
      </c>
      <c r="E109" s="51">
        <f>10-9.6</f>
        <v>0.40000000000000036</v>
      </c>
      <c r="F109" s="51">
        <v>0.4</v>
      </c>
      <c r="G109" s="51"/>
      <c r="H109" s="36"/>
      <c r="I109" s="17"/>
      <c r="J109" s="17"/>
      <c r="K109" s="17"/>
      <c r="P109" s="17"/>
    </row>
    <row r="110" spans="1:16" ht="29.45" customHeight="1" x14ac:dyDescent="0.2">
      <c r="A110" s="41" t="s">
        <v>197</v>
      </c>
      <c r="B110" s="18"/>
      <c r="C110" s="47" t="s">
        <v>198</v>
      </c>
      <c r="D110" s="18" t="s">
        <v>189</v>
      </c>
      <c r="E110" s="51">
        <v>1.2</v>
      </c>
      <c r="F110" s="51">
        <v>1.1000000000000001</v>
      </c>
      <c r="G110" s="51"/>
      <c r="H110" s="36"/>
      <c r="I110" s="17"/>
      <c r="J110" s="17"/>
      <c r="K110" s="17"/>
      <c r="L110" s="17"/>
      <c r="P110" s="17"/>
    </row>
    <row r="111" spans="1:16" ht="38.450000000000003" customHeight="1" x14ac:dyDescent="0.2">
      <c r="A111" s="14">
        <v>43</v>
      </c>
      <c r="B111" s="18"/>
      <c r="C111" s="72" t="s">
        <v>199</v>
      </c>
      <c r="D111" s="39" t="s">
        <v>200</v>
      </c>
      <c r="E111" s="29">
        <f>991.7-2.1+130.2+15.3-17-2.3</f>
        <v>1115.8</v>
      </c>
      <c r="F111" s="29">
        <v>1060.0999999999999</v>
      </c>
      <c r="G111" s="29">
        <f>98.2-2.1+15</f>
        <v>111.10000000000001</v>
      </c>
      <c r="H111" s="68">
        <v>109.7</v>
      </c>
      <c r="I111" s="17"/>
      <c r="J111" s="17"/>
      <c r="K111" s="17"/>
      <c r="L111" s="17"/>
      <c r="P111" s="17"/>
    </row>
    <row r="112" spans="1:16" ht="38.25" customHeight="1" x14ac:dyDescent="0.2">
      <c r="A112" s="14">
        <v>44</v>
      </c>
      <c r="B112" s="18"/>
      <c r="C112" s="72" t="s">
        <v>201</v>
      </c>
      <c r="D112" s="39" t="s">
        <v>202</v>
      </c>
      <c r="E112" s="29">
        <f>258.3-2+6+228.2-1.4+17</f>
        <v>506.1</v>
      </c>
      <c r="F112" s="29">
        <v>501.2</v>
      </c>
      <c r="G112" s="29">
        <f>31.8-2-1.9</f>
        <v>27.900000000000002</v>
      </c>
      <c r="H112" s="68">
        <v>27.9</v>
      </c>
      <c r="I112" s="17"/>
      <c r="J112" s="17"/>
      <c r="K112" s="17"/>
      <c r="L112" s="17"/>
      <c r="P112" s="17"/>
    </row>
    <row r="113" spans="1:16" ht="39.75" customHeight="1" x14ac:dyDescent="0.2">
      <c r="A113" s="14">
        <v>45</v>
      </c>
      <c r="B113" s="18"/>
      <c r="C113" s="72" t="s">
        <v>203</v>
      </c>
      <c r="D113" s="39" t="s">
        <v>200</v>
      </c>
      <c r="E113" s="29">
        <f>131.6+0.5-0.9-15+155.1-2.2-63</f>
        <v>206.09999999999997</v>
      </c>
      <c r="F113" s="29">
        <v>204.2</v>
      </c>
      <c r="G113" s="29">
        <f>15.3-0.9-2.4</f>
        <v>12</v>
      </c>
      <c r="H113" s="68">
        <v>12</v>
      </c>
      <c r="I113" s="17"/>
      <c r="J113" s="17"/>
      <c r="K113" s="17"/>
      <c r="L113" s="17"/>
      <c r="P113" s="17"/>
    </row>
    <row r="114" spans="1:16" ht="39.75" customHeight="1" x14ac:dyDescent="0.2">
      <c r="A114" s="14">
        <v>46</v>
      </c>
      <c r="B114" s="18"/>
      <c r="C114" s="72" t="s">
        <v>204</v>
      </c>
      <c r="D114" s="39" t="s">
        <v>200</v>
      </c>
      <c r="E114" s="29">
        <f>86.5-0.9-6+164.9-0.2-0.3</f>
        <v>244</v>
      </c>
      <c r="F114" s="29">
        <v>239.8</v>
      </c>
      <c r="G114" s="29">
        <f>18.1-0.9-0.2-0.2</f>
        <v>16.800000000000004</v>
      </c>
      <c r="H114" s="68">
        <v>16.8</v>
      </c>
      <c r="I114" s="17"/>
      <c r="J114" s="17"/>
      <c r="K114" s="17"/>
      <c r="L114" s="17"/>
      <c r="P114" s="17"/>
    </row>
    <row r="115" spans="1:16" ht="39.75" customHeight="1" x14ac:dyDescent="0.2">
      <c r="A115" s="14">
        <v>47</v>
      </c>
      <c r="B115" s="18"/>
      <c r="C115" s="72" t="s">
        <v>205</v>
      </c>
      <c r="D115" s="39" t="s">
        <v>200</v>
      </c>
      <c r="E115" s="29">
        <f>139.9-1.4+125.2-5.4+34</f>
        <v>292.3</v>
      </c>
      <c r="F115" s="29">
        <f>288.9</f>
        <v>288.89999999999998</v>
      </c>
      <c r="G115" s="29">
        <f>29.4-1.4-5.7+0.3</f>
        <v>22.6</v>
      </c>
      <c r="H115" s="68">
        <f>22.6-0.1</f>
        <v>22.5</v>
      </c>
      <c r="I115" s="17"/>
      <c r="J115" s="17"/>
      <c r="K115" s="17"/>
      <c r="L115" s="17"/>
      <c r="P115" s="17"/>
    </row>
    <row r="116" spans="1:16" ht="39.75" customHeight="1" x14ac:dyDescent="0.2">
      <c r="A116" s="14">
        <v>48</v>
      </c>
      <c r="B116" s="18"/>
      <c r="C116" s="72" t="s">
        <v>206</v>
      </c>
      <c r="D116" s="39" t="s">
        <v>200</v>
      </c>
      <c r="E116" s="29">
        <f>132.7-0.9+10+172.4+0.2-14</f>
        <v>300.39999999999998</v>
      </c>
      <c r="F116" s="29">
        <v>297.5</v>
      </c>
      <c r="G116" s="29">
        <f>15.4-0.9+0.3+0.2</f>
        <v>15</v>
      </c>
      <c r="H116" s="68">
        <v>15.2</v>
      </c>
      <c r="I116" s="17"/>
      <c r="J116" s="17"/>
      <c r="K116" s="17"/>
      <c r="L116" s="17"/>
      <c r="P116" s="17"/>
    </row>
    <row r="117" spans="1:16" ht="39.75" customHeight="1" x14ac:dyDescent="0.2">
      <c r="A117" s="14">
        <v>49</v>
      </c>
      <c r="B117" s="18"/>
      <c r="C117" s="66" t="s">
        <v>207</v>
      </c>
      <c r="D117" s="39" t="s">
        <v>200</v>
      </c>
      <c r="E117" s="29">
        <f>98.5+0.3-0.9+132.3-49</f>
        <v>181.2</v>
      </c>
      <c r="F117" s="29">
        <v>179.6</v>
      </c>
      <c r="G117" s="29">
        <f>16.1-0.9</f>
        <v>15.200000000000001</v>
      </c>
      <c r="H117" s="68">
        <v>14.5</v>
      </c>
      <c r="I117" s="17"/>
      <c r="J117" s="17"/>
      <c r="K117" s="17"/>
      <c r="L117" s="17"/>
      <c r="P117" s="17"/>
    </row>
    <row r="118" spans="1:16" ht="39.6" customHeight="1" x14ac:dyDescent="0.2">
      <c r="A118" s="14">
        <v>50</v>
      </c>
      <c r="B118" s="18"/>
      <c r="C118" s="72" t="s">
        <v>208</v>
      </c>
      <c r="D118" s="39" t="s">
        <v>200</v>
      </c>
      <c r="E118" s="29">
        <f>129.9-0.9+86.6-1.3+3</f>
        <v>217.29999999999998</v>
      </c>
      <c r="F118" s="29">
        <v>215.2</v>
      </c>
      <c r="G118" s="29">
        <f>15.6-0.9-1.3</f>
        <v>13.399999999999999</v>
      </c>
      <c r="H118" s="68">
        <v>13.4</v>
      </c>
      <c r="I118" s="17"/>
      <c r="J118" s="17"/>
      <c r="K118" s="17"/>
      <c r="L118" s="17"/>
      <c r="P118" s="17"/>
    </row>
    <row r="119" spans="1:16" ht="38.25" x14ac:dyDescent="0.2">
      <c r="A119" s="14">
        <v>51</v>
      </c>
      <c r="B119" s="18"/>
      <c r="C119" s="72" t="s">
        <v>209</v>
      </c>
      <c r="D119" s="39" t="s">
        <v>200</v>
      </c>
      <c r="E119" s="29">
        <f>123.6-0.9-10+134.2-3.8-28</f>
        <v>215.09999999999997</v>
      </c>
      <c r="F119" s="29">
        <v>210.4</v>
      </c>
      <c r="G119" s="29">
        <f>20.6-0.9-3.8</f>
        <v>15.900000000000002</v>
      </c>
      <c r="H119" s="68">
        <v>15.9</v>
      </c>
      <c r="I119" s="17"/>
      <c r="J119" s="17"/>
      <c r="K119" s="17"/>
      <c r="L119" s="17"/>
      <c r="P119" s="17"/>
    </row>
    <row r="120" spans="1:16" ht="39.75" customHeight="1" x14ac:dyDescent="0.2">
      <c r="A120" s="14">
        <v>52</v>
      </c>
      <c r="B120" s="18"/>
      <c r="C120" s="72" t="s">
        <v>210</v>
      </c>
      <c r="D120" s="39" t="s">
        <v>200</v>
      </c>
      <c r="E120" s="29">
        <f>78.8-0.9+35.1-3.1+2.3</f>
        <v>112.2</v>
      </c>
      <c r="F120" s="29">
        <v>110.8</v>
      </c>
      <c r="G120" s="29">
        <f>14.8-0.9-2.4</f>
        <v>11.5</v>
      </c>
      <c r="H120" s="68">
        <v>11.5</v>
      </c>
      <c r="I120" s="17"/>
      <c r="J120" s="17"/>
      <c r="K120" s="17"/>
      <c r="L120" s="17"/>
      <c r="P120" s="17"/>
    </row>
    <row r="121" spans="1:16" ht="39.75" customHeight="1" x14ac:dyDescent="0.2">
      <c r="A121" s="14">
        <v>53</v>
      </c>
      <c r="B121" s="18"/>
      <c r="C121" s="72" t="s">
        <v>211</v>
      </c>
      <c r="D121" s="39" t="s">
        <v>200</v>
      </c>
      <c r="E121" s="29">
        <f>78.6-1.4+15+66.2+1.1+24</f>
        <v>183.49999999999997</v>
      </c>
      <c r="F121" s="29">
        <v>180.5</v>
      </c>
      <c r="G121" s="29">
        <f>23.6-1.4+1.1</f>
        <v>23.300000000000004</v>
      </c>
      <c r="H121" s="68">
        <v>23.3</v>
      </c>
      <c r="I121" s="17"/>
      <c r="J121" s="17"/>
      <c r="K121" s="17"/>
      <c r="L121" s="17"/>
      <c r="P121" s="17"/>
    </row>
    <row r="122" spans="1:16" ht="20.100000000000001" customHeight="1" x14ac:dyDescent="0.2">
      <c r="A122" s="14">
        <v>54</v>
      </c>
      <c r="B122" s="12" t="s">
        <v>212</v>
      </c>
      <c r="C122" s="52" t="s">
        <v>213</v>
      </c>
      <c r="D122" s="18"/>
      <c r="E122" s="53">
        <f>+E124+E139+E140+E141+E142+E143+E144+E145+E146+E147+E123</f>
        <v>1736.1</v>
      </c>
      <c r="F122" s="53">
        <f>+F124+F139+F140+F141+F142+F143+F144+F145+F146+F147+F123</f>
        <v>1725.7</v>
      </c>
      <c r="G122" s="53">
        <f>+G124+G139+G140+G141+G142+G143+G144+G145+G146+G147+G123</f>
        <v>625.9</v>
      </c>
      <c r="H122" s="53">
        <f>+H124+H139+H140+H141+H142+H143+H144+H145+H146+H147+H123</f>
        <v>622.70000000000005</v>
      </c>
      <c r="I122" s="17"/>
      <c r="K122" s="17"/>
      <c r="M122" s="54"/>
      <c r="P122" s="17"/>
    </row>
    <row r="123" spans="1:16" ht="12.6" customHeight="1" x14ac:dyDescent="0.2">
      <c r="A123" s="14">
        <v>55</v>
      </c>
      <c r="B123" s="18"/>
      <c r="C123" s="19" t="s">
        <v>214</v>
      </c>
      <c r="D123" s="18" t="s">
        <v>215</v>
      </c>
      <c r="E123" s="20">
        <f>942+23+8</f>
        <v>973</v>
      </c>
      <c r="F123" s="20">
        <v>972.5</v>
      </c>
      <c r="G123" s="20">
        <v>553.1</v>
      </c>
      <c r="H123" s="36">
        <v>553.1</v>
      </c>
      <c r="I123" s="17"/>
      <c r="J123" s="17"/>
      <c r="K123" s="17"/>
      <c r="P123" s="17"/>
    </row>
    <row r="124" spans="1:16" ht="12.6" customHeight="1" x14ac:dyDescent="0.2">
      <c r="A124" s="14">
        <v>56</v>
      </c>
      <c r="B124" s="12"/>
      <c r="C124" s="66" t="s">
        <v>54</v>
      </c>
      <c r="D124" s="28"/>
      <c r="E124" s="29">
        <f>+E125+E126+E132+E135+E133+E134</f>
        <v>736</v>
      </c>
      <c r="F124" s="29">
        <f>+F125+F126+F132+F135+F133+F134</f>
        <v>726.7</v>
      </c>
      <c r="G124" s="29">
        <f>+G125+G126+G132+G135+G133+G134</f>
        <v>46.4</v>
      </c>
      <c r="H124" s="29">
        <f>+H125+H126+H132+H135+H133+H134</f>
        <v>43.6</v>
      </c>
      <c r="I124" s="17"/>
      <c r="J124" s="17"/>
      <c r="K124" s="17"/>
      <c r="P124" s="17"/>
    </row>
    <row r="125" spans="1:16" ht="12.6" customHeight="1" x14ac:dyDescent="0.2">
      <c r="A125" s="41" t="s">
        <v>216</v>
      </c>
      <c r="B125" s="18"/>
      <c r="C125" s="66" t="s">
        <v>56</v>
      </c>
      <c r="D125" s="28" t="s">
        <v>217</v>
      </c>
      <c r="E125" s="29">
        <f>108-7.3</f>
        <v>100.7</v>
      </c>
      <c r="F125" s="29">
        <v>97.6</v>
      </c>
      <c r="G125" s="29">
        <f>48.4-2</f>
        <v>46.4</v>
      </c>
      <c r="H125" s="77">
        <f>43.5+0.1</f>
        <v>43.6</v>
      </c>
      <c r="I125" s="17"/>
      <c r="J125" s="74"/>
      <c r="K125" s="17"/>
      <c r="P125" s="17"/>
    </row>
    <row r="126" spans="1:16" ht="12.6" customHeight="1" x14ac:dyDescent="0.2">
      <c r="A126" s="246" t="s">
        <v>218</v>
      </c>
      <c r="B126" s="244"/>
      <c r="C126" s="75" t="s">
        <v>219</v>
      </c>
      <c r="D126" s="250" t="s">
        <v>215</v>
      </c>
      <c r="E126" s="29">
        <f>+E127+E128+E129+E130+E131</f>
        <v>475</v>
      </c>
      <c r="F126" s="29">
        <f>+F127+F128+F129+F130+F131</f>
        <v>475</v>
      </c>
      <c r="G126" s="29">
        <f>+G127+G128+G129+G130+G131</f>
        <v>0</v>
      </c>
      <c r="H126" s="29">
        <f>+H127+H128+H129+H130+H131</f>
        <v>0</v>
      </c>
      <c r="I126" s="17"/>
      <c r="J126" s="17"/>
      <c r="K126" s="17"/>
      <c r="P126" s="17"/>
    </row>
    <row r="127" spans="1:16" ht="25.5" x14ac:dyDescent="0.2">
      <c r="A127" s="247"/>
      <c r="B127" s="249"/>
      <c r="C127" s="76" t="s">
        <v>220</v>
      </c>
      <c r="D127" s="250"/>
      <c r="E127" s="231">
        <f>200-20+20+20</f>
        <v>220</v>
      </c>
      <c r="F127" s="231">
        <v>220</v>
      </c>
      <c r="G127" s="29"/>
      <c r="H127" s="77"/>
      <c r="I127" s="17"/>
      <c r="J127" s="17"/>
      <c r="K127" s="17"/>
      <c r="P127" s="17"/>
    </row>
    <row r="128" spans="1:16" ht="12.6" customHeight="1" x14ac:dyDescent="0.2">
      <c r="A128" s="247"/>
      <c r="B128" s="249"/>
      <c r="C128" s="76" t="s">
        <v>221</v>
      </c>
      <c r="D128" s="250"/>
      <c r="E128" s="231">
        <f>100+20</f>
        <v>120</v>
      </c>
      <c r="F128" s="231">
        <v>120</v>
      </c>
      <c r="G128" s="29"/>
      <c r="H128" s="77"/>
      <c r="I128" s="17"/>
      <c r="J128" s="17"/>
      <c r="K128" s="17"/>
      <c r="P128" s="17"/>
    </row>
    <row r="129" spans="1:16" ht="12.6" customHeight="1" x14ac:dyDescent="0.2">
      <c r="A129" s="247"/>
      <c r="B129" s="249"/>
      <c r="C129" s="76" t="s">
        <v>222</v>
      </c>
      <c r="D129" s="250"/>
      <c r="E129" s="231">
        <v>15</v>
      </c>
      <c r="F129" s="231">
        <v>15</v>
      </c>
      <c r="G129" s="29"/>
      <c r="H129" s="77"/>
      <c r="I129" s="17"/>
      <c r="J129" s="17"/>
      <c r="K129" s="17"/>
      <c r="P129" s="17"/>
    </row>
    <row r="130" spans="1:16" ht="25.5" x14ac:dyDescent="0.2">
      <c r="A130" s="247"/>
      <c r="B130" s="249"/>
      <c r="C130" s="76" t="s">
        <v>223</v>
      </c>
      <c r="D130" s="250"/>
      <c r="E130" s="231">
        <v>100</v>
      </c>
      <c r="F130" s="231">
        <v>100</v>
      </c>
      <c r="G130" s="29"/>
      <c r="H130" s="77"/>
      <c r="I130" s="17"/>
      <c r="J130" s="17"/>
      <c r="K130" s="17"/>
      <c r="P130" s="17"/>
    </row>
    <row r="131" spans="1:16" x14ac:dyDescent="0.2">
      <c r="A131" s="248"/>
      <c r="B131" s="245"/>
      <c r="C131" s="76" t="s">
        <v>224</v>
      </c>
      <c r="D131" s="28"/>
      <c r="E131" s="231">
        <v>20</v>
      </c>
      <c r="F131" s="231">
        <v>20</v>
      </c>
      <c r="G131" s="29"/>
      <c r="H131" s="77"/>
      <c r="I131" s="17"/>
      <c r="J131" s="17"/>
      <c r="K131" s="17"/>
      <c r="P131" s="17"/>
    </row>
    <row r="132" spans="1:16" ht="12.6" customHeight="1" x14ac:dyDescent="0.2">
      <c r="A132" s="41" t="s">
        <v>225</v>
      </c>
      <c r="B132" s="18"/>
      <c r="C132" s="75" t="s">
        <v>226</v>
      </c>
      <c r="D132" s="28" t="s">
        <v>215</v>
      </c>
      <c r="E132" s="29">
        <v>55</v>
      </c>
      <c r="F132" s="29">
        <v>55</v>
      </c>
      <c r="G132" s="29"/>
      <c r="H132" s="77"/>
      <c r="I132" s="17"/>
      <c r="J132" s="17"/>
      <c r="K132" s="17"/>
      <c r="P132" s="17"/>
    </row>
    <row r="133" spans="1:16" ht="25.5" x14ac:dyDescent="0.2">
      <c r="A133" s="41" t="s">
        <v>227</v>
      </c>
      <c r="B133" s="18"/>
      <c r="C133" s="59" t="s">
        <v>228</v>
      </c>
      <c r="D133" s="18" t="s">
        <v>215</v>
      </c>
      <c r="E133" s="20">
        <v>10.3</v>
      </c>
      <c r="F133" s="20">
        <v>10.3</v>
      </c>
      <c r="G133" s="20"/>
      <c r="H133" s="36"/>
      <c r="I133" s="17"/>
      <c r="J133" s="17"/>
      <c r="K133" s="17"/>
      <c r="P133" s="17"/>
    </row>
    <row r="134" spans="1:16" ht="25.5" x14ac:dyDescent="0.2">
      <c r="A134" s="41" t="s">
        <v>229</v>
      </c>
      <c r="B134" s="18"/>
      <c r="C134" s="59" t="s">
        <v>230</v>
      </c>
      <c r="D134" s="18" t="s">
        <v>231</v>
      </c>
      <c r="E134" s="20">
        <v>10</v>
      </c>
      <c r="F134" s="20">
        <v>10</v>
      </c>
      <c r="G134" s="20"/>
      <c r="H134" s="36"/>
      <c r="I134" s="17"/>
      <c r="J134" s="17"/>
      <c r="K134" s="17"/>
      <c r="P134" s="17"/>
    </row>
    <row r="135" spans="1:16" ht="42" customHeight="1" x14ac:dyDescent="0.2">
      <c r="A135" s="41" t="s">
        <v>232</v>
      </c>
      <c r="B135" s="18"/>
      <c r="C135" s="44" t="s">
        <v>68</v>
      </c>
      <c r="D135" s="12"/>
      <c r="E135" s="239">
        <f>+E136+E137+E138</f>
        <v>85</v>
      </c>
      <c r="F135" s="239">
        <f>+F136+F137+F138</f>
        <v>78.800000000000011</v>
      </c>
      <c r="G135" s="239">
        <f>+G136+G137+G138</f>
        <v>0</v>
      </c>
      <c r="H135" s="239">
        <f>+H136+H137+H138</f>
        <v>0</v>
      </c>
      <c r="I135" s="17"/>
      <c r="J135" s="17"/>
      <c r="K135" s="17"/>
      <c r="P135" s="17"/>
    </row>
    <row r="136" spans="1:16" ht="12.6" customHeight="1" x14ac:dyDescent="0.2">
      <c r="A136" s="41" t="s">
        <v>233</v>
      </c>
      <c r="B136" s="18"/>
      <c r="C136" s="72" t="s">
        <v>234</v>
      </c>
      <c r="D136" s="28" t="s">
        <v>46</v>
      </c>
      <c r="E136" s="29">
        <v>15</v>
      </c>
      <c r="F136" s="29">
        <v>15</v>
      </c>
      <c r="G136" s="20"/>
      <c r="H136" s="36"/>
      <c r="I136" s="17"/>
      <c r="J136" s="17"/>
      <c r="K136" s="17"/>
      <c r="P136" s="17"/>
    </row>
    <row r="137" spans="1:16" ht="25.5" x14ac:dyDescent="0.2">
      <c r="A137" s="41" t="s">
        <v>235</v>
      </c>
      <c r="B137" s="18"/>
      <c r="C137" s="72" t="s">
        <v>236</v>
      </c>
      <c r="D137" s="78" t="s">
        <v>215</v>
      </c>
      <c r="E137" s="29">
        <f>15+15-10</f>
        <v>20</v>
      </c>
      <c r="F137" s="29">
        <v>19.7</v>
      </c>
      <c r="G137" s="20"/>
      <c r="H137" s="36"/>
      <c r="I137" s="17"/>
      <c r="J137" s="17"/>
      <c r="K137" s="17"/>
      <c r="P137" s="17"/>
    </row>
    <row r="138" spans="1:16" ht="38.25" x14ac:dyDescent="0.2">
      <c r="A138" s="41" t="s">
        <v>237</v>
      </c>
      <c r="B138" s="18"/>
      <c r="C138" s="72" t="s">
        <v>238</v>
      </c>
      <c r="D138" s="28" t="s">
        <v>215</v>
      </c>
      <c r="E138" s="29">
        <f>30+20</f>
        <v>50</v>
      </c>
      <c r="F138" s="29">
        <v>44.1</v>
      </c>
      <c r="G138" s="20"/>
      <c r="H138" s="36"/>
      <c r="I138" s="17"/>
      <c r="J138" s="17"/>
      <c r="K138" s="17"/>
      <c r="P138" s="17"/>
    </row>
    <row r="139" spans="1:16" ht="12.6" customHeight="1" x14ac:dyDescent="0.2">
      <c r="A139" s="14">
        <v>57</v>
      </c>
      <c r="B139" s="18"/>
      <c r="C139" s="24" t="s">
        <v>203</v>
      </c>
      <c r="D139" s="18" t="s">
        <v>215</v>
      </c>
      <c r="E139" s="20">
        <v>3.1</v>
      </c>
      <c r="F139" s="20">
        <v>3.1</v>
      </c>
      <c r="G139" s="20">
        <v>3</v>
      </c>
      <c r="H139" s="36">
        <v>3</v>
      </c>
      <c r="I139" s="17"/>
      <c r="J139" s="17"/>
      <c r="K139" s="17"/>
      <c r="P139" s="17"/>
    </row>
    <row r="140" spans="1:16" ht="12.6" customHeight="1" x14ac:dyDescent="0.2">
      <c r="A140" s="14">
        <v>58</v>
      </c>
      <c r="B140" s="18"/>
      <c r="C140" s="73" t="s">
        <v>204</v>
      </c>
      <c r="D140" s="18" t="s">
        <v>215</v>
      </c>
      <c r="E140" s="20">
        <f>3.1+0.1</f>
        <v>3.2</v>
      </c>
      <c r="F140" s="20">
        <v>3.1</v>
      </c>
      <c r="G140" s="20">
        <f>3+0.1</f>
        <v>3.1</v>
      </c>
      <c r="H140" s="36">
        <v>3.1</v>
      </c>
      <c r="I140" s="17"/>
      <c r="J140" s="17"/>
      <c r="K140" s="17"/>
      <c r="P140" s="17"/>
    </row>
    <row r="141" spans="1:16" ht="12.6" customHeight="1" x14ac:dyDescent="0.2">
      <c r="A141" s="14">
        <v>59</v>
      </c>
      <c r="B141" s="18"/>
      <c r="C141" s="24" t="s">
        <v>205</v>
      </c>
      <c r="D141" s="18" t="s">
        <v>215</v>
      </c>
      <c r="E141" s="20">
        <f>3.1-0.1</f>
        <v>3</v>
      </c>
      <c r="F141" s="29">
        <f>2.9-0.1</f>
        <v>2.8</v>
      </c>
      <c r="G141" s="20">
        <f>3-0.1</f>
        <v>2.9</v>
      </c>
      <c r="H141" s="36">
        <v>2.8</v>
      </c>
      <c r="I141" s="17"/>
      <c r="J141" s="237"/>
      <c r="K141" s="17"/>
      <c r="P141" s="17"/>
    </row>
    <row r="142" spans="1:16" ht="12.6" customHeight="1" x14ac:dyDescent="0.2">
      <c r="A142" s="14">
        <v>60</v>
      </c>
      <c r="B142" s="18"/>
      <c r="C142" s="24" t="s">
        <v>206</v>
      </c>
      <c r="D142" s="18" t="s">
        <v>215</v>
      </c>
      <c r="E142" s="20">
        <f>3.4-0.1</f>
        <v>3.3</v>
      </c>
      <c r="F142" s="20">
        <v>3.2</v>
      </c>
      <c r="G142" s="20">
        <f>3.3-0.1</f>
        <v>3.1999999999999997</v>
      </c>
      <c r="H142" s="36">
        <v>3.2</v>
      </c>
      <c r="I142" s="17"/>
      <c r="J142" s="17"/>
      <c r="K142" s="17"/>
      <c r="P142" s="17"/>
    </row>
    <row r="143" spans="1:16" ht="12.6" customHeight="1" x14ac:dyDescent="0.2">
      <c r="A143" s="14">
        <v>61</v>
      </c>
      <c r="B143" s="18"/>
      <c r="C143" s="73" t="s">
        <v>207</v>
      </c>
      <c r="D143" s="18" t="s">
        <v>215</v>
      </c>
      <c r="E143" s="20">
        <v>3</v>
      </c>
      <c r="F143" s="20">
        <v>2.9</v>
      </c>
      <c r="G143" s="20">
        <v>2.9</v>
      </c>
      <c r="H143" s="36">
        <v>2.8</v>
      </c>
      <c r="I143" s="17"/>
      <c r="J143" s="17"/>
      <c r="K143" s="17"/>
      <c r="P143" s="17"/>
    </row>
    <row r="144" spans="1:16" ht="12.6" customHeight="1" x14ac:dyDescent="0.2">
      <c r="A144" s="14">
        <v>62</v>
      </c>
      <c r="B144" s="18"/>
      <c r="C144" s="24" t="s">
        <v>208</v>
      </c>
      <c r="D144" s="18" t="s">
        <v>215</v>
      </c>
      <c r="E144" s="20">
        <f>3.2-0.2</f>
        <v>3</v>
      </c>
      <c r="F144" s="20">
        <v>3</v>
      </c>
      <c r="G144" s="20">
        <f>3.1-0.2</f>
        <v>2.9</v>
      </c>
      <c r="H144" s="36">
        <v>2.9</v>
      </c>
      <c r="I144" s="17"/>
      <c r="J144" s="17"/>
      <c r="K144" s="17"/>
      <c r="P144" s="17"/>
    </row>
    <row r="145" spans="1:16" ht="12.6" customHeight="1" x14ac:dyDescent="0.2">
      <c r="A145" s="14">
        <v>63</v>
      </c>
      <c r="B145" s="18"/>
      <c r="C145" s="24" t="s">
        <v>209</v>
      </c>
      <c r="D145" s="18" t="s">
        <v>215</v>
      </c>
      <c r="E145" s="20">
        <v>3</v>
      </c>
      <c r="F145" s="20">
        <v>3</v>
      </c>
      <c r="G145" s="20">
        <v>3</v>
      </c>
      <c r="H145" s="36">
        <v>2.9</v>
      </c>
      <c r="I145" s="17"/>
      <c r="J145" s="17"/>
      <c r="K145" s="17"/>
      <c r="P145" s="17"/>
    </row>
    <row r="146" spans="1:16" ht="12.6" customHeight="1" x14ac:dyDescent="0.2">
      <c r="A146" s="14">
        <v>64</v>
      </c>
      <c r="B146" s="18"/>
      <c r="C146" s="24" t="s">
        <v>210</v>
      </c>
      <c r="D146" s="18" t="s">
        <v>215</v>
      </c>
      <c r="E146" s="20">
        <f>3-0.1</f>
        <v>2.9</v>
      </c>
      <c r="F146" s="20">
        <v>2.8</v>
      </c>
      <c r="G146" s="20">
        <f>2.9-0.1</f>
        <v>2.8</v>
      </c>
      <c r="H146" s="36">
        <v>2.7</v>
      </c>
      <c r="I146" s="17"/>
      <c r="J146" s="17"/>
      <c r="K146" s="17"/>
      <c r="P146" s="17"/>
    </row>
    <row r="147" spans="1:16" ht="12.6" customHeight="1" x14ac:dyDescent="0.2">
      <c r="A147" s="14">
        <v>65</v>
      </c>
      <c r="B147" s="18"/>
      <c r="C147" s="24" t="s">
        <v>211</v>
      </c>
      <c r="D147" s="18" t="s">
        <v>215</v>
      </c>
      <c r="E147" s="20">
        <v>2.6</v>
      </c>
      <c r="F147" s="20">
        <v>2.6</v>
      </c>
      <c r="G147" s="20">
        <v>2.6</v>
      </c>
      <c r="H147" s="36">
        <v>2.6</v>
      </c>
      <c r="I147" s="17"/>
      <c r="J147" s="17"/>
      <c r="K147" s="17"/>
      <c r="P147" s="17"/>
    </row>
    <row r="148" spans="1:16" ht="24.75" customHeight="1" x14ac:dyDescent="0.2">
      <c r="A148" s="14">
        <v>66</v>
      </c>
      <c r="B148" s="12" t="s">
        <v>239</v>
      </c>
      <c r="C148" s="52" t="s">
        <v>240</v>
      </c>
      <c r="D148" s="13"/>
      <c r="E148" s="53">
        <f>+E149+E150+E151+E152+E153+E154+E155+E156+E159+E171</f>
        <v>4440.6000000000004</v>
      </c>
      <c r="F148" s="53">
        <f>+F149+F150+F151+F152+F153+F154+F155+F156+F159+F171</f>
        <v>4340.0999999999985</v>
      </c>
      <c r="G148" s="53">
        <f>+G149+G150+G151+G152+G153+G154+G155+G156+G159+G171</f>
        <v>2638.8</v>
      </c>
      <c r="H148" s="53">
        <f>+H149+H150+H151+H152+H153+H154+H155+H156+H159+H171</f>
        <v>2632.2999999999997</v>
      </c>
      <c r="I148" s="17"/>
      <c r="J148" s="17"/>
      <c r="K148" s="17"/>
      <c r="M148" s="54"/>
      <c r="O148" s="54"/>
      <c r="P148" s="17"/>
    </row>
    <row r="149" spans="1:16" ht="12.6" customHeight="1" x14ac:dyDescent="0.2">
      <c r="A149" s="14">
        <v>67</v>
      </c>
      <c r="B149" s="18"/>
      <c r="C149" s="19" t="s">
        <v>241</v>
      </c>
      <c r="D149" s="18" t="s">
        <v>242</v>
      </c>
      <c r="E149" s="20">
        <f>810.3+1.4-5+3.3+13.1+2.8</f>
        <v>825.89999999999986</v>
      </c>
      <c r="F149" s="20">
        <v>825.9</v>
      </c>
      <c r="G149" s="20">
        <f>578.9+16.4</f>
        <v>595.29999999999995</v>
      </c>
      <c r="H149" s="36">
        <v>595.29999999999995</v>
      </c>
      <c r="I149" s="17"/>
      <c r="J149" s="17"/>
      <c r="K149" s="17"/>
      <c r="L149" s="22"/>
      <c r="M149" s="54"/>
      <c r="P149" s="17"/>
    </row>
    <row r="150" spans="1:16" ht="12.6" customHeight="1" x14ac:dyDescent="0.2">
      <c r="A150" s="14">
        <v>68</v>
      </c>
      <c r="B150" s="18"/>
      <c r="C150" s="63" t="s">
        <v>243</v>
      </c>
      <c r="D150" s="18" t="s">
        <v>242</v>
      </c>
      <c r="E150" s="20">
        <f>247.1+1.9+3.4+8.1</f>
        <v>260.5</v>
      </c>
      <c r="F150" s="20">
        <v>260.39999999999998</v>
      </c>
      <c r="G150" s="20">
        <f>195+7.3</f>
        <v>202.3</v>
      </c>
      <c r="H150" s="36">
        <v>202.3</v>
      </c>
      <c r="I150" s="17"/>
      <c r="J150" s="17"/>
      <c r="K150" s="17"/>
      <c r="L150" s="22"/>
      <c r="M150" s="54"/>
      <c r="P150" s="17"/>
    </row>
    <row r="151" spans="1:16" ht="12.6" customHeight="1" x14ac:dyDescent="0.2">
      <c r="A151" s="14">
        <v>69</v>
      </c>
      <c r="B151" s="18"/>
      <c r="C151" s="63" t="s">
        <v>244</v>
      </c>
      <c r="D151" s="18" t="s">
        <v>242</v>
      </c>
      <c r="E151" s="20">
        <f>177.9+1.1+2.8+1.8</f>
        <v>183.60000000000002</v>
      </c>
      <c r="F151" s="20">
        <v>183.6</v>
      </c>
      <c r="G151" s="20">
        <f>134.5+2.8</f>
        <v>137.30000000000001</v>
      </c>
      <c r="H151" s="36">
        <v>137.30000000000001</v>
      </c>
      <c r="I151" s="17"/>
      <c r="J151" s="17"/>
      <c r="K151" s="17"/>
      <c r="L151" s="22"/>
      <c r="M151" s="54"/>
      <c r="P151" s="17"/>
    </row>
    <row r="152" spans="1:16" ht="12.6" customHeight="1" x14ac:dyDescent="0.2">
      <c r="A152" s="14">
        <v>70</v>
      </c>
      <c r="B152" s="18"/>
      <c r="C152" s="63" t="s">
        <v>245</v>
      </c>
      <c r="D152" s="18" t="s">
        <v>242</v>
      </c>
      <c r="E152" s="20">
        <f>168.3+0.7+2.7</f>
        <v>171.7</v>
      </c>
      <c r="F152" s="20">
        <v>171.6</v>
      </c>
      <c r="G152" s="20">
        <f>127.9+3</f>
        <v>130.9</v>
      </c>
      <c r="H152" s="36">
        <v>130.9</v>
      </c>
      <c r="I152" s="17"/>
      <c r="J152" s="17"/>
      <c r="K152" s="17"/>
      <c r="L152" s="22"/>
      <c r="M152" s="54"/>
      <c r="P152" s="17"/>
    </row>
    <row r="153" spans="1:16" ht="12.6" customHeight="1" x14ac:dyDescent="0.2">
      <c r="A153" s="14">
        <v>71</v>
      </c>
      <c r="B153" s="18"/>
      <c r="C153" s="63" t="s">
        <v>246</v>
      </c>
      <c r="D153" s="18" t="s">
        <v>242</v>
      </c>
      <c r="E153" s="20">
        <f>115.5+0.9+1.2</f>
        <v>117.60000000000001</v>
      </c>
      <c r="F153" s="20">
        <v>117.6</v>
      </c>
      <c r="G153" s="20">
        <f>95.8-5.4</f>
        <v>90.399999999999991</v>
      </c>
      <c r="H153" s="36">
        <v>90.4</v>
      </c>
      <c r="I153" s="17"/>
      <c r="J153" s="17"/>
      <c r="K153" s="17"/>
      <c r="L153" s="22"/>
      <c r="M153" s="54"/>
      <c r="P153" s="17"/>
    </row>
    <row r="154" spans="1:16" ht="12.6" customHeight="1" x14ac:dyDescent="0.2">
      <c r="A154" s="14">
        <v>72</v>
      </c>
      <c r="B154" s="18"/>
      <c r="C154" s="63" t="s">
        <v>247</v>
      </c>
      <c r="D154" s="18" t="s">
        <v>242</v>
      </c>
      <c r="E154" s="20">
        <f>105+3.3+1.4+1</f>
        <v>110.7</v>
      </c>
      <c r="F154" s="20">
        <v>105.4</v>
      </c>
      <c r="G154" s="20">
        <v>83.1</v>
      </c>
      <c r="H154" s="36">
        <v>78</v>
      </c>
      <c r="I154" s="17"/>
      <c r="J154" s="17"/>
      <c r="K154" s="17"/>
      <c r="L154" s="22"/>
      <c r="M154" s="54"/>
      <c r="P154" s="17"/>
    </row>
    <row r="155" spans="1:16" ht="12.6" customHeight="1" x14ac:dyDescent="0.2">
      <c r="A155" s="14">
        <v>73</v>
      </c>
      <c r="B155" s="18"/>
      <c r="C155" s="24" t="s">
        <v>248</v>
      </c>
      <c r="D155" s="18" t="s">
        <v>249</v>
      </c>
      <c r="E155" s="20">
        <f>1057.4+5.1+9.6</f>
        <v>1072.0999999999999</v>
      </c>
      <c r="F155" s="20">
        <v>1072.0999999999999</v>
      </c>
      <c r="G155" s="20">
        <f>902.8-11.3</f>
        <v>891.5</v>
      </c>
      <c r="H155" s="36">
        <v>891.5</v>
      </c>
      <c r="I155" s="17"/>
      <c r="J155" s="17"/>
      <c r="K155" s="17"/>
      <c r="L155" s="22"/>
      <c r="M155" s="54"/>
      <c r="P155" s="17"/>
    </row>
    <row r="156" spans="1:16" ht="12.6" customHeight="1" x14ac:dyDescent="0.2">
      <c r="A156" s="242">
        <v>74</v>
      </c>
      <c r="B156" s="244"/>
      <c r="C156" s="63" t="s">
        <v>250</v>
      </c>
      <c r="D156" s="252" t="s">
        <v>251</v>
      </c>
      <c r="E156" s="20">
        <f>511.4+2.4+E158+E157+1.5+5.8+2.3</f>
        <v>528.59999999999991</v>
      </c>
      <c r="F156" s="20">
        <v>527.70000000000005</v>
      </c>
      <c r="G156" s="20">
        <v>420.5</v>
      </c>
      <c r="H156" s="36">
        <v>419.8</v>
      </c>
      <c r="I156" s="17"/>
      <c r="J156" s="17"/>
      <c r="K156" s="17"/>
      <c r="L156" s="22"/>
      <c r="M156" s="54"/>
      <c r="P156" s="17"/>
    </row>
    <row r="157" spans="1:16" ht="12.6" customHeight="1" x14ac:dyDescent="0.2">
      <c r="A157" s="251"/>
      <c r="B157" s="249"/>
      <c r="C157" s="35" t="s">
        <v>252</v>
      </c>
      <c r="D157" s="252"/>
      <c r="E157" s="20">
        <f>42.4-42.4</f>
        <v>0</v>
      </c>
      <c r="F157" s="20">
        <f>42.4-42.4</f>
        <v>0</v>
      </c>
      <c r="G157" s="20"/>
      <c r="H157" s="36"/>
      <c r="I157" s="17"/>
      <c r="J157" s="17"/>
      <c r="K157" s="17"/>
      <c r="L157" s="22"/>
      <c r="M157" s="54"/>
      <c r="P157" s="17"/>
    </row>
    <row r="158" spans="1:16" ht="12.6" customHeight="1" x14ac:dyDescent="0.2">
      <c r="A158" s="243"/>
      <c r="B158" s="245"/>
      <c r="C158" s="35" t="s">
        <v>253</v>
      </c>
      <c r="D158" s="18" t="s">
        <v>254</v>
      </c>
      <c r="E158" s="20">
        <v>5.2</v>
      </c>
      <c r="F158" s="20">
        <v>5.2</v>
      </c>
      <c r="G158" s="20"/>
      <c r="H158" s="36"/>
      <c r="I158" s="17"/>
      <c r="J158" s="17"/>
      <c r="K158" s="17"/>
      <c r="L158" s="22"/>
      <c r="M158" s="54"/>
      <c r="P158" s="17"/>
    </row>
    <row r="159" spans="1:16" ht="12.6" customHeight="1" x14ac:dyDescent="0.2">
      <c r="A159" s="14">
        <v>75</v>
      </c>
      <c r="B159" s="18"/>
      <c r="C159" s="66" t="s">
        <v>54</v>
      </c>
      <c r="D159" s="28"/>
      <c r="E159" s="29">
        <f>+E160+E161+E162+E163+E166+E164+E165</f>
        <v>1161.4000000000001</v>
      </c>
      <c r="F159" s="29">
        <f>+F160+F161+F162+F163+F166+F164+F165</f>
        <v>1067.4000000000001</v>
      </c>
      <c r="G159" s="29">
        <f>+G160+G161+G162+G163+G166+G164+G165</f>
        <v>80.8</v>
      </c>
      <c r="H159" s="29">
        <f>+H160+H161+H162+H163+H166+H164+H165</f>
        <v>80.099999999999994</v>
      </c>
      <c r="I159" s="238"/>
      <c r="J159" s="17"/>
      <c r="K159" s="17"/>
      <c r="L159" s="22"/>
      <c r="M159" s="54"/>
      <c r="P159" s="17"/>
    </row>
    <row r="160" spans="1:16" ht="25.5" x14ac:dyDescent="0.2">
      <c r="A160" s="41" t="s">
        <v>255</v>
      </c>
      <c r="B160" s="18"/>
      <c r="C160" s="66" t="s">
        <v>56</v>
      </c>
      <c r="D160" s="39" t="s">
        <v>256</v>
      </c>
      <c r="E160" s="29">
        <f>396.3+18.3+4.2</f>
        <v>418.8</v>
      </c>
      <c r="F160" s="29">
        <f>402.9+0.1</f>
        <v>403</v>
      </c>
      <c r="G160" s="29">
        <f>56.8+18+6</f>
        <v>80.8</v>
      </c>
      <c r="H160" s="68">
        <v>80.099999999999994</v>
      </c>
      <c r="I160" s="238"/>
      <c r="J160" s="17"/>
      <c r="K160" s="17"/>
      <c r="L160" s="22"/>
      <c r="M160" s="54"/>
      <c r="P160" s="17"/>
    </row>
    <row r="161" spans="1:23" ht="51" x14ac:dyDescent="0.2">
      <c r="A161" s="41" t="s">
        <v>257</v>
      </c>
      <c r="B161" s="18"/>
      <c r="C161" s="46" t="s">
        <v>258</v>
      </c>
      <c r="D161" s="25" t="s">
        <v>259</v>
      </c>
      <c r="E161" s="20">
        <v>22</v>
      </c>
      <c r="F161" s="20">
        <v>22</v>
      </c>
      <c r="G161" s="20"/>
      <c r="H161" s="36"/>
      <c r="I161" s="17"/>
      <c r="J161" s="17"/>
      <c r="K161" s="17"/>
      <c r="L161" s="22"/>
      <c r="M161" s="54"/>
      <c r="P161" s="17"/>
    </row>
    <row r="162" spans="1:23" x14ac:dyDescent="0.2">
      <c r="A162" s="41" t="s">
        <v>260</v>
      </c>
      <c r="B162" s="18"/>
      <c r="C162" s="46" t="s">
        <v>261</v>
      </c>
      <c r="D162" s="25" t="s">
        <v>259</v>
      </c>
      <c r="E162" s="20">
        <f>13+3+8.5</f>
        <v>24.5</v>
      </c>
      <c r="F162" s="20">
        <v>24.3</v>
      </c>
      <c r="G162" s="20"/>
      <c r="H162" s="36"/>
      <c r="I162" s="17"/>
      <c r="J162" s="17"/>
      <c r="K162" s="17"/>
      <c r="L162" s="22"/>
      <c r="M162" s="54"/>
      <c r="P162" s="17"/>
    </row>
    <row r="163" spans="1:23" ht="25.5" x14ac:dyDescent="0.2">
      <c r="A163" s="41" t="s">
        <v>262</v>
      </c>
      <c r="B163" s="18"/>
      <c r="C163" s="46" t="s">
        <v>263</v>
      </c>
      <c r="D163" s="25" t="s">
        <v>259</v>
      </c>
      <c r="E163" s="20">
        <f>3+9</f>
        <v>12</v>
      </c>
      <c r="F163" s="20">
        <v>12</v>
      </c>
      <c r="G163" s="20"/>
      <c r="H163" s="36"/>
      <c r="I163" s="17"/>
      <c r="J163" s="17"/>
      <c r="K163" s="17"/>
      <c r="L163" s="22"/>
      <c r="M163" s="54"/>
      <c r="P163" s="17"/>
    </row>
    <row r="164" spans="1:23" ht="25.5" x14ac:dyDescent="0.2">
      <c r="A164" s="41" t="s">
        <v>264</v>
      </c>
      <c r="B164" s="18"/>
      <c r="C164" s="47" t="s">
        <v>265</v>
      </c>
      <c r="D164" s="25" t="s">
        <v>266</v>
      </c>
      <c r="E164" s="20">
        <f>58-12-15.6</f>
        <v>30.4</v>
      </c>
      <c r="F164" s="20">
        <v>29.7</v>
      </c>
      <c r="G164" s="20"/>
      <c r="H164" s="36"/>
      <c r="I164" s="17"/>
      <c r="J164" s="17"/>
      <c r="K164" s="17"/>
      <c r="L164" s="22"/>
      <c r="M164" s="54"/>
      <c r="P164" s="17"/>
    </row>
    <row r="165" spans="1:23" ht="25.5" x14ac:dyDescent="0.2">
      <c r="A165" s="41" t="s">
        <v>267</v>
      </c>
      <c r="B165" s="18"/>
      <c r="C165" s="47" t="s">
        <v>268</v>
      </c>
      <c r="D165" s="25" t="s">
        <v>266</v>
      </c>
      <c r="E165" s="20">
        <v>19.899999999999999</v>
      </c>
      <c r="F165" s="20">
        <v>19.3</v>
      </c>
      <c r="G165" s="20"/>
      <c r="H165" s="36"/>
      <c r="I165" s="17"/>
      <c r="J165" s="17"/>
      <c r="K165" s="17"/>
      <c r="L165" s="22"/>
      <c r="M165" s="54"/>
      <c r="P165" s="17"/>
    </row>
    <row r="166" spans="1:23" ht="39" customHeight="1" x14ac:dyDescent="0.2">
      <c r="A166" s="41" t="s">
        <v>269</v>
      </c>
      <c r="B166" s="18"/>
      <c r="C166" s="44" t="s">
        <v>68</v>
      </c>
      <c r="D166" s="13"/>
      <c r="E166" s="239">
        <f>SUM(E167:E170)</f>
        <v>633.79999999999995</v>
      </c>
      <c r="F166" s="239">
        <f>SUM(F167:F170)</f>
        <v>557.1</v>
      </c>
      <c r="G166" s="239">
        <f>SUM(G167:G170)</f>
        <v>0</v>
      </c>
      <c r="H166" s="239">
        <f>SUM(H167:H170)</f>
        <v>0</v>
      </c>
      <c r="I166" s="17"/>
      <c r="J166" s="17"/>
      <c r="K166" s="17"/>
      <c r="L166" s="79"/>
      <c r="M166" s="54"/>
      <c r="P166" s="17"/>
    </row>
    <row r="167" spans="1:23" ht="38.25" x14ac:dyDescent="0.2">
      <c r="A167" s="41" t="s">
        <v>270</v>
      </c>
      <c r="B167" s="18"/>
      <c r="C167" s="47" t="s">
        <v>271</v>
      </c>
      <c r="D167" s="18" t="s">
        <v>251</v>
      </c>
      <c r="E167" s="20">
        <f>150+50</f>
        <v>200</v>
      </c>
      <c r="F167" s="20">
        <v>123.9</v>
      </c>
      <c r="G167" s="20"/>
      <c r="H167" s="36"/>
      <c r="I167" s="17"/>
      <c r="J167" s="17"/>
      <c r="K167" s="17"/>
      <c r="L167" s="22"/>
      <c r="M167" s="54"/>
      <c r="P167" s="17"/>
    </row>
    <row r="168" spans="1:23" ht="25.5" x14ac:dyDescent="0.2">
      <c r="A168" s="41" t="s">
        <v>272</v>
      </c>
      <c r="B168" s="18"/>
      <c r="C168" s="47" t="s">
        <v>273</v>
      </c>
      <c r="D168" s="18" t="s">
        <v>242</v>
      </c>
      <c r="E168" s="20">
        <f>180-18.7</f>
        <v>161.30000000000001</v>
      </c>
      <c r="F168" s="20">
        <v>161.30000000000001</v>
      </c>
      <c r="G168" s="20"/>
      <c r="H168" s="36"/>
      <c r="I168" s="17"/>
      <c r="J168" s="17"/>
      <c r="K168" s="17"/>
      <c r="L168" s="22"/>
      <c r="M168" s="54"/>
      <c r="P168" s="17"/>
    </row>
    <row r="169" spans="1:23" ht="12.6" customHeight="1" x14ac:dyDescent="0.2">
      <c r="A169" s="41" t="s">
        <v>274</v>
      </c>
      <c r="B169" s="18"/>
      <c r="C169" s="48" t="s">
        <v>275</v>
      </c>
      <c r="D169" s="25" t="s">
        <v>242</v>
      </c>
      <c r="E169" s="29">
        <f>55+75-60</f>
        <v>70</v>
      </c>
      <c r="F169" s="29">
        <v>70</v>
      </c>
      <c r="G169" s="20"/>
      <c r="H169" s="36"/>
      <c r="I169" s="80"/>
      <c r="J169" s="17"/>
      <c r="K169" s="17"/>
      <c r="L169" s="22"/>
      <c r="M169" s="54"/>
      <c r="P169" s="17"/>
      <c r="W169" s="54"/>
    </row>
    <row r="170" spans="1:23" ht="25.5" x14ac:dyDescent="0.2">
      <c r="A170" s="41" t="s">
        <v>276</v>
      </c>
      <c r="B170" s="18"/>
      <c r="C170" s="24" t="s">
        <v>277</v>
      </c>
      <c r="D170" s="18" t="s">
        <v>242</v>
      </c>
      <c r="E170" s="29">
        <v>202.5</v>
      </c>
      <c r="F170" s="29">
        <v>201.9</v>
      </c>
      <c r="G170" s="20"/>
      <c r="H170" s="36"/>
      <c r="I170" s="17"/>
      <c r="J170" s="17"/>
      <c r="K170" s="17"/>
      <c r="L170" s="22"/>
      <c r="M170" s="54"/>
      <c r="P170" s="17"/>
    </row>
    <row r="171" spans="1:23" ht="12.6" customHeight="1" x14ac:dyDescent="0.2">
      <c r="A171" s="14">
        <v>76</v>
      </c>
      <c r="B171" s="18"/>
      <c r="C171" s="24" t="s">
        <v>205</v>
      </c>
      <c r="D171" s="18" t="s">
        <v>251</v>
      </c>
      <c r="E171" s="20">
        <f>6.5+2</f>
        <v>8.5</v>
      </c>
      <c r="F171" s="20">
        <v>8.4</v>
      </c>
      <c r="G171" s="20">
        <f>6.3+0.4</f>
        <v>6.7</v>
      </c>
      <c r="H171" s="36">
        <v>6.7</v>
      </c>
      <c r="I171" s="17"/>
      <c r="J171" s="17"/>
      <c r="K171" s="17"/>
      <c r="L171" s="22"/>
      <c r="M171" s="54"/>
      <c r="P171" s="17"/>
    </row>
    <row r="172" spans="1:23" ht="30" customHeight="1" x14ac:dyDescent="0.2">
      <c r="A172" s="14">
        <v>77</v>
      </c>
      <c r="B172" s="12" t="s">
        <v>278</v>
      </c>
      <c r="C172" s="81" t="s">
        <v>279</v>
      </c>
      <c r="D172" s="18"/>
      <c r="E172" s="53">
        <f>+E175+E173</f>
        <v>627.5</v>
      </c>
      <c r="F172" s="53">
        <f>+F175+F173</f>
        <v>472.70000000000005</v>
      </c>
      <c r="G172" s="53">
        <f>+G175</f>
        <v>0</v>
      </c>
      <c r="H172" s="53">
        <f>+H175</f>
        <v>0</v>
      </c>
      <c r="I172" s="17"/>
      <c r="J172" s="17"/>
      <c r="K172" s="17"/>
      <c r="P172" s="17"/>
    </row>
    <row r="173" spans="1:23" ht="16.5" customHeight="1" x14ac:dyDescent="0.2">
      <c r="A173" s="242">
        <v>78</v>
      </c>
      <c r="B173" s="253"/>
      <c r="C173" s="63" t="s">
        <v>280</v>
      </c>
      <c r="D173" s="244" t="s">
        <v>281</v>
      </c>
      <c r="E173" s="20">
        <f>+E174</f>
        <v>112.5</v>
      </c>
      <c r="F173" s="20">
        <f>+F174</f>
        <v>61.6</v>
      </c>
      <c r="G173" s="53"/>
      <c r="H173" s="36"/>
      <c r="I173" s="17"/>
      <c r="J173" s="17"/>
      <c r="K173" s="17"/>
      <c r="P173" s="17"/>
    </row>
    <row r="174" spans="1:23" ht="25.5" x14ac:dyDescent="0.2">
      <c r="A174" s="243"/>
      <c r="B174" s="254"/>
      <c r="C174" s="58" t="s">
        <v>282</v>
      </c>
      <c r="D174" s="245"/>
      <c r="E174" s="164">
        <v>112.5</v>
      </c>
      <c r="F174" s="164">
        <v>61.6</v>
      </c>
      <c r="G174" s="20"/>
      <c r="H174" s="36"/>
      <c r="I174" s="17"/>
      <c r="J174" s="17"/>
      <c r="K174" s="17"/>
      <c r="P174" s="17"/>
    </row>
    <row r="175" spans="1:23" ht="12.75" customHeight="1" x14ac:dyDescent="0.2">
      <c r="A175" s="14">
        <v>79</v>
      </c>
      <c r="B175" s="18"/>
      <c r="C175" s="66" t="s">
        <v>54</v>
      </c>
      <c r="D175" s="28"/>
      <c r="E175" s="29">
        <f>+E176+E177+E178</f>
        <v>515</v>
      </c>
      <c r="F175" s="29">
        <f>+F176+F177+F178</f>
        <v>411.1</v>
      </c>
      <c r="G175" s="20">
        <f>+G176+G177+G178</f>
        <v>0</v>
      </c>
      <c r="H175" s="20">
        <f>+H176+H177+H178</f>
        <v>0</v>
      </c>
      <c r="I175" s="17"/>
      <c r="J175" s="17"/>
      <c r="K175" s="17"/>
      <c r="P175" s="17"/>
    </row>
    <row r="176" spans="1:23" ht="27.6" customHeight="1" x14ac:dyDescent="0.2">
      <c r="A176" s="83" t="s">
        <v>283</v>
      </c>
      <c r="B176" s="18"/>
      <c r="C176" s="46" t="s">
        <v>284</v>
      </c>
      <c r="D176" s="18" t="s">
        <v>281</v>
      </c>
      <c r="E176" s="20">
        <v>75</v>
      </c>
      <c r="F176" s="20">
        <v>75</v>
      </c>
      <c r="G176" s="20"/>
      <c r="H176" s="36"/>
      <c r="I176" s="17"/>
      <c r="J176" s="17"/>
      <c r="K176" s="17"/>
      <c r="P176" s="17"/>
    </row>
    <row r="177" spans="1:16" ht="24.75" customHeight="1" x14ac:dyDescent="0.2">
      <c r="A177" s="83" t="s">
        <v>285</v>
      </c>
      <c r="B177" s="18"/>
      <c r="C177" s="46" t="s">
        <v>286</v>
      </c>
      <c r="D177" s="18" t="s">
        <v>287</v>
      </c>
      <c r="E177" s="20">
        <f>35+10</f>
        <v>45</v>
      </c>
      <c r="F177" s="20">
        <v>45</v>
      </c>
      <c r="G177" s="20"/>
      <c r="H177" s="36"/>
      <c r="I177" s="17"/>
      <c r="J177" s="17"/>
      <c r="K177" s="17"/>
      <c r="P177" s="17"/>
    </row>
    <row r="178" spans="1:16" ht="41.45" customHeight="1" x14ac:dyDescent="0.2">
      <c r="A178" s="83" t="s">
        <v>288</v>
      </c>
      <c r="B178" s="18"/>
      <c r="C178" s="44" t="s">
        <v>68</v>
      </c>
      <c r="D178" s="12"/>
      <c r="E178" s="239">
        <f>SUM(E179:E192)</f>
        <v>395</v>
      </c>
      <c r="F178" s="239">
        <f>SUM(F179:F192)</f>
        <v>291.10000000000002</v>
      </c>
      <c r="G178" s="239">
        <f>SUM(G179:G192)</f>
        <v>0</v>
      </c>
      <c r="H178" s="239">
        <f>SUM(H179:H192)</f>
        <v>0</v>
      </c>
      <c r="I178" s="17"/>
      <c r="J178" s="17"/>
      <c r="K178" s="17"/>
      <c r="N178" s="54"/>
      <c r="P178" s="17"/>
    </row>
    <row r="179" spans="1:16" ht="25.5" x14ac:dyDescent="0.2">
      <c r="A179" s="41" t="s">
        <v>289</v>
      </c>
      <c r="B179" s="18"/>
      <c r="C179" s="84" t="s">
        <v>290</v>
      </c>
      <c r="D179" s="39" t="s">
        <v>291</v>
      </c>
      <c r="E179" s="29">
        <v>45</v>
      </c>
      <c r="F179" s="29">
        <v>42.9</v>
      </c>
      <c r="G179" s="20"/>
      <c r="H179" s="36"/>
      <c r="I179" s="17"/>
      <c r="J179" s="17"/>
      <c r="K179" s="17"/>
      <c r="P179" s="17"/>
    </row>
    <row r="180" spans="1:16" ht="25.5" x14ac:dyDescent="0.2">
      <c r="A180" s="41" t="s">
        <v>292</v>
      </c>
      <c r="B180" s="18"/>
      <c r="C180" s="70" t="s">
        <v>293</v>
      </c>
      <c r="D180" s="28" t="s">
        <v>294</v>
      </c>
      <c r="E180" s="29">
        <f>26+5</f>
        <v>31</v>
      </c>
      <c r="F180" s="29">
        <v>28.1</v>
      </c>
      <c r="G180" s="20"/>
      <c r="H180" s="36"/>
      <c r="I180" s="17"/>
      <c r="J180" s="17"/>
      <c r="K180" s="17"/>
      <c r="P180" s="17"/>
    </row>
    <row r="181" spans="1:16" ht="25.5" x14ac:dyDescent="0.2">
      <c r="A181" s="41" t="s">
        <v>295</v>
      </c>
      <c r="B181" s="18"/>
      <c r="C181" s="84" t="s">
        <v>296</v>
      </c>
      <c r="D181" s="28" t="s">
        <v>294</v>
      </c>
      <c r="E181" s="29">
        <v>40</v>
      </c>
      <c r="F181" s="29">
        <f>11.3+0.1</f>
        <v>11.4</v>
      </c>
      <c r="G181" s="20"/>
      <c r="H181" s="36"/>
      <c r="I181" s="17"/>
      <c r="J181" s="17"/>
      <c r="K181" s="17"/>
      <c r="P181" s="17"/>
    </row>
    <row r="182" spans="1:16" ht="25.5" x14ac:dyDescent="0.2">
      <c r="A182" s="41" t="s">
        <v>297</v>
      </c>
      <c r="B182" s="18"/>
      <c r="C182" s="84" t="s">
        <v>298</v>
      </c>
      <c r="D182" s="39" t="s">
        <v>254</v>
      </c>
      <c r="E182" s="29">
        <f>6+8</f>
        <v>14</v>
      </c>
      <c r="F182" s="29">
        <v>4.5</v>
      </c>
      <c r="G182" s="20"/>
      <c r="H182" s="36"/>
      <c r="I182" s="17"/>
      <c r="J182" s="17"/>
      <c r="K182" s="17"/>
      <c r="P182" s="17"/>
    </row>
    <row r="183" spans="1:16" ht="38.25" x14ac:dyDescent="0.2">
      <c r="A183" s="41" t="s">
        <v>299</v>
      </c>
      <c r="B183" s="18"/>
      <c r="C183" s="84" t="s">
        <v>300</v>
      </c>
      <c r="D183" s="78" t="s">
        <v>294</v>
      </c>
      <c r="E183" s="29">
        <f>12-10</f>
        <v>2</v>
      </c>
      <c r="F183" s="29">
        <v>1.1000000000000001</v>
      </c>
      <c r="G183" s="20"/>
      <c r="H183" s="36"/>
      <c r="I183" s="17"/>
      <c r="J183" s="17"/>
      <c r="K183" s="17"/>
      <c r="P183" s="17"/>
    </row>
    <row r="184" spans="1:16" ht="25.5" x14ac:dyDescent="0.2">
      <c r="A184" s="41" t="s">
        <v>301</v>
      </c>
      <c r="B184" s="18"/>
      <c r="C184" s="84" t="s">
        <v>302</v>
      </c>
      <c r="D184" s="78" t="s">
        <v>294</v>
      </c>
      <c r="E184" s="29">
        <f>15+10+7.5</f>
        <v>32.5</v>
      </c>
      <c r="F184" s="29">
        <v>27.7</v>
      </c>
      <c r="G184" s="20"/>
      <c r="H184" s="36"/>
      <c r="I184" s="17"/>
      <c r="J184" s="17"/>
      <c r="K184" s="17"/>
      <c r="P184" s="17"/>
    </row>
    <row r="185" spans="1:16" ht="38.25" x14ac:dyDescent="0.2">
      <c r="A185" s="41" t="s">
        <v>303</v>
      </c>
      <c r="B185" s="18"/>
      <c r="C185" s="84" t="s">
        <v>304</v>
      </c>
      <c r="D185" s="78" t="s">
        <v>305</v>
      </c>
      <c r="E185" s="29">
        <f>130-25</f>
        <v>105</v>
      </c>
      <c r="F185" s="29">
        <v>102.9</v>
      </c>
      <c r="G185" s="20"/>
      <c r="H185" s="36"/>
      <c r="I185" s="17"/>
      <c r="J185" s="17"/>
      <c r="K185" s="17"/>
      <c r="P185" s="17"/>
    </row>
    <row r="186" spans="1:16" ht="15.75" customHeight="1" x14ac:dyDescent="0.2">
      <c r="A186" s="41" t="s">
        <v>306</v>
      </c>
      <c r="B186" s="18"/>
      <c r="C186" s="84" t="s">
        <v>307</v>
      </c>
      <c r="D186" s="78" t="s">
        <v>294</v>
      </c>
      <c r="E186" s="29">
        <v>30</v>
      </c>
      <c r="F186" s="29">
        <v>7</v>
      </c>
      <c r="G186" s="20"/>
      <c r="H186" s="36"/>
      <c r="I186" s="17"/>
      <c r="J186" s="17"/>
      <c r="K186" s="17"/>
      <c r="P186" s="17"/>
    </row>
    <row r="187" spans="1:16" ht="38.25" x14ac:dyDescent="0.2">
      <c r="A187" s="41" t="s">
        <v>308</v>
      </c>
      <c r="B187" s="18"/>
      <c r="C187" s="48" t="s">
        <v>309</v>
      </c>
      <c r="D187" s="18" t="s">
        <v>281</v>
      </c>
      <c r="E187" s="20">
        <v>3.5</v>
      </c>
      <c r="F187" s="29">
        <v>-1.9</v>
      </c>
      <c r="G187" s="20"/>
      <c r="H187" s="36"/>
      <c r="I187" s="241" t="s">
        <v>729</v>
      </c>
      <c r="J187" s="241"/>
      <c r="K187" s="241"/>
      <c r="L187" s="241"/>
      <c r="P187" s="17"/>
    </row>
    <row r="188" spans="1:16" ht="25.5" x14ac:dyDescent="0.2">
      <c r="A188" s="41" t="s">
        <v>310</v>
      </c>
      <c r="B188" s="18"/>
      <c r="C188" s="84" t="s">
        <v>311</v>
      </c>
      <c r="D188" s="78" t="s">
        <v>294</v>
      </c>
      <c r="E188" s="29">
        <v>3</v>
      </c>
      <c r="F188" s="29">
        <v>0</v>
      </c>
      <c r="G188" s="20"/>
      <c r="H188" s="36"/>
      <c r="I188" s="17"/>
      <c r="J188" s="17"/>
      <c r="K188" s="17"/>
      <c r="P188" s="17"/>
    </row>
    <row r="189" spans="1:16" ht="25.5" x14ac:dyDescent="0.2">
      <c r="A189" s="41" t="s">
        <v>312</v>
      </c>
      <c r="B189" s="18"/>
      <c r="C189" s="84" t="s">
        <v>313</v>
      </c>
      <c r="D189" s="78" t="s">
        <v>294</v>
      </c>
      <c r="E189" s="29">
        <v>3</v>
      </c>
      <c r="F189" s="29">
        <v>2</v>
      </c>
      <c r="G189" s="20"/>
      <c r="H189" s="36"/>
      <c r="I189" s="17"/>
      <c r="J189" s="17"/>
      <c r="K189" s="17"/>
      <c r="P189" s="17"/>
    </row>
    <row r="190" spans="1:16" ht="25.5" x14ac:dyDescent="0.2">
      <c r="A190" s="41" t="s">
        <v>314</v>
      </c>
      <c r="B190" s="18"/>
      <c r="C190" s="84" t="s">
        <v>315</v>
      </c>
      <c r="D190" s="78" t="s">
        <v>294</v>
      </c>
      <c r="E190" s="29">
        <v>20</v>
      </c>
      <c r="F190" s="29">
        <v>0</v>
      </c>
      <c r="G190" s="20"/>
      <c r="H190" s="36"/>
      <c r="I190" s="17"/>
      <c r="J190" s="17"/>
      <c r="K190" s="17"/>
      <c r="P190" s="17"/>
    </row>
    <row r="191" spans="1:16" ht="38.25" x14ac:dyDescent="0.2">
      <c r="A191" s="41" t="s">
        <v>316</v>
      </c>
      <c r="B191" s="18"/>
      <c r="C191" s="84" t="s">
        <v>317</v>
      </c>
      <c r="D191" s="78" t="s">
        <v>281</v>
      </c>
      <c r="E191" s="29">
        <v>40</v>
      </c>
      <c r="F191" s="29">
        <v>39.4</v>
      </c>
      <c r="G191" s="20"/>
      <c r="H191" s="36"/>
      <c r="I191" s="17"/>
      <c r="J191" s="17"/>
      <c r="K191" s="17"/>
      <c r="P191" s="17"/>
    </row>
    <row r="192" spans="1:16" ht="51" x14ac:dyDescent="0.2">
      <c r="A192" s="41" t="s">
        <v>318</v>
      </c>
      <c r="B192" s="18"/>
      <c r="C192" s="84" t="s">
        <v>319</v>
      </c>
      <c r="D192" s="78" t="s">
        <v>281</v>
      </c>
      <c r="E192" s="29">
        <f>40-14</f>
        <v>26</v>
      </c>
      <c r="F192" s="29">
        <v>26</v>
      </c>
      <c r="G192" s="20"/>
      <c r="H192" s="36"/>
      <c r="I192" s="17"/>
      <c r="J192" s="17"/>
      <c r="K192" s="17"/>
      <c r="P192" s="17"/>
    </row>
    <row r="193" spans="1:16" ht="27" customHeight="1" x14ac:dyDescent="0.2">
      <c r="A193" s="14">
        <v>80</v>
      </c>
      <c r="B193" s="12" t="s">
        <v>320</v>
      </c>
      <c r="C193" s="85" t="s">
        <v>321</v>
      </c>
      <c r="D193" s="13"/>
      <c r="E193" s="16">
        <f>+E194+E230+E231+E232+E233+E234+E235+E236+E237+E238+E239+E240</f>
        <v>2638.4</v>
      </c>
      <c r="F193" s="16">
        <f>+F194+F230+F231+F232+F233+F234+F235+F236+F237+F238+F239+F240</f>
        <v>2170.5999999999995</v>
      </c>
      <c r="G193" s="16">
        <f>+G231+G232+G234+G233+G230+G235+G236+G238+G237+G239+G240+G194</f>
        <v>0</v>
      </c>
      <c r="H193" s="16">
        <f>+H231+H232+H234+H233+H230+H235+H236+H238+H237+H239+H240+H194</f>
        <v>0</v>
      </c>
      <c r="I193" s="86"/>
      <c r="J193" s="17"/>
      <c r="K193" s="17"/>
      <c r="P193" s="17"/>
    </row>
    <row r="194" spans="1:16" ht="14.25" customHeight="1" x14ac:dyDescent="0.2">
      <c r="A194" s="14">
        <v>81</v>
      </c>
      <c r="B194" s="18"/>
      <c r="C194" s="66" t="s">
        <v>322</v>
      </c>
      <c r="D194" s="39"/>
      <c r="E194" s="29">
        <f>E195</f>
        <v>2239.1</v>
      </c>
      <c r="F194" s="29">
        <f>F195</f>
        <v>1799.7999999999997</v>
      </c>
      <c r="G194" s="20">
        <f>G195</f>
        <v>0</v>
      </c>
      <c r="H194" s="20">
        <f>H195</f>
        <v>0</v>
      </c>
      <c r="J194" s="17"/>
      <c r="K194" s="17"/>
      <c r="P194" s="17"/>
    </row>
    <row r="195" spans="1:16" ht="39" customHeight="1" x14ac:dyDescent="0.2">
      <c r="A195" s="41" t="s">
        <v>323</v>
      </c>
      <c r="B195" s="18"/>
      <c r="C195" s="44" t="s">
        <v>68</v>
      </c>
      <c r="D195" s="25"/>
      <c r="E195" s="239">
        <f>SUM(E196:E229)</f>
        <v>2239.1</v>
      </c>
      <c r="F195" s="239">
        <f>SUM(F196:F229)</f>
        <v>1799.7999999999997</v>
      </c>
      <c r="G195" s="239">
        <f>SUM(G196:G229)</f>
        <v>0</v>
      </c>
      <c r="H195" s="239">
        <f>SUM(H196:H229)</f>
        <v>0</v>
      </c>
      <c r="I195" s="86"/>
      <c r="J195" s="17"/>
      <c r="K195" s="17"/>
      <c r="P195" s="17"/>
    </row>
    <row r="196" spans="1:16" ht="27.6" customHeight="1" x14ac:dyDescent="0.2">
      <c r="A196" s="41" t="s">
        <v>324</v>
      </c>
      <c r="B196" s="18"/>
      <c r="C196" s="47" t="s">
        <v>325</v>
      </c>
      <c r="D196" s="25" t="s">
        <v>326</v>
      </c>
      <c r="E196" s="29">
        <f>65-20+30</f>
        <v>75</v>
      </c>
      <c r="F196" s="29">
        <v>38.1</v>
      </c>
      <c r="G196" s="20"/>
      <c r="H196" s="36"/>
      <c r="I196" s="17"/>
      <c r="J196" s="17"/>
      <c r="K196" s="17"/>
      <c r="P196" s="17"/>
    </row>
    <row r="197" spans="1:16" ht="27.6" customHeight="1" x14ac:dyDescent="0.2">
      <c r="A197" s="41" t="s">
        <v>327</v>
      </c>
      <c r="B197" s="18"/>
      <c r="C197" s="47" t="s">
        <v>328</v>
      </c>
      <c r="D197" s="25" t="s">
        <v>326</v>
      </c>
      <c r="E197" s="29">
        <v>20</v>
      </c>
      <c r="F197" s="29">
        <v>0</v>
      </c>
      <c r="G197" s="20"/>
      <c r="H197" s="36"/>
      <c r="I197" s="17"/>
      <c r="J197" s="17"/>
      <c r="K197" s="17"/>
      <c r="P197" s="17"/>
    </row>
    <row r="198" spans="1:16" ht="27" customHeight="1" x14ac:dyDescent="0.2">
      <c r="A198" s="41" t="s">
        <v>329</v>
      </c>
      <c r="B198" s="18"/>
      <c r="C198" s="48" t="s">
        <v>330</v>
      </c>
      <c r="D198" s="25" t="s">
        <v>331</v>
      </c>
      <c r="E198" s="29">
        <v>45</v>
      </c>
      <c r="F198" s="29">
        <v>17.2</v>
      </c>
      <c r="G198" s="20"/>
      <c r="H198" s="36"/>
      <c r="I198" s="17"/>
      <c r="J198" s="17"/>
      <c r="K198" s="17"/>
      <c r="P198" s="17"/>
    </row>
    <row r="199" spans="1:16" ht="40.15" customHeight="1" x14ac:dyDescent="0.2">
      <c r="A199" s="41" t="s">
        <v>332</v>
      </c>
      <c r="B199" s="18"/>
      <c r="C199" s="73" t="s">
        <v>333</v>
      </c>
      <c r="D199" s="25" t="s">
        <v>326</v>
      </c>
      <c r="E199" s="29">
        <f>30+30</f>
        <v>60</v>
      </c>
      <c r="F199" s="29">
        <v>36.299999999999997</v>
      </c>
      <c r="G199" s="20"/>
      <c r="H199" s="36"/>
      <c r="I199" s="17"/>
      <c r="J199" s="17"/>
      <c r="K199" s="17"/>
      <c r="P199" s="17"/>
    </row>
    <row r="200" spans="1:16" ht="25.5" x14ac:dyDescent="0.2">
      <c r="A200" s="41" t="s">
        <v>334</v>
      </c>
      <c r="B200" s="18"/>
      <c r="C200" s="73" t="s">
        <v>335</v>
      </c>
      <c r="D200" s="25" t="s">
        <v>336</v>
      </c>
      <c r="E200" s="29">
        <v>12</v>
      </c>
      <c r="F200" s="29">
        <v>12</v>
      </c>
      <c r="G200" s="20"/>
      <c r="H200" s="36"/>
      <c r="I200" s="17"/>
      <c r="J200" s="17"/>
      <c r="K200" s="17"/>
      <c r="P200" s="17"/>
    </row>
    <row r="201" spans="1:16" ht="38.25" x14ac:dyDescent="0.2">
      <c r="A201" s="41" t="s">
        <v>337</v>
      </c>
      <c r="B201" s="18"/>
      <c r="C201" s="73" t="s">
        <v>338</v>
      </c>
      <c r="D201" s="87" t="s">
        <v>339</v>
      </c>
      <c r="E201" s="29">
        <f>90-23-6</f>
        <v>61</v>
      </c>
      <c r="F201" s="29">
        <f>57.9-0.1</f>
        <v>57.8</v>
      </c>
      <c r="G201" s="20"/>
      <c r="H201" s="36"/>
      <c r="I201" s="86"/>
      <c r="J201" s="17"/>
      <c r="K201" s="17"/>
      <c r="P201" s="17"/>
    </row>
    <row r="202" spans="1:16" ht="38.25" x14ac:dyDescent="0.2">
      <c r="A202" s="41" t="s">
        <v>340</v>
      </c>
      <c r="B202" s="18"/>
      <c r="C202" s="24" t="s">
        <v>341</v>
      </c>
      <c r="D202" s="25" t="s">
        <v>342</v>
      </c>
      <c r="E202" s="20">
        <v>150</v>
      </c>
      <c r="F202" s="20">
        <v>24.7</v>
      </c>
      <c r="G202" s="20"/>
      <c r="H202" s="36"/>
      <c r="I202" s="17"/>
      <c r="J202" s="17"/>
      <c r="K202" s="17"/>
      <c r="P202" s="17"/>
    </row>
    <row r="203" spans="1:16" x14ac:dyDescent="0.2">
      <c r="A203" s="41" t="s">
        <v>343</v>
      </c>
      <c r="B203" s="18"/>
      <c r="C203" s="24" t="s">
        <v>344</v>
      </c>
      <c r="D203" s="88" t="s">
        <v>345</v>
      </c>
      <c r="E203" s="20">
        <v>85</v>
      </c>
      <c r="F203" s="20">
        <v>85</v>
      </c>
      <c r="G203" s="20"/>
      <c r="H203" s="36"/>
      <c r="I203" s="17"/>
      <c r="J203" s="17"/>
      <c r="K203" s="17"/>
      <c r="P203" s="17"/>
    </row>
    <row r="204" spans="1:16" ht="12.6" customHeight="1" x14ac:dyDescent="0.2">
      <c r="A204" s="41" t="s">
        <v>346</v>
      </c>
      <c r="B204" s="18"/>
      <c r="C204" s="24" t="s">
        <v>347</v>
      </c>
      <c r="D204" s="88" t="s">
        <v>345</v>
      </c>
      <c r="E204" s="29">
        <f>71-20+1.5</f>
        <v>52.5</v>
      </c>
      <c r="F204" s="29">
        <v>52.4</v>
      </c>
      <c r="G204" s="20"/>
      <c r="H204" s="36"/>
      <c r="I204" s="17"/>
      <c r="J204" s="17"/>
      <c r="K204" s="17"/>
      <c r="P204" s="17"/>
    </row>
    <row r="205" spans="1:16" ht="12.6" customHeight="1" x14ac:dyDescent="0.2">
      <c r="A205" s="41" t="s">
        <v>348</v>
      </c>
      <c r="B205" s="18"/>
      <c r="C205" s="24" t="s">
        <v>349</v>
      </c>
      <c r="D205" s="88" t="s">
        <v>345</v>
      </c>
      <c r="E205" s="29">
        <f>49+30+5.7</f>
        <v>84.7</v>
      </c>
      <c r="F205" s="29">
        <v>59.1</v>
      </c>
      <c r="G205" s="20"/>
      <c r="H205" s="36"/>
      <c r="I205" s="17"/>
      <c r="J205" s="17"/>
      <c r="K205" s="17"/>
      <c r="P205" s="17"/>
    </row>
    <row r="206" spans="1:16" ht="25.5" x14ac:dyDescent="0.2">
      <c r="A206" s="41" t="s">
        <v>350</v>
      </c>
      <c r="B206" s="18"/>
      <c r="C206" s="24" t="s">
        <v>351</v>
      </c>
      <c r="D206" s="88" t="s">
        <v>345</v>
      </c>
      <c r="E206" s="29">
        <v>111</v>
      </c>
      <c r="F206" s="29">
        <v>111</v>
      </c>
      <c r="G206" s="20"/>
      <c r="H206" s="36"/>
      <c r="I206" s="17"/>
      <c r="J206" s="17"/>
      <c r="K206" s="17"/>
      <c r="P206" s="17"/>
    </row>
    <row r="207" spans="1:16" ht="25.5" x14ac:dyDescent="0.2">
      <c r="A207" s="41" t="s">
        <v>352</v>
      </c>
      <c r="B207" s="18"/>
      <c r="C207" s="24" t="s">
        <v>353</v>
      </c>
      <c r="D207" s="87" t="s">
        <v>339</v>
      </c>
      <c r="E207" s="29">
        <f>25-1</f>
        <v>24</v>
      </c>
      <c r="F207" s="29">
        <v>24</v>
      </c>
      <c r="G207" s="20"/>
      <c r="H207" s="36"/>
      <c r="I207" s="17"/>
      <c r="J207" s="17"/>
      <c r="K207" s="17"/>
      <c r="P207" s="17"/>
    </row>
    <row r="208" spans="1:16" ht="25.5" x14ac:dyDescent="0.2">
      <c r="A208" s="41" t="s">
        <v>354</v>
      </c>
      <c r="B208" s="18"/>
      <c r="C208" s="24" t="s">
        <v>355</v>
      </c>
      <c r="D208" s="87" t="s">
        <v>339</v>
      </c>
      <c r="E208" s="29">
        <f>15-11</f>
        <v>4</v>
      </c>
      <c r="F208" s="29">
        <v>3</v>
      </c>
      <c r="G208" s="20"/>
      <c r="H208" s="36"/>
      <c r="I208" s="17"/>
      <c r="J208" s="17"/>
      <c r="K208" s="17"/>
      <c r="P208" s="17"/>
    </row>
    <row r="209" spans="1:16" ht="25.5" x14ac:dyDescent="0.2">
      <c r="A209" s="41" t="s">
        <v>356</v>
      </c>
      <c r="B209" s="18"/>
      <c r="C209" s="24" t="s">
        <v>357</v>
      </c>
      <c r="D209" s="87" t="s">
        <v>339</v>
      </c>
      <c r="E209" s="29">
        <f>105+23+4.5</f>
        <v>132.5</v>
      </c>
      <c r="F209" s="29">
        <v>132.1</v>
      </c>
      <c r="G209" s="20"/>
      <c r="H209" s="36"/>
      <c r="I209" s="17"/>
      <c r="J209" s="17"/>
      <c r="K209" s="17"/>
      <c r="P209" s="17"/>
    </row>
    <row r="210" spans="1:16" ht="38.25" x14ac:dyDescent="0.2">
      <c r="A210" s="41" t="s">
        <v>358</v>
      </c>
      <c r="B210" s="18"/>
      <c r="C210" s="24" t="s">
        <v>359</v>
      </c>
      <c r="D210" s="87" t="s">
        <v>339</v>
      </c>
      <c r="E210" s="29">
        <v>327</v>
      </c>
      <c r="F210" s="29">
        <v>327</v>
      </c>
      <c r="G210" s="20"/>
      <c r="H210" s="36"/>
      <c r="I210" s="17"/>
      <c r="J210" s="17"/>
      <c r="K210" s="17"/>
      <c r="P210" s="17"/>
    </row>
    <row r="211" spans="1:16" ht="25.5" x14ac:dyDescent="0.2">
      <c r="A211" s="41" t="s">
        <v>360</v>
      </c>
      <c r="B211" s="18"/>
      <c r="C211" s="24" t="s">
        <v>361</v>
      </c>
      <c r="D211" s="87" t="s">
        <v>339</v>
      </c>
      <c r="E211" s="29">
        <v>100</v>
      </c>
      <c r="F211" s="29">
        <v>100</v>
      </c>
      <c r="G211" s="20"/>
      <c r="H211" s="36"/>
      <c r="I211" s="17"/>
      <c r="J211" s="17"/>
      <c r="K211" s="17"/>
      <c r="P211" s="17"/>
    </row>
    <row r="212" spans="1:16" ht="25.5" x14ac:dyDescent="0.2">
      <c r="A212" s="41" t="s">
        <v>362</v>
      </c>
      <c r="B212" s="18"/>
      <c r="C212" s="24" t="s">
        <v>363</v>
      </c>
      <c r="D212" s="88" t="s">
        <v>342</v>
      </c>
      <c r="E212" s="29">
        <v>64.8</v>
      </c>
      <c r="F212" s="29">
        <v>64.8</v>
      </c>
      <c r="G212" s="20"/>
      <c r="H212" s="36"/>
      <c r="I212" s="17"/>
      <c r="J212" s="17"/>
      <c r="K212" s="17"/>
      <c r="P212" s="17"/>
    </row>
    <row r="213" spans="1:16" ht="25.5" x14ac:dyDescent="0.2">
      <c r="A213" s="41" t="s">
        <v>364</v>
      </c>
      <c r="B213" s="18"/>
      <c r="C213" s="24" t="s">
        <v>365</v>
      </c>
      <c r="D213" s="25" t="s">
        <v>366</v>
      </c>
      <c r="E213" s="29">
        <f>10-1-5</f>
        <v>4</v>
      </c>
      <c r="F213" s="29">
        <v>0</v>
      </c>
      <c r="G213" s="20"/>
      <c r="H213" s="36"/>
      <c r="I213" s="17"/>
      <c r="J213" s="17"/>
      <c r="K213" s="17"/>
      <c r="P213" s="17"/>
    </row>
    <row r="214" spans="1:16" ht="12.6" customHeight="1" x14ac:dyDescent="0.2">
      <c r="A214" s="41" t="s">
        <v>367</v>
      </c>
      <c r="B214" s="18"/>
      <c r="C214" s="48" t="s">
        <v>368</v>
      </c>
      <c r="D214" s="25" t="s">
        <v>366</v>
      </c>
      <c r="E214" s="29">
        <f>15-3</f>
        <v>12</v>
      </c>
      <c r="F214" s="29">
        <f>11.7</f>
        <v>11.7</v>
      </c>
      <c r="G214" s="20"/>
      <c r="H214" s="36"/>
      <c r="I214" s="17"/>
      <c r="J214" s="17"/>
      <c r="K214" s="17"/>
      <c r="P214" s="17"/>
    </row>
    <row r="215" spans="1:16" ht="25.5" x14ac:dyDescent="0.2">
      <c r="A215" s="41" t="s">
        <v>369</v>
      </c>
      <c r="B215" s="18"/>
      <c r="C215" s="48" t="s">
        <v>370</v>
      </c>
      <c r="D215" s="25" t="s">
        <v>366</v>
      </c>
      <c r="E215" s="29">
        <v>12</v>
      </c>
      <c r="F215" s="29">
        <v>12</v>
      </c>
      <c r="G215" s="20"/>
      <c r="H215" s="36"/>
      <c r="I215" s="17"/>
      <c r="J215" s="17"/>
      <c r="K215" s="17"/>
      <c r="P215" s="17"/>
    </row>
    <row r="216" spans="1:16" ht="25.5" x14ac:dyDescent="0.2">
      <c r="A216" s="41" t="s">
        <v>371</v>
      </c>
      <c r="B216" s="18"/>
      <c r="C216" s="48" t="s">
        <v>372</v>
      </c>
      <c r="D216" s="25" t="s">
        <v>366</v>
      </c>
      <c r="E216" s="29">
        <f>15+4+1+10-11</f>
        <v>19</v>
      </c>
      <c r="F216" s="29">
        <v>0</v>
      </c>
      <c r="G216" s="20"/>
      <c r="H216" s="36"/>
      <c r="I216" s="17"/>
      <c r="J216" s="17"/>
      <c r="K216" s="17"/>
      <c r="P216" s="17"/>
    </row>
    <row r="217" spans="1:16" ht="12.6" customHeight="1" x14ac:dyDescent="0.2">
      <c r="A217" s="41" t="s">
        <v>373</v>
      </c>
      <c r="B217" s="18"/>
      <c r="C217" s="48" t="s">
        <v>374</v>
      </c>
      <c r="D217" s="25" t="s">
        <v>266</v>
      </c>
      <c r="E217" s="29">
        <f>10+30</f>
        <v>40</v>
      </c>
      <c r="F217" s="29">
        <v>39.799999999999997</v>
      </c>
      <c r="G217" s="20"/>
      <c r="H217" s="36"/>
      <c r="I217" s="17"/>
      <c r="J217" s="17"/>
      <c r="K217" s="17"/>
      <c r="P217" s="17"/>
    </row>
    <row r="218" spans="1:16" ht="12.6" customHeight="1" x14ac:dyDescent="0.2">
      <c r="A218" s="41" t="s">
        <v>375</v>
      </c>
      <c r="B218" s="18"/>
      <c r="C218" s="48" t="s">
        <v>376</v>
      </c>
      <c r="D218" s="25" t="s">
        <v>266</v>
      </c>
      <c r="E218" s="29">
        <f>40+20+30</f>
        <v>90</v>
      </c>
      <c r="F218" s="29">
        <v>41.8</v>
      </c>
      <c r="G218" s="20"/>
      <c r="H218" s="36"/>
      <c r="I218" s="17"/>
      <c r="J218" s="17"/>
      <c r="K218" s="17"/>
      <c r="P218" s="17"/>
    </row>
    <row r="219" spans="1:16" ht="25.5" x14ac:dyDescent="0.2">
      <c r="A219" s="41" t="s">
        <v>377</v>
      </c>
      <c r="B219" s="18"/>
      <c r="C219" s="24" t="s">
        <v>378</v>
      </c>
      <c r="D219" s="25" t="s">
        <v>379</v>
      </c>
      <c r="E219" s="29">
        <f>100+50</f>
        <v>150</v>
      </c>
      <c r="F219" s="29">
        <v>137.5</v>
      </c>
      <c r="G219" s="20"/>
      <c r="H219" s="36"/>
      <c r="I219" s="17"/>
      <c r="J219" s="17"/>
      <c r="K219" s="17"/>
      <c r="P219" s="17"/>
    </row>
    <row r="220" spans="1:16" ht="25.5" x14ac:dyDescent="0.2">
      <c r="A220" s="41" t="s">
        <v>380</v>
      </c>
      <c r="B220" s="18"/>
      <c r="C220" s="84" t="s">
        <v>381</v>
      </c>
      <c r="D220" s="25" t="s">
        <v>379</v>
      </c>
      <c r="E220" s="29">
        <f>20+10+10+21</f>
        <v>61</v>
      </c>
      <c r="F220" s="29">
        <v>60.6</v>
      </c>
      <c r="G220" s="20"/>
      <c r="H220" s="36"/>
      <c r="I220" s="17"/>
      <c r="J220" s="17"/>
      <c r="K220" s="17"/>
      <c r="P220" s="17"/>
    </row>
    <row r="221" spans="1:16" ht="12.6" customHeight="1" x14ac:dyDescent="0.2">
      <c r="A221" s="41" t="s">
        <v>382</v>
      </c>
      <c r="B221" s="18"/>
      <c r="C221" s="48" t="s">
        <v>383</v>
      </c>
      <c r="D221" s="25" t="s">
        <v>384</v>
      </c>
      <c r="E221" s="29">
        <v>15.5</v>
      </c>
      <c r="F221" s="29">
        <v>0.2</v>
      </c>
      <c r="G221" s="20"/>
      <c r="H221" s="36"/>
      <c r="I221" s="17"/>
      <c r="J221" s="17"/>
      <c r="P221" s="17"/>
    </row>
    <row r="222" spans="1:16" ht="12.6" customHeight="1" x14ac:dyDescent="0.2">
      <c r="A222" s="41" t="s">
        <v>385</v>
      </c>
      <c r="B222" s="18"/>
      <c r="C222" s="48" t="s">
        <v>386</v>
      </c>
      <c r="D222" s="25" t="s">
        <v>266</v>
      </c>
      <c r="E222" s="29">
        <v>70</v>
      </c>
      <c r="F222" s="29">
        <v>66</v>
      </c>
      <c r="G222" s="20"/>
      <c r="H222" s="36"/>
      <c r="I222" s="17"/>
      <c r="J222" s="17"/>
      <c r="K222" s="17"/>
      <c r="P222" s="17"/>
    </row>
    <row r="223" spans="1:16" ht="12.6" customHeight="1" x14ac:dyDescent="0.2">
      <c r="A223" s="41" t="s">
        <v>387</v>
      </c>
      <c r="B223" s="18"/>
      <c r="C223" s="84" t="s">
        <v>388</v>
      </c>
      <c r="D223" s="39" t="s">
        <v>266</v>
      </c>
      <c r="E223" s="29">
        <f>70+40+5</f>
        <v>115</v>
      </c>
      <c r="F223" s="29">
        <v>114</v>
      </c>
      <c r="G223" s="29"/>
      <c r="H223" s="36"/>
      <c r="I223" s="17"/>
      <c r="J223" s="17"/>
      <c r="K223" s="17"/>
      <c r="P223" s="17"/>
    </row>
    <row r="224" spans="1:16" ht="12.6" customHeight="1" x14ac:dyDescent="0.2">
      <c r="A224" s="41" t="s">
        <v>389</v>
      </c>
      <c r="B224" s="18"/>
      <c r="C224" s="84" t="s">
        <v>390</v>
      </c>
      <c r="D224" s="39" t="s">
        <v>266</v>
      </c>
      <c r="E224" s="29">
        <f>30+20+30</f>
        <v>80</v>
      </c>
      <c r="F224" s="29">
        <v>65.8</v>
      </c>
      <c r="G224" s="20"/>
      <c r="H224" s="36"/>
      <c r="I224" s="17"/>
      <c r="J224" s="17"/>
      <c r="K224" s="17"/>
      <c r="P224" s="17"/>
    </row>
    <row r="225" spans="1:11" ht="25.5" x14ac:dyDescent="0.2">
      <c r="A225" s="41" t="s">
        <v>391</v>
      </c>
      <c r="B225" s="18"/>
      <c r="C225" s="72" t="s">
        <v>392</v>
      </c>
      <c r="D225" s="39" t="s">
        <v>266</v>
      </c>
      <c r="E225" s="29">
        <f>100-20-20</f>
        <v>60</v>
      </c>
      <c r="F225" s="29">
        <v>4.5999999999999996</v>
      </c>
      <c r="G225" s="20"/>
      <c r="H225" s="36"/>
      <c r="I225" s="17"/>
      <c r="J225" s="17"/>
      <c r="K225" s="17"/>
    </row>
    <row r="226" spans="1:11" ht="25.5" x14ac:dyDescent="0.2">
      <c r="A226" s="41" t="s">
        <v>393</v>
      </c>
      <c r="B226" s="18"/>
      <c r="C226" s="24" t="s">
        <v>394</v>
      </c>
      <c r="D226" s="25" t="s">
        <v>395</v>
      </c>
      <c r="E226" s="29">
        <v>20</v>
      </c>
      <c r="F226" s="29">
        <v>20</v>
      </c>
      <c r="G226" s="20"/>
      <c r="H226" s="36"/>
      <c r="I226" s="17"/>
      <c r="J226" s="17"/>
      <c r="K226" s="17"/>
    </row>
    <row r="227" spans="1:11" x14ac:dyDescent="0.2">
      <c r="A227" s="41" t="s">
        <v>396</v>
      </c>
      <c r="B227" s="18"/>
      <c r="C227" s="24" t="s">
        <v>397</v>
      </c>
      <c r="D227" s="25" t="s">
        <v>398</v>
      </c>
      <c r="E227" s="29">
        <v>10</v>
      </c>
      <c r="F227" s="29">
        <v>9.9</v>
      </c>
      <c r="G227" s="20"/>
      <c r="H227" s="36"/>
      <c r="I227" s="17"/>
      <c r="J227" s="17"/>
      <c r="K227" s="17"/>
    </row>
    <row r="228" spans="1:11" x14ac:dyDescent="0.2">
      <c r="A228" s="41" t="s">
        <v>399</v>
      </c>
      <c r="B228" s="18"/>
      <c r="C228" s="24" t="s">
        <v>400</v>
      </c>
      <c r="D228" s="25" t="s">
        <v>266</v>
      </c>
      <c r="E228" s="29">
        <v>50</v>
      </c>
      <c r="F228" s="29">
        <v>49.4</v>
      </c>
      <c r="G228" s="20"/>
      <c r="H228" s="36"/>
      <c r="I228" s="17"/>
      <c r="J228" s="17"/>
      <c r="K228" s="17"/>
    </row>
    <row r="229" spans="1:11" x14ac:dyDescent="0.2">
      <c r="A229" s="41" t="s">
        <v>401</v>
      </c>
      <c r="B229" s="18"/>
      <c r="C229" s="24" t="s">
        <v>402</v>
      </c>
      <c r="D229" s="25" t="s">
        <v>384</v>
      </c>
      <c r="E229" s="29">
        <f>20+2.1</f>
        <v>22.1</v>
      </c>
      <c r="F229" s="29">
        <v>22</v>
      </c>
      <c r="G229" s="20"/>
      <c r="H229" s="36"/>
      <c r="I229" s="17"/>
      <c r="J229" s="17"/>
      <c r="K229" s="17"/>
    </row>
    <row r="230" spans="1:11" ht="25.5" x14ac:dyDescent="0.2">
      <c r="A230" s="14">
        <v>82</v>
      </c>
      <c r="B230" s="12"/>
      <c r="C230" s="24" t="s">
        <v>199</v>
      </c>
      <c r="D230" s="25" t="s">
        <v>395</v>
      </c>
      <c r="E230" s="20">
        <f>236.6+12-23.1+20</f>
        <v>245.5</v>
      </c>
      <c r="F230" s="20">
        <v>218.8</v>
      </c>
      <c r="G230" s="20"/>
      <c r="H230" s="36"/>
      <c r="I230" s="17"/>
      <c r="J230" s="17"/>
      <c r="K230" s="17"/>
    </row>
    <row r="231" spans="1:11" ht="12.6" customHeight="1" x14ac:dyDescent="0.2">
      <c r="A231" s="14">
        <v>83</v>
      </c>
      <c r="B231" s="12"/>
      <c r="C231" s="24" t="s">
        <v>201</v>
      </c>
      <c r="D231" s="25" t="s">
        <v>379</v>
      </c>
      <c r="E231" s="20">
        <v>23</v>
      </c>
      <c r="F231" s="20">
        <v>23</v>
      </c>
      <c r="G231" s="20"/>
      <c r="H231" s="36"/>
      <c r="I231" s="17"/>
      <c r="J231" s="17"/>
      <c r="K231" s="17"/>
    </row>
    <row r="232" spans="1:11" ht="12.6" customHeight="1" x14ac:dyDescent="0.2">
      <c r="A232" s="14">
        <v>84</v>
      </c>
      <c r="B232" s="12"/>
      <c r="C232" s="24" t="s">
        <v>203</v>
      </c>
      <c r="D232" s="25" t="s">
        <v>379</v>
      </c>
      <c r="E232" s="20">
        <v>10</v>
      </c>
      <c r="F232" s="20">
        <v>10</v>
      </c>
      <c r="G232" s="20"/>
      <c r="H232" s="36"/>
      <c r="I232" s="17"/>
      <c r="J232" s="17"/>
      <c r="K232" s="17"/>
    </row>
    <row r="233" spans="1:11" ht="12.6" customHeight="1" x14ac:dyDescent="0.2">
      <c r="A233" s="14">
        <v>85</v>
      </c>
      <c r="B233" s="12"/>
      <c r="C233" s="66" t="s">
        <v>204</v>
      </c>
      <c r="D233" s="39" t="s">
        <v>379</v>
      </c>
      <c r="E233" s="29">
        <f>19+5.9</f>
        <v>24.9</v>
      </c>
      <c r="F233" s="29">
        <v>24.9</v>
      </c>
      <c r="G233" s="29"/>
      <c r="H233" s="36"/>
      <c r="I233" s="17"/>
      <c r="J233" s="17"/>
      <c r="K233" s="17"/>
    </row>
    <row r="234" spans="1:11" ht="12.6" customHeight="1" x14ac:dyDescent="0.2">
      <c r="A234" s="14">
        <v>86</v>
      </c>
      <c r="B234" s="12"/>
      <c r="C234" s="72" t="s">
        <v>205</v>
      </c>
      <c r="D234" s="39" t="s">
        <v>379</v>
      </c>
      <c r="E234" s="29">
        <v>16.100000000000001</v>
      </c>
      <c r="F234" s="29">
        <v>16.100000000000001</v>
      </c>
      <c r="G234" s="29"/>
      <c r="H234" s="36"/>
      <c r="I234" s="17"/>
      <c r="J234" s="17"/>
      <c r="K234" s="17"/>
    </row>
    <row r="235" spans="1:11" ht="12.6" customHeight="1" x14ac:dyDescent="0.2">
      <c r="A235" s="14">
        <v>87</v>
      </c>
      <c r="B235" s="12"/>
      <c r="C235" s="72" t="s">
        <v>206</v>
      </c>
      <c r="D235" s="39" t="s">
        <v>379</v>
      </c>
      <c r="E235" s="29">
        <f>21-3-1.5</f>
        <v>16.5</v>
      </c>
      <c r="F235" s="29">
        <v>16.5</v>
      </c>
      <c r="G235" s="29"/>
      <c r="H235" s="36"/>
      <c r="I235" s="17"/>
      <c r="J235" s="17"/>
      <c r="K235" s="17"/>
    </row>
    <row r="236" spans="1:11" ht="12.6" customHeight="1" x14ac:dyDescent="0.2">
      <c r="A236" s="14">
        <v>88</v>
      </c>
      <c r="B236" s="12"/>
      <c r="C236" s="73" t="s">
        <v>207</v>
      </c>
      <c r="D236" s="25" t="s">
        <v>379</v>
      </c>
      <c r="E236" s="20">
        <v>13</v>
      </c>
      <c r="F236" s="20">
        <v>13</v>
      </c>
      <c r="G236" s="20"/>
      <c r="H236" s="36"/>
      <c r="I236" s="17"/>
      <c r="J236" s="17"/>
      <c r="K236" s="17"/>
    </row>
    <row r="237" spans="1:11" ht="12.6" customHeight="1" x14ac:dyDescent="0.2">
      <c r="A237" s="14">
        <v>89</v>
      </c>
      <c r="B237" s="12"/>
      <c r="C237" s="24" t="s">
        <v>208</v>
      </c>
      <c r="D237" s="25" t="s">
        <v>379</v>
      </c>
      <c r="E237" s="20">
        <f>13-2</f>
        <v>11</v>
      </c>
      <c r="F237" s="20">
        <v>11</v>
      </c>
      <c r="G237" s="20"/>
      <c r="H237" s="36"/>
      <c r="I237" s="17"/>
      <c r="J237" s="17"/>
      <c r="K237" s="17"/>
    </row>
    <row r="238" spans="1:11" ht="12.6" customHeight="1" x14ac:dyDescent="0.2">
      <c r="A238" s="14">
        <v>90</v>
      </c>
      <c r="B238" s="12"/>
      <c r="C238" s="24" t="s">
        <v>209</v>
      </c>
      <c r="D238" s="25" t="s">
        <v>379</v>
      </c>
      <c r="E238" s="20">
        <v>10.6</v>
      </c>
      <c r="F238" s="20">
        <v>10.6</v>
      </c>
      <c r="G238" s="20"/>
      <c r="H238" s="36"/>
      <c r="I238" s="17"/>
      <c r="J238" s="17"/>
      <c r="K238" s="17"/>
    </row>
    <row r="239" spans="1:11" ht="12.6" customHeight="1" x14ac:dyDescent="0.2">
      <c r="A239" s="14">
        <v>91</v>
      </c>
      <c r="B239" s="12"/>
      <c r="C239" s="24" t="s">
        <v>210</v>
      </c>
      <c r="D239" s="25" t="s">
        <v>379</v>
      </c>
      <c r="E239" s="20">
        <f>9.2+0.6</f>
        <v>9.7999999999999989</v>
      </c>
      <c r="F239" s="20">
        <v>9.8000000000000007</v>
      </c>
      <c r="G239" s="20"/>
      <c r="H239" s="36"/>
      <c r="I239" s="17"/>
      <c r="J239" s="17"/>
      <c r="K239" s="17"/>
    </row>
    <row r="240" spans="1:11" ht="12.6" customHeight="1" x14ac:dyDescent="0.2">
      <c r="A240" s="14">
        <v>92</v>
      </c>
      <c r="B240" s="18"/>
      <c r="C240" s="24" t="s">
        <v>211</v>
      </c>
      <c r="D240" s="25" t="s">
        <v>379</v>
      </c>
      <c r="E240" s="20">
        <v>18.899999999999999</v>
      </c>
      <c r="F240" s="20">
        <v>17.100000000000001</v>
      </c>
      <c r="G240" s="20"/>
      <c r="H240" s="36"/>
      <c r="I240" s="17"/>
      <c r="J240" s="17"/>
      <c r="K240" s="17"/>
    </row>
    <row r="241" spans="1:13" ht="27" customHeight="1" x14ac:dyDescent="0.2">
      <c r="A241" s="14">
        <v>93</v>
      </c>
      <c r="B241" s="12" t="s">
        <v>403</v>
      </c>
      <c r="C241" s="52" t="s">
        <v>404</v>
      </c>
      <c r="D241" s="13"/>
      <c r="E241" s="53">
        <f>+E255+E256+E258+E257+E254+E259+E260+E262+E261+E263+E264+E242</f>
        <v>5396.5</v>
      </c>
      <c r="F241" s="53">
        <f>+F255+F256+F258+F257+F254+F259+F260+F262+F261+F263+F264+F242</f>
        <v>4987.2000000000007</v>
      </c>
      <c r="G241" s="53">
        <f>+G255+G256+G258+G257+G254+G259+G260+G262+G261+G263+G264+G242</f>
        <v>828.50000000000011</v>
      </c>
      <c r="H241" s="53">
        <f>+H255+H256+H258+H257+H254+H259+H260+H262+H261+H263+H264+H242</f>
        <v>827.3</v>
      </c>
      <c r="I241" s="17"/>
      <c r="J241" s="17"/>
      <c r="K241" s="17"/>
      <c r="M241" s="54"/>
    </row>
    <row r="242" spans="1:13" ht="12.6" customHeight="1" x14ac:dyDescent="0.2">
      <c r="A242" s="14">
        <v>94</v>
      </c>
      <c r="B242" s="18"/>
      <c r="C242" s="66" t="s">
        <v>54</v>
      </c>
      <c r="D242" s="39"/>
      <c r="E242" s="29">
        <f>+E243+E244+E245+E246+E247+E248+E249+E250</f>
        <v>2695</v>
      </c>
      <c r="F242" s="29">
        <f>+F243+F244+F245+F246+F247+F248+F249+F250</f>
        <v>2404.4</v>
      </c>
      <c r="G242" s="20">
        <f>+G243+G244+G245+G246+G247+G248+G249+G250</f>
        <v>0</v>
      </c>
      <c r="H242" s="20">
        <f>+H243+H244+H245+H246+H247+H248+H249+H250</f>
        <v>0</v>
      </c>
      <c r="I242" s="17"/>
      <c r="J242" s="17"/>
      <c r="K242" s="17"/>
    </row>
    <row r="243" spans="1:13" ht="12.6" customHeight="1" x14ac:dyDescent="0.2">
      <c r="A243" s="41" t="s">
        <v>405</v>
      </c>
      <c r="B243" s="18"/>
      <c r="C243" s="89" t="s">
        <v>56</v>
      </c>
      <c r="D243" s="18" t="s">
        <v>406</v>
      </c>
      <c r="E243" s="20">
        <f>22.5+20</f>
        <v>42.5</v>
      </c>
      <c r="F243" s="20">
        <v>15.5</v>
      </c>
      <c r="G243" s="20"/>
      <c r="H243" s="36"/>
      <c r="I243" s="17"/>
      <c r="J243" s="17"/>
      <c r="K243" s="17"/>
    </row>
    <row r="244" spans="1:13" ht="27" customHeight="1" x14ac:dyDescent="0.2">
      <c r="A244" s="41" t="s">
        <v>407</v>
      </c>
      <c r="B244" s="18"/>
      <c r="C244" s="59" t="s">
        <v>135</v>
      </c>
      <c r="D244" s="90" t="s">
        <v>408</v>
      </c>
      <c r="E244" s="29">
        <v>368.2</v>
      </c>
      <c r="F244" s="29">
        <v>331.2</v>
      </c>
      <c r="G244" s="20"/>
      <c r="H244" s="36"/>
      <c r="I244" s="17"/>
      <c r="J244" s="17"/>
    </row>
    <row r="245" spans="1:13" ht="12.6" customHeight="1" x14ac:dyDescent="0.2">
      <c r="A245" s="41" t="s">
        <v>409</v>
      </c>
      <c r="B245" s="18"/>
      <c r="C245" s="59" t="s">
        <v>410</v>
      </c>
      <c r="D245" s="90" t="s">
        <v>411</v>
      </c>
      <c r="E245" s="29">
        <v>1720</v>
      </c>
      <c r="F245" s="29">
        <v>1699.3</v>
      </c>
      <c r="G245" s="20"/>
      <c r="H245" s="36"/>
      <c r="I245" s="17"/>
      <c r="J245" s="17"/>
    </row>
    <row r="246" spans="1:13" ht="12.6" customHeight="1" x14ac:dyDescent="0.2">
      <c r="A246" s="41" t="s">
        <v>412</v>
      </c>
      <c r="B246" s="18"/>
      <c r="C246" s="75" t="s">
        <v>413</v>
      </c>
      <c r="D246" s="91" t="s">
        <v>411</v>
      </c>
      <c r="E246" s="29">
        <f>100-21+12</f>
        <v>91</v>
      </c>
      <c r="F246" s="29">
        <v>89.1</v>
      </c>
      <c r="G246" s="29"/>
      <c r="H246" s="36"/>
      <c r="I246" s="17"/>
      <c r="J246" s="17"/>
      <c r="K246" s="17"/>
    </row>
    <row r="247" spans="1:13" ht="25.5" x14ac:dyDescent="0.2">
      <c r="A247" s="41" t="s">
        <v>414</v>
      </c>
      <c r="B247" s="18"/>
      <c r="C247" s="59" t="s">
        <v>415</v>
      </c>
      <c r="D247" s="90" t="s">
        <v>411</v>
      </c>
      <c r="E247" s="20">
        <v>27</v>
      </c>
      <c r="F247" s="20">
        <v>0</v>
      </c>
      <c r="G247" s="20"/>
      <c r="H247" s="36"/>
      <c r="I247" s="17"/>
      <c r="J247" s="17"/>
      <c r="K247" s="17"/>
    </row>
    <row r="248" spans="1:13" ht="12.6" customHeight="1" x14ac:dyDescent="0.2">
      <c r="A248" s="41" t="s">
        <v>416</v>
      </c>
      <c r="B248" s="18"/>
      <c r="C248" s="59" t="s">
        <v>417</v>
      </c>
      <c r="D248" s="90" t="s">
        <v>411</v>
      </c>
      <c r="E248" s="20">
        <v>37</v>
      </c>
      <c r="F248" s="20">
        <v>0</v>
      </c>
      <c r="G248" s="20"/>
      <c r="H248" s="36"/>
      <c r="I248" s="17"/>
      <c r="J248" s="17"/>
      <c r="K248" s="17"/>
    </row>
    <row r="249" spans="1:13" ht="25.5" x14ac:dyDescent="0.2">
      <c r="A249" s="41" t="s">
        <v>418</v>
      </c>
      <c r="B249" s="18"/>
      <c r="C249" s="59" t="s">
        <v>419</v>
      </c>
      <c r="D249" s="90" t="s">
        <v>411</v>
      </c>
      <c r="E249" s="20">
        <v>53</v>
      </c>
      <c r="F249" s="20">
        <v>0</v>
      </c>
      <c r="G249" s="20"/>
      <c r="H249" s="36"/>
      <c r="I249" s="17"/>
      <c r="J249" s="17"/>
      <c r="K249" s="17"/>
    </row>
    <row r="250" spans="1:13" ht="40.5" x14ac:dyDescent="0.2">
      <c r="A250" s="41" t="s">
        <v>420</v>
      </c>
      <c r="B250" s="18"/>
      <c r="C250" s="44" t="s">
        <v>68</v>
      </c>
      <c r="D250" s="12"/>
      <c r="E250" s="239">
        <f>+E251+E252+E253</f>
        <v>356.3</v>
      </c>
      <c r="F250" s="239">
        <f>+F251+F252+F253</f>
        <v>269.3</v>
      </c>
      <c r="G250" s="239">
        <f>+G251+G252+G253</f>
        <v>0</v>
      </c>
      <c r="H250" s="239">
        <f>+H251+H252+H253</f>
        <v>0</v>
      </c>
      <c r="I250" s="17"/>
      <c r="J250" s="17"/>
      <c r="K250" s="17"/>
    </row>
    <row r="251" spans="1:13" ht="12.6" customHeight="1" x14ac:dyDescent="0.2">
      <c r="A251" s="41" t="s">
        <v>421</v>
      </c>
      <c r="B251" s="18"/>
      <c r="C251" s="47" t="s">
        <v>422</v>
      </c>
      <c r="D251" s="18" t="s">
        <v>266</v>
      </c>
      <c r="E251" s="29">
        <f>100+130</f>
        <v>230</v>
      </c>
      <c r="F251" s="29">
        <v>229.7</v>
      </c>
      <c r="G251" s="45"/>
      <c r="H251" s="36"/>
      <c r="I251" s="17"/>
      <c r="J251" s="17"/>
      <c r="K251" s="17"/>
    </row>
    <row r="252" spans="1:13" ht="25.5" x14ac:dyDescent="0.2">
      <c r="A252" s="41" t="s">
        <v>423</v>
      </c>
      <c r="B252" s="18"/>
      <c r="C252" s="48" t="s">
        <v>424</v>
      </c>
      <c r="D252" s="90" t="s">
        <v>411</v>
      </c>
      <c r="E252" s="51">
        <f>74.3+151-120</f>
        <v>105.30000000000001</v>
      </c>
      <c r="F252" s="51">
        <v>32.5</v>
      </c>
      <c r="G252" s="20"/>
      <c r="H252" s="36"/>
      <c r="I252" s="17"/>
      <c r="J252" s="17"/>
      <c r="K252" s="17"/>
    </row>
    <row r="253" spans="1:13" ht="38.25" x14ac:dyDescent="0.2">
      <c r="A253" s="41" t="s">
        <v>425</v>
      </c>
      <c r="B253" s="18"/>
      <c r="C253" s="48" t="s">
        <v>426</v>
      </c>
      <c r="D253" s="18" t="s">
        <v>406</v>
      </c>
      <c r="E253" s="51">
        <v>21</v>
      </c>
      <c r="F253" s="51">
        <v>7.1</v>
      </c>
      <c r="G253" s="20"/>
      <c r="H253" s="36"/>
      <c r="I253" s="17"/>
      <c r="J253" s="17"/>
      <c r="K253" s="17"/>
    </row>
    <row r="254" spans="1:13" ht="38.25" x14ac:dyDescent="0.2">
      <c r="A254" s="14">
        <v>95</v>
      </c>
      <c r="B254" s="18"/>
      <c r="C254" s="46" t="s">
        <v>199</v>
      </c>
      <c r="D254" s="69" t="s">
        <v>427</v>
      </c>
      <c r="E254" s="20">
        <f>1381.5+70+10+5+12.1+76.9+6.7+5.7</f>
        <v>1567.9</v>
      </c>
      <c r="F254" s="20">
        <v>1456.1</v>
      </c>
      <c r="G254" s="20">
        <f>161.8+14.4</f>
        <v>176.20000000000002</v>
      </c>
      <c r="H254" s="57">
        <v>175.9</v>
      </c>
      <c r="I254" s="17"/>
      <c r="J254" s="17"/>
      <c r="K254" s="17"/>
    </row>
    <row r="255" spans="1:13" ht="25.5" x14ac:dyDescent="0.2">
      <c r="A255" s="14">
        <v>96</v>
      </c>
      <c r="B255" s="18"/>
      <c r="C255" s="24" t="s">
        <v>201</v>
      </c>
      <c r="D255" s="69" t="s">
        <v>428</v>
      </c>
      <c r="E255" s="20">
        <f>142.7+4.5+1.8+2.7</f>
        <v>151.69999999999999</v>
      </c>
      <c r="F255" s="20">
        <v>151.5</v>
      </c>
      <c r="G255" s="20">
        <f>85.7+2.7</f>
        <v>88.4</v>
      </c>
      <c r="H255" s="57">
        <v>88.4</v>
      </c>
      <c r="I255" s="17"/>
      <c r="J255" s="17"/>
      <c r="K255" s="17"/>
    </row>
    <row r="256" spans="1:13" ht="12.6" customHeight="1" x14ac:dyDescent="0.2">
      <c r="A256" s="14">
        <v>97</v>
      </c>
      <c r="B256" s="18"/>
      <c r="C256" s="24" t="s">
        <v>203</v>
      </c>
      <c r="D256" s="69" t="s">
        <v>411</v>
      </c>
      <c r="E256" s="20">
        <f>117.7+10+2.4+17+12.4-17+3</f>
        <v>145.5</v>
      </c>
      <c r="F256" s="20">
        <v>145.4</v>
      </c>
      <c r="G256" s="20">
        <f>76.3+13.9</f>
        <v>90.2</v>
      </c>
      <c r="H256" s="57">
        <v>90.2</v>
      </c>
      <c r="I256" s="17"/>
      <c r="J256" s="17"/>
      <c r="K256" s="17"/>
    </row>
    <row r="257" spans="1:16" ht="24.95" customHeight="1" x14ac:dyDescent="0.2">
      <c r="A257" s="14">
        <v>98</v>
      </c>
      <c r="B257" s="18"/>
      <c r="C257" s="72" t="s">
        <v>204</v>
      </c>
      <c r="D257" s="92" t="s">
        <v>428</v>
      </c>
      <c r="E257" s="29">
        <f>94.6+3.3+2-0.4</f>
        <v>99.499999999999986</v>
      </c>
      <c r="F257" s="29">
        <f>99.2+0.1</f>
        <v>99.3</v>
      </c>
      <c r="G257" s="29">
        <f>58.4-12.5-0.4</f>
        <v>45.5</v>
      </c>
      <c r="H257" s="57">
        <v>45.4</v>
      </c>
      <c r="I257" s="17"/>
      <c r="J257" s="17"/>
      <c r="K257" s="17"/>
    </row>
    <row r="258" spans="1:16" ht="24.95" customHeight="1" x14ac:dyDescent="0.2">
      <c r="A258" s="14">
        <v>99</v>
      </c>
      <c r="B258" s="18"/>
      <c r="C258" s="70" t="s">
        <v>205</v>
      </c>
      <c r="D258" s="92" t="s">
        <v>428</v>
      </c>
      <c r="E258" s="29">
        <f>109.5+0.7+3.6+1.5</f>
        <v>115.3</v>
      </c>
      <c r="F258" s="29">
        <v>115.1</v>
      </c>
      <c r="G258" s="29">
        <f>66.6+0.7-10.7</f>
        <v>56.599999999999994</v>
      </c>
      <c r="H258" s="68">
        <f>56.6-0.1</f>
        <v>56.5</v>
      </c>
      <c r="J258" s="17"/>
      <c r="K258" s="17"/>
      <c r="P258" s="17"/>
    </row>
    <row r="259" spans="1:16" ht="12.6" customHeight="1" x14ac:dyDescent="0.2">
      <c r="A259" s="14">
        <v>100</v>
      </c>
      <c r="B259" s="18"/>
      <c r="C259" s="72" t="s">
        <v>206</v>
      </c>
      <c r="D259" s="92" t="s">
        <v>429</v>
      </c>
      <c r="E259" s="29">
        <f>83.8+2.6+3.1+3.5+1.5</f>
        <v>94.499999999999986</v>
      </c>
      <c r="F259" s="29">
        <v>94.3</v>
      </c>
      <c r="G259" s="29">
        <f>54.2-5.2</f>
        <v>49</v>
      </c>
      <c r="H259" s="57">
        <v>48.9</v>
      </c>
      <c r="I259" s="17"/>
      <c r="J259" s="17"/>
      <c r="K259" s="17"/>
      <c r="P259" s="17"/>
    </row>
    <row r="260" spans="1:16" ht="24.95" customHeight="1" x14ac:dyDescent="0.2">
      <c r="A260" s="14">
        <v>101</v>
      </c>
      <c r="B260" s="18"/>
      <c r="C260" s="73" t="s">
        <v>207</v>
      </c>
      <c r="D260" s="69" t="s">
        <v>428</v>
      </c>
      <c r="E260" s="20">
        <f>90.4+1.7</f>
        <v>92.100000000000009</v>
      </c>
      <c r="F260" s="20">
        <v>91.8</v>
      </c>
      <c r="G260" s="20">
        <f>66.1-8.9</f>
        <v>57.199999999999996</v>
      </c>
      <c r="H260" s="57">
        <v>57.2</v>
      </c>
      <c r="I260" s="17"/>
      <c r="J260" s="17"/>
      <c r="K260" s="17"/>
    </row>
    <row r="261" spans="1:16" ht="24.95" customHeight="1" x14ac:dyDescent="0.2">
      <c r="A261" s="14">
        <v>102</v>
      </c>
      <c r="B261" s="18"/>
      <c r="C261" s="24" t="s">
        <v>208</v>
      </c>
      <c r="D261" s="69" t="s">
        <v>428</v>
      </c>
      <c r="E261" s="20">
        <f>56.3+1.9-0.8</f>
        <v>57.4</v>
      </c>
      <c r="F261" s="20">
        <v>57.2</v>
      </c>
      <c r="G261" s="20">
        <f>35.6-0.8</f>
        <v>34.800000000000004</v>
      </c>
      <c r="H261" s="57">
        <v>34.799999999999997</v>
      </c>
      <c r="I261" s="17"/>
      <c r="J261" s="17"/>
      <c r="K261" s="17"/>
    </row>
    <row r="262" spans="1:16" ht="29.25" customHeight="1" x14ac:dyDescent="0.2">
      <c r="A262" s="14">
        <v>103</v>
      </c>
      <c r="B262" s="18"/>
      <c r="C262" s="46" t="s">
        <v>209</v>
      </c>
      <c r="D262" s="69" t="s">
        <v>428</v>
      </c>
      <c r="E262" s="20">
        <f>83+2.1-1.2</f>
        <v>83.899999999999991</v>
      </c>
      <c r="F262" s="20">
        <v>79.5</v>
      </c>
      <c r="G262" s="20">
        <f>52-1.2</f>
        <v>50.8</v>
      </c>
      <c r="H262" s="57">
        <v>50.5</v>
      </c>
      <c r="I262" s="17"/>
      <c r="J262" s="17"/>
      <c r="K262" s="17"/>
    </row>
    <row r="263" spans="1:16" ht="27" customHeight="1" x14ac:dyDescent="0.2">
      <c r="A263" s="14">
        <v>104</v>
      </c>
      <c r="B263" s="18"/>
      <c r="C263" s="24" t="s">
        <v>210</v>
      </c>
      <c r="D263" s="69" t="s">
        <v>428</v>
      </c>
      <c r="E263" s="20">
        <f>83.1+2.6</f>
        <v>85.699999999999989</v>
      </c>
      <c r="F263" s="20">
        <v>85.3</v>
      </c>
      <c r="G263" s="20">
        <f>48.3+3.8</f>
        <v>52.099999999999994</v>
      </c>
      <c r="H263" s="57">
        <v>52.1</v>
      </c>
      <c r="I263" s="17"/>
      <c r="J263" s="17"/>
      <c r="K263" s="17"/>
    </row>
    <row r="264" spans="1:16" ht="24.95" customHeight="1" x14ac:dyDescent="0.2">
      <c r="A264" s="14">
        <v>105</v>
      </c>
      <c r="B264" s="18"/>
      <c r="C264" s="24" t="s">
        <v>211</v>
      </c>
      <c r="D264" s="69" t="s">
        <v>428</v>
      </c>
      <c r="E264" s="20">
        <f>198.9+4.3+10.1-6.6+1.3</f>
        <v>208.00000000000003</v>
      </c>
      <c r="F264" s="20">
        <v>207.3</v>
      </c>
      <c r="G264" s="20">
        <f>134.3-6.6</f>
        <v>127.70000000000002</v>
      </c>
      <c r="H264" s="57">
        <v>127.4</v>
      </c>
      <c r="I264" s="17"/>
      <c r="J264" s="17"/>
      <c r="K264" s="17"/>
    </row>
    <row r="265" spans="1:16" x14ac:dyDescent="0.2">
      <c r="A265" s="14">
        <v>106</v>
      </c>
      <c r="B265" s="12" t="s">
        <v>87</v>
      </c>
      <c r="C265" s="52" t="s">
        <v>430</v>
      </c>
      <c r="D265" s="69"/>
      <c r="E265" s="53">
        <f>+E266</f>
        <v>142</v>
      </c>
      <c r="F265" s="53">
        <f>+F266</f>
        <v>141.80000000000001</v>
      </c>
      <c r="G265" s="53">
        <f>+G266</f>
        <v>0</v>
      </c>
      <c r="H265" s="53">
        <f>+H266</f>
        <v>0</v>
      </c>
      <c r="I265" s="17"/>
      <c r="J265" s="17"/>
      <c r="K265" s="17"/>
    </row>
    <row r="266" spans="1:16" ht="12.6" customHeight="1" x14ac:dyDescent="0.2">
      <c r="A266" s="14">
        <v>107</v>
      </c>
      <c r="B266" s="12"/>
      <c r="C266" s="66" t="s">
        <v>431</v>
      </c>
      <c r="D266" s="92"/>
      <c r="E266" s="29">
        <f>+E268+E267</f>
        <v>142</v>
      </c>
      <c r="F266" s="29">
        <v>141.80000000000001</v>
      </c>
      <c r="G266" s="20">
        <f>+G268+G267</f>
        <v>0</v>
      </c>
      <c r="H266" s="20">
        <f>+H268+H267</f>
        <v>0</v>
      </c>
      <c r="I266" s="17"/>
      <c r="J266" s="17"/>
      <c r="K266" s="17"/>
    </row>
    <row r="267" spans="1:16" ht="12.6" customHeight="1" x14ac:dyDescent="0.2">
      <c r="A267" s="14" t="s">
        <v>432</v>
      </c>
      <c r="B267" s="12"/>
      <c r="C267" s="73" t="s">
        <v>433</v>
      </c>
      <c r="D267" s="69"/>
      <c r="E267" s="20">
        <v>3</v>
      </c>
      <c r="F267" s="20">
        <v>3</v>
      </c>
      <c r="G267" s="20"/>
      <c r="H267" s="36"/>
      <c r="I267" s="17"/>
      <c r="J267" s="17"/>
      <c r="K267" s="17"/>
    </row>
    <row r="268" spans="1:16" ht="40.5" x14ac:dyDescent="0.2">
      <c r="A268" s="41" t="s">
        <v>434</v>
      </c>
      <c r="B268" s="18"/>
      <c r="C268" s="44" t="s">
        <v>68</v>
      </c>
      <c r="D268" s="93"/>
      <c r="E268" s="239">
        <f>+E269+E270</f>
        <v>139</v>
      </c>
      <c r="F268" s="239">
        <f>+F269+F270</f>
        <v>138.80000000000001</v>
      </c>
      <c r="G268" s="239">
        <f>+G269+G270</f>
        <v>0</v>
      </c>
      <c r="H268" s="239">
        <f>+H269+H270</f>
        <v>0</v>
      </c>
      <c r="I268" s="17"/>
      <c r="J268" s="17"/>
      <c r="K268" s="17"/>
    </row>
    <row r="269" spans="1:16" ht="25.5" x14ac:dyDescent="0.2">
      <c r="A269" s="83" t="s">
        <v>435</v>
      </c>
      <c r="B269" s="18"/>
      <c r="C269" s="24" t="s">
        <v>436</v>
      </c>
      <c r="D269" s="69" t="s">
        <v>366</v>
      </c>
      <c r="E269" s="29">
        <f>40+20+40+25</f>
        <v>125</v>
      </c>
      <c r="F269" s="29">
        <v>125</v>
      </c>
      <c r="G269" s="20"/>
      <c r="H269" s="36"/>
      <c r="I269" s="17"/>
      <c r="J269" s="17"/>
      <c r="K269" s="17"/>
      <c r="P269" s="17"/>
    </row>
    <row r="270" spans="1:16" ht="15" customHeight="1" x14ac:dyDescent="0.2">
      <c r="A270" s="83" t="s">
        <v>437</v>
      </c>
      <c r="B270" s="18"/>
      <c r="C270" s="24" t="s">
        <v>438</v>
      </c>
      <c r="D270" s="25" t="s">
        <v>439</v>
      </c>
      <c r="E270" s="29">
        <f>10+4</f>
        <v>14</v>
      </c>
      <c r="F270" s="29">
        <v>13.8</v>
      </c>
      <c r="G270" s="20"/>
      <c r="H270" s="36"/>
      <c r="I270" s="17"/>
      <c r="J270" s="17"/>
      <c r="K270" s="17"/>
      <c r="N270" s="94"/>
    </row>
    <row r="271" spans="1:16" ht="17.25" customHeight="1" x14ac:dyDescent="0.2">
      <c r="A271" s="14">
        <v>108</v>
      </c>
      <c r="B271" s="12" t="s">
        <v>440</v>
      </c>
      <c r="C271" s="52" t="s">
        <v>441</v>
      </c>
      <c r="D271" s="13"/>
      <c r="E271" s="53">
        <f>+E272</f>
        <v>109</v>
      </c>
      <c r="F271" s="53">
        <f>+F272</f>
        <v>79.900000000000006</v>
      </c>
      <c r="G271" s="53">
        <f>+G272</f>
        <v>0</v>
      </c>
      <c r="H271" s="53">
        <f>+H272</f>
        <v>0</v>
      </c>
      <c r="I271" s="17"/>
      <c r="J271" s="17"/>
      <c r="K271" s="17"/>
    </row>
    <row r="272" spans="1:16" ht="15.75" customHeight="1" x14ac:dyDescent="0.2">
      <c r="A272" s="14">
        <v>109</v>
      </c>
      <c r="B272" s="12"/>
      <c r="C272" s="66" t="s">
        <v>54</v>
      </c>
      <c r="D272" s="161"/>
      <c r="E272" s="29">
        <f>+E274+E275+E273</f>
        <v>109</v>
      </c>
      <c r="F272" s="29">
        <f>+F274+F275+F273</f>
        <v>79.900000000000006</v>
      </c>
      <c r="G272" s="20">
        <f>+G274+G275+G273</f>
        <v>0</v>
      </c>
      <c r="H272" s="20">
        <f>+H274+H275+H273</f>
        <v>0</v>
      </c>
      <c r="I272" s="17"/>
      <c r="J272" s="17"/>
      <c r="K272" s="17"/>
    </row>
    <row r="273" spans="1:16" ht="13.5" customHeight="1" x14ac:dyDescent="0.2">
      <c r="A273" s="83" t="s">
        <v>442</v>
      </c>
      <c r="B273" s="12"/>
      <c r="C273" s="46" t="s">
        <v>433</v>
      </c>
      <c r="D273" s="25" t="s">
        <v>443</v>
      </c>
      <c r="E273" s="20">
        <v>3</v>
      </c>
      <c r="F273" s="20">
        <v>0</v>
      </c>
      <c r="G273" s="20"/>
      <c r="H273" s="36"/>
      <c r="I273" s="17"/>
      <c r="J273" s="17"/>
      <c r="K273" s="17"/>
    </row>
    <row r="274" spans="1:16" ht="25.5" x14ac:dyDescent="0.2">
      <c r="A274" s="83" t="s">
        <v>444</v>
      </c>
      <c r="B274" s="18"/>
      <c r="C274" s="46" t="s">
        <v>445</v>
      </c>
      <c r="D274" s="25" t="s">
        <v>446</v>
      </c>
      <c r="E274" s="29">
        <v>36</v>
      </c>
      <c r="F274" s="29">
        <v>36</v>
      </c>
      <c r="G274" s="20"/>
      <c r="H274" s="36"/>
      <c r="I274" s="17"/>
      <c r="J274" s="17"/>
      <c r="K274" s="17"/>
    </row>
    <row r="275" spans="1:16" ht="38.25" x14ac:dyDescent="0.2">
      <c r="A275" s="83" t="s">
        <v>447</v>
      </c>
      <c r="B275" s="18"/>
      <c r="C275" s="46" t="s">
        <v>448</v>
      </c>
      <c r="D275" s="25" t="s">
        <v>446</v>
      </c>
      <c r="E275" s="29">
        <v>70</v>
      </c>
      <c r="F275" s="29">
        <v>43.9</v>
      </c>
      <c r="G275" s="20"/>
      <c r="H275" s="36"/>
      <c r="I275" s="17"/>
      <c r="J275" s="17"/>
      <c r="K275" s="17"/>
    </row>
    <row r="276" spans="1:16" x14ac:dyDescent="0.2">
      <c r="A276" s="14">
        <v>110</v>
      </c>
      <c r="B276" s="12" t="s">
        <v>449</v>
      </c>
      <c r="C276" s="52" t="s">
        <v>450</v>
      </c>
      <c r="D276" s="13"/>
      <c r="E276" s="53">
        <f>+E277+E278+E279+E289+E291+E293+E294+E296+E298+E300+E301+E303+E304+E306</f>
        <v>7197.0000000000018</v>
      </c>
      <c r="F276" s="53">
        <f>+F277+F278+F279+F289+F291+F293+F294+F296+F298+F300+F301+F303+F304+F306</f>
        <v>7058.5000000000009</v>
      </c>
      <c r="G276" s="53">
        <f>+G277+G278+G279+G289+G291+G293+G294+G296+G298+G300+G301+G303+G304+G306</f>
        <v>3945.6000000000008</v>
      </c>
      <c r="H276" s="53">
        <f>+H277+H278+H279+H289+H291+H293+H294+H296+H298+H300+H301+H303+H304+H306</f>
        <v>3913.4</v>
      </c>
      <c r="I276" s="17"/>
      <c r="J276" s="17"/>
      <c r="K276" s="17"/>
      <c r="M276" s="54"/>
    </row>
    <row r="277" spans="1:16" x14ac:dyDescent="0.2">
      <c r="A277" s="14">
        <v>111</v>
      </c>
      <c r="B277" s="12"/>
      <c r="C277" s="24" t="s">
        <v>451</v>
      </c>
      <c r="D277" s="25" t="s">
        <v>452</v>
      </c>
      <c r="E277" s="20">
        <f>78.6+0.4</f>
        <v>79</v>
      </c>
      <c r="F277" s="20">
        <v>79</v>
      </c>
      <c r="G277" s="20">
        <v>11.9</v>
      </c>
      <c r="H277" s="36">
        <v>11.9</v>
      </c>
      <c r="I277" s="17"/>
      <c r="J277" s="17"/>
      <c r="K277" s="17"/>
    </row>
    <row r="278" spans="1:16" x14ac:dyDescent="0.2">
      <c r="A278" s="14">
        <v>112</v>
      </c>
      <c r="B278" s="12"/>
      <c r="C278" s="73" t="s">
        <v>453</v>
      </c>
      <c r="D278" s="25" t="s">
        <v>454</v>
      </c>
      <c r="E278" s="20">
        <f>153.5+0.6</f>
        <v>154.1</v>
      </c>
      <c r="F278" s="20">
        <v>154.1</v>
      </c>
      <c r="G278" s="20">
        <f>140.8+1</f>
        <v>141.80000000000001</v>
      </c>
      <c r="H278" s="36">
        <v>141.80000000000001</v>
      </c>
      <c r="I278" s="17"/>
      <c r="J278" s="17"/>
      <c r="K278" s="17"/>
    </row>
    <row r="279" spans="1:16" x14ac:dyDescent="0.2">
      <c r="A279" s="14">
        <v>113</v>
      </c>
      <c r="B279" s="12"/>
      <c r="C279" s="66" t="s">
        <v>54</v>
      </c>
      <c r="D279" s="39"/>
      <c r="E279" s="29">
        <f>+E280+E281+E282+E283+E284+E285+E286+E287+E288</f>
        <v>5736.8000000000011</v>
      </c>
      <c r="F279" s="29">
        <f>+F280+F281+F282+F283+F284+F285+F286+F287+F288</f>
        <v>5620.9000000000005</v>
      </c>
      <c r="G279" s="29">
        <f>+G280+G281+G282+G283+G284+G285+G286+G287+G288</f>
        <v>2958.6000000000004</v>
      </c>
      <c r="H279" s="29">
        <f>+H280+H281+H282+H283+H284+H285+H286+H287+H288</f>
        <v>2934.2</v>
      </c>
      <c r="I279" s="17"/>
      <c r="J279" s="17"/>
      <c r="K279" s="17"/>
    </row>
    <row r="280" spans="1:16" ht="89.25" x14ac:dyDescent="0.2">
      <c r="A280" s="83" t="s">
        <v>455</v>
      </c>
      <c r="B280" s="12"/>
      <c r="C280" s="66" t="s">
        <v>433</v>
      </c>
      <c r="D280" s="39" t="s">
        <v>456</v>
      </c>
      <c r="E280" s="29">
        <f>4718.8-18.5-18.3-10-3-74.5+1.1+23+9.6+81.2-98.8-13.7-0.5-5</f>
        <v>4591.4000000000005</v>
      </c>
      <c r="F280" s="29">
        <v>4537.5</v>
      </c>
      <c r="G280" s="29">
        <f>2872.3-18.2-18+9.5+113</f>
        <v>2958.6000000000004</v>
      </c>
      <c r="H280" s="68">
        <v>2934.2</v>
      </c>
      <c r="I280" s="17"/>
      <c r="J280" s="17"/>
      <c r="K280" s="17"/>
    </row>
    <row r="281" spans="1:16" ht="25.5" x14ac:dyDescent="0.2">
      <c r="A281" s="83" t="s">
        <v>457</v>
      </c>
      <c r="B281" s="18"/>
      <c r="C281" s="46" t="s">
        <v>458</v>
      </c>
      <c r="D281" s="25" t="s">
        <v>459</v>
      </c>
      <c r="E281" s="20">
        <v>55</v>
      </c>
      <c r="F281" s="20">
        <v>6.5</v>
      </c>
      <c r="G281" s="20"/>
      <c r="H281" s="57"/>
      <c r="I281" s="17"/>
      <c r="J281" s="17"/>
      <c r="K281" s="17"/>
    </row>
    <row r="282" spans="1:16" ht="12.6" customHeight="1" x14ac:dyDescent="0.2">
      <c r="A282" s="83" t="s">
        <v>460</v>
      </c>
      <c r="B282" s="18"/>
      <c r="C282" s="46" t="s">
        <v>461</v>
      </c>
      <c r="D282" s="25" t="s">
        <v>331</v>
      </c>
      <c r="E282" s="20">
        <v>30</v>
      </c>
      <c r="F282" s="20">
        <v>28.4</v>
      </c>
      <c r="G282" s="20"/>
      <c r="H282" s="57"/>
      <c r="I282" s="17"/>
      <c r="J282" s="17"/>
      <c r="K282" s="17"/>
    </row>
    <row r="283" spans="1:16" x14ac:dyDescent="0.2">
      <c r="A283" s="83" t="s">
        <v>462</v>
      </c>
      <c r="B283" s="18"/>
      <c r="C283" s="46" t="s">
        <v>463</v>
      </c>
      <c r="D283" s="25" t="s">
        <v>464</v>
      </c>
      <c r="E283" s="20">
        <f>800+100.3</f>
        <v>900.3</v>
      </c>
      <c r="F283" s="20">
        <v>900.3</v>
      </c>
      <c r="G283" s="20"/>
      <c r="H283" s="57"/>
      <c r="I283" s="17"/>
      <c r="J283" s="17"/>
      <c r="K283" s="17"/>
    </row>
    <row r="284" spans="1:16" x14ac:dyDescent="0.2">
      <c r="A284" s="83" t="s">
        <v>465</v>
      </c>
      <c r="B284" s="18"/>
      <c r="C284" s="46" t="s">
        <v>466</v>
      </c>
      <c r="D284" s="25" t="s">
        <v>331</v>
      </c>
      <c r="E284" s="20">
        <v>15</v>
      </c>
      <c r="F284" s="20">
        <v>15</v>
      </c>
      <c r="G284" s="20"/>
      <c r="H284" s="57"/>
      <c r="I284" s="17"/>
      <c r="J284" s="17"/>
      <c r="K284" s="17"/>
    </row>
    <row r="285" spans="1:16" ht="25.5" x14ac:dyDescent="0.2">
      <c r="A285" s="83" t="s">
        <v>467</v>
      </c>
      <c r="B285" s="18"/>
      <c r="C285" s="46" t="s">
        <v>468</v>
      </c>
      <c r="D285" s="25" t="s">
        <v>469</v>
      </c>
      <c r="E285" s="20">
        <f>25-23</f>
        <v>2</v>
      </c>
      <c r="F285" s="20">
        <v>2</v>
      </c>
      <c r="G285" s="20"/>
      <c r="H285" s="57"/>
      <c r="I285" s="17"/>
      <c r="J285" s="17"/>
      <c r="K285" s="17"/>
      <c r="P285" s="17"/>
    </row>
    <row r="286" spans="1:16" ht="12.6" customHeight="1" x14ac:dyDescent="0.2">
      <c r="A286" s="83" t="s">
        <v>470</v>
      </c>
      <c r="B286" s="18"/>
      <c r="C286" s="46" t="s">
        <v>471</v>
      </c>
      <c r="D286" s="25" t="s">
        <v>472</v>
      </c>
      <c r="E286" s="20">
        <v>95</v>
      </c>
      <c r="F286" s="29">
        <f>0.6+82.4+0.1</f>
        <v>83.1</v>
      </c>
      <c r="G286" s="20"/>
      <c r="H286" s="57"/>
      <c r="I286" s="17"/>
      <c r="J286" s="17"/>
      <c r="K286" s="17"/>
    </row>
    <row r="287" spans="1:16" ht="12.6" customHeight="1" x14ac:dyDescent="0.2">
      <c r="A287" s="83" t="s">
        <v>473</v>
      </c>
      <c r="B287" s="18"/>
      <c r="C287" s="46" t="s">
        <v>474</v>
      </c>
      <c r="D287" s="25" t="s">
        <v>475</v>
      </c>
      <c r="E287" s="20">
        <v>48.1</v>
      </c>
      <c r="F287" s="20">
        <v>48.1</v>
      </c>
      <c r="G287" s="20"/>
      <c r="H287" s="57"/>
      <c r="I287" s="17"/>
      <c r="J287" s="17"/>
      <c r="K287" s="17"/>
    </row>
    <row r="288" spans="1:16" ht="38.25" x14ac:dyDescent="0.2">
      <c r="A288" s="83" t="s">
        <v>476</v>
      </c>
      <c r="B288" s="33"/>
      <c r="C288" s="46" t="s">
        <v>477</v>
      </c>
      <c r="D288" s="25" t="s">
        <v>231</v>
      </c>
      <c r="E288" s="20">
        <f>295.8-20-40-235.8</f>
        <v>0</v>
      </c>
      <c r="F288" s="20">
        <v>0</v>
      </c>
      <c r="G288" s="20"/>
      <c r="H288" s="57"/>
      <c r="I288" s="17"/>
      <c r="J288" s="17"/>
      <c r="K288" s="17"/>
    </row>
    <row r="289" spans="1:15" ht="25.5" customHeight="1" x14ac:dyDescent="0.2">
      <c r="A289" s="242">
        <v>114</v>
      </c>
      <c r="B289" s="244"/>
      <c r="C289" s="24" t="s">
        <v>199</v>
      </c>
      <c r="D289" s="25" t="s">
        <v>478</v>
      </c>
      <c r="E289" s="20">
        <f>+E290+166.5+1.6+1.1</f>
        <v>188.39999999999998</v>
      </c>
      <c r="F289" s="20">
        <v>176.8</v>
      </c>
      <c r="G289" s="20">
        <f>+G290+131.9</f>
        <v>150.80000000000001</v>
      </c>
      <c r="H289" s="57">
        <v>145.4</v>
      </c>
      <c r="I289" s="17"/>
      <c r="J289" s="17"/>
      <c r="K289" s="17"/>
      <c r="L289" s="95"/>
    </row>
    <row r="290" spans="1:15" x14ac:dyDescent="0.2">
      <c r="A290" s="243"/>
      <c r="B290" s="245"/>
      <c r="C290" s="24" t="s">
        <v>479</v>
      </c>
      <c r="D290" s="25" t="s">
        <v>480</v>
      </c>
      <c r="E290" s="20">
        <v>19.2</v>
      </c>
      <c r="F290" s="20">
        <v>19.100000000000001</v>
      </c>
      <c r="G290" s="20">
        <v>18.899999999999999</v>
      </c>
      <c r="H290" s="57">
        <v>18.8</v>
      </c>
      <c r="I290" s="17"/>
      <c r="J290" s="17"/>
      <c r="K290" s="17"/>
    </row>
    <row r="291" spans="1:15" ht="25.5" x14ac:dyDescent="0.2">
      <c r="A291" s="242">
        <v>115</v>
      </c>
      <c r="B291" s="244"/>
      <c r="C291" s="24" t="s">
        <v>201</v>
      </c>
      <c r="D291" s="25" t="s">
        <v>478</v>
      </c>
      <c r="E291" s="20">
        <f>+E292+57.6+1.2+5+1.7</f>
        <v>68.7</v>
      </c>
      <c r="F291" s="20">
        <v>68.599999999999994</v>
      </c>
      <c r="G291" s="20">
        <f>+G292+47.9+1.3</f>
        <v>52.4</v>
      </c>
      <c r="H291" s="57">
        <v>52.4</v>
      </c>
      <c r="I291" s="17"/>
      <c r="J291" s="17"/>
      <c r="K291" s="17"/>
    </row>
    <row r="292" spans="1:15" x14ac:dyDescent="0.2">
      <c r="A292" s="243"/>
      <c r="B292" s="245"/>
      <c r="C292" s="24" t="s">
        <v>479</v>
      </c>
      <c r="D292" s="25" t="s">
        <v>480</v>
      </c>
      <c r="E292" s="20">
        <v>3.2</v>
      </c>
      <c r="F292" s="20">
        <v>3.2</v>
      </c>
      <c r="G292" s="20">
        <v>3.2</v>
      </c>
      <c r="H292" s="57">
        <v>3.2</v>
      </c>
      <c r="I292" s="17"/>
      <c r="J292" s="17"/>
      <c r="K292" s="17"/>
    </row>
    <row r="293" spans="1:15" ht="25.5" x14ac:dyDescent="0.2">
      <c r="A293" s="32">
        <v>116</v>
      </c>
      <c r="B293" s="33"/>
      <c r="C293" s="24" t="s">
        <v>203</v>
      </c>
      <c r="D293" s="25" t="s">
        <v>478</v>
      </c>
      <c r="E293" s="20">
        <f>104.6+3.3+5+3-10.2</f>
        <v>105.69999999999999</v>
      </c>
      <c r="F293" s="20">
        <v>105.5</v>
      </c>
      <c r="G293" s="20">
        <f>71.1-10.2</f>
        <v>60.899999999999991</v>
      </c>
      <c r="H293" s="57">
        <v>60.8</v>
      </c>
      <c r="I293" s="17"/>
      <c r="J293" s="17"/>
      <c r="K293" s="17"/>
    </row>
    <row r="294" spans="1:15" ht="25.5" x14ac:dyDescent="0.2">
      <c r="A294" s="242">
        <v>117</v>
      </c>
      <c r="B294" s="244"/>
      <c r="C294" s="72" t="s">
        <v>204</v>
      </c>
      <c r="D294" s="39" t="s">
        <v>478</v>
      </c>
      <c r="E294" s="29">
        <f>+E295+78+1.9+12-1.9-5.2</f>
        <v>91.2</v>
      </c>
      <c r="F294" s="29">
        <v>90.8</v>
      </c>
      <c r="G294" s="29">
        <f>+G295+56.2-2.2-0.2</f>
        <v>60.099999999999994</v>
      </c>
      <c r="H294" s="57">
        <v>59.9</v>
      </c>
      <c r="I294" s="17"/>
      <c r="J294" s="17"/>
      <c r="K294" s="17"/>
    </row>
    <row r="295" spans="1:15" x14ac:dyDescent="0.2">
      <c r="A295" s="243"/>
      <c r="B295" s="245"/>
      <c r="C295" s="72" t="s">
        <v>479</v>
      </c>
      <c r="D295" s="39" t="s">
        <v>480</v>
      </c>
      <c r="E295" s="29">
        <v>6.4</v>
      </c>
      <c r="F295" s="29">
        <v>6.4</v>
      </c>
      <c r="G295" s="29">
        <v>6.3</v>
      </c>
      <c r="H295" s="57">
        <v>6.3</v>
      </c>
      <c r="I295" s="17"/>
      <c r="J295" s="17"/>
      <c r="K295" s="17"/>
    </row>
    <row r="296" spans="1:15" ht="25.5" x14ac:dyDescent="0.2">
      <c r="A296" s="242">
        <v>118</v>
      </c>
      <c r="B296" s="244"/>
      <c r="C296" s="24" t="s">
        <v>205</v>
      </c>
      <c r="D296" s="25" t="s">
        <v>478</v>
      </c>
      <c r="E296" s="20">
        <f>+E297+68.3+1.3+2+1</f>
        <v>75.8</v>
      </c>
      <c r="F296" s="20">
        <v>75.400000000000006</v>
      </c>
      <c r="G296" s="20">
        <f>+G297+55.2+0.7</f>
        <v>59.100000000000009</v>
      </c>
      <c r="H296" s="57">
        <v>59</v>
      </c>
      <c r="I296" s="17"/>
      <c r="J296" s="17"/>
      <c r="K296" s="17"/>
    </row>
    <row r="297" spans="1:15" x14ac:dyDescent="0.2">
      <c r="A297" s="243"/>
      <c r="B297" s="245"/>
      <c r="C297" s="24" t="s">
        <v>479</v>
      </c>
      <c r="D297" s="25" t="s">
        <v>480</v>
      </c>
      <c r="E297" s="20">
        <v>3.2</v>
      </c>
      <c r="F297" s="20">
        <v>3.2</v>
      </c>
      <c r="G297" s="20">
        <v>3.2</v>
      </c>
      <c r="H297" s="57">
        <v>3.2</v>
      </c>
      <c r="I297" s="17"/>
      <c r="J297" s="17"/>
      <c r="K297" s="17"/>
    </row>
    <row r="298" spans="1:15" ht="25.5" x14ac:dyDescent="0.2">
      <c r="A298" s="242">
        <v>119</v>
      </c>
      <c r="B298" s="244"/>
      <c r="C298" s="24" t="s">
        <v>206</v>
      </c>
      <c r="D298" s="25" t="s">
        <v>478</v>
      </c>
      <c r="E298" s="20">
        <f>+E299+82.9-2.6+1.8+1.7-0.6</f>
        <v>89.600000000000023</v>
      </c>
      <c r="F298" s="20">
        <v>89.2</v>
      </c>
      <c r="G298" s="20">
        <f>+G299+61.6+1.4</f>
        <v>69.300000000000011</v>
      </c>
      <c r="H298" s="57">
        <v>69.3</v>
      </c>
      <c r="I298" s="17"/>
      <c r="J298" s="17"/>
      <c r="K298" s="17"/>
      <c r="O298" s="17"/>
    </row>
    <row r="299" spans="1:15" x14ac:dyDescent="0.2">
      <c r="A299" s="243"/>
      <c r="B299" s="245"/>
      <c r="C299" s="24" t="s">
        <v>479</v>
      </c>
      <c r="D299" s="25" t="s">
        <v>480</v>
      </c>
      <c r="E299" s="20">
        <v>6.4</v>
      </c>
      <c r="F299" s="20">
        <v>6.4</v>
      </c>
      <c r="G299" s="20">
        <v>6.3</v>
      </c>
      <c r="H299" s="57">
        <v>6.3</v>
      </c>
      <c r="I299" s="17"/>
      <c r="J299" s="17"/>
      <c r="K299" s="17"/>
    </row>
    <row r="300" spans="1:15" ht="25.5" x14ac:dyDescent="0.2">
      <c r="A300" s="32">
        <v>120</v>
      </c>
      <c r="B300" s="33"/>
      <c r="C300" s="73" t="s">
        <v>207</v>
      </c>
      <c r="D300" s="25" t="s">
        <v>478</v>
      </c>
      <c r="E300" s="20">
        <f>139.6+4.1+7.1</f>
        <v>150.79999999999998</v>
      </c>
      <c r="F300" s="20">
        <v>150.30000000000001</v>
      </c>
      <c r="G300" s="20">
        <f>91</f>
        <v>91</v>
      </c>
      <c r="H300" s="57">
        <v>91</v>
      </c>
      <c r="I300" s="17"/>
      <c r="J300" s="17"/>
      <c r="K300" s="17"/>
    </row>
    <row r="301" spans="1:15" ht="25.5" x14ac:dyDescent="0.2">
      <c r="A301" s="242">
        <v>121</v>
      </c>
      <c r="B301" s="244"/>
      <c r="C301" s="24" t="s">
        <v>208</v>
      </c>
      <c r="D301" s="25" t="s">
        <v>478</v>
      </c>
      <c r="E301" s="20">
        <f>+E302+77.8+1.5+9.9+4.3</f>
        <v>96.7</v>
      </c>
      <c r="F301" s="29">
        <f>96-0.1</f>
        <v>95.9</v>
      </c>
      <c r="G301" s="29">
        <f>+G302+61.2-5</f>
        <v>59.400000000000006</v>
      </c>
      <c r="H301" s="68">
        <v>58.9</v>
      </c>
      <c r="I301" s="17"/>
      <c r="J301" s="17"/>
      <c r="K301" s="17"/>
    </row>
    <row r="302" spans="1:15" x14ac:dyDescent="0.2">
      <c r="A302" s="243"/>
      <c r="B302" s="245"/>
      <c r="C302" s="24" t="s">
        <v>479</v>
      </c>
      <c r="D302" s="25" t="s">
        <v>480</v>
      </c>
      <c r="E302" s="20">
        <v>3.2</v>
      </c>
      <c r="F302" s="29">
        <v>3.1</v>
      </c>
      <c r="G302" s="29">
        <v>3.2</v>
      </c>
      <c r="H302" s="68">
        <v>3.1</v>
      </c>
      <c r="I302" s="17"/>
      <c r="J302" s="17"/>
      <c r="K302" s="17"/>
    </row>
    <row r="303" spans="1:15" ht="25.5" x14ac:dyDescent="0.2">
      <c r="A303" s="32">
        <v>122</v>
      </c>
      <c r="B303" s="33"/>
      <c r="C303" s="24" t="s">
        <v>209</v>
      </c>
      <c r="D303" s="25" t="s">
        <v>478</v>
      </c>
      <c r="E303" s="20">
        <f>95.4+2.6+2.5+5</f>
        <v>105.5</v>
      </c>
      <c r="F303" s="29">
        <f>101.6-0.1</f>
        <v>101.5</v>
      </c>
      <c r="G303" s="29">
        <f>67.1+5</f>
        <v>72.099999999999994</v>
      </c>
      <c r="H303" s="68">
        <f>71.4+0.1</f>
        <v>71.5</v>
      </c>
      <c r="I303" s="17"/>
      <c r="J303" s="17"/>
      <c r="K303" s="17"/>
    </row>
    <row r="304" spans="1:15" ht="25.5" x14ac:dyDescent="0.2">
      <c r="A304" s="242">
        <v>123</v>
      </c>
      <c r="B304" s="244"/>
      <c r="C304" s="24" t="s">
        <v>210</v>
      </c>
      <c r="D304" s="25" t="s">
        <v>478</v>
      </c>
      <c r="E304" s="20">
        <f>+E305+92+1.8+2.6</f>
        <v>99.6</v>
      </c>
      <c r="F304" s="20">
        <v>99.3</v>
      </c>
      <c r="G304" s="20">
        <f>+G305+63.6+0.5</f>
        <v>67.3</v>
      </c>
      <c r="H304" s="57">
        <v>67.2</v>
      </c>
      <c r="I304" s="17"/>
      <c r="J304" s="17"/>
      <c r="K304" s="17"/>
    </row>
    <row r="305" spans="1:16" x14ac:dyDescent="0.2">
      <c r="A305" s="243"/>
      <c r="B305" s="245"/>
      <c r="C305" s="24" t="s">
        <v>479</v>
      </c>
      <c r="D305" s="25" t="s">
        <v>480</v>
      </c>
      <c r="E305" s="20">
        <v>3.2</v>
      </c>
      <c r="F305" s="20">
        <v>3.2</v>
      </c>
      <c r="G305" s="20">
        <v>3.2</v>
      </c>
      <c r="H305" s="57">
        <v>3.2</v>
      </c>
      <c r="I305" s="17"/>
      <c r="J305" s="17"/>
      <c r="K305" s="17"/>
    </row>
    <row r="306" spans="1:16" ht="25.5" x14ac:dyDescent="0.2">
      <c r="A306" s="242">
        <v>124</v>
      </c>
      <c r="B306" s="244"/>
      <c r="C306" s="24" t="s">
        <v>211</v>
      </c>
      <c r="D306" s="25" t="s">
        <v>478</v>
      </c>
      <c r="E306" s="20">
        <f>+E307+137.9+5.3+5.5</f>
        <v>155.10000000000002</v>
      </c>
      <c r="F306" s="20">
        <v>151.19999999999999</v>
      </c>
      <c r="G306" s="20">
        <f>+G307+79.1+5.5</f>
        <v>90.899999999999991</v>
      </c>
      <c r="H306" s="57">
        <v>90.1</v>
      </c>
      <c r="I306" s="17"/>
      <c r="J306" s="17"/>
      <c r="K306" s="17"/>
    </row>
    <row r="307" spans="1:16" x14ac:dyDescent="0.2">
      <c r="A307" s="243"/>
      <c r="B307" s="245"/>
      <c r="C307" s="24" t="s">
        <v>479</v>
      </c>
      <c r="D307" s="25" t="s">
        <v>480</v>
      </c>
      <c r="E307" s="20">
        <v>6.4</v>
      </c>
      <c r="F307" s="20">
        <v>6.3</v>
      </c>
      <c r="G307" s="20">
        <v>6.3</v>
      </c>
      <c r="H307" s="57">
        <v>6.2</v>
      </c>
      <c r="I307" s="17"/>
      <c r="J307" s="17"/>
      <c r="K307" s="17"/>
    </row>
    <row r="308" spans="1:16" ht="14.25" x14ac:dyDescent="0.2">
      <c r="A308" s="14">
        <v>125</v>
      </c>
      <c r="B308" s="18"/>
      <c r="C308" s="96" t="s">
        <v>481</v>
      </c>
      <c r="D308" s="18"/>
      <c r="E308" s="53">
        <f>+E10+E59+E84+E122+E148+E172+E193+E241+E265+E271+E276</f>
        <v>45114.499999999993</v>
      </c>
      <c r="F308" s="53">
        <f>+F10+F59+F84+F122+F148+F172+F193+F241+F265+F271+F276</f>
        <v>43347.6</v>
      </c>
      <c r="G308" s="53">
        <f>+G10+G59+G84+G122+G148+G172+G193+G241+G265+G271+G276</f>
        <v>20419.500000000004</v>
      </c>
      <c r="H308" s="53">
        <f>+H10+H59+H84+H122+H148+H172+H193+H241+H265+H271+H276</f>
        <v>20323.2</v>
      </c>
      <c r="I308" s="97"/>
      <c r="J308" s="97"/>
      <c r="K308" s="97"/>
      <c r="L308" s="97"/>
      <c r="M308" s="97"/>
      <c r="N308" s="97"/>
      <c r="O308" s="97"/>
      <c r="P308" s="97"/>
    </row>
    <row r="309" spans="1:16" x14ac:dyDescent="0.2">
      <c r="C309" s="1"/>
      <c r="G309" s="98"/>
    </row>
    <row r="310" spans="1:16" x14ac:dyDescent="0.2">
      <c r="A310" s="4" t="s">
        <v>482</v>
      </c>
      <c r="B310" s="4"/>
      <c r="C310" s="4"/>
      <c r="D310" s="4"/>
      <c r="E310" s="4"/>
      <c r="F310" s="4"/>
      <c r="G310" s="4"/>
      <c r="H310" s="99"/>
    </row>
    <row r="311" spans="1:16" x14ac:dyDescent="0.2">
      <c r="C311" s="100"/>
      <c r="E311" s="98"/>
      <c r="F311" s="98"/>
      <c r="G311" s="98"/>
    </row>
    <row r="312" spans="1:16" x14ac:dyDescent="0.2">
      <c r="C312" s="1"/>
      <c r="E312" s="98"/>
      <c r="F312" s="98"/>
      <c r="G312" s="98"/>
    </row>
    <row r="313" spans="1:16" x14ac:dyDescent="0.2">
      <c r="C313" s="1"/>
      <c r="E313" s="54"/>
      <c r="F313" s="54"/>
      <c r="G313" s="54"/>
    </row>
    <row r="314" spans="1:16" x14ac:dyDescent="0.2">
      <c r="C314" s="1"/>
      <c r="E314" s="101"/>
      <c r="F314" s="102"/>
      <c r="G314" s="103"/>
    </row>
    <row r="315" spans="1:16" x14ac:dyDescent="0.2">
      <c r="C315" s="1"/>
      <c r="E315" s="104"/>
      <c r="F315" s="104"/>
      <c r="H315" s="97"/>
    </row>
    <row r="316" spans="1:16" x14ac:dyDescent="0.2">
      <c r="C316" s="1"/>
      <c r="I316" s="54"/>
    </row>
    <row r="317" spans="1:16" x14ac:dyDescent="0.2">
      <c r="C317" s="1"/>
      <c r="E317" s="105"/>
      <c r="F317" s="105"/>
      <c r="G317" s="22"/>
    </row>
    <row r="318" spans="1:16" x14ac:dyDescent="0.2">
      <c r="C318" s="1"/>
      <c r="D318" s="106"/>
      <c r="G318" s="98"/>
    </row>
    <row r="319" spans="1:16" x14ac:dyDescent="0.2">
      <c r="C319" s="1"/>
      <c r="D319" s="106"/>
      <c r="E319" s="104"/>
      <c r="F319" s="104"/>
      <c r="G319" s="98"/>
    </row>
    <row r="320" spans="1:16" x14ac:dyDescent="0.2">
      <c r="C320" s="1"/>
      <c r="D320" s="106"/>
      <c r="E320" s="104"/>
      <c r="F320" s="104"/>
      <c r="G320" s="98"/>
    </row>
    <row r="321" spans="3:9" x14ac:dyDescent="0.2">
      <c r="C321" s="1"/>
      <c r="D321" s="106"/>
    </row>
    <row r="322" spans="3:9" x14ac:dyDescent="0.2">
      <c r="C322" s="100"/>
      <c r="E322" s="98"/>
      <c r="F322" s="98"/>
      <c r="I322" s="54"/>
    </row>
    <row r="323" spans="3:9" x14ac:dyDescent="0.2">
      <c r="E323" s="79"/>
      <c r="F323" s="79"/>
      <c r="G323" s="79"/>
    </row>
    <row r="324" spans="3:9" x14ac:dyDescent="0.2">
      <c r="E324" s="98"/>
      <c r="F324" s="98"/>
      <c r="I324" s="54"/>
    </row>
    <row r="325" spans="3:9" x14ac:dyDescent="0.2">
      <c r="E325" s="98"/>
      <c r="F325" s="98"/>
    </row>
    <row r="326" spans="3:9" x14ac:dyDescent="0.2">
      <c r="E326" s="98"/>
      <c r="F326" s="98"/>
    </row>
    <row r="328" spans="3:9" x14ac:dyDescent="0.2">
      <c r="E328" s="98"/>
      <c r="F328" s="98"/>
      <c r="G328" s="98"/>
    </row>
    <row r="330" spans="3:9" x14ac:dyDescent="0.2">
      <c r="E330" s="98"/>
      <c r="F330" s="98"/>
      <c r="G330" s="98"/>
    </row>
    <row r="339" spans="5:7" x14ac:dyDescent="0.2">
      <c r="E339" s="98"/>
      <c r="F339" s="98"/>
      <c r="G339" s="98"/>
    </row>
  </sheetData>
  <mergeCells count="43">
    <mergeCell ref="E3:H3"/>
    <mergeCell ref="C2:H2"/>
    <mergeCell ref="C1:H1"/>
    <mergeCell ref="A36:A37"/>
    <mergeCell ref="D36:D37"/>
    <mergeCell ref="A5:G5"/>
    <mergeCell ref="A7:A8"/>
    <mergeCell ref="B7:B8"/>
    <mergeCell ref="C7:C8"/>
    <mergeCell ref="D7:D8"/>
    <mergeCell ref="E7:F7"/>
    <mergeCell ref="G7:H7"/>
    <mergeCell ref="G6:H6"/>
    <mergeCell ref="A60:A62"/>
    <mergeCell ref="D60:D62"/>
    <mergeCell ref="A85:A87"/>
    <mergeCell ref="B85:B87"/>
    <mergeCell ref="D85:D87"/>
    <mergeCell ref="A291:A292"/>
    <mergeCell ref="B291:B292"/>
    <mergeCell ref="A126:A131"/>
    <mergeCell ref="B126:B131"/>
    <mergeCell ref="D126:D130"/>
    <mergeCell ref="A156:A158"/>
    <mergeCell ref="B156:B158"/>
    <mergeCell ref="D156:D157"/>
    <mergeCell ref="A173:A174"/>
    <mergeCell ref="B173:B174"/>
    <mergeCell ref="D173:D174"/>
    <mergeCell ref="A289:A290"/>
    <mergeCell ref="B289:B290"/>
    <mergeCell ref="A294:A295"/>
    <mergeCell ref="B294:B295"/>
    <mergeCell ref="A296:A297"/>
    <mergeCell ref="B296:B297"/>
    <mergeCell ref="A298:A299"/>
    <mergeCell ref="B298:B299"/>
    <mergeCell ref="A301:A302"/>
    <mergeCell ref="B301:B302"/>
    <mergeCell ref="A304:A305"/>
    <mergeCell ref="B304:B305"/>
    <mergeCell ref="A306:A307"/>
    <mergeCell ref="B306:B307"/>
  </mergeCells>
  <pageMargins left="1.1023622047244095" right="0.70866141732283472" top="0.74803149606299213" bottom="0.55118110236220474"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107BE-A0BC-4B4C-8796-052B0A801ED7}">
  <dimension ref="A1:M29"/>
  <sheetViews>
    <sheetView workbookViewId="0">
      <selection activeCell="C20" sqref="C20"/>
    </sheetView>
  </sheetViews>
  <sheetFormatPr defaultRowHeight="12.75" x14ac:dyDescent="0.2"/>
  <cols>
    <col min="1" max="1" width="5.42578125" style="4" customWidth="1"/>
    <col min="2" max="2" width="7.140625" style="4" customWidth="1"/>
    <col min="3" max="3" width="48.7109375" style="4" customWidth="1"/>
    <col min="4" max="4" width="10.140625" style="213" customWidth="1"/>
    <col min="5" max="6" width="10.140625" style="4" customWidth="1"/>
    <col min="7" max="7" width="10.85546875" style="4" customWidth="1"/>
    <col min="8" max="8" width="10.28515625" style="4" customWidth="1"/>
    <col min="9" max="256" width="9.140625" style="4"/>
    <col min="257" max="257" width="5.42578125" style="4" customWidth="1"/>
    <col min="258" max="258" width="7.140625" style="4" customWidth="1"/>
    <col min="259" max="259" width="48.7109375" style="4" customWidth="1"/>
    <col min="260" max="262" width="10.140625" style="4" customWidth="1"/>
    <col min="263" max="263" width="10.85546875" style="4" customWidth="1"/>
    <col min="264" max="264" width="10.28515625" style="4" customWidth="1"/>
    <col min="265" max="512" width="9.140625" style="4"/>
    <col min="513" max="513" width="5.42578125" style="4" customWidth="1"/>
    <col min="514" max="514" width="7.140625" style="4" customWidth="1"/>
    <col min="515" max="515" width="48.7109375" style="4" customWidth="1"/>
    <col min="516" max="518" width="10.140625" style="4" customWidth="1"/>
    <col min="519" max="519" width="10.85546875" style="4" customWidth="1"/>
    <col min="520" max="520" width="10.28515625" style="4" customWidth="1"/>
    <col min="521" max="768" width="9.140625" style="4"/>
    <col min="769" max="769" width="5.42578125" style="4" customWidth="1"/>
    <col min="770" max="770" width="7.140625" style="4" customWidth="1"/>
    <col min="771" max="771" width="48.7109375" style="4" customWidth="1"/>
    <col min="772" max="774" width="10.140625" style="4" customWidth="1"/>
    <col min="775" max="775" width="10.85546875" style="4" customWidth="1"/>
    <col min="776" max="776" width="10.28515625" style="4" customWidth="1"/>
    <col min="777" max="1024" width="9.140625" style="4"/>
    <col min="1025" max="1025" width="5.42578125" style="4" customWidth="1"/>
    <col min="1026" max="1026" width="7.140625" style="4" customWidth="1"/>
    <col min="1027" max="1027" width="48.7109375" style="4" customWidth="1"/>
    <col min="1028" max="1030" width="10.140625" style="4" customWidth="1"/>
    <col min="1031" max="1031" width="10.85546875" style="4" customWidth="1"/>
    <col min="1032" max="1032" width="10.28515625" style="4" customWidth="1"/>
    <col min="1033" max="1280" width="9.140625" style="4"/>
    <col min="1281" max="1281" width="5.42578125" style="4" customWidth="1"/>
    <col min="1282" max="1282" width="7.140625" style="4" customWidth="1"/>
    <col min="1283" max="1283" width="48.7109375" style="4" customWidth="1"/>
    <col min="1284" max="1286" width="10.140625" style="4" customWidth="1"/>
    <col min="1287" max="1287" width="10.85546875" style="4" customWidth="1"/>
    <col min="1288" max="1288" width="10.28515625" style="4" customWidth="1"/>
    <col min="1289" max="1536" width="9.140625" style="4"/>
    <col min="1537" max="1537" width="5.42578125" style="4" customWidth="1"/>
    <col min="1538" max="1538" width="7.140625" style="4" customWidth="1"/>
    <col min="1539" max="1539" width="48.7109375" style="4" customWidth="1"/>
    <col min="1540" max="1542" width="10.140625" style="4" customWidth="1"/>
    <col min="1543" max="1543" width="10.85546875" style="4" customWidth="1"/>
    <col min="1544" max="1544" width="10.28515625" style="4" customWidth="1"/>
    <col min="1545" max="1792" width="9.140625" style="4"/>
    <col min="1793" max="1793" width="5.42578125" style="4" customWidth="1"/>
    <col min="1794" max="1794" width="7.140625" style="4" customWidth="1"/>
    <col min="1795" max="1795" width="48.7109375" style="4" customWidth="1"/>
    <col min="1796" max="1798" width="10.140625" style="4" customWidth="1"/>
    <col min="1799" max="1799" width="10.85546875" style="4" customWidth="1"/>
    <col min="1800" max="1800" width="10.28515625" style="4" customWidth="1"/>
    <col min="1801" max="2048" width="9.140625" style="4"/>
    <col min="2049" max="2049" width="5.42578125" style="4" customWidth="1"/>
    <col min="2050" max="2050" width="7.140625" style="4" customWidth="1"/>
    <col min="2051" max="2051" width="48.7109375" style="4" customWidth="1"/>
    <col min="2052" max="2054" width="10.140625" style="4" customWidth="1"/>
    <col min="2055" max="2055" width="10.85546875" style="4" customWidth="1"/>
    <col min="2056" max="2056" width="10.28515625" style="4" customWidth="1"/>
    <col min="2057" max="2304" width="9.140625" style="4"/>
    <col min="2305" max="2305" width="5.42578125" style="4" customWidth="1"/>
    <col min="2306" max="2306" width="7.140625" style="4" customWidth="1"/>
    <col min="2307" max="2307" width="48.7109375" style="4" customWidth="1"/>
    <col min="2308" max="2310" width="10.140625" style="4" customWidth="1"/>
    <col min="2311" max="2311" width="10.85546875" style="4" customWidth="1"/>
    <col min="2312" max="2312" width="10.28515625" style="4" customWidth="1"/>
    <col min="2313" max="2560" width="9.140625" style="4"/>
    <col min="2561" max="2561" width="5.42578125" style="4" customWidth="1"/>
    <col min="2562" max="2562" width="7.140625" style="4" customWidth="1"/>
    <col min="2563" max="2563" width="48.7109375" style="4" customWidth="1"/>
    <col min="2564" max="2566" width="10.140625" style="4" customWidth="1"/>
    <col min="2567" max="2567" width="10.85546875" style="4" customWidth="1"/>
    <col min="2568" max="2568" width="10.28515625" style="4" customWidth="1"/>
    <col min="2569" max="2816" width="9.140625" style="4"/>
    <col min="2817" max="2817" width="5.42578125" style="4" customWidth="1"/>
    <col min="2818" max="2818" width="7.140625" style="4" customWidth="1"/>
    <col min="2819" max="2819" width="48.7109375" style="4" customWidth="1"/>
    <col min="2820" max="2822" width="10.140625" style="4" customWidth="1"/>
    <col min="2823" max="2823" width="10.85546875" style="4" customWidth="1"/>
    <col min="2824" max="2824" width="10.28515625" style="4" customWidth="1"/>
    <col min="2825" max="3072" width="9.140625" style="4"/>
    <col min="3073" max="3073" width="5.42578125" style="4" customWidth="1"/>
    <col min="3074" max="3074" width="7.140625" style="4" customWidth="1"/>
    <col min="3075" max="3075" width="48.7109375" style="4" customWidth="1"/>
    <col min="3076" max="3078" width="10.140625" style="4" customWidth="1"/>
    <col min="3079" max="3079" width="10.85546875" style="4" customWidth="1"/>
    <col min="3080" max="3080" width="10.28515625" style="4" customWidth="1"/>
    <col min="3081" max="3328" width="9.140625" style="4"/>
    <col min="3329" max="3329" width="5.42578125" style="4" customWidth="1"/>
    <col min="3330" max="3330" width="7.140625" style="4" customWidth="1"/>
    <col min="3331" max="3331" width="48.7109375" style="4" customWidth="1"/>
    <col min="3332" max="3334" width="10.140625" style="4" customWidth="1"/>
    <col min="3335" max="3335" width="10.85546875" style="4" customWidth="1"/>
    <col min="3336" max="3336" width="10.28515625" style="4" customWidth="1"/>
    <col min="3337" max="3584" width="9.140625" style="4"/>
    <col min="3585" max="3585" width="5.42578125" style="4" customWidth="1"/>
    <col min="3586" max="3586" width="7.140625" style="4" customWidth="1"/>
    <col min="3587" max="3587" width="48.7109375" style="4" customWidth="1"/>
    <col min="3588" max="3590" width="10.140625" style="4" customWidth="1"/>
    <col min="3591" max="3591" width="10.85546875" style="4" customWidth="1"/>
    <col min="3592" max="3592" width="10.28515625" style="4" customWidth="1"/>
    <col min="3593" max="3840" width="9.140625" style="4"/>
    <col min="3841" max="3841" width="5.42578125" style="4" customWidth="1"/>
    <col min="3842" max="3842" width="7.140625" style="4" customWidth="1"/>
    <col min="3843" max="3843" width="48.7109375" style="4" customWidth="1"/>
    <col min="3844" max="3846" width="10.140625" style="4" customWidth="1"/>
    <col min="3847" max="3847" width="10.85546875" style="4" customWidth="1"/>
    <col min="3848" max="3848" width="10.28515625" style="4" customWidth="1"/>
    <col min="3849" max="4096" width="9.140625" style="4"/>
    <col min="4097" max="4097" width="5.42578125" style="4" customWidth="1"/>
    <col min="4098" max="4098" width="7.140625" style="4" customWidth="1"/>
    <col min="4099" max="4099" width="48.7109375" style="4" customWidth="1"/>
    <col min="4100" max="4102" width="10.140625" style="4" customWidth="1"/>
    <col min="4103" max="4103" width="10.85546875" style="4" customWidth="1"/>
    <col min="4104" max="4104" width="10.28515625" style="4" customWidth="1"/>
    <col min="4105" max="4352" width="9.140625" style="4"/>
    <col min="4353" max="4353" width="5.42578125" style="4" customWidth="1"/>
    <col min="4354" max="4354" width="7.140625" style="4" customWidth="1"/>
    <col min="4355" max="4355" width="48.7109375" style="4" customWidth="1"/>
    <col min="4356" max="4358" width="10.140625" style="4" customWidth="1"/>
    <col min="4359" max="4359" width="10.85546875" style="4" customWidth="1"/>
    <col min="4360" max="4360" width="10.28515625" style="4" customWidth="1"/>
    <col min="4361" max="4608" width="9.140625" style="4"/>
    <col min="4609" max="4609" width="5.42578125" style="4" customWidth="1"/>
    <col min="4610" max="4610" width="7.140625" style="4" customWidth="1"/>
    <col min="4611" max="4611" width="48.7109375" style="4" customWidth="1"/>
    <col min="4612" max="4614" width="10.140625" style="4" customWidth="1"/>
    <col min="4615" max="4615" width="10.85546875" style="4" customWidth="1"/>
    <col min="4616" max="4616" width="10.28515625" style="4" customWidth="1"/>
    <col min="4617" max="4864" width="9.140625" style="4"/>
    <col min="4865" max="4865" width="5.42578125" style="4" customWidth="1"/>
    <col min="4866" max="4866" width="7.140625" style="4" customWidth="1"/>
    <col min="4867" max="4867" width="48.7109375" style="4" customWidth="1"/>
    <col min="4868" max="4870" width="10.140625" style="4" customWidth="1"/>
    <col min="4871" max="4871" width="10.85546875" style="4" customWidth="1"/>
    <col min="4872" max="4872" width="10.28515625" style="4" customWidth="1"/>
    <col min="4873" max="5120" width="9.140625" style="4"/>
    <col min="5121" max="5121" width="5.42578125" style="4" customWidth="1"/>
    <col min="5122" max="5122" width="7.140625" style="4" customWidth="1"/>
    <col min="5123" max="5123" width="48.7109375" style="4" customWidth="1"/>
    <col min="5124" max="5126" width="10.140625" style="4" customWidth="1"/>
    <col min="5127" max="5127" width="10.85546875" style="4" customWidth="1"/>
    <col min="5128" max="5128" width="10.28515625" style="4" customWidth="1"/>
    <col min="5129" max="5376" width="9.140625" style="4"/>
    <col min="5377" max="5377" width="5.42578125" style="4" customWidth="1"/>
    <col min="5378" max="5378" width="7.140625" style="4" customWidth="1"/>
    <col min="5379" max="5379" width="48.7109375" style="4" customWidth="1"/>
    <col min="5380" max="5382" width="10.140625" style="4" customWidth="1"/>
    <col min="5383" max="5383" width="10.85546875" style="4" customWidth="1"/>
    <col min="5384" max="5384" width="10.28515625" style="4" customWidth="1"/>
    <col min="5385" max="5632" width="9.140625" style="4"/>
    <col min="5633" max="5633" width="5.42578125" style="4" customWidth="1"/>
    <col min="5634" max="5634" width="7.140625" style="4" customWidth="1"/>
    <col min="5635" max="5635" width="48.7109375" style="4" customWidth="1"/>
    <col min="5636" max="5638" width="10.140625" style="4" customWidth="1"/>
    <col min="5639" max="5639" width="10.85546875" style="4" customWidth="1"/>
    <col min="5640" max="5640" width="10.28515625" style="4" customWidth="1"/>
    <col min="5641" max="5888" width="9.140625" style="4"/>
    <col min="5889" max="5889" width="5.42578125" style="4" customWidth="1"/>
    <col min="5890" max="5890" width="7.140625" style="4" customWidth="1"/>
    <col min="5891" max="5891" width="48.7109375" style="4" customWidth="1"/>
    <col min="5892" max="5894" width="10.140625" style="4" customWidth="1"/>
    <col min="5895" max="5895" width="10.85546875" style="4" customWidth="1"/>
    <col min="5896" max="5896" width="10.28515625" style="4" customWidth="1"/>
    <col min="5897" max="6144" width="9.140625" style="4"/>
    <col min="6145" max="6145" width="5.42578125" style="4" customWidth="1"/>
    <col min="6146" max="6146" width="7.140625" style="4" customWidth="1"/>
    <col min="6147" max="6147" width="48.7109375" style="4" customWidth="1"/>
    <col min="6148" max="6150" width="10.140625" style="4" customWidth="1"/>
    <col min="6151" max="6151" width="10.85546875" style="4" customWidth="1"/>
    <col min="6152" max="6152" width="10.28515625" style="4" customWidth="1"/>
    <col min="6153" max="6400" width="9.140625" style="4"/>
    <col min="6401" max="6401" width="5.42578125" style="4" customWidth="1"/>
    <col min="6402" max="6402" width="7.140625" style="4" customWidth="1"/>
    <col min="6403" max="6403" width="48.7109375" style="4" customWidth="1"/>
    <col min="6404" max="6406" width="10.140625" style="4" customWidth="1"/>
    <col min="6407" max="6407" width="10.85546875" style="4" customWidth="1"/>
    <col min="6408" max="6408" width="10.28515625" style="4" customWidth="1"/>
    <col min="6409" max="6656" width="9.140625" style="4"/>
    <col min="6657" max="6657" width="5.42578125" style="4" customWidth="1"/>
    <col min="6658" max="6658" width="7.140625" style="4" customWidth="1"/>
    <col min="6659" max="6659" width="48.7109375" style="4" customWidth="1"/>
    <col min="6660" max="6662" width="10.140625" style="4" customWidth="1"/>
    <col min="6663" max="6663" width="10.85546875" style="4" customWidth="1"/>
    <col min="6664" max="6664" width="10.28515625" style="4" customWidth="1"/>
    <col min="6665" max="6912" width="9.140625" style="4"/>
    <col min="6913" max="6913" width="5.42578125" style="4" customWidth="1"/>
    <col min="6914" max="6914" width="7.140625" style="4" customWidth="1"/>
    <col min="6915" max="6915" width="48.7109375" style="4" customWidth="1"/>
    <col min="6916" max="6918" width="10.140625" style="4" customWidth="1"/>
    <col min="6919" max="6919" width="10.85546875" style="4" customWidth="1"/>
    <col min="6920" max="6920" width="10.28515625" style="4" customWidth="1"/>
    <col min="6921" max="7168" width="9.140625" style="4"/>
    <col min="7169" max="7169" width="5.42578125" style="4" customWidth="1"/>
    <col min="7170" max="7170" width="7.140625" style="4" customWidth="1"/>
    <col min="7171" max="7171" width="48.7109375" style="4" customWidth="1"/>
    <col min="7172" max="7174" width="10.140625" style="4" customWidth="1"/>
    <col min="7175" max="7175" width="10.85546875" style="4" customWidth="1"/>
    <col min="7176" max="7176" width="10.28515625" style="4" customWidth="1"/>
    <col min="7177" max="7424" width="9.140625" style="4"/>
    <col min="7425" max="7425" width="5.42578125" style="4" customWidth="1"/>
    <col min="7426" max="7426" width="7.140625" style="4" customWidth="1"/>
    <col min="7427" max="7427" width="48.7109375" style="4" customWidth="1"/>
    <col min="7428" max="7430" width="10.140625" style="4" customWidth="1"/>
    <col min="7431" max="7431" width="10.85546875" style="4" customWidth="1"/>
    <col min="7432" max="7432" width="10.28515625" style="4" customWidth="1"/>
    <col min="7433" max="7680" width="9.140625" style="4"/>
    <col min="7681" max="7681" width="5.42578125" style="4" customWidth="1"/>
    <col min="7682" max="7682" width="7.140625" style="4" customWidth="1"/>
    <col min="7683" max="7683" width="48.7109375" style="4" customWidth="1"/>
    <col min="7684" max="7686" width="10.140625" style="4" customWidth="1"/>
    <col min="7687" max="7687" width="10.85546875" style="4" customWidth="1"/>
    <col min="7688" max="7688" width="10.28515625" style="4" customWidth="1"/>
    <col min="7689" max="7936" width="9.140625" style="4"/>
    <col min="7937" max="7937" width="5.42578125" style="4" customWidth="1"/>
    <col min="7938" max="7938" width="7.140625" style="4" customWidth="1"/>
    <col min="7939" max="7939" width="48.7109375" style="4" customWidth="1"/>
    <col min="7940" max="7942" width="10.140625" style="4" customWidth="1"/>
    <col min="7943" max="7943" width="10.85546875" style="4" customWidth="1"/>
    <col min="7944" max="7944" width="10.28515625" style="4" customWidth="1"/>
    <col min="7945" max="8192" width="9.140625" style="4"/>
    <col min="8193" max="8193" width="5.42578125" style="4" customWidth="1"/>
    <col min="8194" max="8194" width="7.140625" style="4" customWidth="1"/>
    <col min="8195" max="8195" width="48.7109375" style="4" customWidth="1"/>
    <col min="8196" max="8198" width="10.140625" style="4" customWidth="1"/>
    <col min="8199" max="8199" width="10.85546875" style="4" customWidth="1"/>
    <col min="8200" max="8200" width="10.28515625" style="4" customWidth="1"/>
    <col min="8201" max="8448" width="9.140625" style="4"/>
    <col min="8449" max="8449" width="5.42578125" style="4" customWidth="1"/>
    <col min="8450" max="8450" width="7.140625" style="4" customWidth="1"/>
    <col min="8451" max="8451" width="48.7109375" style="4" customWidth="1"/>
    <col min="8452" max="8454" width="10.140625" style="4" customWidth="1"/>
    <col min="8455" max="8455" width="10.85546875" style="4" customWidth="1"/>
    <col min="8456" max="8456" width="10.28515625" style="4" customWidth="1"/>
    <col min="8457" max="8704" width="9.140625" style="4"/>
    <col min="8705" max="8705" width="5.42578125" style="4" customWidth="1"/>
    <col min="8706" max="8706" width="7.140625" style="4" customWidth="1"/>
    <col min="8707" max="8707" width="48.7109375" style="4" customWidth="1"/>
    <col min="8708" max="8710" width="10.140625" style="4" customWidth="1"/>
    <col min="8711" max="8711" width="10.85546875" style="4" customWidth="1"/>
    <col min="8712" max="8712" width="10.28515625" style="4" customWidth="1"/>
    <col min="8713" max="8960" width="9.140625" style="4"/>
    <col min="8961" max="8961" width="5.42578125" style="4" customWidth="1"/>
    <col min="8962" max="8962" width="7.140625" style="4" customWidth="1"/>
    <col min="8963" max="8963" width="48.7109375" style="4" customWidth="1"/>
    <col min="8964" max="8966" width="10.140625" style="4" customWidth="1"/>
    <col min="8967" max="8967" width="10.85546875" style="4" customWidth="1"/>
    <col min="8968" max="8968" width="10.28515625" style="4" customWidth="1"/>
    <col min="8969" max="9216" width="9.140625" style="4"/>
    <col min="9217" max="9217" width="5.42578125" style="4" customWidth="1"/>
    <col min="9218" max="9218" width="7.140625" style="4" customWidth="1"/>
    <col min="9219" max="9219" width="48.7109375" style="4" customWidth="1"/>
    <col min="9220" max="9222" width="10.140625" style="4" customWidth="1"/>
    <col min="9223" max="9223" width="10.85546875" style="4" customWidth="1"/>
    <col min="9224" max="9224" width="10.28515625" style="4" customWidth="1"/>
    <col min="9225" max="9472" width="9.140625" style="4"/>
    <col min="9473" max="9473" width="5.42578125" style="4" customWidth="1"/>
    <col min="9474" max="9474" width="7.140625" style="4" customWidth="1"/>
    <col min="9475" max="9475" width="48.7109375" style="4" customWidth="1"/>
    <col min="9476" max="9478" width="10.140625" style="4" customWidth="1"/>
    <col min="9479" max="9479" width="10.85546875" style="4" customWidth="1"/>
    <col min="9480" max="9480" width="10.28515625" style="4" customWidth="1"/>
    <col min="9481" max="9728" width="9.140625" style="4"/>
    <col min="9729" max="9729" width="5.42578125" style="4" customWidth="1"/>
    <col min="9730" max="9730" width="7.140625" style="4" customWidth="1"/>
    <col min="9731" max="9731" width="48.7109375" style="4" customWidth="1"/>
    <col min="9732" max="9734" width="10.140625" style="4" customWidth="1"/>
    <col min="9735" max="9735" width="10.85546875" style="4" customWidth="1"/>
    <col min="9736" max="9736" width="10.28515625" style="4" customWidth="1"/>
    <col min="9737" max="9984" width="9.140625" style="4"/>
    <col min="9985" max="9985" width="5.42578125" style="4" customWidth="1"/>
    <col min="9986" max="9986" width="7.140625" style="4" customWidth="1"/>
    <col min="9987" max="9987" width="48.7109375" style="4" customWidth="1"/>
    <col min="9988" max="9990" width="10.140625" style="4" customWidth="1"/>
    <col min="9991" max="9991" width="10.85546875" style="4" customWidth="1"/>
    <col min="9992" max="9992" width="10.28515625" style="4" customWidth="1"/>
    <col min="9993" max="10240" width="9.140625" style="4"/>
    <col min="10241" max="10241" width="5.42578125" style="4" customWidth="1"/>
    <col min="10242" max="10242" width="7.140625" style="4" customWidth="1"/>
    <col min="10243" max="10243" width="48.7109375" style="4" customWidth="1"/>
    <col min="10244" max="10246" width="10.140625" style="4" customWidth="1"/>
    <col min="10247" max="10247" width="10.85546875" style="4" customWidth="1"/>
    <col min="10248" max="10248" width="10.28515625" style="4" customWidth="1"/>
    <col min="10249" max="10496" width="9.140625" style="4"/>
    <col min="10497" max="10497" width="5.42578125" style="4" customWidth="1"/>
    <col min="10498" max="10498" width="7.140625" style="4" customWidth="1"/>
    <col min="10499" max="10499" width="48.7109375" style="4" customWidth="1"/>
    <col min="10500" max="10502" width="10.140625" style="4" customWidth="1"/>
    <col min="10503" max="10503" width="10.85546875" style="4" customWidth="1"/>
    <col min="10504" max="10504" width="10.28515625" style="4" customWidth="1"/>
    <col min="10505" max="10752" width="9.140625" style="4"/>
    <col min="10753" max="10753" width="5.42578125" style="4" customWidth="1"/>
    <col min="10754" max="10754" width="7.140625" style="4" customWidth="1"/>
    <col min="10755" max="10755" width="48.7109375" style="4" customWidth="1"/>
    <col min="10756" max="10758" width="10.140625" style="4" customWidth="1"/>
    <col min="10759" max="10759" width="10.85546875" style="4" customWidth="1"/>
    <col min="10760" max="10760" width="10.28515625" style="4" customWidth="1"/>
    <col min="10761" max="11008" width="9.140625" style="4"/>
    <col min="11009" max="11009" width="5.42578125" style="4" customWidth="1"/>
    <col min="11010" max="11010" width="7.140625" style="4" customWidth="1"/>
    <col min="11011" max="11011" width="48.7109375" style="4" customWidth="1"/>
    <col min="11012" max="11014" width="10.140625" style="4" customWidth="1"/>
    <col min="11015" max="11015" width="10.85546875" style="4" customWidth="1"/>
    <col min="11016" max="11016" width="10.28515625" style="4" customWidth="1"/>
    <col min="11017" max="11264" width="9.140625" style="4"/>
    <col min="11265" max="11265" width="5.42578125" style="4" customWidth="1"/>
    <col min="11266" max="11266" width="7.140625" style="4" customWidth="1"/>
    <col min="11267" max="11267" width="48.7109375" style="4" customWidth="1"/>
    <col min="11268" max="11270" width="10.140625" style="4" customWidth="1"/>
    <col min="11271" max="11271" width="10.85546875" style="4" customWidth="1"/>
    <col min="11272" max="11272" width="10.28515625" style="4" customWidth="1"/>
    <col min="11273" max="11520" width="9.140625" style="4"/>
    <col min="11521" max="11521" width="5.42578125" style="4" customWidth="1"/>
    <col min="11522" max="11522" width="7.140625" style="4" customWidth="1"/>
    <col min="11523" max="11523" width="48.7109375" style="4" customWidth="1"/>
    <col min="11524" max="11526" width="10.140625" style="4" customWidth="1"/>
    <col min="11527" max="11527" width="10.85546875" style="4" customWidth="1"/>
    <col min="11528" max="11528" width="10.28515625" style="4" customWidth="1"/>
    <col min="11529" max="11776" width="9.140625" style="4"/>
    <col min="11777" max="11777" width="5.42578125" style="4" customWidth="1"/>
    <col min="11778" max="11778" width="7.140625" style="4" customWidth="1"/>
    <col min="11779" max="11779" width="48.7109375" style="4" customWidth="1"/>
    <col min="11780" max="11782" width="10.140625" style="4" customWidth="1"/>
    <col min="11783" max="11783" width="10.85546875" style="4" customWidth="1"/>
    <col min="11784" max="11784" width="10.28515625" style="4" customWidth="1"/>
    <col min="11785" max="12032" width="9.140625" style="4"/>
    <col min="12033" max="12033" width="5.42578125" style="4" customWidth="1"/>
    <col min="12034" max="12034" width="7.140625" style="4" customWidth="1"/>
    <col min="12035" max="12035" width="48.7109375" style="4" customWidth="1"/>
    <col min="12036" max="12038" width="10.140625" style="4" customWidth="1"/>
    <col min="12039" max="12039" width="10.85546875" style="4" customWidth="1"/>
    <col min="12040" max="12040" width="10.28515625" style="4" customWidth="1"/>
    <col min="12041" max="12288" width="9.140625" style="4"/>
    <col min="12289" max="12289" width="5.42578125" style="4" customWidth="1"/>
    <col min="12290" max="12290" width="7.140625" style="4" customWidth="1"/>
    <col min="12291" max="12291" width="48.7109375" style="4" customWidth="1"/>
    <col min="12292" max="12294" width="10.140625" style="4" customWidth="1"/>
    <col min="12295" max="12295" width="10.85546875" style="4" customWidth="1"/>
    <col min="12296" max="12296" width="10.28515625" style="4" customWidth="1"/>
    <col min="12297" max="12544" width="9.140625" style="4"/>
    <col min="12545" max="12545" width="5.42578125" style="4" customWidth="1"/>
    <col min="12546" max="12546" width="7.140625" style="4" customWidth="1"/>
    <col min="12547" max="12547" width="48.7109375" style="4" customWidth="1"/>
    <col min="12548" max="12550" width="10.140625" style="4" customWidth="1"/>
    <col min="12551" max="12551" width="10.85546875" style="4" customWidth="1"/>
    <col min="12552" max="12552" width="10.28515625" style="4" customWidth="1"/>
    <col min="12553" max="12800" width="9.140625" style="4"/>
    <col min="12801" max="12801" width="5.42578125" style="4" customWidth="1"/>
    <col min="12802" max="12802" width="7.140625" style="4" customWidth="1"/>
    <col min="12803" max="12803" width="48.7109375" style="4" customWidth="1"/>
    <col min="12804" max="12806" width="10.140625" style="4" customWidth="1"/>
    <col min="12807" max="12807" width="10.85546875" style="4" customWidth="1"/>
    <col min="12808" max="12808" width="10.28515625" style="4" customWidth="1"/>
    <col min="12809" max="13056" width="9.140625" style="4"/>
    <col min="13057" max="13057" width="5.42578125" style="4" customWidth="1"/>
    <col min="13058" max="13058" width="7.140625" style="4" customWidth="1"/>
    <col min="13059" max="13059" width="48.7109375" style="4" customWidth="1"/>
    <col min="13060" max="13062" width="10.140625" style="4" customWidth="1"/>
    <col min="13063" max="13063" width="10.85546875" style="4" customWidth="1"/>
    <col min="13064" max="13064" width="10.28515625" style="4" customWidth="1"/>
    <col min="13065" max="13312" width="9.140625" style="4"/>
    <col min="13313" max="13313" width="5.42578125" style="4" customWidth="1"/>
    <col min="13314" max="13314" width="7.140625" style="4" customWidth="1"/>
    <col min="13315" max="13315" width="48.7109375" style="4" customWidth="1"/>
    <col min="13316" max="13318" width="10.140625" style="4" customWidth="1"/>
    <col min="13319" max="13319" width="10.85546875" style="4" customWidth="1"/>
    <col min="13320" max="13320" width="10.28515625" style="4" customWidth="1"/>
    <col min="13321" max="13568" width="9.140625" style="4"/>
    <col min="13569" max="13569" width="5.42578125" style="4" customWidth="1"/>
    <col min="13570" max="13570" width="7.140625" style="4" customWidth="1"/>
    <col min="13571" max="13571" width="48.7109375" style="4" customWidth="1"/>
    <col min="13572" max="13574" width="10.140625" style="4" customWidth="1"/>
    <col min="13575" max="13575" width="10.85546875" style="4" customWidth="1"/>
    <col min="13576" max="13576" width="10.28515625" style="4" customWidth="1"/>
    <col min="13577" max="13824" width="9.140625" style="4"/>
    <col min="13825" max="13825" width="5.42578125" style="4" customWidth="1"/>
    <col min="13826" max="13826" width="7.140625" style="4" customWidth="1"/>
    <col min="13827" max="13827" width="48.7109375" style="4" customWidth="1"/>
    <col min="13828" max="13830" width="10.140625" style="4" customWidth="1"/>
    <col min="13831" max="13831" width="10.85546875" style="4" customWidth="1"/>
    <col min="13832" max="13832" width="10.28515625" style="4" customWidth="1"/>
    <col min="13833" max="14080" width="9.140625" style="4"/>
    <col min="14081" max="14081" width="5.42578125" style="4" customWidth="1"/>
    <col min="14082" max="14082" width="7.140625" style="4" customWidth="1"/>
    <col min="14083" max="14083" width="48.7109375" style="4" customWidth="1"/>
    <col min="14084" max="14086" width="10.140625" style="4" customWidth="1"/>
    <col min="14087" max="14087" width="10.85546875" style="4" customWidth="1"/>
    <col min="14088" max="14088" width="10.28515625" style="4" customWidth="1"/>
    <col min="14089" max="14336" width="9.140625" style="4"/>
    <col min="14337" max="14337" width="5.42578125" style="4" customWidth="1"/>
    <col min="14338" max="14338" width="7.140625" style="4" customWidth="1"/>
    <col min="14339" max="14339" width="48.7109375" style="4" customWidth="1"/>
    <col min="14340" max="14342" width="10.140625" style="4" customWidth="1"/>
    <col min="14343" max="14343" width="10.85546875" style="4" customWidth="1"/>
    <col min="14344" max="14344" width="10.28515625" style="4" customWidth="1"/>
    <col min="14345" max="14592" width="9.140625" style="4"/>
    <col min="14593" max="14593" width="5.42578125" style="4" customWidth="1"/>
    <col min="14594" max="14594" width="7.140625" style="4" customWidth="1"/>
    <col min="14595" max="14595" width="48.7109375" style="4" customWidth="1"/>
    <col min="14596" max="14598" width="10.140625" style="4" customWidth="1"/>
    <col min="14599" max="14599" width="10.85546875" style="4" customWidth="1"/>
    <col min="14600" max="14600" width="10.28515625" style="4" customWidth="1"/>
    <col min="14601" max="14848" width="9.140625" style="4"/>
    <col min="14849" max="14849" width="5.42578125" style="4" customWidth="1"/>
    <col min="14850" max="14850" width="7.140625" style="4" customWidth="1"/>
    <col min="14851" max="14851" width="48.7109375" style="4" customWidth="1"/>
    <col min="14852" max="14854" width="10.140625" style="4" customWidth="1"/>
    <col min="14855" max="14855" width="10.85546875" style="4" customWidth="1"/>
    <col min="14856" max="14856" width="10.28515625" style="4" customWidth="1"/>
    <col min="14857" max="15104" width="9.140625" style="4"/>
    <col min="15105" max="15105" width="5.42578125" style="4" customWidth="1"/>
    <col min="15106" max="15106" width="7.140625" style="4" customWidth="1"/>
    <col min="15107" max="15107" width="48.7109375" style="4" customWidth="1"/>
    <col min="15108" max="15110" width="10.140625" style="4" customWidth="1"/>
    <col min="15111" max="15111" width="10.85546875" style="4" customWidth="1"/>
    <col min="15112" max="15112" width="10.28515625" style="4" customWidth="1"/>
    <col min="15113" max="15360" width="9.140625" style="4"/>
    <col min="15361" max="15361" width="5.42578125" style="4" customWidth="1"/>
    <col min="15362" max="15362" width="7.140625" style="4" customWidth="1"/>
    <col min="15363" max="15363" width="48.7109375" style="4" customWidth="1"/>
    <col min="15364" max="15366" width="10.140625" style="4" customWidth="1"/>
    <col min="15367" max="15367" width="10.85546875" style="4" customWidth="1"/>
    <col min="15368" max="15368" width="10.28515625" style="4" customWidth="1"/>
    <col min="15369" max="15616" width="9.140625" style="4"/>
    <col min="15617" max="15617" width="5.42578125" style="4" customWidth="1"/>
    <col min="15618" max="15618" width="7.140625" style="4" customWidth="1"/>
    <col min="15619" max="15619" width="48.7109375" style="4" customWidth="1"/>
    <col min="15620" max="15622" width="10.140625" style="4" customWidth="1"/>
    <col min="15623" max="15623" width="10.85546875" style="4" customWidth="1"/>
    <col min="15624" max="15624" width="10.28515625" style="4" customWidth="1"/>
    <col min="15625" max="15872" width="9.140625" style="4"/>
    <col min="15873" max="15873" width="5.42578125" style="4" customWidth="1"/>
    <col min="15874" max="15874" width="7.140625" style="4" customWidth="1"/>
    <col min="15875" max="15875" width="48.7109375" style="4" customWidth="1"/>
    <col min="15876" max="15878" width="10.140625" style="4" customWidth="1"/>
    <col min="15879" max="15879" width="10.85546875" style="4" customWidth="1"/>
    <col min="15880" max="15880" width="10.28515625" style="4" customWidth="1"/>
    <col min="15881" max="16128" width="9.140625" style="4"/>
    <col min="16129" max="16129" width="5.42578125" style="4" customWidth="1"/>
    <col min="16130" max="16130" width="7.140625" style="4" customWidth="1"/>
    <col min="16131" max="16131" width="48.7109375" style="4" customWidth="1"/>
    <col min="16132" max="16134" width="10.140625" style="4" customWidth="1"/>
    <col min="16135" max="16135" width="10.85546875" style="4" customWidth="1"/>
    <col min="16136" max="16136" width="10.28515625" style="4" customWidth="1"/>
    <col min="16137" max="16384" width="9.140625" style="4"/>
  </cols>
  <sheetData>
    <row r="1" spans="1:13" ht="15.75" x14ac:dyDescent="0.25">
      <c r="C1" s="264" t="s">
        <v>716</v>
      </c>
      <c r="D1" s="264"/>
      <c r="E1" s="264"/>
      <c r="F1" s="264"/>
      <c r="G1" s="264"/>
      <c r="H1" s="264"/>
    </row>
    <row r="2" spans="1:13" ht="15.75" x14ac:dyDescent="0.25">
      <c r="C2" s="264" t="s">
        <v>719</v>
      </c>
      <c r="D2" s="264"/>
      <c r="E2" s="264"/>
      <c r="F2" s="264"/>
      <c r="G2" s="264"/>
      <c r="H2" s="264"/>
    </row>
    <row r="3" spans="1:13" ht="15.75" x14ac:dyDescent="0.25">
      <c r="B3" s="5"/>
      <c r="C3" s="153"/>
      <c r="D3" s="153"/>
      <c r="E3" s="263" t="s">
        <v>651</v>
      </c>
      <c r="F3" s="263"/>
      <c r="G3" s="263"/>
      <c r="H3" s="263"/>
    </row>
    <row r="4" spans="1:13" ht="15.75" x14ac:dyDescent="0.25">
      <c r="B4" s="5"/>
      <c r="E4" s="153"/>
      <c r="F4" s="153"/>
      <c r="G4" s="153"/>
    </row>
    <row r="5" spans="1:13" ht="27.75" customHeight="1" x14ac:dyDescent="0.2">
      <c r="A5" s="265" t="s">
        <v>718</v>
      </c>
      <c r="B5" s="265"/>
      <c r="C5" s="265"/>
      <c r="D5" s="265"/>
      <c r="E5" s="265"/>
      <c r="F5" s="265"/>
      <c r="G5" s="265"/>
    </row>
    <row r="6" spans="1:13" x14ac:dyDescent="0.2">
      <c r="A6" s="8"/>
      <c r="B6" s="8"/>
      <c r="C6" s="8"/>
      <c r="D6" s="8"/>
      <c r="E6" s="8"/>
      <c r="F6" s="8"/>
      <c r="G6" s="8"/>
    </row>
    <row r="7" spans="1:13" x14ac:dyDescent="0.2">
      <c r="B7" s="5"/>
      <c r="E7" s="80"/>
      <c r="F7" s="80"/>
      <c r="G7" s="281" t="s">
        <v>3</v>
      </c>
      <c r="H7" s="281"/>
    </row>
    <row r="8" spans="1:13" x14ac:dyDescent="0.2">
      <c r="A8" s="266" t="s">
        <v>4</v>
      </c>
      <c r="B8" s="268" t="s">
        <v>5</v>
      </c>
      <c r="C8" s="266" t="s">
        <v>6</v>
      </c>
      <c r="D8" s="268" t="s">
        <v>7</v>
      </c>
      <c r="E8" s="270" t="s">
        <v>8</v>
      </c>
      <c r="F8" s="271"/>
      <c r="G8" s="270" t="s">
        <v>9</v>
      </c>
      <c r="H8" s="271"/>
    </row>
    <row r="9" spans="1:13" ht="24.75" customHeight="1" x14ac:dyDescent="0.2">
      <c r="A9" s="267"/>
      <c r="B9" s="269"/>
      <c r="C9" s="267"/>
      <c r="D9" s="269"/>
      <c r="E9" s="10" t="s">
        <v>10</v>
      </c>
      <c r="F9" s="10" t="s">
        <v>11</v>
      </c>
      <c r="G9" s="10" t="s">
        <v>10</v>
      </c>
      <c r="H9" s="10" t="s">
        <v>11</v>
      </c>
    </row>
    <row r="10" spans="1:13" x14ac:dyDescent="0.2">
      <c r="A10" s="214">
        <v>1</v>
      </c>
      <c r="B10" s="12" t="s">
        <v>12</v>
      </c>
      <c r="C10" s="10">
        <v>3</v>
      </c>
      <c r="D10" s="13">
        <v>4</v>
      </c>
      <c r="E10" s="10">
        <v>5</v>
      </c>
      <c r="F10" s="10">
        <v>6</v>
      </c>
      <c r="G10" s="10">
        <v>7</v>
      </c>
      <c r="H10" s="11">
        <v>8</v>
      </c>
    </row>
    <row r="11" spans="1:13" x14ac:dyDescent="0.2">
      <c r="A11" s="215">
        <v>1</v>
      </c>
      <c r="B11" s="12" t="s">
        <v>13</v>
      </c>
      <c r="C11" s="15" t="s">
        <v>14</v>
      </c>
      <c r="D11" s="13"/>
      <c r="E11" s="216">
        <f>+E12</f>
        <v>400</v>
      </c>
      <c r="F11" s="216">
        <f>+F12</f>
        <v>0</v>
      </c>
      <c r="G11" s="216">
        <f>+G12</f>
        <v>0</v>
      </c>
      <c r="H11" s="216">
        <f>+H12</f>
        <v>0</v>
      </c>
    </row>
    <row r="12" spans="1:13" x14ac:dyDescent="0.2">
      <c r="A12" s="215">
        <v>2</v>
      </c>
      <c r="B12" s="18"/>
      <c r="C12" s="47" t="s">
        <v>431</v>
      </c>
      <c r="D12" s="18"/>
      <c r="E12" s="217">
        <f>+E13</f>
        <v>400</v>
      </c>
      <c r="F12" s="218">
        <f>F13</f>
        <v>0</v>
      </c>
      <c r="G12" s="217">
        <f>+G13</f>
        <v>0</v>
      </c>
      <c r="H12" s="21"/>
      <c r="L12" s="97"/>
      <c r="M12" s="219"/>
    </row>
    <row r="13" spans="1:13" ht="38.25" x14ac:dyDescent="0.2">
      <c r="A13" s="215" t="s">
        <v>511</v>
      </c>
      <c r="B13" s="18"/>
      <c r="C13" s="126" t="s">
        <v>84</v>
      </c>
      <c r="D13" s="18" t="s">
        <v>60</v>
      </c>
      <c r="E13" s="220">
        <v>400</v>
      </c>
      <c r="F13" s="220">
        <v>0</v>
      </c>
      <c r="G13" s="111"/>
      <c r="H13" s="21"/>
      <c r="L13" s="97"/>
      <c r="M13" s="219"/>
    </row>
    <row r="14" spans="1:13" x14ac:dyDescent="0.2">
      <c r="A14" s="215">
        <v>3</v>
      </c>
      <c r="B14" s="18"/>
      <c r="C14" s="221" t="s">
        <v>481</v>
      </c>
      <c r="D14" s="18"/>
      <c r="E14" s="110">
        <f>+E11</f>
        <v>400</v>
      </c>
      <c r="F14" s="110">
        <f>+F11</f>
        <v>0</v>
      </c>
      <c r="G14" s="110">
        <f>+G11</f>
        <v>0</v>
      </c>
      <c r="H14" s="222">
        <f>SUM(H11:H13)</f>
        <v>0</v>
      </c>
      <c r="I14" s="97"/>
    </row>
    <row r="15" spans="1:13" x14ac:dyDescent="0.2">
      <c r="C15" s="4" t="s">
        <v>564</v>
      </c>
      <c r="E15" s="97"/>
      <c r="F15" s="97"/>
      <c r="G15" s="97"/>
    </row>
    <row r="16" spans="1:13" x14ac:dyDescent="0.2">
      <c r="D16" s="4"/>
      <c r="E16" s="97"/>
      <c r="F16" s="97"/>
      <c r="G16" s="97"/>
    </row>
    <row r="17" spans="3:7" x14ac:dyDescent="0.2">
      <c r="D17" s="4"/>
      <c r="E17" s="137"/>
      <c r="F17" s="137"/>
      <c r="G17" s="137"/>
    </row>
    <row r="18" spans="3:7" x14ac:dyDescent="0.2">
      <c r="E18" s="137"/>
      <c r="F18" s="137"/>
      <c r="G18" s="137"/>
    </row>
    <row r="19" spans="3:7" x14ac:dyDescent="0.2">
      <c r="E19" s="97"/>
      <c r="F19" s="97"/>
      <c r="G19" s="97"/>
    </row>
    <row r="20" spans="3:7" x14ac:dyDescent="0.2">
      <c r="E20" s="137"/>
      <c r="F20" s="137"/>
    </row>
    <row r="21" spans="3:7" x14ac:dyDescent="0.2">
      <c r="E21" s="97"/>
      <c r="F21" s="97"/>
      <c r="G21" s="97"/>
    </row>
    <row r="22" spans="3:7" x14ac:dyDescent="0.2">
      <c r="C22" s="80"/>
      <c r="D22" s="80"/>
      <c r="E22" s="97"/>
      <c r="F22" s="97"/>
      <c r="G22" s="97"/>
    </row>
    <row r="23" spans="3:7" x14ac:dyDescent="0.2">
      <c r="C23" s="80"/>
      <c r="D23" s="80"/>
      <c r="E23" s="97"/>
      <c r="F23" s="97"/>
      <c r="G23" s="97"/>
    </row>
    <row r="24" spans="3:7" x14ac:dyDescent="0.2">
      <c r="E24" s="97"/>
      <c r="F24" s="97"/>
      <c r="G24" s="97"/>
    </row>
    <row r="25" spans="3:7" x14ac:dyDescent="0.2">
      <c r="E25" s="97"/>
      <c r="F25" s="97"/>
      <c r="G25" s="97"/>
    </row>
    <row r="27" spans="3:7" x14ac:dyDescent="0.2">
      <c r="E27" s="97"/>
      <c r="F27" s="97"/>
      <c r="G27" s="97"/>
    </row>
    <row r="29" spans="3:7" x14ac:dyDescent="0.2">
      <c r="E29" s="97"/>
      <c r="F29" s="97"/>
      <c r="G29" s="97"/>
    </row>
  </sheetData>
  <mergeCells count="11">
    <mergeCell ref="G7:H7"/>
    <mergeCell ref="E3:H3"/>
    <mergeCell ref="C1:H1"/>
    <mergeCell ref="C2:H2"/>
    <mergeCell ref="A5:G5"/>
    <mergeCell ref="G8:H8"/>
    <mergeCell ref="A8:A9"/>
    <mergeCell ref="B8:B9"/>
    <mergeCell ref="C8:C9"/>
    <mergeCell ref="D8:D9"/>
    <mergeCell ref="E8:F8"/>
  </mergeCells>
  <pageMargins left="1.299212598425197"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44342-C873-46FB-880E-917D22F63903}">
  <dimension ref="A1:P64"/>
  <sheetViews>
    <sheetView workbookViewId="0">
      <selection activeCell="A5" sqref="A5:G5"/>
    </sheetView>
  </sheetViews>
  <sheetFormatPr defaultRowHeight="12.75" x14ac:dyDescent="0.2"/>
  <cols>
    <col min="1" max="1" width="4" style="6" customWidth="1"/>
    <col min="2" max="2" width="6.7109375" style="2" customWidth="1"/>
    <col min="3" max="3" width="56" style="6" customWidth="1"/>
    <col min="4" max="4" width="10.28515625" style="2" customWidth="1"/>
    <col min="5" max="5" width="8.85546875" style="1" customWidth="1"/>
    <col min="6" max="6" width="8.28515625" style="1" customWidth="1"/>
    <col min="7" max="7" width="11.140625" style="1" customWidth="1"/>
    <col min="8" max="256" width="9.140625" style="4"/>
    <col min="257" max="257" width="4" style="4" customWidth="1"/>
    <col min="258" max="258" width="6.7109375" style="4" customWidth="1"/>
    <col min="259" max="259" width="56" style="4" customWidth="1"/>
    <col min="260" max="260" width="10.28515625" style="4" customWidth="1"/>
    <col min="261" max="261" width="8.85546875" style="4" customWidth="1"/>
    <col min="262" max="262" width="8.28515625" style="4" customWidth="1"/>
    <col min="263" max="263" width="11.140625" style="4" customWidth="1"/>
    <col min="264" max="512" width="9.140625" style="4"/>
    <col min="513" max="513" width="4" style="4" customWidth="1"/>
    <col min="514" max="514" width="6.7109375" style="4" customWidth="1"/>
    <col min="515" max="515" width="56" style="4" customWidth="1"/>
    <col min="516" max="516" width="10.28515625" style="4" customWidth="1"/>
    <col min="517" max="517" width="8.85546875" style="4" customWidth="1"/>
    <col min="518" max="518" width="8.28515625" style="4" customWidth="1"/>
    <col min="519" max="519" width="11.140625" style="4" customWidth="1"/>
    <col min="520" max="768" width="9.140625" style="4"/>
    <col min="769" max="769" width="4" style="4" customWidth="1"/>
    <col min="770" max="770" width="6.7109375" style="4" customWidth="1"/>
    <col min="771" max="771" width="56" style="4" customWidth="1"/>
    <col min="772" max="772" width="10.28515625" style="4" customWidth="1"/>
    <col min="773" max="773" width="8.85546875" style="4" customWidth="1"/>
    <col min="774" max="774" width="8.28515625" style="4" customWidth="1"/>
    <col min="775" max="775" width="11.140625" style="4" customWidth="1"/>
    <col min="776" max="1024" width="9.140625" style="4"/>
    <col min="1025" max="1025" width="4" style="4" customWidth="1"/>
    <col min="1026" max="1026" width="6.7109375" style="4" customWidth="1"/>
    <col min="1027" max="1027" width="56" style="4" customWidth="1"/>
    <col min="1028" max="1028" width="10.28515625" style="4" customWidth="1"/>
    <col min="1029" max="1029" width="8.85546875" style="4" customWidth="1"/>
    <col min="1030" max="1030" width="8.28515625" style="4" customWidth="1"/>
    <col min="1031" max="1031" width="11.140625" style="4" customWidth="1"/>
    <col min="1032" max="1280" width="9.140625" style="4"/>
    <col min="1281" max="1281" width="4" style="4" customWidth="1"/>
    <col min="1282" max="1282" width="6.7109375" style="4" customWidth="1"/>
    <col min="1283" max="1283" width="56" style="4" customWidth="1"/>
    <col min="1284" max="1284" width="10.28515625" style="4" customWidth="1"/>
    <col min="1285" max="1285" width="8.85546875" style="4" customWidth="1"/>
    <col min="1286" max="1286" width="8.28515625" style="4" customWidth="1"/>
    <col min="1287" max="1287" width="11.140625" style="4" customWidth="1"/>
    <col min="1288" max="1536" width="9.140625" style="4"/>
    <col min="1537" max="1537" width="4" style="4" customWidth="1"/>
    <col min="1538" max="1538" width="6.7109375" style="4" customWidth="1"/>
    <col min="1539" max="1539" width="56" style="4" customWidth="1"/>
    <col min="1540" max="1540" width="10.28515625" style="4" customWidth="1"/>
    <col min="1541" max="1541" width="8.85546875" style="4" customWidth="1"/>
    <col min="1542" max="1542" width="8.28515625" style="4" customWidth="1"/>
    <col min="1543" max="1543" width="11.140625" style="4" customWidth="1"/>
    <col min="1544" max="1792" width="9.140625" style="4"/>
    <col min="1793" max="1793" width="4" style="4" customWidth="1"/>
    <col min="1794" max="1794" width="6.7109375" style="4" customWidth="1"/>
    <col min="1795" max="1795" width="56" style="4" customWidth="1"/>
    <col min="1796" max="1796" width="10.28515625" style="4" customWidth="1"/>
    <col min="1797" max="1797" width="8.85546875" style="4" customWidth="1"/>
    <col min="1798" max="1798" width="8.28515625" style="4" customWidth="1"/>
    <col min="1799" max="1799" width="11.140625" style="4" customWidth="1"/>
    <col min="1800" max="2048" width="9.140625" style="4"/>
    <col min="2049" max="2049" width="4" style="4" customWidth="1"/>
    <col min="2050" max="2050" width="6.7109375" style="4" customWidth="1"/>
    <col min="2051" max="2051" width="56" style="4" customWidth="1"/>
    <col min="2052" max="2052" width="10.28515625" style="4" customWidth="1"/>
    <col min="2053" max="2053" width="8.85546875" style="4" customWidth="1"/>
    <col min="2054" max="2054" width="8.28515625" style="4" customWidth="1"/>
    <col min="2055" max="2055" width="11.140625" style="4" customWidth="1"/>
    <col min="2056" max="2304" width="9.140625" style="4"/>
    <col min="2305" max="2305" width="4" style="4" customWidth="1"/>
    <col min="2306" max="2306" width="6.7109375" style="4" customWidth="1"/>
    <col min="2307" max="2307" width="56" style="4" customWidth="1"/>
    <col min="2308" max="2308" width="10.28515625" style="4" customWidth="1"/>
    <col min="2309" max="2309" width="8.85546875" style="4" customWidth="1"/>
    <col min="2310" max="2310" width="8.28515625" style="4" customWidth="1"/>
    <col min="2311" max="2311" width="11.140625" style="4" customWidth="1"/>
    <col min="2312" max="2560" width="9.140625" style="4"/>
    <col min="2561" max="2561" width="4" style="4" customWidth="1"/>
    <col min="2562" max="2562" width="6.7109375" style="4" customWidth="1"/>
    <col min="2563" max="2563" width="56" style="4" customWidth="1"/>
    <col min="2564" max="2564" width="10.28515625" style="4" customWidth="1"/>
    <col min="2565" max="2565" width="8.85546875" style="4" customWidth="1"/>
    <col min="2566" max="2566" width="8.28515625" style="4" customWidth="1"/>
    <col min="2567" max="2567" width="11.140625" style="4" customWidth="1"/>
    <col min="2568" max="2816" width="9.140625" style="4"/>
    <col min="2817" max="2817" width="4" style="4" customWidth="1"/>
    <col min="2818" max="2818" width="6.7109375" style="4" customWidth="1"/>
    <col min="2819" max="2819" width="56" style="4" customWidth="1"/>
    <col min="2820" max="2820" width="10.28515625" style="4" customWidth="1"/>
    <col min="2821" max="2821" width="8.85546875" style="4" customWidth="1"/>
    <col min="2822" max="2822" width="8.28515625" style="4" customWidth="1"/>
    <col min="2823" max="2823" width="11.140625" style="4" customWidth="1"/>
    <col min="2824" max="3072" width="9.140625" style="4"/>
    <col min="3073" max="3073" width="4" style="4" customWidth="1"/>
    <col min="3074" max="3074" width="6.7109375" style="4" customWidth="1"/>
    <col min="3075" max="3075" width="56" style="4" customWidth="1"/>
    <col min="3076" max="3076" width="10.28515625" style="4" customWidth="1"/>
    <col min="3077" max="3077" width="8.85546875" style="4" customWidth="1"/>
    <col min="3078" max="3078" width="8.28515625" style="4" customWidth="1"/>
    <col min="3079" max="3079" width="11.140625" style="4" customWidth="1"/>
    <col min="3080" max="3328" width="9.140625" style="4"/>
    <col min="3329" max="3329" width="4" style="4" customWidth="1"/>
    <col min="3330" max="3330" width="6.7109375" style="4" customWidth="1"/>
    <col min="3331" max="3331" width="56" style="4" customWidth="1"/>
    <col min="3332" max="3332" width="10.28515625" style="4" customWidth="1"/>
    <col min="3333" max="3333" width="8.85546875" style="4" customWidth="1"/>
    <col min="3334" max="3334" width="8.28515625" style="4" customWidth="1"/>
    <col min="3335" max="3335" width="11.140625" style="4" customWidth="1"/>
    <col min="3336" max="3584" width="9.140625" style="4"/>
    <col min="3585" max="3585" width="4" style="4" customWidth="1"/>
    <col min="3586" max="3586" width="6.7109375" style="4" customWidth="1"/>
    <col min="3587" max="3587" width="56" style="4" customWidth="1"/>
    <col min="3588" max="3588" width="10.28515625" style="4" customWidth="1"/>
    <col min="3589" max="3589" width="8.85546875" style="4" customWidth="1"/>
    <col min="3590" max="3590" width="8.28515625" style="4" customWidth="1"/>
    <col min="3591" max="3591" width="11.140625" style="4" customWidth="1"/>
    <col min="3592" max="3840" width="9.140625" style="4"/>
    <col min="3841" max="3841" width="4" style="4" customWidth="1"/>
    <col min="3842" max="3842" width="6.7109375" style="4" customWidth="1"/>
    <col min="3843" max="3843" width="56" style="4" customWidth="1"/>
    <col min="3844" max="3844" width="10.28515625" style="4" customWidth="1"/>
    <col min="3845" max="3845" width="8.85546875" style="4" customWidth="1"/>
    <col min="3846" max="3846" width="8.28515625" style="4" customWidth="1"/>
    <col min="3847" max="3847" width="11.140625" style="4" customWidth="1"/>
    <col min="3848" max="4096" width="9.140625" style="4"/>
    <col min="4097" max="4097" width="4" style="4" customWidth="1"/>
    <col min="4098" max="4098" width="6.7109375" style="4" customWidth="1"/>
    <col min="4099" max="4099" width="56" style="4" customWidth="1"/>
    <col min="4100" max="4100" width="10.28515625" style="4" customWidth="1"/>
    <col min="4101" max="4101" width="8.85546875" style="4" customWidth="1"/>
    <col min="4102" max="4102" width="8.28515625" style="4" customWidth="1"/>
    <col min="4103" max="4103" width="11.140625" style="4" customWidth="1"/>
    <col min="4104" max="4352" width="9.140625" style="4"/>
    <col min="4353" max="4353" width="4" style="4" customWidth="1"/>
    <col min="4354" max="4354" width="6.7109375" style="4" customWidth="1"/>
    <col min="4355" max="4355" width="56" style="4" customWidth="1"/>
    <col min="4356" max="4356" width="10.28515625" style="4" customWidth="1"/>
    <col min="4357" max="4357" width="8.85546875" style="4" customWidth="1"/>
    <col min="4358" max="4358" width="8.28515625" style="4" customWidth="1"/>
    <col min="4359" max="4359" width="11.140625" style="4" customWidth="1"/>
    <col min="4360" max="4608" width="9.140625" style="4"/>
    <col min="4609" max="4609" width="4" style="4" customWidth="1"/>
    <col min="4610" max="4610" width="6.7109375" style="4" customWidth="1"/>
    <col min="4611" max="4611" width="56" style="4" customWidth="1"/>
    <col min="4612" max="4612" width="10.28515625" style="4" customWidth="1"/>
    <col min="4613" max="4613" width="8.85546875" style="4" customWidth="1"/>
    <col min="4614" max="4614" width="8.28515625" style="4" customWidth="1"/>
    <col min="4615" max="4615" width="11.140625" style="4" customWidth="1"/>
    <col min="4616" max="4864" width="9.140625" style="4"/>
    <col min="4865" max="4865" width="4" style="4" customWidth="1"/>
    <col min="4866" max="4866" width="6.7109375" style="4" customWidth="1"/>
    <col min="4867" max="4867" width="56" style="4" customWidth="1"/>
    <col min="4868" max="4868" width="10.28515625" style="4" customWidth="1"/>
    <col min="4869" max="4869" width="8.85546875" style="4" customWidth="1"/>
    <col min="4870" max="4870" width="8.28515625" style="4" customWidth="1"/>
    <col min="4871" max="4871" width="11.140625" style="4" customWidth="1"/>
    <col min="4872" max="5120" width="9.140625" style="4"/>
    <col min="5121" max="5121" width="4" style="4" customWidth="1"/>
    <col min="5122" max="5122" width="6.7109375" style="4" customWidth="1"/>
    <col min="5123" max="5123" width="56" style="4" customWidth="1"/>
    <col min="5124" max="5124" width="10.28515625" style="4" customWidth="1"/>
    <col min="5125" max="5125" width="8.85546875" style="4" customWidth="1"/>
    <col min="5126" max="5126" width="8.28515625" style="4" customWidth="1"/>
    <col min="5127" max="5127" width="11.140625" style="4" customWidth="1"/>
    <col min="5128" max="5376" width="9.140625" style="4"/>
    <col min="5377" max="5377" width="4" style="4" customWidth="1"/>
    <col min="5378" max="5378" width="6.7109375" style="4" customWidth="1"/>
    <col min="5379" max="5379" width="56" style="4" customWidth="1"/>
    <col min="5380" max="5380" width="10.28515625" style="4" customWidth="1"/>
    <col min="5381" max="5381" width="8.85546875" style="4" customWidth="1"/>
    <col min="5382" max="5382" width="8.28515625" style="4" customWidth="1"/>
    <col min="5383" max="5383" width="11.140625" style="4" customWidth="1"/>
    <col min="5384" max="5632" width="9.140625" style="4"/>
    <col min="5633" max="5633" width="4" style="4" customWidth="1"/>
    <col min="5634" max="5634" width="6.7109375" style="4" customWidth="1"/>
    <col min="5635" max="5635" width="56" style="4" customWidth="1"/>
    <col min="5636" max="5636" width="10.28515625" style="4" customWidth="1"/>
    <col min="5637" max="5637" width="8.85546875" style="4" customWidth="1"/>
    <col min="5638" max="5638" width="8.28515625" style="4" customWidth="1"/>
    <col min="5639" max="5639" width="11.140625" style="4" customWidth="1"/>
    <col min="5640" max="5888" width="9.140625" style="4"/>
    <col min="5889" max="5889" width="4" style="4" customWidth="1"/>
    <col min="5890" max="5890" width="6.7109375" style="4" customWidth="1"/>
    <col min="5891" max="5891" width="56" style="4" customWidth="1"/>
    <col min="5892" max="5892" width="10.28515625" style="4" customWidth="1"/>
    <col min="5893" max="5893" width="8.85546875" style="4" customWidth="1"/>
    <col min="5894" max="5894" width="8.28515625" style="4" customWidth="1"/>
    <col min="5895" max="5895" width="11.140625" style="4" customWidth="1"/>
    <col min="5896" max="6144" width="9.140625" style="4"/>
    <col min="6145" max="6145" width="4" style="4" customWidth="1"/>
    <col min="6146" max="6146" width="6.7109375" style="4" customWidth="1"/>
    <col min="6147" max="6147" width="56" style="4" customWidth="1"/>
    <col min="6148" max="6148" width="10.28515625" style="4" customWidth="1"/>
    <col min="6149" max="6149" width="8.85546875" style="4" customWidth="1"/>
    <col min="6150" max="6150" width="8.28515625" style="4" customWidth="1"/>
    <col min="6151" max="6151" width="11.140625" style="4" customWidth="1"/>
    <col min="6152" max="6400" width="9.140625" style="4"/>
    <col min="6401" max="6401" width="4" style="4" customWidth="1"/>
    <col min="6402" max="6402" width="6.7109375" style="4" customWidth="1"/>
    <col min="6403" max="6403" width="56" style="4" customWidth="1"/>
    <col min="6404" max="6404" width="10.28515625" style="4" customWidth="1"/>
    <col min="6405" max="6405" width="8.85546875" style="4" customWidth="1"/>
    <col min="6406" max="6406" width="8.28515625" style="4" customWidth="1"/>
    <col min="6407" max="6407" width="11.140625" style="4" customWidth="1"/>
    <col min="6408" max="6656" width="9.140625" style="4"/>
    <col min="6657" max="6657" width="4" style="4" customWidth="1"/>
    <col min="6658" max="6658" width="6.7109375" style="4" customWidth="1"/>
    <col min="6659" max="6659" width="56" style="4" customWidth="1"/>
    <col min="6660" max="6660" width="10.28515625" style="4" customWidth="1"/>
    <col min="6661" max="6661" width="8.85546875" style="4" customWidth="1"/>
    <col min="6662" max="6662" width="8.28515625" style="4" customWidth="1"/>
    <col min="6663" max="6663" width="11.140625" style="4" customWidth="1"/>
    <col min="6664" max="6912" width="9.140625" style="4"/>
    <col min="6913" max="6913" width="4" style="4" customWidth="1"/>
    <col min="6914" max="6914" width="6.7109375" style="4" customWidth="1"/>
    <col min="6915" max="6915" width="56" style="4" customWidth="1"/>
    <col min="6916" max="6916" width="10.28515625" style="4" customWidth="1"/>
    <col min="6917" max="6917" width="8.85546875" style="4" customWidth="1"/>
    <col min="6918" max="6918" width="8.28515625" style="4" customWidth="1"/>
    <col min="6919" max="6919" width="11.140625" style="4" customWidth="1"/>
    <col min="6920" max="7168" width="9.140625" style="4"/>
    <col min="7169" max="7169" width="4" style="4" customWidth="1"/>
    <col min="7170" max="7170" width="6.7109375" style="4" customWidth="1"/>
    <col min="7171" max="7171" width="56" style="4" customWidth="1"/>
    <col min="7172" max="7172" width="10.28515625" style="4" customWidth="1"/>
    <col min="7173" max="7173" width="8.85546875" style="4" customWidth="1"/>
    <col min="7174" max="7174" width="8.28515625" style="4" customWidth="1"/>
    <col min="7175" max="7175" width="11.140625" style="4" customWidth="1"/>
    <col min="7176" max="7424" width="9.140625" style="4"/>
    <col min="7425" max="7425" width="4" style="4" customWidth="1"/>
    <col min="7426" max="7426" width="6.7109375" style="4" customWidth="1"/>
    <col min="7427" max="7427" width="56" style="4" customWidth="1"/>
    <col min="7428" max="7428" width="10.28515625" style="4" customWidth="1"/>
    <col min="7429" max="7429" width="8.85546875" style="4" customWidth="1"/>
    <col min="7430" max="7430" width="8.28515625" style="4" customWidth="1"/>
    <col min="7431" max="7431" width="11.140625" style="4" customWidth="1"/>
    <col min="7432" max="7680" width="9.140625" style="4"/>
    <col min="7681" max="7681" width="4" style="4" customWidth="1"/>
    <col min="7682" max="7682" width="6.7109375" style="4" customWidth="1"/>
    <col min="7683" max="7683" width="56" style="4" customWidth="1"/>
    <col min="7684" max="7684" width="10.28515625" style="4" customWidth="1"/>
    <col min="7685" max="7685" width="8.85546875" style="4" customWidth="1"/>
    <col min="7686" max="7686" width="8.28515625" style="4" customWidth="1"/>
    <col min="7687" max="7687" width="11.140625" style="4" customWidth="1"/>
    <col min="7688" max="7936" width="9.140625" style="4"/>
    <col min="7937" max="7937" width="4" style="4" customWidth="1"/>
    <col min="7938" max="7938" width="6.7109375" style="4" customWidth="1"/>
    <col min="7939" max="7939" width="56" style="4" customWidth="1"/>
    <col min="7940" max="7940" width="10.28515625" style="4" customWidth="1"/>
    <col min="7941" max="7941" width="8.85546875" style="4" customWidth="1"/>
    <col min="7942" max="7942" width="8.28515625" style="4" customWidth="1"/>
    <col min="7943" max="7943" width="11.140625" style="4" customWidth="1"/>
    <col min="7944" max="8192" width="9.140625" style="4"/>
    <col min="8193" max="8193" width="4" style="4" customWidth="1"/>
    <col min="8194" max="8194" width="6.7109375" style="4" customWidth="1"/>
    <col min="8195" max="8195" width="56" style="4" customWidth="1"/>
    <col min="8196" max="8196" width="10.28515625" style="4" customWidth="1"/>
    <col min="8197" max="8197" width="8.85546875" style="4" customWidth="1"/>
    <col min="8198" max="8198" width="8.28515625" style="4" customWidth="1"/>
    <col min="8199" max="8199" width="11.140625" style="4" customWidth="1"/>
    <col min="8200" max="8448" width="9.140625" style="4"/>
    <col min="8449" max="8449" width="4" style="4" customWidth="1"/>
    <col min="8450" max="8450" width="6.7109375" style="4" customWidth="1"/>
    <col min="8451" max="8451" width="56" style="4" customWidth="1"/>
    <col min="8452" max="8452" width="10.28515625" style="4" customWidth="1"/>
    <col min="8453" max="8453" width="8.85546875" style="4" customWidth="1"/>
    <col min="8454" max="8454" width="8.28515625" style="4" customWidth="1"/>
    <col min="8455" max="8455" width="11.140625" style="4" customWidth="1"/>
    <col min="8456" max="8704" width="9.140625" style="4"/>
    <col min="8705" max="8705" width="4" style="4" customWidth="1"/>
    <col min="8706" max="8706" width="6.7109375" style="4" customWidth="1"/>
    <col min="8707" max="8707" width="56" style="4" customWidth="1"/>
    <col min="8708" max="8708" width="10.28515625" style="4" customWidth="1"/>
    <col min="8709" max="8709" width="8.85546875" style="4" customWidth="1"/>
    <col min="8710" max="8710" width="8.28515625" style="4" customWidth="1"/>
    <col min="8711" max="8711" width="11.140625" style="4" customWidth="1"/>
    <col min="8712" max="8960" width="9.140625" style="4"/>
    <col min="8961" max="8961" width="4" style="4" customWidth="1"/>
    <col min="8962" max="8962" width="6.7109375" style="4" customWidth="1"/>
    <col min="8963" max="8963" width="56" style="4" customWidth="1"/>
    <col min="8964" max="8964" width="10.28515625" style="4" customWidth="1"/>
    <col min="8965" max="8965" width="8.85546875" style="4" customWidth="1"/>
    <col min="8966" max="8966" width="8.28515625" style="4" customWidth="1"/>
    <col min="8967" max="8967" width="11.140625" style="4" customWidth="1"/>
    <col min="8968" max="9216" width="9.140625" style="4"/>
    <col min="9217" max="9217" width="4" style="4" customWidth="1"/>
    <col min="9218" max="9218" width="6.7109375" style="4" customWidth="1"/>
    <col min="9219" max="9219" width="56" style="4" customWidth="1"/>
    <col min="9220" max="9220" width="10.28515625" style="4" customWidth="1"/>
    <col min="9221" max="9221" width="8.85546875" style="4" customWidth="1"/>
    <col min="9222" max="9222" width="8.28515625" style="4" customWidth="1"/>
    <col min="9223" max="9223" width="11.140625" style="4" customWidth="1"/>
    <col min="9224" max="9472" width="9.140625" style="4"/>
    <col min="9473" max="9473" width="4" style="4" customWidth="1"/>
    <col min="9474" max="9474" width="6.7109375" style="4" customWidth="1"/>
    <col min="9475" max="9475" width="56" style="4" customWidth="1"/>
    <col min="9476" max="9476" width="10.28515625" style="4" customWidth="1"/>
    <col min="9477" max="9477" width="8.85546875" style="4" customWidth="1"/>
    <col min="9478" max="9478" width="8.28515625" style="4" customWidth="1"/>
    <col min="9479" max="9479" width="11.140625" style="4" customWidth="1"/>
    <col min="9480" max="9728" width="9.140625" style="4"/>
    <col min="9729" max="9729" width="4" style="4" customWidth="1"/>
    <col min="9730" max="9730" width="6.7109375" style="4" customWidth="1"/>
    <col min="9731" max="9731" width="56" style="4" customWidth="1"/>
    <col min="9732" max="9732" width="10.28515625" style="4" customWidth="1"/>
    <col min="9733" max="9733" width="8.85546875" style="4" customWidth="1"/>
    <col min="9734" max="9734" width="8.28515625" style="4" customWidth="1"/>
    <col min="9735" max="9735" width="11.140625" style="4" customWidth="1"/>
    <col min="9736" max="9984" width="9.140625" style="4"/>
    <col min="9985" max="9985" width="4" style="4" customWidth="1"/>
    <col min="9986" max="9986" width="6.7109375" style="4" customWidth="1"/>
    <col min="9987" max="9987" width="56" style="4" customWidth="1"/>
    <col min="9988" max="9988" width="10.28515625" style="4" customWidth="1"/>
    <col min="9989" max="9989" width="8.85546875" style="4" customWidth="1"/>
    <col min="9990" max="9990" width="8.28515625" style="4" customWidth="1"/>
    <col min="9991" max="9991" width="11.140625" style="4" customWidth="1"/>
    <col min="9992" max="10240" width="9.140625" style="4"/>
    <col min="10241" max="10241" width="4" style="4" customWidth="1"/>
    <col min="10242" max="10242" width="6.7109375" style="4" customWidth="1"/>
    <col min="10243" max="10243" width="56" style="4" customWidth="1"/>
    <col min="10244" max="10244" width="10.28515625" style="4" customWidth="1"/>
    <col min="10245" max="10245" width="8.85546875" style="4" customWidth="1"/>
    <col min="10246" max="10246" width="8.28515625" style="4" customWidth="1"/>
    <col min="10247" max="10247" width="11.140625" style="4" customWidth="1"/>
    <col min="10248" max="10496" width="9.140625" style="4"/>
    <col min="10497" max="10497" width="4" style="4" customWidth="1"/>
    <col min="10498" max="10498" width="6.7109375" style="4" customWidth="1"/>
    <col min="10499" max="10499" width="56" style="4" customWidth="1"/>
    <col min="10500" max="10500" width="10.28515625" style="4" customWidth="1"/>
    <col min="10501" max="10501" width="8.85546875" style="4" customWidth="1"/>
    <col min="10502" max="10502" width="8.28515625" style="4" customWidth="1"/>
    <col min="10503" max="10503" width="11.140625" style="4" customWidth="1"/>
    <col min="10504" max="10752" width="9.140625" style="4"/>
    <col min="10753" max="10753" width="4" style="4" customWidth="1"/>
    <col min="10754" max="10754" width="6.7109375" style="4" customWidth="1"/>
    <col min="10755" max="10755" width="56" style="4" customWidth="1"/>
    <col min="10756" max="10756" width="10.28515625" style="4" customWidth="1"/>
    <col min="10757" max="10757" width="8.85546875" style="4" customWidth="1"/>
    <col min="10758" max="10758" width="8.28515625" style="4" customWidth="1"/>
    <col min="10759" max="10759" width="11.140625" style="4" customWidth="1"/>
    <col min="10760" max="11008" width="9.140625" style="4"/>
    <col min="11009" max="11009" width="4" style="4" customWidth="1"/>
    <col min="11010" max="11010" width="6.7109375" style="4" customWidth="1"/>
    <col min="11011" max="11011" width="56" style="4" customWidth="1"/>
    <col min="11012" max="11012" width="10.28515625" style="4" customWidth="1"/>
    <col min="11013" max="11013" width="8.85546875" style="4" customWidth="1"/>
    <col min="11014" max="11014" width="8.28515625" style="4" customWidth="1"/>
    <col min="11015" max="11015" width="11.140625" style="4" customWidth="1"/>
    <col min="11016" max="11264" width="9.140625" style="4"/>
    <col min="11265" max="11265" width="4" style="4" customWidth="1"/>
    <col min="11266" max="11266" width="6.7109375" style="4" customWidth="1"/>
    <col min="11267" max="11267" width="56" style="4" customWidth="1"/>
    <col min="11268" max="11268" width="10.28515625" style="4" customWidth="1"/>
    <col min="11269" max="11269" width="8.85546875" style="4" customWidth="1"/>
    <col min="11270" max="11270" width="8.28515625" style="4" customWidth="1"/>
    <col min="11271" max="11271" width="11.140625" style="4" customWidth="1"/>
    <col min="11272" max="11520" width="9.140625" style="4"/>
    <col min="11521" max="11521" width="4" style="4" customWidth="1"/>
    <col min="11522" max="11522" width="6.7109375" style="4" customWidth="1"/>
    <col min="11523" max="11523" width="56" style="4" customWidth="1"/>
    <col min="11524" max="11524" width="10.28515625" style="4" customWidth="1"/>
    <col min="11525" max="11525" width="8.85546875" style="4" customWidth="1"/>
    <col min="11526" max="11526" width="8.28515625" style="4" customWidth="1"/>
    <col min="11527" max="11527" width="11.140625" style="4" customWidth="1"/>
    <col min="11528" max="11776" width="9.140625" style="4"/>
    <col min="11777" max="11777" width="4" style="4" customWidth="1"/>
    <col min="11778" max="11778" width="6.7109375" style="4" customWidth="1"/>
    <col min="11779" max="11779" width="56" style="4" customWidth="1"/>
    <col min="11780" max="11780" width="10.28515625" style="4" customWidth="1"/>
    <col min="11781" max="11781" width="8.85546875" style="4" customWidth="1"/>
    <col min="11782" max="11782" width="8.28515625" style="4" customWidth="1"/>
    <col min="11783" max="11783" width="11.140625" style="4" customWidth="1"/>
    <col min="11784" max="12032" width="9.140625" style="4"/>
    <col min="12033" max="12033" width="4" style="4" customWidth="1"/>
    <col min="12034" max="12034" width="6.7109375" style="4" customWidth="1"/>
    <col min="12035" max="12035" width="56" style="4" customWidth="1"/>
    <col min="12036" max="12036" width="10.28515625" style="4" customWidth="1"/>
    <col min="12037" max="12037" width="8.85546875" style="4" customWidth="1"/>
    <col min="12038" max="12038" width="8.28515625" style="4" customWidth="1"/>
    <col min="12039" max="12039" width="11.140625" style="4" customWidth="1"/>
    <col min="12040" max="12288" width="9.140625" style="4"/>
    <col min="12289" max="12289" width="4" style="4" customWidth="1"/>
    <col min="12290" max="12290" width="6.7109375" style="4" customWidth="1"/>
    <col min="12291" max="12291" width="56" style="4" customWidth="1"/>
    <col min="12292" max="12292" width="10.28515625" style="4" customWidth="1"/>
    <col min="12293" max="12293" width="8.85546875" style="4" customWidth="1"/>
    <col min="12294" max="12294" width="8.28515625" style="4" customWidth="1"/>
    <col min="12295" max="12295" width="11.140625" style="4" customWidth="1"/>
    <col min="12296" max="12544" width="9.140625" style="4"/>
    <col min="12545" max="12545" width="4" style="4" customWidth="1"/>
    <col min="12546" max="12546" width="6.7109375" style="4" customWidth="1"/>
    <col min="12547" max="12547" width="56" style="4" customWidth="1"/>
    <col min="12548" max="12548" width="10.28515625" style="4" customWidth="1"/>
    <col min="12549" max="12549" width="8.85546875" style="4" customWidth="1"/>
    <col min="12550" max="12550" width="8.28515625" style="4" customWidth="1"/>
    <col min="12551" max="12551" width="11.140625" style="4" customWidth="1"/>
    <col min="12552" max="12800" width="9.140625" style="4"/>
    <col min="12801" max="12801" width="4" style="4" customWidth="1"/>
    <col min="12802" max="12802" width="6.7109375" style="4" customWidth="1"/>
    <col min="12803" max="12803" width="56" style="4" customWidth="1"/>
    <col min="12804" max="12804" width="10.28515625" style="4" customWidth="1"/>
    <col min="12805" max="12805" width="8.85546875" style="4" customWidth="1"/>
    <col min="12806" max="12806" width="8.28515625" style="4" customWidth="1"/>
    <col min="12807" max="12807" width="11.140625" style="4" customWidth="1"/>
    <col min="12808" max="13056" width="9.140625" style="4"/>
    <col min="13057" max="13057" width="4" style="4" customWidth="1"/>
    <col min="13058" max="13058" width="6.7109375" style="4" customWidth="1"/>
    <col min="13059" max="13059" width="56" style="4" customWidth="1"/>
    <col min="13060" max="13060" width="10.28515625" style="4" customWidth="1"/>
    <col min="13061" max="13061" width="8.85546875" style="4" customWidth="1"/>
    <col min="13062" max="13062" width="8.28515625" style="4" customWidth="1"/>
    <col min="13063" max="13063" width="11.140625" style="4" customWidth="1"/>
    <col min="13064" max="13312" width="9.140625" style="4"/>
    <col min="13313" max="13313" width="4" style="4" customWidth="1"/>
    <col min="13314" max="13314" width="6.7109375" style="4" customWidth="1"/>
    <col min="13315" max="13315" width="56" style="4" customWidth="1"/>
    <col min="13316" max="13316" width="10.28515625" style="4" customWidth="1"/>
    <col min="13317" max="13317" width="8.85546875" style="4" customWidth="1"/>
    <col min="13318" max="13318" width="8.28515625" style="4" customWidth="1"/>
    <col min="13319" max="13319" width="11.140625" style="4" customWidth="1"/>
    <col min="13320" max="13568" width="9.140625" style="4"/>
    <col min="13569" max="13569" width="4" style="4" customWidth="1"/>
    <col min="13570" max="13570" width="6.7109375" style="4" customWidth="1"/>
    <col min="13571" max="13571" width="56" style="4" customWidth="1"/>
    <col min="13572" max="13572" width="10.28515625" style="4" customWidth="1"/>
    <col min="13573" max="13573" width="8.85546875" style="4" customWidth="1"/>
    <col min="13574" max="13574" width="8.28515625" style="4" customWidth="1"/>
    <col min="13575" max="13575" width="11.140625" style="4" customWidth="1"/>
    <col min="13576" max="13824" width="9.140625" style="4"/>
    <col min="13825" max="13825" width="4" style="4" customWidth="1"/>
    <col min="13826" max="13826" width="6.7109375" style="4" customWidth="1"/>
    <col min="13827" max="13827" width="56" style="4" customWidth="1"/>
    <col min="13828" max="13828" width="10.28515625" style="4" customWidth="1"/>
    <col min="13829" max="13829" width="8.85546875" style="4" customWidth="1"/>
    <col min="13830" max="13830" width="8.28515625" style="4" customWidth="1"/>
    <col min="13831" max="13831" width="11.140625" style="4" customWidth="1"/>
    <col min="13832" max="14080" width="9.140625" style="4"/>
    <col min="14081" max="14081" width="4" style="4" customWidth="1"/>
    <col min="14082" max="14082" width="6.7109375" style="4" customWidth="1"/>
    <col min="14083" max="14083" width="56" style="4" customWidth="1"/>
    <col min="14084" max="14084" width="10.28515625" style="4" customWidth="1"/>
    <col min="14085" max="14085" width="8.85546875" style="4" customWidth="1"/>
    <col min="14086" max="14086" width="8.28515625" style="4" customWidth="1"/>
    <col min="14087" max="14087" width="11.140625" style="4" customWidth="1"/>
    <col min="14088" max="14336" width="9.140625" style="4"/>
    <col min="14337" max="14337" width="4" style="4" customWidth="1"/>
    <col min="14338" max="14338" width="6.7109375" style="4" customWidth="1"/>
    <col min="14339" max="14339" width="56" style="4" customWidth="1"/>
    <col min="14340" max="14340" width="10.28515625" style="4" customWidth="1"/>
    <col min="14341" max="14341" width="8.85546875" style="4" customWidth="1"/>
    <col min="14342" max="14342" width="8.28515625" style="4" customWidth="1"/>
    <col min="14343" max="14343" width="11.140625" style="4" customWidth="1"/>
    <col min="14344" max="14592" width="9.140625" style="4"/>
    <col min="14593" max="14593" width="4" style="4" customWidth="1"/>
    <col min="14594" max="14594" width="6.7109375" style="4" customWidth="1"/>
    <col min="14595" max="14595" width="56" style="4" customWidth="1"/>
    <col min="14596" max="14596" width="10.28515625" style="4" customWidth="1"/>
    <col min="14597" max="14597" width="8.85546875" style="4" customWidth="1"/>
    <col min="14598" max="14598" width="8.28515625" style="4" customWidth="1"/>
    <col min="14599" max="14599" width="11.140625" style="4" customWidth="1"/>
    <col min="14600" max="14848" width="9.140625" style="4"/>
    <col min="14849" max="14849" width="4" style="4" customWidth="1"/>
    <col min="14850" max="14850" width="6.7109375" style="4" customWidth="1"/>
    <col min="14851" max="14851" width="56" style="4" customWidth="1"/>
    <col min="14852" max="14852" width="10.28515625" style="4" customWidth="1"/>
    <col min="14853" max="14853" width="8.85546875" style="4" customWidth="1"/>
    <col min="14854" max="14854" width="8.28515625" style="4" customWidth="1"/>
    <col min="14855" max="14855" width="11.140625" style="4" customWidth="1"/>
    <col min="14856" max="15104" width="9.140625" style="4"/>
    <col min="15105" max="15105" width="4" style="4" customWidth="1"/>
    <col min="15106" max="15106" width="6.7109375" style="4" customWidth="1"/>
    <col min="15107" max="15107" width="56" style="4" customWidth="1"/>
    <col min="15108" max="15108" width="10.28515625" style="4" customWidth="1"/>
    <col min="15109" max="15109" width="8.85546875" style="4" customWidth="1"/>
    <col min="15110" max="15110" width="8.28515625" style="4" customWidth="1"/>
    <col min="15111" max="15111" width="11.140625" style="4" customWidth="1"/>
    <col min="15112" max="15360" width="9.140625" style="4"/>
    <col min="15361" max="15361" width="4" style="4" customWidth="1"/>
    <col min="15362" max="15362" width="6.7109375" style="4" customWidth="1"/>
    <col min="15363" max="15363" width="56" style="4" customWidth="1"/>
    <col min="15364" max="15364" width="10.28515625" style="4" customWidth="1"/>
    <col min="15365" max="15365" width="8.85546875" style="4" customWidth="1"/>
    <col min="15366" max="15366" width="8.28515625" style="4" customWidth="1"/>
    <col min="15367" max="15367" width="11.140625" style="4" customWidth="1"/>
    <col min="15368" max="15616" width="9.140625" style="4"/>
    <col min="15617" max="15617" width="4" style="4" customWidth="1"/>
    <col min="15618" max="15618" width="6.7109375" style="4" customWidth="1"/>
    <col min="15619" max="15619" width="56" style="4" customWidth="1"/>
    <col min="15620" max="15620" width="10.28515625" style="4" customWidth="1"/>
    <col min="15621" max="15621" width="8.85546875" style="4" customWidth="1"/>
    <col min="15622" max="15622" width="8.28515625" style="4" customWidth="1"/>
    <col min="15623" max="15623" width="11.140625" style="4" customWidth="1"/>
    <col min="15624" max="15872" width="9.140625" style="4"/>
    <col min="15873" max="15873" width="4" style="4" customWidth="1"/>
    <col min="15874" max="15874" width="6.7109375" style="4" customWidth="1"/>
    <col min="15875" max="15875" width="56" style="4" customWidth="1"/>
    <col min="15876" max="15876" width="10.28515625" style="4" customWidth="1"/>
    <col min="15877" max="15877" width="8.85546875" style="4" customWidth="1"/>
    <col min="15878" max="15878" width="8.28515625" style="4" customWidth="1"/>
    <col min="15879" max="15879" width="11.140625" style="4" customWidth="1"/>
    <col min="15880" max="16128" width="9.140625" style="4"/>
    <col min="16129" max="16129" width="4" style="4" customWidth="1"/>
    <col min="16130" max="16130" width="6.7109375" style="4" customWidth="1"/>
    <col min="16131" max="16131" width="56" style="4" customWidth="1"/>
    <col min="16132" max="16132" width="10.28515625" style="4" customWidth="1"/>
    <col min="16133" max="16133" width="8.85546875" style="4" customWidth="1"/>
    <col min="16134" max="16134" width="8.28515625" style="4" customWidth="1"/>
    <col min="16135" max="16135" width="11.140625" style="4" customWidth="1"/>
    <col min="16136" max="16384" width="9.140625" style="4"/>
  </cols>
  <sheetData>
    <row r="1" spans="1:16" ht="15.75" x14ac:dyDescent="0.25">
      <c r="C1" s="264" t="s">
        <v>0</v>
      </c>
      <c r="D1" s="264"/>
      <c r="E1" s="264"/>
      <c r="F1" s="264"/>
      <c r="G1" s="264"/>
      <c r="H1" s="264"/>
    </row>
    <row r="2" spans="1:16" ht="15.75" x14ac:dyDescent="0.25">
      <c r="C2" s="264" t="s">
        <v>725</v>
      </c>
      <c r="D2" s="264"/>
      <c r="E2" s="264"/>
      <c r="F2" s="264"/>
      <c r="G2" s="264"/>
      <c r="H2" s="264"/>
    </row>
    <row r="3" spans="1:16" ht="15.75" x14ac:dyDescent="0.2">
      <c r="C3" s="107"/>
      <c r="D3" s="108"/>
      <c r="E3" s="263" t="s">
        <v>726</v>
      </c>
      <c r="F3" s="263"/>
      <c r="G3" s="263"/>
      <c r="H3" s="263"/>
    </row>
    <row r="5" spans="1:16" ht="18.75" customHeight="1" x14ac:dyDescent="0.2">
      <c r="A5" s="273" t="s">
        <v>484</v>
      </c>
      <c r="B5" s="273"/>
      <c r="C5" s="273"/>
      <c r="D5" s="273"/>
      <c r="E5" s="273"/>
      <c r="F5" s="273"/>
      <c r="G5" s="273"/>
    </row>
    <row r="6" spans="1:16" ht="13.5" customHeight="1" x14ac:dyDescent="0.2">
      <c r="A6" s="109"/>
      <c r="B6" s="109"/>
      <c r="C6" s="109"/>
      <c r="D6" s="109"/>
      <c r="E6" s="109"/>
      <c r="F6" s="109"/>
      <c r="G6" s="109"/>
    </row>
    <row r="7" spans="1:16" x14ac:dyDescent="0.2">
      <c r="G7" s="272" t="s">
        <v>3</v>
      </c>
      <c r="H7" s="272"/>
    </row>
    <row r="8" spans="1:16" ht="23.25" customHeight="1" x14ac:dyDescent="0.2">
      <c r="A8" s="266" t="s">
        <v>4</v>
      </c>
      <c r="B8" s="268" t="s">
        <v>5</v>
      </c>
      <c r="C8" s="266" t="s">
        <v>6</v>
      </c>
      <c r="D8" s="268" t="s">
        <v>7</v>
      </c>
      <c r="E8" s="270" t="s">
        <v>8</v>
      </c>
      <c r="F8" s="271"/>
      <c r="G8" s="270" t="s">
        <v>9</v>
      </c>
      <c r="H8" s="271"/>
    </row>
    <row r="9" spans="1:16" ht="18.75" customHeight="1" x14ac:dyDescent="0.2">
      <c r="A9" s="267"/>
      <c r="B9" s="269"/>
      <c r="C9" s="267"/>
      <c r="D9" s="269"/>
      <c r="E9" s="10" t="s">
        <v>10</v>
      </c>
      <c r="F9" s="10" t="s">
        <v>11</v>
      </c>
      <c r="G9" s="10" t="s">
        <v>10</v>
      </c>
      <c r="H9" s="11" t="s">
        <v>11</v>
      </c>
    </row>
    <row r="10" spans="1:16" x14ac:dyDescent="0.2">
      <c r="A10" s="11">
        <v>1</v>
      </c>
      <c r="B10" s="12" t="s">
        <v>12</v>
      </c>
      <c r="C10" s="10">
        <v>3</v>
      </c>
      <c r="D10" s="13">
        <v>4</v>
      </c>
      <c r="E10" s="10">
        <v>5</v>
      </c>
      <c r="F10" s="10">
        <v>6</v>
      </c>
      <c r="G10" s="10">
        <v>7</v>
      </c>
      <c r="H10" s="11">
        <v>8</v>
      </c>
    </row>
    <row r="11" spans="1:16" x14ac:dyDescent="0.2">
      <c r="A11" s="14">
        <v>1</v>
      </c>
      <c r="B11" s="12" t="s">
        <v>13</v>
      </c>
      <c r="C11" s="15" t="s">
        <v>14</v>
      </c>
      <c r="D11" s="11"/>
      <c r="E11" s="110">
        <f>SUM(E12:E29)</f>
        <v>105.60000000000002</v>
      </c>
      <c r="F11" s="110">
        <f>SUM(F12:F29)</f>
        <v>69.799999999999983</v>
      </c>
      <c r="G11" s="110">
        <f>SUM(G12:G29)</f>
        <v>37.4</v>
      </c>
      <c r="H11" s="110">
        <f>SUM(H12:H29)</f>
        <v>28.6</v>
      </c>
      <c r="I11" s="97"/>
      <c r="M11" s="97"/>
      <c r="N11" s="97"/>
      <c r="O11" s="97"/>
      <c r="P11" s="97"/>
    </row>
    <row r="12" spans="1:16" ht="12.6" customHeight="1" x14ac:dyDescent="0.2">
      <c r="A12" s="14">
        <v>2</v>
      </c>
      <c r="B12" s="49"/>
      <c r="C12" s="31" t="s">
        <v>19</v>
      </c>
      <c r="D12" s="18" t="s">
        <v>16</v>
      </c>
      <c r="E12" s="111">
        <v>0.5</v>
      </c>
      <c r="F12" s="111">
        <v>0.1</v>
      </c>
      <c r="G12" s="111"/>
      <c r="H12" s="23"/>
      <c r="I12" s="97"/>
      <c r="M12" s="97"/>
      <c r="N12" s="97"/>
      <c r="O12" s="97"/>
      <c r="P12" s="97"/>
    </row>
    <row r="13" spans="1:16" ht="12.6" customHeight="1" x14ac:dyDescent="0.2">
      <c r="A13" s="14">
        <v>3</v>
      </c>
      <c r="B13" s="49"/>
      <c r="C13" s="31" t="s">
        <v>25</v>
      </c>
      <c r="D13" s="18" t="s">
        <v>26</v>
      </c>
      <c r="E13" s="111">
        <v>8.5</v>
      </c>
      <c r="F13" s="111">
        <v>8.5</v>
      </c>
      <c r="G13" s="111"/>
      <c r="H13" s="23"/>
      <c r="I13" s="97"/>
      <c r="M13" s="97"/>
      <c r="N13" s="97"/>
      <c r="O13" s="97"/>
      <c r="P13" s="97"/>
    </row>
    <row r="14" spans="1:16" ht="12.6" customHeight="1" x14ac:dyDescent="0.2">
      <c r="A14" s="14">
        <v>4</v>
      </c>
      <c r="B14" s="49"/>
      <c r="C14" s="31" t="s">
        <v>27</v>
      </c>
      <c r="D14" s="18" t="s">
        <v>26</v>
      </c>
      <c r="E14" s="111">
        <v>0.6</v>
      </c>
      <c r="F14" s="111">
        <v>0.3</v>
      </c>
      <c r="G14" s="111"/>
      <c r="H14" s="23"/>
      <c r="I14" s="97"/>
      <c r="M14" s="97"/>
      <c r="N14" s="97"/>
      <c r="O14" s="97"/>
      <c r="P14" s="97"/>
    </row>
    <row r="15" spans="1:16" ht="12.6" customHeight="1" x14ac:dyDescent="0.2">
      <c r="A15" s="14">
        <v>5</v>
      </c>
      <c r="B15" s="49"/>
      <c r="C15" s="112" t="s">
        <v>29</v>
      </c>
      <c r="D15" s="18" t="s">
        <v>26</v>
      </c>
      <c r="E15" s="111">
        <f>1.1-0.2</f>
        <v>0.90000000000000013</v>
      </c>
      <c r="F15" s="111">
        <v>0.6</v>
      </c>
      <c r="G15" s="111">
        <v>0.4</v>
      </c>
      <c r="H15" s="23">
        <v>0.3</v>
      </c>
      <c r="I15" s="97"/>
      <c r="M15" s="97"/>
      <c r="N15" s="97"/>
      <c r="O15" s="97"/>
      <c r="P15" s="97"/>
    </row>
    <row r="16" spans="1:16" ht="12.6" customHeight="1" x14ac:dyDescent="0.2">
      <c r="A16" s="14">
        <v>6</v>
      </c>
      <c r="B16" s="49"/>
      <c r="C16" s="112" t="s">
        <v>30</v>
      </c>
      <c r="D16" s="18" t="s">
        <v>26</v>
      </c>
      <c r="E16" s="111">
        <v>1.5</v>
      </c>
      <c r="F16" s="111">
        <v>0.4</v>
      </c>
      <c r="G16" s="111"/>
      <c r="H16" s="23"/>
      <c r="I16" s="97"/>
      <c r="M16" s="97"/>
      <c r="N16" s="97"/>
      <c r="O16" s="97"/>
      <c r="P16" s="97"/>
    </row>
    <row r="17" spans="1:16" ht="12.6" customHeight="1" x14ac:dyDescent="0.2">
      <c r="A17" s="14">
        <v>7</v>
      </c>
      <c r="B17" s="49"/>
      <c r="C17" s="112" t="s">
        <v>31</v>
      </c>
      <c r="D17" s="18" t="s">
        <v>26</v>
      </c>
      <c r="E17" s="111">
        <f>3.9-1</f>
        <v>2.9</v>
      </c>
      <c r="F17" s="111">
        <v>1.9</v>
      </c>
      <c r="G17" s="111"/>
      <c r="H17" s="23"/>
      <c r="I17" s="97"/>
      <c r="M17" s="97"/>
      <c r="N17" s="97"/>
      <c r="O17" s="97"/>
      <c r="P17" s="97"/>
    </row>
    <row r="18" spans="1:16" ht="12.6" customHeight="1" x14ac:dyDescent="0.2">
      <c r="A18" s="14">
        <v>8</v>
      </c>
      <c r="B18" s="49"/>
      <c r="C18" s="31" t="s">
        <v>32</v>
      </c>
      <c r="D18" s="18" t="s">
        <v>26</v>
      </c>
      <c r="E18" s="111">
        <f>2+0.4</f>
        <v>2.4</v>
      </c>
      <c r="F18" s="111">
        <v>0.6</v>
      </c>
      <c r="G18" s="111"/>
      <c r="H18" s="23"/>
      <c r="I18" s="97"/>
      <c r="M18" s="97"/>
      <c r="N18" s="97"/>
      <c r="O18" s="97"/>
      <c r="P18" s="97"/>
    </row>
    <row r="19" spans="1:16" ht="12.6" customHeight="1" x14ac:dyDescent="0.2">
      <c r="A19" s="14">
        <v>9</v>
      </c>
      <c r="B19" s="49"/>
      <c r="C19" s="112" t="s">
        <v>33</v>
      </c>
      <c r="D19" s="25" t="s">
        <v>485</v>
      </c>
      <c r="E19" s="111">
        <f>32.9-10</f>
        <v>22.9</v>
      </c>
      <c r="F19" s="111">
        <v>8.9</v>
      </c>
      <c r="G19" s="111"/>
      <c r="H19" s="23"/>
      <c r="I19" s="97"/>
      <c r="M19" s="97"/>
      <c r="N19" s="97"/>
      <c r="O19" s="97"/>
      <c r="P19" s="97"/>
    </row>
    <row r="20" spans="1:16" ht="12.6" customHeight="1" x14ac:dyDescent="0.2">
      <c r="A20" s="14">
        <v>10</v>
      </c>
      <c r="B20" s="49"/>
      <c r="C20" s="31" t="s">
        <v>35</v>
      </c>
      <c r="D20" s="25" t="s">
        <v>485</v>
      </c>
      <c r="E20" s="111">
        <v>2.2000000000000002</v>
      </c>
      <c r="F20" s="111">
        <v>2.2000000000000002</v>
      </c>
      <c r="G20" s="111"/>
      <c r="H20" s="23"/>
      <c r="I20" s="97"/>
      <c r="M20" s="97"/>
      <c r="N20" s="97"/>
      <c r="O20" s="97"/>
      <c r="P20" s="97"/>
    </row>
    <row r="21" spans="1:16" ht="12.6" customHeight="1" x14ac:dyDescent="0.2">
      <c r="A21" s="14">
        <v>11</v>
      </c>
      <c r="B21" s="49"/>
      <c r="C21" s="112" t="s">
        <v>37</v>
      </c>
      <c r="D21" s="18" t="s">
        <v>34</v>
      </c>
      <c r="E21" s="111">
        <f>0.5-0.2</f>
        <v>0.3</v>
      </c>
      <c r="F21" s="111">
        <v>0.2</v>
      </c>
      <c r="G21" s="111"/>
      <c r="H21" s="23"/>
      <c r="I21" s="97"/>
      <c r="M21" s="97"/>
      <c r="N21" s="97"/>
      <c r="O21" s="97"/>
      <c r="P21" s="97"/>
    </row>
    <row r="22" spans="1:16" ht="12.6" customHeight="1" x14ac:dyDescent="0.2">
      <c r="A22" s="14">
        <v>12</v>
      </c>
      <c r="B22" s="49"/>
      <c r="C22" s="24" t="s">
        <v>486</v>
      </c>
      <c r="D22" s="18" t="s">
        <v>34</v>
      </c>
      <c r="E22" s="111">
        <v>0.2</v>
      </c>
      <c r="F22" s="111">
        <v>0</v>
      </c>
      <c r="G22" s="111"/>
      <c r="H22" s="23"/>
      <c r="I22" s="97"/>
      <c r="M22" s="97"/>
      <c r="N22" s="97"/>
      <c r="O22" s="97"/>
      <c r="P22" s="97"/>
    </row>
    <row r="23" spans="1:16" ht="12.6" customHeight="1" x14ac:dyDescent="0.2">
      <c r="A23" s="14">
        <v>13</v>
      </c>
      <c r="B23" s="49"/>
      <c r="C23" s="24" t="s">
        <v>40</v>
      </c>
      <c r="D23" s="18" t="s">
        <v>34</v>
      </c>
      <c r="E23" s="111">
        <f>0.4-0.2</f>
        <v>0.2</v>
      </c>
      <c r="F23" s="111">
        <v>0.1</v>
      </c>
      <c r="G23" s="111"/>
      <c r="H23" s="23"/>
      <c r="I23" s="97"/>
      <c r="M23" s="97"/>
      <c r="N23" s="97"/>
      <c r="O23" s="97"/>
      <c r="P23" s="97"/>
    </row>
    <row r="24" spans="1:16" ht="12.6" customHeight="1" x14ac:dyDescent="0.2">
      <c r="A24" s="14">
        <v>14</v>
      </c>
      <c r="B24" s="49"/>
      <c r="C24" s="24" t="s">
        <v>41</v>
      </c>
      <c r="D24" s="18" t="s">
        <v>34</v>
      </c>
      <c r="E24" s="111">
        <f>0.5-0.4</f>
        <v>9.9999999999999978E-2</v>
      </c>
      <c r="F24" s="111">
        <v>0</v>
      </c>
      <c r="G24" s="111"/>
      <c r="H24" s="23"/>
      <c r="I24" s="97"/>
      <c r="M24" s="97"/>
      <c r="N24" s="97"/>
      <c r="O24" s="97"/>
      <c r="P24" s="97"/>
    </row>
    <row r="25" spans="1:16" ht="12.6" customHeight="1" x14ac:dyDescent="0.2">
      <c r="A25" s="14">
        <v>15</v>
      </c>
      <c r="B25" s="49"/>
      <c r="C25" s="112" t="s">
        <v>42</v>
      </c>
      <c r="D25" s="18" t="s">
        <v>26</v>
      </c>
      <c r="E25" s="111">
        <f>33.4+10.2</f>
        <v>43.599999999999994</v>
      </c>
      <c r="F25" s="111">
        <v>33.299999999999997</v>
      </c>
      <c r="G25" s="111">
        <f>22.2+14.8</f>
        <v>37</v>
      </c>
      <c r="H25" s="23">
        <v>28.3</v>
      </c>
      <c r="I25" s="97"/>
      <c r="M25" s="97"/>
      <c r="N25" s="97"/>
      <c r="O25" s="97"/>
      <c r="P25" s="97"/>
    </row>
    <row r="26" spans="1:16" ht="12.6" customHeight="1" x14ac:dyDescent="0.2">
      <c r="A26" s="14">
        <v>16</v>
      </c>
      <c r="B26" s="49"/>
      <c r="C26" s="31" t="s">
        <v>44</v>
      </c>
      <c r="D26" s="18" t="s">
        <v>34</v>
      </c>
      <c r="E26" s="111">
        <f>0.7+0.7</f>
        <v>1.4</v>
      </c>
      <c r="F26" s="111">
        <v>1.4</v>
      </c>
      <c r="G26" s="111"/>
      <c r="H26" s="23"/>
      <c r="I26" s="97"/>
      <c r="M26" s="97"/>
      <c r="N26" s="97"/>
      <c r="O26" s="97"/>
      <c r="P26" s="97"/>
    </row>
    <row r="27" spans="1:16" ht="12.6" customHeight="1" x14ac:dyDescent="0.2">
      <c r="A27" s="14">
        <v>17</v>
      </c>
      <c r="B27" s="49"/>
      <c r="C27" s="31" t="s">
        <v>47</v>
      </c>
      <c r="D27" s="25" t="s">
        <v>46</v>
      </c>
      <c r="E27" s="111">
        <v>0.5</v>
      </c>
      <c r="F27" s="111">
        <v>0.3</v>
      </c>
      <c r="G27" s="111"/>
      <c r="H27" s="23"/>
      <c r="I27" s="97"/>
      <c r="M27" s="97"/>
      <c r="N27" s="97"/>
      <c r="O27" s="97"/>
      <c r="P27" s="97"/>
    </row>
    <row r="28" spans="1:16" ht="12.6" customHeight="1" x14ac:dyDescent="0.2">
      <c r="A28" s="14">
        <v>18</v>
      </c>
      <c r="B28" s="49"/>
      <c r="C28" s="19" t="s">
        <v>49</v>
      </c>
      <c r="D28" s="25" t="s">
        <v>46</v>
      </c>
      <c r="E28" s="111">
        <v>0.5</v>
      </c>
      <c r="F28" s="111">
        <v>0</v>
      </c>
      <c r="G28" s="111"/>
      <c r="H28" s="23"/>
      <c r="I28" s="97"/>
      <c r="M28" s="97"/>
      <c r="N28" s="97"/>
      <c r="O28" s="97"/>
      <c r="P28" s="97"/>
    </row>
    <row r="29" spans="1:16" ht="12.6" customHeight="1" x14ac:dyDescent="0.2">
      <c r="A29" s="14">
        <v>19</v>
      </c>
      <c r="B29" s="49"/>
      <c r="C29" s="19" t="s">
        <v>487</v>
      </c>
      <c r="D29" s="18" t="s">
        <v>488</v>
      </c>
      <c r="E29" s="111">
        <f>11.4+5</f>
        <v>16.399999999999999</v>
      </c>
      <c r="F29" s="111">
        <v>11</v>
      </c>
      <c r="G29" s="111"/>
      <c r="H29" s="23"/>
      <c r="I29" s="97"/>
      <c r="M29" s="97"/>
      <c r="N29" s="97"/>
      <c r="O29" s="97"/>
      <c r="P29" s="97"/>
    </row>
    <row r="30" spans="1:16" x14ac:dyDescent="0.2">
      <c r="A30" s="14">
        <v>20</v>
      </c>
      <c r="B30" s="12" t="s">
        <v>92</v>
      </c>
      <c r="C30" s="52" t="s">
        <v>93</v>
      </c>
      <c r="D30" s="18"/>
      <c r="E30" s="110">
        <f>SUM(E31:E31)</f>
        <v>11.8</v>
      </c>
      <c r="F30" s="110">
        <f>SUM(F31:F31)</f>
        <v>5.4</v>
      </c>
      <c r="G30" s="110">
        <f>SUM(G31:G31)</f>
        <v>7.5</v>
      </c>
      <c r="H30" s="110">
        <f>SUM(H31:H31)</f>
        <v>1.2</v>
      </c>
      <c r="I30" s="97"/>
      <c r="M30" s="97"/>
      <c r="N30" s="97"/>
      <c r="O30" s="97"/>
      <c r="P30" s="97"/>
    </row>
    <row r="31" spans="1:16" ht="12.6" customHeight="1" x14ac:dyDescent="0.2">
      <c r="A31" s="14">
        <v>21</v>
      </c>
      <c r="B31" s="49"/>
      <c r="C31" s="113" t="s">
        <v>489</v>
      </c>
      <c r="D31" s="49" t="s">
        <v>490</v>
      </c>
      <c r="E31" s="111">
        <v>11.8</v>
      </c>
      <c r="F31" s="111">
        <v>5.4</v>
      </c>
      <c r="G31" s="111">
        <v>7.5</v>
      </c>
      <c r="H31" s="23">
        <v>1.2</v>
      </c>
      <c r="I31" s="97"/>
      <c r="M31" s="97"/>
      <c r="N31" s="97"/>
      <c r="O31" s="97"/>
      <c r="P31" s="97"/>
    </row>
    <row r="32" spans="1:16" x14ac:dyDescent="0.2">
      <c r="A32" s="14">
        <v>22</v>
      </c>
      <c r="B32" s="12" t="s">
        <v>144</v>
      </c>
      <c r="C32" s="52" t="s">
        <v>145</v>
      </c>
      <c r="D32" s="49"/>
      <c r="E32" s="110">
        <f>SUM(E33:E34)</f>
        <v>56.4</v>
      </c>
      <c r="F32" s="110">
        <f>SUM(F33:F34)</f>
        <v>50</v>
      </c>
      <c r="G32" s="110">
        <f>SUM(G33:G33)</f>
        <v>0</v>
      </c>
      <c r="H32" s="110">
        <f>SUM(H33:H33)</f>
        <v>0</v>
      </c>
      <c r="I32" s="97"/>
      <c r="M32" s="97"/>
      <c r="N32" s="97"/>
      <c r="O32" s="97"/>
      <c r="P32" s="97"/>
    </row>
    <row r="33" spans="1:16" ht="25.5" x14ac:dyDescent="0.2">
      <c r="A33" s="14">
        <v>23</v>
      </c>
      <c r="B33" s="49"/>
      <c r="C33" s="114" t="s">
        <v>146</v>
      </c>
      <c r="D33" s="65" t="s">
        <v>491</v>
      </c>
      <c r="E33" s="111">
        <f>33.6+22.7</f>
        <v>56.3</v>
      </c>
      <c r="F33" s="111">
        <v>49.9</v>
      </c>
      <c r="G33" s="111"/>
      <c r="H33" s="23"/>
      <c r="I33" s="97"/>
      <c r="J33" s="97"/>
      <c r="M33" s="97"/>
      <c r="N33" s="97"/>
      <c r="O33" s="97"/>
      <c r="P33" s="97"/>
    </row>
    <row r="34" spans="1:16" ht="12.75" customHeight="1" x14ac:dyDescent="0.2">
      <c r="A34" s="14">
        <v>24</v>
      </c>
      <c r="B34" s="49"/>
      <c r="C34" s="114" t="s">
        <v>201</v>
      </c>
      <c r="D34" s="65" t="s">
        <v>492</v>
      </c>
      <c r="E34" s="111">
        <v>0.1</v>
      </c>
      <c r="F34" s="111">
        <v>0.1</v>
      </c>
      <c r="G34" s="111"/>
      <c r="H34" s="23"/>
      <c r="I34" s="97"/>
      <c r="M34" s="97"/>
      <c r="N34" s="97"/>
      <c r="O34" s="97"/>
      <c r="P34" s="97"/>
    </row>
    <row r="35" spans="1:16" ht="12.75" customHeight="1" x14ac:dyDescent="0.2">
      <c r="A35" s="14">
        <v>25</v>
      </c>
      <c r="B35" s="12" t="s">
        <v>212</v>
      </c>
      <c r="C35" s="52" t="s">
        <v>213</v>
      </c>
      <c r="D35" s="65"/>
      <c r="E35" s="110">
        <f>+E36</f>
        <v>22.1</v>
      </c>
      <c r="F35" s="110">
        <f>+F36</f>
        <v>21.4</v>
      </c>
      <c r="G35" s="110">
        <f>+G36</f>
        <v>0</v>
      </c>
      <c r="H35" s="110">
        <f>+H36</f>
        <v>0</v>
      </c>
      <c r="I35" s="97"/>
      <c r="M35" s="97"/>
      <c r="N35" s="97"/>
      <c r="O35" s="97"/>
      <c r="P35" s="97"/>
    </row>
    <row r="36" spans="1:16" ht="12.6" customHeight="1" x14ac:dyDescent="0.2">
      <c r="A36" s="14">
        <v>26</v>
      </c>
      <c r="B36" s="49"/>
      <c r="C36" s="31" t="s">
        <v>214</v>
      </c>
      <c r="D36" s="25" t="s">
        <v>215</v>
      </c>
      <c r="E36" s="111">
        <v>22.1</v>
      </c>
      <c r="F36" s="111">
        <v>21.4</v>
      </c>
      <c r="G36" s="111"/>
      <c r="H36" s="23"/>
      <c r="I36" s="97"/>
      <c r="M36" s="97"/>
      <c r="N36" s="97"/>
      <c r="O36" s="97"/>
      <c r="P36" s="97"/>
    </row>
    <row r="37" spans="1:16" x14ac:dyDescent="0.2">
      <c r="A37" s="14">
        <v>27</v>
      </c>
      <c r="B37" s="12" t="s">
        <v>239</v>
      </c>
      <c r="C37" s="52" t="s">
        <v>240</v>
      </c>
      <c r="D37" s="18"/>
      <c r="E37" s="110">
        <f>SUM(E38:E45)</f>
        <v>56.5</v>
      </c>
      <c r="F37" s="110">
        <f>SUM(F38:F45)</f>
        <v>30</v>
      </c>
      <c r="G37" s="110">
        <f>SUM(G38:G45)</f>
        <v>0</v>
      </c>
      <c r="H37" s="110">
        <f>SUM(H38:H45)</f>
        <v>0</v>
      </c>
      <c r="I37" s="97"/>
      <c r="M37" s="97"/>
      <c r="N37" s="97"/>
      <c r="O37" s="97"/>
      <c r="P37" s="97"/>
    </row>
    <row r="38" spans="1:16" ht="12.6" customHeight="1" x14ac:dyDescent="0.2">
      <c r="A38" s="14">
        <v>28</v>
      </c>
      <c r="B38" s="49"/>
      <c r="C38" s="19" t="s">
        <v>241</v>
      </c>
      <c r="D38" s="18" t="s">
        <v>242</v>
      </c>
      <c r="E38" s="111">
        <f>6.5+2.2</f>
        <v>8.6999999999999993</v>
      </c>
      <c r="F38" s="111">
        <v>8.6999999999999993</v>
      </c>
      <c r="G38" s="111"/>
      <c r="H38" s="23"/>
      <c r="I38" s="97"/>
      <c r="M38" s="97"/>
      <c r="N38" s="97"/>
      <c r="O38" s="97"/>
      <c r="P38" s="97"/>
    </row>
    <row r="39" spans="1:16" ht="12.6" customHeight="1" x14ac:dyDescent="0.2">
      <c r="A39" s="14">
        <v>29</v>
      </c>
      <c r="B39" s="49"/>
      <c r="C39" s="19" t="s">
        <v>243</v>
      </c>
      <c r="D39" s="18" t="s">
        <v>242</v>
      </c>
      <c r="E39" s="111">
        <f>0.8-0.3</f>
        <v>0.5</v>
      </c>
      <c r="F39" s="111">
        <v>0.5</v>
      </c>
      <c r="G39" s="111"/>
      <c r="H39" s="23"/>
      <c r="I39" s="97"/>
      <c r="M39" s="97"/>
      <c r="N39" s="97"/>
      <c r="O39" s="97"/>
      <c r="P39" s="97"/>
    </row>
    <row r="40" spans="1:16" ht="12.6" customHeight="1" x14ac:dyDescent="0.2">
      <c r="A40" s="14">
        <v>30</v>
      </c>
      <c r="B40" s="49"/>
      <c r="C40" s="19" t="s">
        <v>244</v>
      </c>
      <c r="D40" s="18" t="s">
        <v>242</v>
      </c>
      <c r="E40" s="111">
        <v>0.5</v>
      </c>
      <c r="F40" s="111">
        <v>0.5</v>
      </c>
      <c r="G40" s="111"/>
      <c r="H40" s="23"/>
      <c r="I40" s="97"/>
      <c r="M40" s="97"/>
      <c r="N40" s="97"/>
      <c r="O40" s="97"/>
      <c r="P40" s="97"/>
    </row>
    <row r="41" spans="1:16" ht="12.6" customHeight="1" x14ac:dyDescent="0.2">
      <c r="A41" s="14">
        <v>31</v>
      </c>
      <c r="B41" s="49"/>
      <c r="C41" s="19" t="s">
        <v>245</v>
      </c>
      <c r="D41" s="18" t="s">
        <v>242</v>
      </c>
      <c r="E41" s="111">
        <f>1.2-0.8</f>
        <v>0.39999999999999991</v>
      </c>
      <c r="F41" s="111">
        <v>0.4</v>
      </c>
      <c r="G41" s="111"/>
      <c r="H41" s="23"/>
      <c r="I41" s="97"/>
      <c r="M41" s="97"/>
      <c r="N41" s="97"/>
      <c r="O41" s="97"/>
      <c r="P41" s="97"/>
    </row>
    <row r="42" spans="1:16" ht="12.6" customHeight="1" x14ac:dyDescent="0.2">
      <c r="A42" s="14">
        <v>32</v>
      </c>
      <c r="B42" s="49"/>
      <c r="C42" s="19" t="s">
        <v>246</v>
      </c>
      <c r="D42" s="18" t="s">
        <v>242</v>
      </c>
      <c r="E42" s="111">
        <v>0.3</v>
      </c>
      <c r="F42" s="111">
        <v>0</v>
      </c>
      <c r="G42" s="111"/>
      <c r="H42" s="23"/>
      <c r="I42" s="97"/>
      <c r="M42" s="97"/>
      <c r="N42" s="97"/>
      <c r="O42" s="97"/>
      <c r="P42" s="97"/>
    </row>
    <row r="43" spans="1:16" ht="12.6" customHeight="1" x14ac:dyDescent="0.2">
      <c r="A43" s="14">
        <v>33</v>
      </c>
      <c r="B43" s="49"/>
      <c r="C43" s="27" t="s">
        <v>247</v>
      </c>
      <c r="D43" s="18" t="s">
        <v>242</v>
      </c>
      <c r="E43" s="111">
        <v>0.2</v>
      </c>
      <c r="F43" s="236">
        <v>0</v>
      </c>
      <c r="G43" s="111"/>
      <c r="H43" s="23"/>
      <c r="I43" s="97"/>
      <c r="M43" s="97"/>
      <c r="N43" s="97"/>
      <c r="O43" s="97"/>
      <c r="P43" s="97"/>
    </row>
    <row r="44" spans="1:16" ht="12.6" customHeight="1" x14ac:dyDescent="0.2">
      <c r="A44" s="14">
        <v>34</v>
      </c>
      <c r="B44" s="49"/>
      <c r="C44" s="113" t="s">
        <v>248</v>
      </c>
      <c r="D44" s="49" t="s">
        <v>249</v>
      </c>
      <c r="E44" s="111">
        <v>1.3</v>
      </c>
      <c r="F44" s="111">
        <v>1.3</v>
      </c>
      <c r="G44" s="111"/>
      <c r="H44" s="23"/>
      <c r="I44" s="97"/>
      <c r="M44" s="97"/>
      <c r="N44" s="97"/>
      <c r="O44" s="97"/>
      <c r="P44" s="97"/>
    </row>
    <row r="45" spans="1:16" ht="12.6" customHeight="1" x14ac:dyDescent="0.2">
      <c r="A45" s="14">
        <v>35</v>
      </c>
      <c r="B45" s="49"/>
      <c r="C45" s="19" t="s">
        <v>250</v>
      </c>
      <c r="D45" s="25" t="s">
        <v>251</v>
      </c>
      <c r="E45" s="111">
        <v>44.6</v>
      </c>
      <c r="F45" s="111">
        <v>18.600000000000001</v>
      </c>
      <c r="G45" s="111"/>
      <c r="H45" s="23"/>
      <c r="I45" s="97"/>
      <c r="M45" s="97"/>
      <c r="N45" s="97"/>
      <c r="O45" s="97"/>
      <c r="P45" s="97"/>
    </row>
    <row r="46" spans="1:16" ht="20.100000000000001" customHeight="1" x14ac:dyDescent="0.2">
      <c r="A46" s="14">
        <v>36</v>
      </c>
      <c r="B46" s="12" t="s">
        <v>403</v>
      </c>
      <c r="C46" s="52" t="s">
        <v>404</v>
      </c>
      <c r="D46" s="49"/>
      <c r="E46" s="110">
        <f>SUM(E47:E51)</f>
        <v>6.2999999999999989</v>
      </c>
      <c r="F46" s="110">
        <f>SUM(F47:F51)</f>
        <v>2.8</v>
      </c>
      <c r="G46" s="110">
        <f>SUM(G47:G51)</f>
        <v>0</v>
      </c>
      <c r="H46" s="110">
        <f>SUM(H47:H51)</f>
        <v>0</v>
      </c>
      <c r="I46" s="97"/>
      <c r="M46" s="97"/>
      <c r="N46" s="97"/>
      <c r="O46" s="97"/>
      <c r="P46" s="97"/>
    </row>
    <row r="47" spans="1:16" ht="12.6" customHeight="1" x14ac:dyDescent="0.2">
      <c r="A47" s="14">
        <v>37</v>
      </c>
      <c r="B47" s="49"/>
      <c r="C47" s="114" t="s">
        <v>203</v>
      </c>
      <c r="D47" s="65" t="s">
        <v>493</v>
      </c>
      <c r="E47" s="111">
        <v>2</v>
      </c>
      <c r="F47" s="111">
        <v>1.4</v>
      </c>
      <c r="G47" s="111"/>
      <c r="H47" s="23"/>
      <c r="I47" s="97"/>
      <c r="M47" s="97"/>
      <c r="N47" s="97"/>
      <c r="O47" s="97"/>
      <c r="P47" s="97"/>
    </row>
    <row r="48" spans="1:16" x14ac:dyDescent="0.2">
      <c r="A48" s="14">
        <v>38</v>
      </c>
      <c r="B48" s="12"/>
      <c r="C48" s="114" t="s">
        <v>204</v>
      </c>
      <c r="D48" s="115" t="s">
        <v>494</v>
      </c>
      <c r="E48" s="111">
        <v>3</v>
      </c>
      <c r="F48" s="111">
        <v>0.2</v>
      </c>
      <c r="G48" s="111"/>
      <c r="H48" s="23"/>
      <c r="I48" s="97"/>
      <c r="M48" s="97"/>
      <c r="N48" s="97"/>
      <c r="O48" s="97"/>
      <c r="P48" s="97"/>
    </row>
    <row r="49" spans="1:16" ht="12.6" customHeight="1" x14ac:dyDescent="0.2">
      <c r="A49" s="14">
        <v>39</v>
      </c>
      <c r="B49" s="49"/>
      <c r="C49" s="113" t="s">
        <v>205</v>
      </c>
      <c r="D49" s="65" t="s">
        <v>411</v>
      </c>
      <c r="E49" s="111">
        <v>0.6</v>
      </c>
      <c r="F49" s="111">
        <v>0.6</v>
      </c>
      <c r="G49" s="111"/>
      <c r="H49" s="23"/>
      <c r="I49" s="97"/>
      <c r="M49" s="97"/>
      <c r="N49" s="97"/>
      <c r="O49" s="97"/>
      <c r="P49" s="97"/>
    </row>
    <row r="50" spans="1:16" ht="12.6" customHeight="1" x14ac:dyDescent="0.2">
      <c r="A50" s="14">
        <v>40</v>
      </c>
      <c r="B50" s="49"/>
      <c r="C50" s="114" t="s">
        <v>208</v>
      </c>
      <c r="D50" s="65" t="s">
        <v>411</v>
      </c>
      <c r="E50" s="111">
        <v>0.1</v>
      </c>
      <c r="F50" s="111">
        <v>0</v>
      </c>
      <c r="G50" s="111"/>
      <c r="H50" s="23"/>
      <c r="I50" s="97"/>
      <c r="M50" s="97"/>
      <c r="N50" s="97"/>
      <c r="O50" s="97"/>
      <c r="P50" s="97"/>
    </row>
    <row r="51" spans="1:16" ht="12.6" customHeight="1" x14ac:dyDescent="0.2">
      <c r="A51" s="14">
        <v>41</v>
      </c>
      <c r="B51" s="12"/>
      <c r="C51" s="114" t="s">
        <v>209</v>
      </c>
      <c r="D51" s="49" t="s">
        <v>495</v>
      </c>
      <c r="E51" s="111">
        <v>0.6</v>
      </c>
      <c r="F51" s="111">
        <v>0.6</v>
      </c>
      <c r="G51" s="111"/>
      <c r="H51" s="23"/>
      <c r="I51" s="97"/>
      <c r="M51" s="97"/>
      <c r="N51" s="97"/>
      <c r="O51" s="97"/>
      <c r="P51" s="97"/>
    </row>
    <row r="52" spans="1:16" x14ac:dyDescent="0.2">
      <c r="A52" s="14">
        <v>42</v>
      </c>
      <c r="B52" s="12" t="s">
        <v>449</v>
      </c>
      <c r="C52" s="52" t="s">
        <v>450</v>
      </c>
      <c r="D52" s="65"/>
      <c r="E52" s="110">
        <f>SUM(E53:E57)</f>
        <v>3.6</v>
      </c>
      <c r="F52" s="110">
        <f>SUM(F53:F57)</f>
        <v>2.8</v>
      </c>
      <c r="G52" s="110">
        <f>SUM(G53:G57)</f>
        <v>0</v>
      </c>
      <c r="H52" s="110">
        <f>SUM(H53:H57)</f>
        <v>0</v>
      </c>
      <c r="I52" s="97"/>
      <c r="M52" s="97"/>
      <c r="N52" s="97"/>
      <c r="O52" s="97"/>
      <c r="P52" s="97"/>
    </row>
    <row r="53" spans="1:16" ht="12.6" customHeight="1" x14ac:dyDescent="0.2">
      <c r="A53" s="14">
        <v>43</v>
      </c>
      <c r="B53" s="12"/>
      <c r="C53" s="112" t="s">
        <v>451</v>
      </c>
      <c r="D53" s="25" t="s">
        <v>452</v>
      </c>
      <c r="E53" s="111">
        <v>1</v>
      </c>
      <c r="F53" s="111">
        <v>1</v>
      </c>
      <c r="G53" s="116"/>
      <c r="H53" s="23"/>
      <c r="I53" s="97"/>
      <c r="M53" s="97"/>
      <c r="N53" s="97"/>
      <c r="O53" s="97"/>
      <c r="P53" s="97"/>
    </row>
    <row r="54" spans="1:16" ht="12.6" customHeight="1" x14ac:dyDescent="0.2">
      <c r="A54" s="14">
        <v>44</v>
      </c>
      <c r="B54" s="12"/>
      <c r="C54" s="73" t="s">
        <v>56</v>
      </c>
      <c r="D54" s="65" t="s">
        <v>398</v>
      </c>
      <c r="E54" s="111">
        <f>0.1-0.1</f>
        <v>0</v>
      </c>
      <c r="F54" s="111">
        <v>0</v>
      </c>
      <c r="G54" s="116"/>
      <c r="H54" s="23"/>
      <c r="I54" s="97"/>
      <c r="M54" s="97"/>
      <c r="N54" s="97"/>
      <c r="O54" s="97"/>
      <c r="P54" s="97"/>
    </row>
    <row r="55" spans="1:16" ht="12.6" customHeight="1" x14ac:dyDescent="0.2">
      <c r="A55" s="14">
        <v>45</v>
      </c>
      <c r="B55" s="49"/>
      <c r="C55" s="114" t="s">
        <v>199</v>
      </c>
      <c r="D55" s="65" t="s">
        <v>496</v>
      </c>
      <c r="E55" s="111">
        <v>0.3</v>
      </c>
      <c r="F55" s="111">
        <v>0.1</v>
      </c>
      <c r="G55" s="111"/>
      <c r="H55" s="23"/>
      <c r="I55" s="97"/>
      <c r="M55" s="97"/>
      <c r="N55" s="97"/>
      <c r="O55" s="97"/>
      <c r="P55" s="97"/>
    </row>
    <row r="56" spans="1:16" ht="12.6" customHeight="1" x14ac:dyDescent="0.2">
      <c r="A56" s="14">
        <v>46</v>
      </c>
      <c r="B56" s="49"/>
      <c r="C56" s="113" t="s">
        <v>206</v>
      </c>
      <c r="D56" s="65" t="s">
        <v>398</v>
      </c>
      <c r="E56" s="111">
        <v>0.3</v>
      </c>
      <c r="F56" s="236">
        <f>0.1+0.1</f>
        <v>0.2</v>
      </c>
      <c r="G56" s="111"/>
      <c r="H56" s="23"/>
      <c r="I56" s="97"/>
      <c r="M56" s="97"/>
      <c r="N56" s="97"/>
      <c r="O56" s="97"/>
      <c r="P56" s="97"/>
    </row>
    <row r="57" spans="1:16" ht="12.6" customHeight="1" x14ac:dyDescent="0.2">
      <c r="A57" s="14">
        <v>47</v>
      </c>
      <c r="B57" s="49"/>
      <c r="C57" s="73" t="s">
        <v>210</v>
      </c>
      <c r="D57" s="65" t="s">
        <v>398</v>
      </c>
      <c r="E57" s="111">
        <v>2</v>
      </c>
      <c r="F57" s="111">
        <v>1.5</v>
      </c>
      <c r="G57" s="111"/>
      <c r="H57" s="23"/>
      <c r="I57" s="97"/>
      <c r="M57" s="97"/>
      <c r="N57" s="97"/>
      <c r="O57" s="97"/>
      <c r="P57" s="97"/>
    </row>
    <row r="58" spans="1:16" ht="12.6" customHeight="1" x14ac:dyDescent="0.2">
      <c r="A58" s="14">
        <v>48</v>
      </c>
      <c r="B58" s="49"/>
      <c r="C58" s="117" t="s">
        <v>481</v>
      </c>
      <c r="D58" s="49"/>
      <c r="E58" s="110">
        <f>+E11+E30+E32+E37+E46+E52+E35</f>
        <v>262.3</v>
      </c>
      <c r="F58" s="110">
        <f>+F11+F30+F32+F37+F46+F52+F35</f>
        <v>182.20000000000002</v>
      </c>
      <c r="G58" s="110">
        <f>+G11+G30+G32+G37+G46+G52+G35</f>
        <v>44.9</v>
      </c>
      <c r="H58" s="110">
        <f>+H11+H30+H32+H37+H46+H52+H35</f>
        <v>29.8</v>
      </c>
      <c r="I58" s="97"/>
      <c r="J58" s="97"/>
      <c r="K58" s="97"/>
      <c r="L58" s="97"/>
      <c r="M58" s="97"/>
      <c r="N58" s="97"/>
      <c r="O58" s="97"/>
      <c r="P58" s="97"/>
    </row>
    <row r="59" spans="1:16" x14ac:dyDescent="0.2">
      <c r="C59" s="6" t="s">
        <v>497</v>
      </c>
      <c r="E59" s="118"/>
      <c r="F59" s="118"/>
      <c r="G59" s="118"/>
    </row>
    <row r="60" spans="1:16" x14ac:dyDescent="0.2">
      <c r="C60" s="6" t="s">
        <v>498</v>
      </c>
      <c r="E60" s="118"/>
      <c r="F60" s="118"/>
      <c r="G60" s="118"/>
      <c r="I60" s="97"/>
    </row>
    <row r="61" spans="1:16" x14ac:dyDescent="0.2">
      <c r="E61" s="118"/>
      <c r="F61" s="118"/>
      <c r="G61" s="118"/>
    </row>
    <row r="62" spans="1:16" x14ac:dyDescent="0.2">
      <c r="E62" s="118"/>
      <c r="F62" s="118"/>
      <c r="G62" s="118"/>
      <c r="H62" s="118"/>
    </row>
    <row r="64" spans="1:16" x14ac:dyDescent="0.2">
      <c r="E64" s="119"/>
      <c r="F64" s="119"/>
      <c r="G64" s="119"/>
    </row>
  </sheetData>
  <mergeCells count="11">
    <mergeCell ref="E3:H3"/>
    <mergeCell ref="C2:H2"/>
    <mergeCell ref="C1:H1"/>
    <mergeCell ref="A5:G5"/>
    <mergeCell ref="A8:A9"/>
    <mergeCell ref="B8:B9"/>
    <mergeCell ref="C8:C9"/>
    <mergeCell ref="D8:D9"/>
    <mergeCell ref="E8:F8"/>
    <mergeCell ref="G8:H8"/>
    <mergeCell ref="G7:H7"/>
  </mergeCells>
  <pageMargins left="1.1023622047244095"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4E908-33F5-4CC5-B807-2B6016A3DD2E}">
  <dimension ref="A1:K65"/>
  <sheetViews>
    <sheetView workbookViewId="0">
      <selection activeCell="A5" sqref="A5:G5"/>
    </sheetView>
  </sheetViews>
  <sheetFormatPr defaultRowHeight="12.75" x14ac:dyDescent="0.2"/>
  <cols>
    <col min="1" max="1" width="3.7109375" style="6" customWidth="1"/>
    <col min="2" max="2" width="6.7109375" style="2" customWidth="1"/>
    <col min="3" max="3" width="55.140625" style="6" customWidth="1"/>
    <col min="4" max="4" width="10.28515625" style="2" customWidth="1"/>
    <col min="5" max="5" width="8.7109375" style="6" customWidth="1"/>
    <col min="6" max="6" width="8.140625" style="6" customWidth="1"/>
    <col min="7" max="7" width="9.7109375" style="6" customWidth="1"/>
    <col min="8" max="8" width="9.85546875" style="4" customWidth="1"/>
    <col min="9" max="256" width="9.140625" style="4"/>
    <col min="257" max="257" width="3.7109375" style="4" customWidth="1"/>
    <col min="258" max="258" width="6.7109375" style="4" customWidth="1"/>
    <col min="259" max="259" width="55.140625" style="4" customWidth="1"/>
    <col min="260" max="260" width="10.28515625" style="4" customWidth="1"/>
    <col min="261" max="261" width="8.7109375" style="4" customWidth="1"/>
    <col min="262" max="262" width="8.140625" style="4" customWidth="1"/>
    <col min="263" max="263" width="9.7109375" style="4" customWidth="1"/>
    <col min="264" max="264" width="9.85546875" style="4" customWidth="1"/>
    <col min="265" max="512" width="9.140625" style="4"/>
    <col min="513" max="513" width="3.7109375" style="4" customWidth="1"/>
    <col min="514" max="514" width="6.7109375" style="4" customWidth="1"/>
    <col min="515" max="515" width="55.140625" style="4" customWidth="1"/>
    <col min="516" max="516" width="10.28515625" style="4" customWidth="1"/>
    <col min="517" max="517" width="8.7109375" style="4" customWidth="1"/>
    <col min="518" max="518" width="8.140625" style="4" customWidth="1"/>
    <col min="519" max="519" width="9.7109375" style="4" customWidth="1"/>
    <col min="520" max="520" width="9.85546875" style="4" customWidth="1"/>
    <col min="521" max="768" width="9.140625" style="4"/>
    <col min="769" max="769" width="3.7109375" style="4" customWidth="1"/>
    <col min="770" max="770" width="6.7109375" style="4" customWidth="1"/>
    <col min="771" max="771" width="55.140625" style="4" customWidth="1"/>
    <col min="772" max="772" width="10.28515625" style="4" customWidth="1"/>
    <col min="773" max="773" width="8.7109375" style="4" customWidth="1"/>
    <col min="774" max="774" width="8.140625" style="4" customWidth="1"/>
    <col min="775" max="775" width="9.7109375" style="4" customWidth="1"/>
    <col min="776" max="776" width="9.85546875" style="4" customWidth="1"/>
    <col min="777" max="1024" width="9.140625" style="4"/>
    <col min="1025" max="1025" width="3.7109375" style="4" customWidth="1"/>
    <col min="1026" max="1026" width="6.7109375" style="4" customWidth="1"/>
    <col min="1027" max="1027" width="55.140625" style="4" customWidth="1"/>
    <col min="1028" max="1028" width="10.28515625" style="4" customWidth="1"/>
    <col min="1029" max="1029" width="8.7109375" style="4" customWidth="1"/>
    <col min="1030" max="1030" width="8.140625" style="4" customWidth="1"/>
    <col min="1031" max="1031" width="9.7109375" style="4" customWidth="1"/>
    <col min="1032" max="1032" width="9.85546875" style="4" customWidth="1"/>
    <col min="1033" max="1280" width="9.140625" style="4"/>
    <col min="1281" max="1281" width="3.7109375" style="4" customWidth="1"/>
    <col min="1282" max="1282" width="6.7109375" style="4" customWidth="1"/>
    <col min="1283" max="1283" width="55.140625" style="4" customWidth="1"/>
    <col min="1284" max="1284" width="10.28515625" style="4" customWidth="1"/>
    <col min="1285" max="1285" width="8.7109375" style="4" customWidth="1"/>
    <col min="1286" max="1286" width="8.140625" style="4" customWidth="1"/>
    <col min="1287" max="1287" width="9.7109375" style="4" customWidth="1"/>
    <col min="1288" max="1288" width="9.85546875" style="4" customWidth="1"/>
    <col min="1289" max="1536" width="9.140625" style="4"/>
    <col min="1537" max="1537" width="3.7109375" style="4" customWidth="1"/>
    <col min="1538" max="1538" width="6.7109375" style="4" customWidth="1"/>
    <col min="1539" max="1539" width="55.140625" style="4" customWidth="1"/>
    <col min="1540" max="1540" width="10.28515625" style="4" customWidth="1"/>
    <col min="1541" max="1541" width="8.7109375" style="4" customWidth="1"/>
    <col min="1542" max="1542" width="8.140625" style="4" customWidth="1"/>
    <col min="1543" max="1543" width="9.7109375" style="4" customWidth="1"/>
    <col min="1544" max="1544" width="9.85546875" style="4" customWidth="1"/>
    <col min="1545" max="1792" width="9.140625" style="4"/>
    <col min="1793" max="1793" width="3.7109375" style="4" customWidth="1"/>
    <col min="1794" max="1794" width="6.7109375" style="4" customWidth="1"/>
    <col min="1795" max="1795" width="55.140625" style="4" customWidth="1"/>
    <col min="1796" max="1796" width="10.28515625" style="4" customWidth="1"/>
    <col min="1797" max="1797" width="8.7109375" style="4" customWidth="1"/>
    <col min="1798" max="1798" width="8.140625" style="4" customWidth="1"/>
    <col min="1799" max="1799" width="9.7109375" style="4" customWidth="1"/>
    <col min="1800" max="1800" width="9.85546875" style="4" customWidth="1"/>
    <col min="1801" max="2048" width="9.140625" style="4"/>
    <col min="2049" max="2049" width="3.7109375" style="4" customWidth="1"/>
    <col min="2050" max="2050" width="6.7109375" style="4" customWidth="1"/>
    <col min="2051" max="2051" width="55.140625" style="4" customWidth="1"/>
    <col min="2052" max="2052" width="10.28515625" style="4" customWidth="1"/>
    <col min="2053" max="2053" width="8.7109375" style="4" customWidth="1"/>
    <col min="2054" max="2054" width="8.140625" style="4" customWidth="1"/>
    <col min="2055" max="2055" width="9.7109375" style="4" customWidth="1"/>
    <col min="2056" max="2056" width="9.85546875" style="4" customWidth="1"/>
    <col min="2057" max="2304" width="9.140625" style="4"/>
    <col min="2305" max="2305" width="3.7109375" style="4" customWidth="1"/>
    <col min="2306" max="2306" width="6.7109375" style="4" customWidth="1"/>
    <col min="2307" max="2307" width="55.140625" style="4" customWidth="1"/>
    <col min="2308" max="2308" width="10.28515625" style="4" customWidth="1"/>
    <col min="2309" max="2309" width="8.7109375" style="4" customWidth="1"/>
    <col min="2310" max="2310" width="8.140625" style="4" customWidth="1"/>
    <col min="2311" max="2311" width="9.7109375" style="4" customWidth="1"/>
    <col min="2312" max="2312" width="9.85546875" style="4" customWidth="1"/>
    <col min="2313" max="2560" width="9.140625" style="4"/>
    <col min="2561" max="2561" width="3.7109375" style="4" customWidth="1"/>
    <col min="2562" max="2562" width="6.7109375" style="4" customWidth="1"/>
    <col min="2563" max="2563" width="55.140625" style="4" customWidth="1"/>
    <col min="2564" max="2564" width="10.28515625" style="4" customWidth="1"/>
    <col min="2565" max="2565" width="8.7109375" style="4" customWidth="1"/>
    <col min="2566" max="2566" width="8.140625" style="4" customWidth="1"/>
    <col min="2567" max="2567" width="9.7109375" style="4" customWidth="1"/>
    <col min="2568" max="2568" width="9.85546875" style="4" customWidth="1"/>
    <col min="2569" max="2816" width="9.140625" style="4"/>
    <col min="2817" max="2817" width="3.7109375" style="4" customWidth="1"/>
    <col min="2818" max="2818" width="6.7109375" style="4" customWidth="1"/>
    <col min="2819" max="2819" width="55.140625" style="4" customWidth="1"/>
    <col min="2820" max="2820" width="10.28515625" style="4" customWidth="1"/>
    <col min="2821" max="2821" width="8.7109375" style="4" customWidth="1"/>
    <col min="2822" max="2822" width="8.140625" style="4" customWidth="1"/>
    <col min="2823" max="2823" width="9.7109375" style="4" customWidth="1"/>
    <col min="2824" max="2824" width="9.85546875" style="4" customWidth="1"/>
    <col min="2825" max="3072" width="9.140625" style="4"/>
    <col min="3073" max="3073" width="3.7109375" style="4" customWidth="1"/>
    <col min="3074" max="3074" width="6.7109375" style="4" customWidth="1"/>
    <col min="3075" max="3075" width="55.140625" style="4" customWidth="1"/>
    <col min="3076" max="3076" width="10.28515625" style="4" customWidth="1"/>
    <col min="3077" max="3077" width="8.7109375" style="4" customWidth="1"/>
    <col min="3078" max="3078" width="8.140625" style="4" customWidth="1"/>
    <col min="3079" max="3079" width="9.7109375" style="4" customWidth="1"/>
    <col min="3080" max="3080" width="9.85546875" style="4" customWidth="1"/>
    <col min="3081" max="3328" width="9.140625" style="4"/>
    <col min="3329" max="3329" width="3.7109375" style="4" customWidth="1"/>
    <col min="3330" max="3330" width="6.7109375" style="4" customWidth="1"/>
    <col min="3331" max="3331" width="55.140625" style="4" customWidth="1"/>
    <col min="3332" max="3332" width="10.28515625" style="4" customWidth="1"/>
    <col min="3333" max="3333" width="8.7109375" style="4" customWidth="1"/>
    <col min="3334" max="3334" width="8.140625" style="4" customWidth="1"/>
    <col min="3335" max="3335" width="9.7109375" style="4" customWidth="1"/>
    <col min="3336" max="3336" width="9.85546875" style="4" customWidth="1"/>
    <col min="3337" max="3584" width="9.140625" style="4"/>
    <col min="3585" max="3585" width="3.7109375" style="4" customWidth="1"/>
    <col min="3586" max="3586" width="6.7109375" style="4" customWidth="1"/>
    <col min="3587" max="3587" width="55.140625" style="4" customWidth="1"/>
    <col min="3588" max="3588" width="10.28515625" style="4" customWidth="1"/>
    <col min="3589" max="3589" width="8.7109375" style="4" customWidth="1"/>
    <col min="3590" max="3590" width="8.140625" style="4" customWidth="1"/>
    <col min="3591" max="3591" width="9.7109375" style="4" customWidth="1"/>
    <col min="3592" max="3592" width="9.85546875" style="4" customWidth="1"/>
    <col min="3593" max="3840" width="9.140625" style="4"/>
    <col min="3841" max="3841" width="3.7109375" style="4" customWidth="1"/>
    <col min="3842" max="3842" width="6.7109375" style="4" customWidth="1"/>
    <col min="3843" max="3843" width="55.140625" style="4" customWidth="1"/>
    <col min="3844" max="3844" width="10.28515625" style="4" customWidth="1"/>
    <col min="3845" max="3845" width="8.7109375" style="4" customWidth="1"/>
    <col min="3846" max="3846" width="8.140625" style="4" customWidth="1"/>
    <col min="3847" max="3847" width="9.7109375" style="4" customWidth="1"/>
    <col min="3848" max="3848" width="9.85546875" style="4" customWidth="1"/>
    <col min="3849" max="4096" width="9.140625" style="4"/>
    <col min="4097" max="4097" width="3.7109375" style="4" customWidth="1"/>
    <col min="4098" max="4098" width="6.7109375" style="4" customWidth="1"/>
    <col min="4099" max="4099" width="55.140625" style="4" customWidth="1"/>
    <col min="4100" max="4100" width="10.28515625" style="4" customWidth="1"/>
    <col min="4101" max="4101" width="8.7109375" style="4" customWidth="1"/>
    <col min="4102" max="4102" width="8.140625" style="4" customWidth="1"/>
    <col min="4103" max="4103" width="9.7109375" style="4" customWidth="1"/>
    <col min="4104" max="4104" width="9.85546875" style="4" customWidth="1"/>
    <col min="4105" max="4352" width="9.140625" style="4"/>
    <col min="4353" max="4353" width="3.7109375" style="4" customWidth="1"/>
    <col min="4354" max="4354" width="6.7109375" style="4" customWidth="1"/>
    <col min="4355" max="4355" width="55.140625" style="4" customWidth="1"/>
    <col min="4356" max="4356" width="10.28515625" style="4" customWidth="1"/>
    <col min="4357" max="4357" width="8.7109375" style="4" customWidth="1"/>
    <col min="4358" max="4358" width="8.140625" style="4" customWidth="1"/>
    <col min="4359" max="4359" width="9.7109375" style="4" customWidth="1"/>
    <col min="4360" max="4360" width="9.85546875" style="4" customWidth="1"/>
    <col min="4361" max="4608" width="9.140625" style="4"/>
    <col min="4609" max="4609" width="3.7109375" style="4" customWidth="1"/>
    <col min="4610" max="4610" width="6.7109375" style="4" customWidth="1"/>
    <col min="4611" max="4611" width="55.140625" style="4" customWidth="1"/>
    <col min="4612" max="4612" width="10.28515625" style="4" customWidth="1"/>
    <col min="4613" max="4613" width="8.7109375" style="4" customWidth="1"/>
    <col min="4614" max="4614" width="8.140625" style="4" customWidth="1"/>
    <col min="4615" max="4615" width="9.7109375" style="4" customWidth="1"/>
    <col min="4616" max="4616" width="9.85546875" style="4" customWidth="1"/>
    <col min="4617" max="4864" width="9.140625" style="4"/>
    <col min="4865" max="4865" width="3.7109375" style="4" customWidth="1"/>
    <col min="4866" max="4866" width="6.7109375" style="4" customWidth="1"/>
    <col min="4867" max="4867" width="55.140625" style="4" customWidth="1"/>
    <col min="4868" max="4868" width="10.28515625" style="4" customWidth="1"/>
    <col min="4869" max="4869" width="8.7109375" style="4" customWidth="1"/>
    <col min="4870" max="4870" width="8.140625" style="4" customWidth="1"/>
    <col min="4871" max="4871" width="9.7109375" style="4" customWidth="1"/>
    <col min="4872" max="4872" width="9.85546875" style="4" customWidth="1"/>
    <col min="4873" max="5120" width="9.140625" style="4"/>
    <col min="5121" max="5121" width="3.7109375" style="4" customWidth="1"/>
    <col min="5122" max="5122" width="6.7109375" style="4" customWidth="1"/>
    <col min="5123" max="5123" width="55.140625" style="4" customWidth="1"/>
    <col min="5124" max="5124" width="10.28515625" style="4" customWidth="1"/>
    <col min="5125" max="5125" width="8.7109375" style="4" customWidth="1"/>
    <col min="5126" max="5126" width="8.140625" style="4" customWidth="1"/>
    <col min="5127" max="5127" width="9.7109375" style="4" customWidth="1"/>
    <col min="5128" max="5128" width="9.85546875" style="4" customWidth="1"/>
    <col min="5129" max="5376" width="9.140625" style="4"/>
    <col min="5377" max="5377" width="3.7109375" style="4" customWidth="1"/>
    <col min="5378" max="5378" width="6.7109375" style="4" customWidth="1"/>
    <col min="5379" max="5379" width="55.140625" style="4" customWidth="1"/>
    <col min="5380" max="5380" width="10.28515625" style="4" customWidth="1"/>
    <col min="5381" max="5381" width="8.7109375" style="4" customWidth="1"/>
    <col min="5382" max="5382" width="8.140625" style="4" customWidth="1"/>
    <col min="5383" max="5383" width="9.7109375" style="4" customWidth="1"/>
    <col min="5384" max="5384" width="9.85546875" style="4" customWidth="1"/>
    <col min="5385" max="5632" width="9.140625" style="4"/>
    <col min="5633" max="5633" width="3.7109375" style="4" customWidth="1"/>
    <col min="5634" max="5634" width="6.7109375" style="4" customWidth="1"/>
    <col min="5635" max="5635" width="55.140625" style="4" customWidth="1"/>
    <col min="5636" max="5636" width="10.28515625" style="4" customWidth="1"/>
    <col min="5637" max="5637" width="8.7109375" style="4" customWidth="1"/>
    <col min="5638" max="5638" width="8.140625" style="4" customWidth="1"/>
    <col min="5639" max="5639" width="9.7109375" style="4" customWidth="1"/>
    <col min="5640" max="5640" width="9.85546875" style="4" customWidth="1"/>
    <col min="5641" max="5888" width="9.140625" style="4"/>
    <col min="5889" max="5889" width="3.7109375" style="4" customWidth="1"/>
    <col min="5890" max="5890" width="6.7109375" style="4" customWidth="1"/>
    <col min="5891" max="5891" width="55.140625" style="4" customWidth="1"/>
    <col min="5892" max="5892" width="10.28515625" style="4" customWidth="1"/>
    <col min="5893" max="5893" width="8.7109375" style="4" customWidth="1"/>
    <col min="5894" max="5894" width="8.140625" style="4" customWidth="1"/>
    <col min="5895" max="5895" width="9.7109375" style="4" customWidth="1"/>
    <col min="5896" max="5896" width="9.85546875" style="4" customWidth="1"/>
    <col min="5897" max="6144" width="9.140625" style="4"/>
    <col min="6145" max="6145" width="3.7109375" style="4" customWidth="1"/>
    <col min="6146" max="6146" width="6.7109375" style="4" customWidth="1"/>
    <col min="6147" max="6147" width="55.140625" style="4" customWidth="1"/>
    <col min="6148" max="6148" width="10.28515625" style="4" customWidth="1"/>
    <col min="6149" max="6149" width="8.7109375" style="4" customWidth="1"/>
    <col min="6150" max="6150" width="8.140625" style="4" customWidth="1"/>
    <col min="6151" max="6151" width="9.7109375" style="4" customWidth="1"/>
    <col min="6152" max="6152" width="9.85546875" style="4" customWidth="1"/>
    <col min="6153" max="6400" width="9.140625" style="4"/>
    <col min="6401" max="6401" width="3.7109375" style="4" customWidth="1"/>
    <col min="6402" max="6402" width="6.7109375" style="4" customWidth="1"/>
    <col min="6403" max="6403" width="55.140625" style="4" customWidth="1"/>
    <col min="6404" max="6404" width="10.28515625" style="4" customWidth="1"/>
    <col min="6405" max="6405" width="8.7109375" style="4" customWidth="1"/>
    <col min="6406" max="6406" width="8.140625" style="4" customWidth="1"/>
    <col min="6407" max="6407" width="9.7109375" style="4" customWidth="1"/>
    <col min="6408" max="6408" width="9.85546875" style="4" customWidth="1"/>
    <col min="6409" max="6656" width="9.140625" style="4"/>
    <col min="6657" max="6657" width="3.7109375" style="4" customWidth="1"/>
    <col min="6658" max="6658" width="6.7109375" style="4" customWidth="1"/>
    <col min="6659" max="6659" width="55.140625" style="4" customWidth="1"/>
    <col min="6660" max="6660" width="10.28515625" style="4" customWidth="1"/>
    <col min="6661" max="6661" width="8.7109375" style="4" customWidth="1"/>
    <col min="6662" max="6662" width="8.140625" style="4" customWidth="1"/>
    <col min="6663" max="6663" width="9.7109375" style="4" customWidth="1"/>
    <col min="6664" max="6664" width="9.85546875" style="4" customWidth="1"/>
    <col min="6665" max="6912" width="9.140625" style="4"/>
    <col min="6913" max="6913" width="3.7109375" style="4" customWidth="1"/>
    <col min="6914" max="6914" width="6.7109375" style="4" customWidth="1"/>
    <col min="6915" max="6915" width="55.140625" style="4" customWidth="1"/>
    <col min="6916" max="6916" width="10.28515625" style="4" customWidth="1"/>
    <col min="6917" max="6917" width="8.7109375" style="4" customWidth="1"/>
    <col min="6918" max="6918" width="8.140625" style="4" customWidth="1"/>
    <col min="6919" max="6919" width="9.7109375" style="4" customWidth="1"/>
    <col min="6920" max="6920" width="9.85546875" style="4" customWidth="1"/>
    <col min="6921" max="7168" width="9.140625" style="4"/>
    <col min="7169" max="7169" width="3.7109375" style="4" customWidth="1"/>
    <col min="7170" max="7170" width="6.7109375" style="4" customWidth="1"/>
    <col min="7171" max="7171" width="55.140625" style="4" customWidth="1"/>
    <col min="7172" max="7172" width="10.28515625" style="4" customWidth="1"/>
    <col min="7173" max="7173" width="8.7109375" style="4" customWidth="1"/>
    <col min="7174" max="7174" width="8.140625" style="4" customWidth="1"/>
    <col min="7175" max="7175" width="9.7109375" style="4" customWidth="1"/>
    <col min="7176" max="7176" width="9.85546875" style="4" customWidth="1"/>
    <col min="7177" max="7424" width="9.140625" style="4"/>
    <col min="7425" max="7425" width="3.7109375" style="4" customWidth="1"/>
    <col min="7426" max="7426" width="6.7109375" style="4" customWidth="1"/>
    <col min="7427" max="7427" width="55.140625" style="4" customWidth="1"/>
    <col min="7428" max="7428" width="10.28515625" style="4" customWidth="1"/>
    <col min="7429" max="7429" width="8.7109375" style="4" customWidth="1"/>
    <col min="7430" max="7430" width="8.140625" style="4" customWidth="1"/>
    <col min="7431" max="7431" width="9.7109375" style="4" customWidth="1"/>
    <col min="7432" max="7432" width="9.85546875" style="4" customWidth="1"/>
    <col min="7433" max="7680" width="9.140625" style="4"/>
    <col min="7681" max="7681" width="3.7109375" style="4" customWidth="1"/>
    <col min="7682" max="7682" width="6.7109375" style="4" customWidth="1"/>
    <col min="7683" max="7683" width="55.140625" style="4" customWidth="1"/>
    <col min="7684" max="7684" width="10.28515625" style="4" customWidth="1"/>
    <col min="7685" max="7685" width="8.7109375" style="4" customWidth="1"/>
    <col min="7686" max="7686" width="8.140625" style="4" customWidth="1"/>
    <col min="7687" max="7687" width="9.7109375" style="4" customWidth="1"/>
    <col min="7688" max="7688" width="9.85546875" style="4" customWidth="1"/>
    <col min="7689" max="7936" width="9.140625" style="4"/>
    <col min="7937" max="7937" width="3.7109375" style="4" customWidth="1"/>
    <col min="7938" max="7938" width="6.7109375" style="4" customWidth="1"/>
    <col min="7939" max="7939" width="55.140625" style="4" customWidth="1"/>
    <col min="7940" max="7940" width="10.28515625" style="4" customWidth="1"/>
    <col min="7941" max="7941" width="8.7109375" style="4" customWidth="1"/>
    <col min="7942" max="7942" width="8.140625" style="4" customWidth="1"/>
    <col min="7943" max="7943" width="9.7109375" style="4" customWidth="1"/>
    <col min="7944" max="7944" width="9.85546875" style="4" customWidth="1"/>
    <col min="7945" max="8192" width="9.140625" style="4"/>
    <col min="8193" max="8193" width="3.7109375" style="4" customWidth="1"/>
    <col min="8194" max="8194" width="6.7109375" style="4" customWidth="1"/>
    <col min="8195" max="8195" width="55.140625" style="4" customWidth="1"/>
    <col min="8196" max="8196" width="10.28515625" style="4" customWidth="1"/>
    <col min="8197" max="8197" width="8.7109375" style="4" customWidth="1"/>
    <col min="8198" max="8198" width="8.140625" style="4" customWidth="1"/>
    <col min="8199" max="8199" width="9.7109375" style="4" customWidth="1"/>
    <col min="8200" max="8200" width="9.85546875" style="4" customWidth="1"/>
    <col min="8201" max="8448" width="9.140625" style="4"/>
    <col min="8449" max="8449" width="3.7109375" style="4" customWidth="1"/>
    <col min="8450" max="8450" width="6.7109375" style="4" customWidth="1"/>
    <col min="8451" max="8451" width="55.140625" style="4" customWidth="1"/>
    <col min="8452" max="8452" width="10.28515625" style="4" customWidth="1"/>
    <col min="8453" max="8453" width="8.7109375" style="4" customWidth="1"/>
    <col min="8454" max="8454" width="8.140625" style="4" customWidth="1"/>
    <col min="8455" max="8455" width="9.7109375" style="4" customWidth="1"/>
    <col min="8456" max="8456" width="9.85546875" style="4" customWidth="1"/>
    <col min="8457" max="8704" width="9.140625" style="4"/>
    <col min="8705" max="8705" width="3.7109375" style="4" customWidth="1"/>
    <col min="8706" max="8706" width="6.7109375" style="4" customWidth="1"/>
    <col min="8707" max="8707" width="55.140625" style="4" customWidth="1"/>
    <col min="8708" max="8708" width="10.28515625" style="4" customWidth="1"/>
    <col min="8709" max="8709" width="8.7109375" style="4" customWidth="1"/>
    <col min="8710" max="8710" width="8.140625" style="4" customWidth="1"/>
    <col min="8711" max="8711" width="9.7109375" style="4" customWidth="1"/>
    <col min="8712" max="8712" width="9.85546875" style="4" customWidth="1"/>
    <col min="8713" max="8960" width="9.140625" style="4"/>
    <col min="8961" max="8961" width="3.7109375" style="4" customWidth="1"/>
    <col min="8962" max="8962" width="6.7109375" style="4" customWidth="1"/>
    <col min="8963" max="8963" width="55.140625" style="4" customWidth="1"/>
    <col min="8964" max="8964" width="10.28515625" style="4" customWidth="1"/>
    <col min="8965" max="8965" width="8.7109375" style="4" customWidth="1"/>
    <col min="8966" max="8966" width="8.140625" style="4" customWidth="1"/>
    <col min="8967" max="8967" width="9.7109375" style="4" customWidth="1"/>
    <col min="8968" max="8968" width="9.85546875" style="4" customWidth="1"/>
    <col min="8969" max="9216" width="9.140625" style="4"/>
    <col min="9217" max="9217" width="3.7109375" style="4" customWidth="1"/>
    <col min="9218" max="9218" width="6.7109375" style="4" customWidth="1"/>
    <col min="9219" max="9219" width="55.140625" style="4" customWidth="1"/>
    <col min="9220" max="9220" width="10.28515625" style="4" customWidth="1"/>
    <col min="9221" max="9221" width="8.7109375" style="4" customWidth="1"/>
    <col min="9222" max="9222" width="8.140625" style="4" customWidth="1"/>
    <col min="9223" max="9223" width="9.7109375" style="4" customWidth="1"/>
    <col min="9224" max="9224" width="9.85546875" style="4" customWidth="1"/>
    <col min="9225" max="9472" width="9.140625" style="4"/>
    <col min="9473" max="9473" width="3.7109375" style="4" customWidth="1"/>
    <col min="9474" max="9474" width="6.7109375" style="4" customWidth="1"/>
    <col min="9475" max="9475" width="55.140625" style="4" customWidth="1"/>
    <col min="9476" max="9476" width="10.28515625" style="4" customWidth="1"/>
    <col min="9477" max="9477" width="8.7109375" style="4" customWidth="1"/>
    <col min="9478" max="9478" width="8.140625" style="4" customWidth="1"/>
    <col min="9479" max="9479" width="9.7109375" style="4" customWidth="1"/>
    <col min="9480" max="9480" width="9.85546875" style="4" customWidth="1"/>
    <col min="9481" max="9728" width="9.140625" style="4"/>
    <col min="9729" max="9729" width="3.7109375" style="4" customWidth="1"/>
    <col min="9730" max="9730" width="6.7109375" style="4" customWidth="1"/>
    <col min="9731" max="9731" width="55.140625" style="4" customWidth="1"/>
    <col min="9732" max="9732" width="10.28515625" style="4" customWidth="1"/>
    <col min="9733" max="9733" width="8.7109375" style="4" customWidth="1"/>
    <col min="9734" max="9734" width="8.140625" style="4" customWidth="1"/>
    <col min="9735" max="9735" width="9.7109375" style="4" customWidth="1"/>
    <col min="9736" max="9736" width="9.85546875" style="4" customWidth="1"/>
    <col min="9737" max="9984" width="9.140625" style="4"/>
    <col min="9985" max="9985" width="3.7109375" style="4" customWidth="1"/>
    <col min="9986" max="9986" width="6.7109375" style="4" customWidth="1"/>
    <col min="9987" max="9987" width="55.140625" style="4" customWidth="1"/>
    <col min="9988" max="9988" width="10.28515625" style="4" customWidth="1"/>
    <col min="9989" max="9989" width="8.7109375" style="4" customWidth="1"/>
    <col min="9990" max="9990" width="8.140625" style="4" customWidth="1"/>
    <col min="9991" max="9991" width="9.7109375" style="4" customWidth="1"/>
    <col min="9992" max="9992" width="9.85546875" style="4" customWidth="1"/>
    <col min="9993" max="10240" width="9.140625" style="4"/>
    <col min="10241" max="10241" width="3.7109375" style="4" customWidth="1"/>
    <col min="10242" max="10242" width="6.7109375" style="4" customWidth="1"/>
    <col min="10243" max="10243" width="55.140625" style="4" customWidth="1"/>
    <col min="10244" max="10244" width="10.28515625" style="4" customWidth="1"/>
    <col min="10245" max="10245" width="8.7109375" style="4" customWidth="1"/>
    <col min="10246" max="10246" width="8.140625" style="4" customWidth="1"/>
    <col min="10247" max="10247" width="9.7109375" style="4" customWidth="1"/>
    <col min="10248" max="10248" width="9.85546875" style="4" customWidth="1"/>
    <col min="10249" max="10496" width="9.140625" style="4"/>
    <col min="10497" max="10497" width="3.7109375" style="4" customWidth="1"/>
    <col min="10498" max="10498" width="6.7109375" style="4" customWidth="1"/>
    <col min="10499" max="10499" width="55.140625" style="4" customWidth="1"/>
    <col min="10500" max="10500" width="10.28515625" style="4" customWidth="1"/>
    <col min="10501" max="10501" width="8.7109375" style="4" customWidth="1"/>
    <col min="10502" max="10502" width="8.140625" style="4" customWidth="1"/>
    <col min="10503" max="10503" width="9.7109375" style="4" customWidth="1"/>
    <col min="10504" max="10504" width="9.85546875" style="4" customWidth="1"/>
    <col min="10505" max="10752" width="9.140625" style="4"/>
    <col min="10753" max="10753" width="3.7109375" style="4" customWidth="1"/>
    <col min="10754" max="10754" width="6.7109375" style="4" customWidth="1"/>
    <col min="10755" max="10755" width="55.140625" style="4" customWidth="1"/>
    <col min="10756" max="10756" width="10.28515625" style="4" customWidth="1"/>
    <col min="10757" max="10757" width="8.7109375" style="4" customWidth="1"/>
    <col min="10758" max="10758" width="8.140625" style="4" customWidth="1"/>
    <col min="10759" max="10759" width="9.7109375" style="4" customWidth="1"/>
    <col min="10760" max="10760" width="9.85546875" style="4" customWidth="1"/>
    <col min="10761" max="11008" width="9.140625" style="4"/>
    <col min="11009" max="11009" width="3.7109375" style="4" customWidth="1"/>
    <col min="11010" max="11010" width="6.7109375" style="4" customWidth="1"/>
    <col min="11011" max="11011" width="55.140625" style="4" customWidth="1"/>
    <col min="11012" max="11012" width="10.28515625" style="4" customWidth="1"/>
    <col min="11013" max="11013" width="8.7109375" style="4" customWidth="1"/>
    <col min="11014" max="11014" width="8.140625" style="4" customWidth="1"/>
    <col min="11015" max="11015" width="9.7109375" style="4" customWidth="1"/>
    <col min="11016" max="11016" width="9.85546875" style="4" customWidth="1"/>
    <col min="11017" max="11264" width="9.140625" style="4"/>
    <col min="11265" max="11265" width="3.7109375" style="4" customWidth="1"/>
    <col min="11266" max="11266" width="6.7109375" style="4" customWidth="1"/>
    <col min="11267" max="11267" width="55.140625" style="4" customWidth="1"/>
    <col min="11268" max="11268" width="10.28515625" style="4" customWidth="1"/>
    <col min="11269" max="11269" width="8.7109375" style="4" customWidth="1"/>
    <col min="11270" max="11270" width="8.140625" style="4" customWidth="1"/>
    <col min="11271" max="11271" width="9.7109375" style="4" customWidth="1"/>
    <col min="11272" max="11272" width="9.85546875" style="4" customWidth="1"/>
    <col min="11273" max="11520" width="9.140625" style="4"/>
    <col min="11521" max="11521" width="3.7109375" style="4" customWidth="1"/>
    <col min="11522" max="11522" width="6.7109375" style="4" customWidth="1"/>
    <col min="11523" max="11523" width="55.140625" style="4" customWidth="1"/>
    <col min="11524" max="11524" width="10.28515625" style="4" customWidth="1"/>
    <col min="11525" max="11525" width="8.7109375" style="4" customWidth="1"/>
    <col min="11526" max="11526" width="8.140625" style="4" customWidth="1"/>
    <col min="11527" max="11527" width="9.7109375" style="4" customWidth="1"/>
    <col min="11528" max="11528" width="9.85546875" style="4" customWidth="1"/>
    <col min="11529" max="11776" width="9.140625" style="4"/>
    <col min="11777" max="11777" width="3.7109375" style="4" customWidth="1"/>
    <col min="11778" max="11778" width="6.7109375" style="4" customWidth="1"/>
    <col min="11779" max="11779" width="55.140625" style="4" customWidth="1"/>
    <col min="11780" max="11780" width="10.28515625" style="4" customWidth="1"/>
    <col min="11781" max="11781" width="8.7109375" style="4" customWidth="1"/>
    <col min="11782" max="11782" width="8.140625" style="4" customWidth="1"/>
    <col min="11783" max="11783" width="9.7109375" style="4" customWidth="1"/>
    <col min="11784" max="11784" width="9.85546875" style="4" customWidth="1"/>
    <col min="11785" max="12032" width="9.140625" style="4"/>
    <col min="12033" max="12033" width="3.7109375" style="4" customWidth="1"/>
    <col min="12034" max="12034" width="6.7109375" style="4" customWidth="1"/>
    <col min="12035" max="12035" width="55.140625" style="4" customWidth="1"/>
    <col min="12036" max="12036" width="10.28515625" style="4" customWidth="1"/>
    <col min="12037" max="12037" width="8.7109375" style="4" customWidth="1"/>
    <col min="12038" max="12038" width="8.140625" style="4" customWidth="1"/>
    <col min="12039" max="12039" width="9.7109375" style="4" customWidth="1"/>
    <col min="12040" max="12040" width="9.85546875" style="4" customWidth="1"/>
    <col min="12041" max="12288" width="9.140625" style="4"/>
    <col min="12289" max="12289" width="3.7109375" style="4" customWidth="1"/>
    <col min="12290" max="12290" width="6.7109375" style="4" customWidth="1"/>
    <col min="12291" max="12291" width="55.140625" style="4" customWidth="1"/>
    <col min="12292" max="12292" width="10.28515625" style="4" customWidth="1"/>
    <col min="12293" max="12293" width="8.7109375" style="4" customWidth="1"/>
    <col min="12294" max="12294" width="8.140625" style="4" customWidth="1"/>
    <col min="12295" max="12295" width="9.7109375" style="4" customWidth="1"/>
    <col min="12296" max="12296" width="9.85546875" style="4" customWidth="1"/>
    <col min="12297" max="12544" width="9.140625" style="4"/>
    <col min="12545" max="12545" width="3.7109375" style="4" customWidth="1"/>
    <col min="12546" max="12546" width="6.7109375" style="4" customWidth="1"/>
    <col min="12547" max="12547" width="55.140625" style="4" customWidth="1"/>
    <col min="12548" max="12548" width="10.28515625" style="4" customWidth="1"/>
    <col min="12549" max="12549" width="8.7109375" style="4" customWidth="1"/>
    <col min="12550" max="12550" width="8.140625" style="4" customWidth="1"/>
    <col min="12551" max="12551" width="9.7109375" style="4" customWidth="1"/>
    <col min="12552" max="12552" width="9.85546875" style="4" customWidth="1"/>
    <col min="12553" max="12800" width="9.140625" style="4"/>
    <col min="12801" max="12801" width="3.7109375" style="4" customWidth="1"/>
    <col min="12802" max="12802" width="6.7109375" style="4" customWidth="1"/>
    <col min="12803" max="12803" width="55.140625" style="4" customWidth="1"/>
    <col min="12804" max="12804" width="10.28515625" style="4" customWidth="1"/>
    <col min="12805" max="12805" width="8.7109375" style="4" customWidth="1"/>
    <col min="12806" max="12806" width="8.140625" style="4" customWidth="1"/>
    <col min="12807" max="12807" width="9.7109375" style="4" customWidth="1"/>
    <col min="12808" max="12808" width="9.85546875" style="4" customWidth="1"/>
    <col min="12809" max="13056" width="9.140625" style="4"/>
    <col min="13057" max="13057" width="3.7109375" style="4" customWidth="1"/>
    <col min="13058" max="13058" width="6.7109375" style="4" customWidth="1"/>
    <col min="13059" max="13059" width="55.140625" style="4" customWidth="1"/>
    <col min="13060" max="13060" width="10.28515625" style="4" customWidth="1"/>
    <col min="13061" max="13061" width="8.7109375" style="4" customWidth="1"/>
    <col min="13062" max="13062" width="8.140625" style="4" customWidth="1"/>
    <col min="13063" max="13063" width="9.7109375" style="4" customWidth="1"/>
    <col min="13064" max="13064" width="9.85546875" style="4" customWidth="1"/>
    <col min="13065" max="13312" width="9.140625" style="4"/>
    <col min="13313" max="13313" width="3.7109375" style="4" customWidth="1"/>
    <col min="13314" max="13314" width="6.7109375" style="4" customWidth="1"/>
    <col min="13315" max="13315" width="55.140625" style="4" customWidth="1"/>
    <col min="13316" max="13316" width="10.28515625" style="4" customWidth="1"/>
    <col min="13317" max="13317" width="8.7109375" style="4" customWidth="1"/>
    <col min="13318" max="13318" width="8.140625" style="4" customWidth="1"/>
    <col min="13319" max="13319" width="9.7109375" style="4" customWidth="1"/>
    <col min="13320" max="13320" width="9.85546875" style="4" customWidth="1"/>
    <col min="13321" max="13568" width="9.140625" style="4"/>
    <col min="13569" max="13569" width="3.7109375" style="4" customWidth="1"/>
    <col min="13570" max="13570" width="6.7109375" style="4" customWidth="1"/>
    <col min="13571" max="13571" width="55.140625" style="4" customWidth="1"/>
    <col min="13572" max="13572" width="10.28515625" style="4" customWidth="1"/>
    <col min="13573" max="13573" width="8.7109375" style="4" customWidth="1"/>
    <col min="13574" max="13574" width="8.140625" style="4" customWidth="1"/>
    <col min="13575" max="13575" width="9.7109375" style="4" customWidth="1"/>
    <col min="13576" max="13576" width="9.85546875" style="4" customWidth="1"/>
    <col min="13577" max="13824" width="9.140625" style="4"/>
    <col min="13825" max="13825" width="3.7109375" style="4" customWidth="1"/>
    <col min="13826" max="13826" width="6.7109375" style="4" customWidth="1"/>
    <col min="13827" max="13827" width="55.140625" style="4" customWidth="1"/>
    <col min="13828" max="13828" width="10.28515625" style="4" customWidth="1"/>
    <col min="13829" max="13829" width="8.7109375" style="4" customWidth="1"/>
    <col min="13830" max="13830" width="8.140625" style="4" customWidth="1"/>
    <col min="13831" max="13831" width="9.7109375" style="4" customWidth="1"/>
    <col min="13832" max="13832" width="9.85546875" style="4" customWidth="1"/>
    <col min="13833" max="14080" width="9.140625" style="4"/>
    <col min="14081" max="14081" width="3.7109375" style="4" customWidth="1"/>
    <col min="14082" max="14082" width="6.7109375" style="4" customWidth="1"/>
    <col min="14083" max="14083" width="55.140625" style="4" customWidth="1"/>
    <col min="14084" max="14084" width="10.28515625" style="4" customWidth="1"/>
    <col min="14085" max="14085" width="8.7109375" style="4" customWidth="1"/>
    <col min="14086" max="14086" width="8.140625" style="4" customWidth="1"/>
    <col min="14087" max="14087" width="9.7109375" style="4" customWidth="1"/>
    <col min="14088" max="14088" width="9.85546875" style="4" customWidth="1"/>
    <col min="14089" max="14336" width="9.140625" style="4"/>
    <col min="14337" max="14337" width="3.7109375" style="4" customWidth="1"/>
    <col min="14338" max="14338" width="6.7109375" style="4" customWidth="1"/>
    <col min="14339" max="14339" width="55.140625" style="4" customWidth="1"/>
    <col min="14340" max="14340" width="10.28515625" style="4" customWidth="1"/>
    <col min="14341" max="14341" width="8.7109375" style="4" customWidth="1"/>
    <col min="14342" max="14342" width="8.140625" style="4" customWidth="1"/>
    <col min="14343" max="14343" width="9.7109375" style="4" customWidth="1"/>
    <col min="14344" max="14344" width="9.85546875" style="4" customWidth="1"/>
    <col min="14345" max="14592" width="9.140625" style="4"/>
    <col min="14593" max="14593" width="3.7109375" style="4" customWidth="1"/>
    <col min="14594" max="14594" width="6.7109375" style="4" customWidth="1"/>
    <col min="14595" max="14595" width="55.140625" style="4" customWidth="1"/>
    <col min="14596" max="14596" width="10.28515625" style="4" customWidth="1"/>
    <col min="14597" max="14597" width="8.7109375" style="4" customWidth="1"/>
    <col min="14598" max="14598" width="8.140625" style="4" customWidth="1"/>
    <col min="14599" max="14599" width="9.7109375" style="4" customWidth="1"/>
    <col min="14600" max="14600" width="9.85546875" style="4" customWidth="1"/>
    <col min="14601" max="14848" width="9.140625" style="4"/>
    <col min="14849" max="14849" width="3.7109375" style="4" customWidth="1"/>
    <col min="14850" max="14850" width="6.7109375" style="4" customWidth="1"/>
    <col min="14851" max="14851" width="55.140625" style="4" customWidth="1"/>
    <col min="14852" max="14852" width="10.28515625" style="4" customWidth="1"/>
    <col min="14853" max="14853" width="8.7109375" style="4" customWidth="1"/>
    <col min="14854" max="14854" width="8.140625" style="4" customWidth="1"/>
    <col min="14855" max="14855" width="9.7109375" style="4" customWidth="1"/>
    <col min="14856" max="14856" width="9.85546875" style="4" customWidth="1"/>
    <col min="14857" max="15104" width="9.140625" style="4"/>
    <col min="15105" max="15105" width="3.7109375" style="4" customWidth="1"/>
    <col min="15106" max="15106" width="6.7109375" style="4" customWidth="1"/>
    <col min="15107" max="15107" width="55.140625" style="4" customWidth="1"/>
    <col min="15108" max="15108" width="10.28515625" style="4" customWidth="1"/>
    <col min="15109" max="15109" width="8.7109375" style="4" customWidth="1"/>
    <col min="15110" max="15110" width="8.140625" style="4" customWidth="1"/>
    <col min="15111" max="15111" width="9.7109375" style="4" customWidth="1"/>
    <col min="15112" max="15112" width="9.85546875" style="4" customWidth="1"/>
    <col min="15113" max="15360" width="9.140625" style="4"/>
    <col min="15361" max="15361" width="3.7109375" style="4" customWidth="1"/>
    <col min="15362" max="15362" width="6.7109375" style="4" customWidth="1"/>
    <col min="15363" max="15363" width="55.140625" style="4" customWidth="1"/>
    <col min="15364" max="15364" width="10.28515625" style="4" customWidth="1"/>
    <col min="15365" max="15365" width="8.7109375" style="4" customWidth="1"/>
    <col min="15366" max="15366" width="8.140625" style="4" customWidth="1"/>
    <col min="15367" max="15367" width="9.7109375" style="4" customWidth="1"/>
    <col min="15368" max="15368" width="9.85546875" style="4" customWidth="1"/>
    <col min="15369" max="15616" width="9.140625" style="4"/>
    <col min="15617" max="15617" width="3.7109375" style="4" customWidth="1"/>
    <col min="15618" max="15618" width="6.7109375" style="4" customWidth="1"/>
    <col min="15619" max="15619" width="55.140625" style="4" customWidth="1"/>
    <col min="15620" max="15620" width="10.28515625" style="4" customWidth="1"/>
    <col min="15621" max="15621" width="8.7109375" style="4" customWidth="1"/>
    <col min="15622" max="15622" width="8.140625" style="4" customWidth="1"/>
    <col min="15623" max="15623" width="9.7109375" style="4" customWidth="1"/>
    <col min="15624" max="15624" width="9.85546875" style="4" customWidth="1"/>
    <col min="15625" max="15872" width="9.140625" style="4"/>
    <col min="15873" max="15873" width="3.7109375" style="4" customWidth="1"/>
    <col min="15874" max="15874" width="6.7109375" style="4" customWidth="1"/>
    <col min="15875" max="15875" width="55.140625" style="4" customWidth="1"/>
    <col min="15876" max="15876" width="10.28515625" style="4" customWidth="1"/>
    <col min="15877" max="15877" width="8.7109375" style="4" customWidth="1"/>
    <col min="15878" max="15878" width="8.140625" style="4" customWidth="1"/>
    <col min="15879" max="15879" width="9.7109375" style="4" customWidth="1"/>
    <col min="15880" max="15880" width="9.85546875" style="4" customWidth="1"/>
    <col min="15881" max="16128" width="9.140625" style="4"/>
    <col min="16129" max="16129" width="3.7109375" style="4" customWidth="1"/>
    <col min="16130" max="16130" width="6.7109375" style="4" customWidth="1"/>
    <col min="16131" max="16131" width="55.140625" style="4" customWidth="1"/>
    <col min="16132" max="16132" width="10.28515625" style="4" customWidth="1"/>
    <col min="16133" max="16133" width="8.7109375" style="4" customWidth="1"/>
    <col min="16134" max="16134" width="8.140625" style="4" customWidth="1"/>
    <col min="16135" max="16135" width="9.7109375" style="4" customWidth="1"/>
    <col min="16136" max="16136" width="9.85546875" style="4" customWidth="1"/>
    <col min="16137" max="16384" width="9.140625" style="4"/>
  </cols>
  <sheetData>
    <row r="1" spans="1:10" ht="15" customHeight="1" x14ac:dyDescent="0.25">
      <c r="C1" s="264" t="s">
        <v>0</v>
      </c>
      <c r="D1" s="264"/>
      <c r="E1" s="264"/>
      <c r="F1" s="264"/>
      <c r="G1" s="264"/>
      <c r="H1" s="264"/>
    </row>
    <row r="2" spans="1:10" ht="15.75" x14ac:dyDescent="0.25">
      <c r="C2" s="264" t="s">
        <v>725</v>
      </c>
      <c r="D2" s="264"/>
      <c r="E2" s="264"/>
      <c r="F2" s="264"/>
      <c r="G2" s="264"/>
      <c r="H2" s="264"/>
    </row>
    <row r="3" spans="1:10" ht="15.75" x14ac:dyDescent="0.2">
      <c r="C3" s="107"/>
      <c r="D3" s="108"/>
      <c r="E3" s="263" t="s">
        <v>1</v>
      </c>
      <c r="F3" s="263"/>
      <c r="G3" s="263"/>
      <c r="H3" s="263"/>
    </row>
    <row r="4" spans="1:10" x14ac:dyDescent="0.2">
      <c r="G4" s="1"/>
    </row>
    <row r="5" spans="1:10" ht="28.5" customHeight="1" x14ac:dyDescent="0.2">
      <c r="A5" s="273" t="s">
        <v>500</v>
      </c>
      <c r="B5" s="273"/>
      <c r="C5" s="273"/>
      <c r="D5" s="273"/>
      <c r="E5" s="273"/>
      <c r="F5" s="273"/>
      <c r="G5" s="273"/>
    </row>
    <row r="6" spans="1:10" ht="12.75" customHeight="1" x14ac:dyDescent="0.2">
      <c r="A6" s="109"/>
      <c r="B6" s="109"/>
      <c r="C6" s="109"/>
      <c r="D6" s="109"/>
      <c r="E6" s="109"/>
      <c r="F6" s="109"/>
      <c r="G6" s="109"/>
    </row>
    <row r="7" spans="1:10" x14ac:dyDescent="0.2">
      <c r="G7" s="272" t="s">
        <v>3</v>
      </c>
      <c r="H7" s="272"/>
    </row>
    <row r="8" spans="1:10" ht="27" customHeight="1" x14ac:dyDescent="0.2">
      <c r="A8" s="266" t="s">
        <v>4</v>
      </c>
      <c r="B8" s="268" t="s">
        <v>5</v>
      </c>
      <c r="C8" s="266" t="s">
        <v>6</v>
      </c>
      <c r="D8" s="268" t="s">
        <v>7</v>
      </c>
      <c r="E8" s="270" t="s">
        <v>8</v>
      </c>
      <c r="F8" s="271"/>
      <c r="G8" s="270" t="s">
        <v>9</v>
      </c>
      <c r="H8" s="271"/>
    </row>
    <row r="9" spans="1:10" ht="13.5" customHeight="1" x14ac:dyDescent="0.2">
      <c r="A9" s="267"/>
      <c r="B9" s="269"/>
      <c r="C9" s="267"/>
      <c r="D9" s="269"/>
      <c r="E9" s="10" t="s">
        <v>10</v>
      </c>
      <c r="F9" s="10" t="s">
        <v>11</v>
      </c>
      <c r="G9" s="10" t="s">
        <v>10</v>
      </c>
      <c r="H9" s="11" t="s">
        <v>11</v>
      </c>
    </row>
    <row r="10" spans="1:10" s="120" customFormat="1" ht="12" customHeight="1" x14ac:dyDescent="0.2">
      <c r="A10" s="11">
        <v>1</v>
      </c>
      <c r="B10" s="12" t="s">
        <v>12</v>
      </c>
      <c r="C10" s="10">
        <v>3</v>
      </c>
      <c r="D10" s="13">
        <v>4</v>
      </c>
      <c r="E10" s="10">
        <v>5</v>
      </c>
      <c r="F10" s="10">
        <v>6</v>
      </c>
      <c r="G10" s="10">
        <v>7</v>
      </c>
      <c r="H10" s="11">
        <v>8</v>
      </c>
    </row>
    <row r="11" spans="1:10" ht="20.100000000000001" customHeight="1" x14ac:dyDescent="0.2">
      <c r="A11" s="14">
        <v>1</v>
      </c>
      <c r="B11" s="12" t="s">
        <v>13</v>
      </c>
      <c r="C11" s="15" t="s">
        <v>14</v>
      </c>
      <c r="D11" s="11"/>
      <c r="E11" s="110">
        <f>SUM(E12:E35)</f>
        <v>37.900000000000006</v>
      </c>
      <c r="F11" s="110">
        <f>SUM(F12:F35)</f>
        <v>27.500000000000004</v>
      </c>
      <c r="G11" s="110">
        <f>SUM(G12:G35)</f>
        <v>0</v>
      </c>
      <c r="H11" s="110">
        <f>SUM(H12:H35)</f>
        <v>0</v>
      </c>
      <c r="I11" s="97"/>
      <c r="J11" s="97"/>
    </row>
    <row r="12" spans="1:10" ht="12.6" customHeight="1" x14ac:dyDescent="0.2">
      <c r="A12" s="14">
        <v>2</v>
      </c>
      <c r="B12" s="12"/>
      <c r="C12" s="31" t="s">
        <v>15</v>
      </c>
      <c r="D12" s="18" t="s">
        <v>16</v>
      </c>
      <c r="E12" s="111">
        <v>0.9</v>
      </c>
      <c r="F12" s="111">
        <v>0.2</v>
      </c>
      <c r="G12" s="116"/>
      <c r="H12" s="23"/>
      <c r="I12" s="97"/>
      <c r="J12" s="97"/>
    </row>
    <row r="13" spans="1:10" ht="12.6" customHeight="1" x14ac:dyDescent="0.2">
      <c r="A13" s="14">
        <v>3</v>
      </c>
      <c r="B13" s="12"/>
      <c r="C13" s="31" t="s">
        <v>17</v>
      </c>
      <c r="D13" s="18" t="s">
        <v>16</v>
      </c>
      <c r="E13" s="111">
        <v>0.7</v>
      </c>
      <c r="F13" s="111">
        <v>0.6</v>
      </c>
      <c r="G13" s="116"/>
      <c r="H13" s="23"/>
      <c r="I13" s="97"/>
      <c r="J13" s="97"/>
    </row>
    <row r="14" spans="1:10" ht="12.6" customHeight="1" x14ac:dyDescent="0.2">
      <c r="A14" s="14">
        <v>4</v>
      </c>
      <c r="B14" s="11"/>
      <c r="C14" s="31" t="s">
        <v>18</v>
      </c>
      <c r="D14" s="18" t="s">
        <v>16</v>
      </c>
      <c r="E14" s="111">
        <f>1+1.4</f>
        <v>2.4</v>
      </c>
      <c r="F14" s="111">
        <v>2.4</v>
      </c>
      <c r="G14" s="111"/>
      <c r="H14" s="23"/>
      <c r="I14" s="97"/>
      <c r="J14" s="97"/>
    </row>
    <row r="15" spans="1:10" ht="12.6" customHeight="1" x14ac:dyDescent="0.2">
      <c r="A15" s="14">
        <v>5</v>
      </c>
      <c r="B15" s="11"/>
      <c r="C15" s="31" t="s">
        <v>19</v>
      </c>
      <c r="D15" s="18" t="s">
        <v>16</v>
      </c>
      <c r="E15" s="111">
        <v>0.5</v>
      </c>
      <c r="F15" s="111">
        <v>0</v>
      </c>
      <c r="G15" s="111"/>
      <c r="H15" s="23"/>
      <c r="I15" s="97"/>
      <c r="J15" s="97"/>
    </row>
    <row r="16" spans="1:10" ht="12.6" customHeight="1" x14ac:dyDescent="0.2">
      <c r="A16" s="14">
        <v>6</v>
      </c>
      <c r="B16" s="11"/>
      <c r="C16" s="31" t="s">
        <v>20</v>
      </c>
      <c r="D16" s="18" t="s">
        <v>16</v>
      </c>
      <c r="E16" s="111">
        <f>2.2-0.5</f>
        <v>1.7000000000000002</v>
      </c>
      <c r="F16" s="111">
        <v>1.4</v>
      </c>
      <c r="G16" s="116"/>
      <c r="H16" s="23"/>
      <c r="I16" s="97"/>
      <c r="J16" s="97"/>
    </row>
    <row r="17" spans="1:10" ht="12.6" customHeight="1" x14ac:dyDescent="0.2">
      <c r="A17" s="14">
        <v>7</v>
      </c>
      <c r="B17" s="49"/>
      <c r="C17" s="31" t="s">
        <v>21</v>
      </c>
      <c r="D17" s="18" t="s">
        <v>16</v>
      </c>
      <c r="E17" s="111">
        <f>2.1-1.3</f>
        <v>0.8</v>
      </c>
      <c r="F17" s="111">
        <v>0.7</v>
      </c>
      <c r="G17" s="111"/>
      <c r="H17" s="23"/>
      <c r="I17" s="97"/>
      <c r="J17" s="97"/>
    </row>
    <row r="18" spans="1:10" ht="12.6" customHeight="1" x14ac:dyDescent="0.2">
      <c r="A18" s="14">
        <v>8</v>
      </c>
      <c r="B18" s="49"/>
      <c r="C18" s="31" t="s">
        <v>22</v>
      </c>
      <c r="D18" s="18" t="s">
        <v>16</v>
      </c>
      <c r="E18" s="111">
        <v>1.1000000000000001</v>
      </c>
      <c r="F18" s="111">
        <v>0.6</v>
      </c>
      <c r="G18" s="111"/>
      <c r="H18" s="23"/>
      <c r="I18" s="97"/>
      <c r="J18" s="97"/>
    </row>
    <row r="19" spans="1:10" ht="12.6" customHeight="1" x14ac:dyDescent="0.2">
      <c r="A19" s="14">
        <v>9</v>
      </c>
      <c r="B19" s="49"/>
      <c r="C19" s="31" t="s">
        <v>25</v>
      </c>
      <c r="D19" s="18" t="s">
        <v>26</v>
      </c>
      <c r="E19" s="111">
        <v>8</v>
      </c>
      <c r="F19" s="111">
        <v>8</v>
      </c>
      <c r="G19" s="111"/>
      <c r="H19" s="23"/>
      <c r="I19" s="97"/>
      <c r="J19" s="97"/>
    </row>
    <row r="20" spans="1:10" ht="12.6" customHeight="1" x14ac:dyDescent="0.2">
      <c r="A20" s="14">
        <v>10</v>
      </c>
      <c r="B20" s="49"/>
      <c r="C20" s="31" t="s">
        <v>27</v>
      </c>
      <c r="D20" s="18" t="s">
        <v>26</v>
      </c>
      <c r="E20" s="111">
        <v>0.1</v>
      </c>
      <c r="F20" s="111">
        <v>0</v>
      </c>
      <c r="G20" s="111"/>
      <c r="H20" s="23"/>
      <c r="I20" s="97"/>
      <c r="J20" s="97"/>
    </row>
    <row r="21" spans="1:10" ht="12.6" customHeight="1" x14ac:dyDescent="0.2">
      <c r="A21" s="14">
        <v>11</v>
      </c>
      <c r="B21" s="49"/>
      <c r="C21" s="112" t="s">
        <v>29</v>
      </c>
      <c r="D21" s="18" t="s">
        <v>26</v>
      </c>
      <c r="E21" s="111">
        <f>1.3-0.3</f>
        <v>1</v>
      </c>
      <c r="F21" s="111">
        <v>0.9</v>
      </c>
      <c r="G21" s="111"/>
      <c r="H21" s="23"/>
      <c r="I21" s="97"/>
      <c r="J21" s="97"/>
    </row>
    <row r="22" spans="1:10" ht="12.6" customHeight="1" x14ac:dyDescent="0.2">
      <c r="A22" s="14">
        <v>12</v>
      </c>
      <c r="B22" s="49"/>
      <c r="C22" s="112" t="s">
        <v>30</v>
      </c>
      <c r="D22" s="18" t="s">
        <v>26</v>
      </c>
      <c r="E22" s="111">
        <v>0.3</v>
      </c>
      <c r="F22" s="111">
        <v>0</v>
      </c>
      <c r="G22" s="111"/>
      <c r="H22" s="23"/>
      <c r="I22" s="97"/>
      <c r="J22" s="97"/>
    </row>
    <row r="23" spans="1:10" ht="12.6" customHeight="1" x14ac:dyDescent="0.2">
      <c r="A23" s="14">
        <v>13</v>
      </c>
      <c r="B23" s="49"/>
      <c r="C23" s="112" t="s">
        <v>31</v>
      </c>
      <c r="D23" s="18" t="s">
        <v>26</v>
      </c>
      <c r="E23" s="111">
        <v>0.3</v>
      </c>
      <c r="F23" s="111">
        <v>0</v>
      </c>
      <c r="G23" s="111"/>
      <c r="H23" s="23"/>
      <c r="I23" s="97"/>
      <c r="J23" s="97"/>
    </row>
    <row r="24" spans="1:10" ht="12.6" customHeight="1" x14ac:dyDescent="0.2">
      <c r="A24" s="14">
        <v>14</v>
      </c>
      <c r="B24" s="49"/>
      <c r="C24" s="31" t="s">
        <v>32</v>
      </c>
      <c r="D24" s="18" t="s">
        <v>26</v>
      </c>
      <c r="E24" s="111">
        <v>1</v>
      </c>
      <c r="F24" s="111">
        <v>0.9</v>
      </c>
      <c r="G24" s="111"/>
      <c r="H24" s="23"/>
      <c r="I24" s="97"/>
      <c r="J24" s="97"/>
    </row>
    <row r="25" spans="1:10" ht="12.6" customHeight="1" x14ac:dyDescent="0.2">
      <c r="A25" s="14">
        <v>15</v>
      </c>
      <c r="B25" s="49"/>
      <c r="C25" s="112" t="s">
        <v>33</v>
      </c>
      <c r="D25" s="25" t="s">
        <v>485</v>
      </c>
      <c r="E25" s="111">
        <f>4.7-0.7</f>
        <v>4</v>
      </c>
      <c r="F25" s="111">
        <v>0</v>
      </c>
      <c r="G25" s="111"/>
      <c r="H25" s="23"/>
      <c r="I25" s="97"/>
      <c r="J25" s="97"/>
    </row>
    <row r="26" spans="1:10" ht="12.6" customHeight="1" x14ac:dyDescent="0.2">
      <c r="A26" s="14">
        <v>16</v>
      </c>
      <c r="B26" s="49"/>
      <c r="C26" s="31" t="s">
        <v>501</v>
      </c>
      <c r="D26" s="25" t="s">
        <v>485</v>
      </c>
      <c r="E26" s="111">
        <v>0.1</v>
      </c>
      <c r="F26" s="111">
        <v>0</v>
      </c>
      <c r="G26" s="111"/>
      <c r="H26" s="23"/>
      <c r="I26" s="97"/>
      <c r="J26" s="97"/>
    </row>
    <row r="27" spans="1:10" ht="12.6" customHeight="1" x14ac:dyDescent="0.2">
      <c r="A27" s="14">
        <v>17</v>
      </c>
      <c r="B27" s="49"/>
      <c r="C27" s="112" t="s">
        <v>36</v>
      </c>
      <c r="D27" s="25" t="s">
        <v>485</v>
      </c>
      <c r="E27" s="111">
        <f>3.3+1.8</f>
        <v>5.0999999999999996</v>
      </c>
      <c r="F27" s="111">
        <v>4.9000000000000004</v>
      </c>
      <c r="G27" s="111"/>
      <c r="H27" s="23"/>
      <c r="I27" s="97"/>
      <c r="J27" s="97"/>
    </row>
    <row r="28" spans="1:10" ht="12.6" customHeight="1" x14ac:dyDescent="0.2">
      <c r="A28" s="14">
        <v>18</v>
      </c>
      <c r="B28" s="49"/>
      <c r="C28" s="112" t="s">
        <v>37</v>
      </c>
      <c r="D28" s="25" t="s">
        <v>485</v>
      </c>
      <c r="E28" s="111">
        <f>0.3-0.2</f>
        <v>9.9999999999999978E-2</v>
      </c>
      <c r="F28" s="111">
        <v>0</v>
      </c>
      <c r="G28" s="111"/>
      <c r="H28" s="23"/>
      <c r="I28" s="97"/>
      <c r="J28" s="97"/>
    </row>
    <row r="29" spans="1:10" ht="12.6" customHeight="1" x14ac:dyDescent="0.2">
      <c r="A29" s="14">
        <v>19</v>
      </c>
      <c r="B29" s="49"/>
      <c r="C29" s="112" t="s">
        <v>38</v>
      </c>
      <c r="D29" s="25" t="s">
        <v>485</v>
      </c>
      <c r="E29" s="111">
        <f>1.5+0.9</f>
        <v>2.4</v>
      </c>
      <c r="F29" s="111">
        <v>1.6</v>
      </c>
      <c r="G29" s="111"/>
      <c r="H29" s="23"/>
      <c r="I29" s="97"/>
      <c r="J29" s="97"/>
    </row>
    <row r="30" spans="1:10" ht="12.6" customHeight="1" x14ac:dyDescent="0.2">
      <c r="A30" s="14">
        <v>20</v>
      </c>
      <c r="B30" s="49"/>
      <c r="C30" s="24" t="s">
        <v>486</v>
      </c>
      <c r="D30" s="25" t="s">
        <v>485</v>
      </c>
      <c r="E30" s="111">
        <v>0.1</v>
      </c>
      <c r="F30" s="111">
        <v>0</v>
      </c>
      <c r="G30" s="111"/>
      <c r="H30" s="23"/>
      <c r="I30" s="97"/>
      <c r="J30" s="97"/>
    </row>
    <row r="31" spans="1:10" ht="12.6" customHeight="1" x14ac:dyDescent="0.2">
      <c r="A31" s="14">
        <v>21</v>
      </c>
      <c r="B31" s="49"/>
      <c r="C31" s="24" t="s">
        <v>40</v>
      </c>
      <c r="D31" s="25" t="s">
        <v>485</v>
      </c>
      <c r="E31" s="111">
        <v>0.1</v>
      </c>
      <c r="F31" s="111">
        <v>0</v>
      </c>
      <c r="G31" s="111"/>
      <c r="H31" s="23"/>
      <c r="I31" s="97"/>
      <c r="J31" s="97"/>
    </row>
    <row r="32" spans="1:10" ht="12.6" customHeight="1" x14ac:dyDescent="0.2">
      <c r="A32" s="14">
        <v>22</v>
      </c>
      <c r="B32" s="49"/>
      <c r="C32" s="24" t="s">
        <v>41</v>
      </c>
      <c r="D32" s="25" t="s">
        <v>485</v>
      </c>
      <c r="E32" s="111">
        <f>0.1-0.1</f>
        <v>0</v>
      </c>
      <c r="F32" s="111">
        <v>0</v>
      </c>
      <c r="G32" s="111"/>
      <c r="H32" s="23"/>
      <c r="I32" s="97"/>
      <c r="J32" s="97"/>
    </row>
    <row r="33" spans="1:10" ht="12.6" customHeight="1" x14ac:dyDescent="0.2">
      <c r="A33" s="14">
        <v>23</v>
      </c>
      <c r="B33" s="49"/>
      <c r="C33" s="121" t="s">
        <v>47</v>
      </c>
      <c r="D33" s="18" t="s">
        <v>46</v>
      </c>
      <c r="E33" s="111">
        <v>0.1</v>
      </c>
      <c r="F33" s="111">
        <v>0.1</v>
      </c>
      <c r="G33" s="111"/>
      <c r="H33" s="23"/>
      <c r="I33" s="97"/>
      <c r="J33" s="97"/>
    </row>
    <row r="34" spans="1:10" ht="12.6" customHeight="1" x14ac:dyDescent="0.2">
      <c r="A34" s="14">
        <v>24</v>
      </c>
      <c r="B34" s="49"/>
      <c r="C34" s="31" t="s">
        <v>49</v>
      </c>
      <c r="D34" s="18" t="s">
        <v>46</v>
      </c>
      <c r="E34" s="111">
        <v>6.3</v>
      </c>
      <c r="F34" s="111">
        <v>5</v>
      </c>
      <c r="G34" s="111"/>
      <c r="H34" s="23"/>
      <c r="I34" s="97"/>
      <c r="J34" s="97"/>
    </row>
    <row r="35" spans="1:10" ht="12.6" customHeight="1" x14ac:dyDescent="0.2">
      <c r="A35" s="14">
        <v>25</v>
      </c>
      <c r="B35" s="49"/>
      <c r="C35" s="19" t="s">
        <v>487</v>
      </c>
      <c r="D35" s="18" t="s">
        <v>488</v>
      </c>
      <c r="E35" s="111">
        <v>0.8</v>
      </c>
      <c r="F35" s="111">
        <v>0.2</v>
      </c>
      <c r="G35" s="111"/>
      <c r="H35" s="23"/>
      <c r="I35" s="97"/>
      <c r="J35" s="97"/>
    </row>
    <row r="36" spans="1:10" ht="12.6" customHeight="1" x14ac:dyDescent="0.2">
      <c r="A36" s="14">
        <v>26</v>
      </c>
      <c r="B36" s="12" t="s">
        <v>212</v>
      </c>
      <c r="C36" s="52" t="s">
        <v>213</v>
      </c>
      <c r="D36" s="65"/>
      <c r="E36" s="110">
        <f>+E37</f>
        <v>61.6</v>
      </c>
      <c r="F36" s="110">
        <f>+F37</f>
        <v>61.3</v>
      </c>
      <c r="G36" s="110">
        <f>+G37</f>
        <v>9</v>
      </c>
      <c r="H36" s="110">
        <f>+H37</f>
        <v>9</v>
      </c>
      <c r="I36" s="97"/>
    </row>
    <row r="37" spans="1:10" ht="12.6" customHeight="1" x14ac:dyDescent="0.2">
      <c r="A37" s="14">
        <v>27</v>
      </c>
      <c r="B37" s="49"/>
      <c r="C37" s="31" t="s">
        <v>214</v>
      </c>
      <c r="D37" s="18" t="s">
        <v>215</v>
      </c>
      <c r="E37" s="111">
        <v>61.6</v>
      </c>
      <c r="F37" s="236">
        <f>61.3</f>
        <v>61.3</v>
      </c>
      <c r="G37" s="111">
        <v>9</v>
      </c>
      <c r="H37" s="23">
        <v>9</v>
      </c>
      <c r="I37" s="97"/>
      <c r="J37" s="97"/>
    </row>
    <row r="38" spans="1:10" ht="15" customHeight="1" x14ac:dyDescent="0.2">
      <c r="A38" s="14">
        <v>28</v>
      </c>
      <c r="B38" s="12" t="s">
        <v>239</v>
      </c>
      <c r="C38" s="52" t="s">
        <v>240</v>
      </c>
      <c r="D38" s="18"/>
      <c r="E38" s="110">
        <f>SUM(E39:E46)</f>
        <v>14.6</v>
      </c>
      <c r="F38" s="110">
        <f>SUM(F39:F46)</f>
        <v>12.100000000000001</v>
      </c>
      <c r="G38" s="110">
        <f>SUM(G39:G46)</f>
        <v>0</v>
      </c>
      <c r="H38" s="110">
        <f>SUM(H39:H46)</f>
        <v>0</v>
      </c>
      <c r="I38" s="97"/>
      <c r="J38" s="97"/>
    </row>
    <row r="39" spans="1:10" ht="12.6" customHeight="1" x14ac:dyDescent="0.2">
      <c r="A39" s="14">
        <v>29</v>
      </c>
      <c r="B39" s="49"/>
      <c r="C39" s="19" t="s">
        <v>241</v>
      </c>
      <c r="D39" s="18" t="s">
        <v>242</v>
      </c>
      <c r="E39" s="111">
        <v>4</v>
      </c>
      <c r="F39" s="111">
        <v>4</v>
      </c>
      <c r="G39" s="111"/>
      <c r="H39" s="23"/>
      <c r="I39" s="97"/>
      <c r="J39" s="97"/>
    </row>
    <row r="40" spans="1:10" ht="12.6" customHeight="1" x14ac:dyDescent="0.2">
      <c r="A40" s="14">
        <v>30</v>
      </c>
      <c r="B40" s="49"/>
      <c r="C40" s="63" t="s">
        <v>243</v>
      </c>
      <c r="D40" s="18" t="s">
        <v>242</v>
      </c>
      <c r="E40" s="111">
        <f>1+0.7</f>
        <v>1.7</v>
      </c>
      <c r="F40" s="111">
        <v>1.3</v>
      </c>
      <c r="G40" s="111"/>
      <c r="H40" s="23"/>
      <c r="I40" s="97"/>
      <c r="J40" s="97"/>
    </row>
    <row r="41" spans="1:10" ht="12.6" customHeight="1" x14ac:dyDescent="0.2">
      <c r="A41" s="14">
        <v>31</v>
      </c>
      <c r="B41" s="49"/>
      <c r="C41" s="19" t="s">
        <v>244</v>
      </c>
      <c r="D41" s="18" t="s">
        <v>242</v>
      </c>
      <c r="E41" s="111">
        <f>0.8-0.4</f>
        <v>0.4</v>
      </c>
      <c r="F41" s="111">
        <v>0.4</v>
      </c>
      <c r="G41" s="111"/>
      <c r="H41" s="23"/>
      <c r="I41" s="97"/>
      <c r="J41" s="97"/>
    </row>
    <row r="42" spans="1:10" ht="12.6" customHeight="1" x14ac:dyDescent="0.2">
      <c r="A42" s="14">
        <v>32</v>
      </c>
      <c r="B42" s="49"/>
      <c r="C42" s="19" t="s">
        <v>245</v>
      </c>
      <c r="D42" s="18" t="s">
        <v>242</v>
      </c>
      <c r="E42" s="111">
        <f>1.1-0.6</f>
        <v>0.50000000000000011</v>
      </c>
      <c r="F42" s="111">
        <v>0.5</v>
      </c>
      <c r="G42" s="111"/>
      <c r="H42" s="23"/>
      <c r="I42" s="97"/>
      <c r="J42" s="97"/>
    </row>
    <row r="43" spans="1:10" ht="12.6" customHeight="1" x14ac:dyDescent="0.2">
      <c r="A43" s="14">
        <v>33</v>
      </c>
      <c r="B43" s="49"/>
      <c r="C43" s="19" t="s">
        <v>246</v>
      </c>
      <c r="D43" s="18" t="s">
        <v>242</v>
      </c>
      <c r="E43" s="111">
        <v>0.1</v>
      </c>
      <c r="F43" s="111">
        <v>0</v>
      </c>
      <c r="G43" s="111"/>
      <c r="H43" s="23"/>
      <c r="I43" s="97"/>
      <c r="J43" s="97"/>
    </row>
    <row r="44" spans="1:10" ht="12.6" customHeight="1" x14ac:dyDescent="0.2">
      <c r="A44" s="14">
        <v>34</v>
      </c>
      <c r="B44" s="49"/>
      <c r="C44" s="19" t="s">
        <v>247</v>
      </c>
      <c r="D44" s="18" t="s">
        <v>242</v>
      </c>
      <c r="E44" s="111">
        <v>0.1</v>
      </c>
      <c r="F44" s="111">
        <v>0</v>
      </c>
      <c r="G44" s="111"/>
      <c r="H44" s="23"/>
      <c r="I44" s="97"/>
      <c r="J44" s="97"/>
    </row>
    <row r="45" spans="1:10" x14ac:dyDescent="0.2">
      <c r="A45" s="14">
        <v>35</v>
      </c>
      <c r="B45" s="49"/>
      <c r="C45" s="112" t="s">
        <v>248</v>
      </c>
      <c r="D45" s="18" t="s">
        <v>249</v>
      </c>
      <c r="E45" s="111">
        <v>7.4</v>
      </c>
      <c r="F45" s="111">
        <v>5.9</v>
      </c>
      <c r="G45" s="111"/>
      <c r="H45" s="23"/>
      <c r="I45" s="97"/>
      <c r="J45" s="97"/>
    </row>
    <row r="46" spans="1:10" ht="12.6" customHeight="1" x14ac:dyDescent="0.2">
      <c r="A46" s="14">
        <v>36</v>
      </c>
      <c r="B46" s="49"/>
      <c r="C46" s="19" t="s">
        <v>250</v>
      </c>
      <c r="D46" s="18" t="s">
        <v>251</v>
      </c>
      <c r="E46" s="111">
        <v>0.4</v>
      </c>
      <c r="F46" s="111">
        <v>0</v>
      </c>
      <c r="G46" s="111"/>
      <c r="H46" s="23"/>
      <c r="I46" s="97"/>
      <c r="J46" s="97"/>
    </row>
    <row r="47" spans="1:10" ht="15" customHeight="1" x14ac:dyDescent="0.2">
      <c r="A47" s="14">
        <v>37</v>
      </c>
      <c r="B47" s="12" t="s">
        <v>449</v>
      </c>
      <c r="C47" s="52" t="s">
        <v>450</v>
      </c>
      <c r="D47" s="18"/>
      <c r="E47" s="110">
        <f>SUM(E48:E59)</f>
        <v>56.099999999999994</v>
      </c>
      <c r="F47" s="110">
        <f>SUM(F48:F59)</f>
        <v>38.200000000000003</v>
      </c>
      <c r="G47" s="110">
        <f>SUM(G48:G59)</f>
        <v>0</v>
      </c>
      <c r="H47" s="110">
        <f>SUM(H48:H59)</f>
        <v>0</v>
      </c>
      <c r="I47" s="97"/>
      <c r="J47" s="97"/>
    </row>
    <row r="48" spans="1:10" ht="12.6" customHeight="1" x14ac:dyDescent="0.2">
      <c r="A48" s="14">
        <v>38</v>
      </c>
      <c r="B48" s="49"/>
      <c r="C48" s="73" t="s">
        <v>56</v>
      </c>
      <c r="D48" s="65" t="s">
        <v>398</v>
      </c>
      <c r="E48" s="111">
        <f>22.9-9.6</f>
        <v>13.299999999999999</v>
      </c>
      <c r="F48" s="111">
        <v>10.8</v>
      </c>
      <c r="G48" s="111"/>
      <c r="H48" s="23"/>
      <c r="I48" s="97"/>
      <c r="J48" s="97"/>
    </row>
    <row r="49" spans="1:11" ht="12.6" customHeight="1" x14ac:dyDescent="0.2">
      <c r="A49" s="14">
        <v>39</v>
      </c>
      <c r="B49" s="49"/>
      <c r="C49" s="114" t="s">
        <v>199</v>
      </c>
      <c r="D49" s="65" t="s">
        <v>496</v>
      </c>
      <c r="E49" s="111">
        <v>12.6</v>
      </c>
      <c r="F49" s="111">
        <v>12.4</v>
      </c>
      <c r="G49" s="111"/>
      <c r="H49" s="23"/>
      <c r="I49" s="97"/>
      <c r="J49" s="97"/>
    </row>
    <row r="50" spans="1:11" ht="12.6" customHeight="1" x14ac:dyDescent="0.2">
      <c r="A50" s="14">
        <v>40</v>
      </c>
      <c r="B50" s="49"/>
      <c r="C50" s="24" t="s">
        <v>201</v>
      </c>
      <c r="D50" s="65" t="s">
        <v>398</v>
      </c>
      <c r="E50" s="111">
        <v>2.9</v>
      </c>
      <c r="F50" s="111">
        <v>2.9</v>
      </c>
      <c r="G50" s="111"/>
      <c r="H50" s="23"/>
      <c r="I50" s="97"/>
      <c r="J50" s="97"/>
    </row>
    <row r="51" spans="1:11" ht="12.6" customHeight="1" x14ac:dyDescent="0.2">
      <c r="A51" s="14">
        <v>41</v>
      </c>
      <c r="B51" s="49"/>
      <c r="C51" s="24" t="s">
        <v>203</v>
      </c>
      <c r="D51" s="65" t="s">
        <v>398</v>
      </c>
      <c r="E51" s="111">
        <v>1.1000000000000001</v>
      </c>
      <c r="F51" s="111">
        <v>1</v>
      </c>
      <c r="G51" s="111"/>
      <c r="H51" s="23"/>
      <c r="I51" s="97"/>
      <c r="J51" s="97"/>
    </row>
    <row r="52" spans="1:11" ht="12.6" customHeight="1" x14ac:dyDescent="0.2">
      <c r="A52" s="14">
        <v>42</v>
      </c>
      <c r="B52" s="49"/>
      <c r="C52" s="24" t="s">
        <v>204</v>
      </c>
      <c r="D52" s="65" t="s">
        <v>398</v>
      </c>
      <c r="E52" s="111">
        <v>17</v>
      </c>
      <c r="F52" s="111">
        <v>5.8</v>
      </c>
      <c r="G52" s="111"/>
      <c r="H52" s="23"/>
      <c r="I52" s="97"/>
      <c r="J52" s="97"/>
    </row>
    <row r="53" spans="1:11" ht="12.6" customHeight="1" x14ac:dyDescent="0.2">
      <c r="A53" s="14">
        <v>43</v>
      </c>
      <c r="B53" s="65"/>
      <c r="C53" s="122" t="s">
        <v>205</v>
      </c>
      <c r="D53" s="65" t="s">
        <v>398</v>
      </c>
      <c r="E53" s="123">
        <v>1</v>
      </c>
      <c r="F53" s="123">
        <v>0.8</v>
      </c>
      <c r="G53" s="123"/>
      <c r="H53" s="23"/>
      <c r="I53" s="97"/>
      <c r="J53" s="97"/>
    </row>
    <row r="54" spans="1:11" ht="12.6" customHeight="1" x14ac:dyDescent="0.2">
      <c r="A54" s="14">
        <v>44</v>
      </c>
      <c r="B54" s="49"/>
      <c r="C54" s="24" t="s">
        <v>206</v>
      </c>
      <c r="D54" s="65" t="s">
        <v>398</v>
      </c>
      <c r="E54" s="111">
        <v>3.3</v>
      </c>
      <c r="F54" s="111">
        <v>3.2</v>
      </c>
      <c r="G54" s="111"/>
      <c r="H54" s="23"/>
      <c r="I54" s="97"/>
      <c r="J54" s="97"/>
    </row>
    <row r="55" spans="1:11" ht="12.6" customHeight="1" x14ac:dyDescent="0.2">
      <c r="A55" s="14">
        <v>45</v>
      </c>
      <c r="B55" s="49"/>
      <c r="C55" s="73" t="s">
        <v>207</v>
      </c>
      <c r="D55" s="65" t="s">
        <v>398</v>
      </c>
      <c r="E55" s="111">
        <v>2.4</v>
      </c>
      <c r="F55" s="111">
        <v>0.2</v>
      </c>
      <c r="G55" s="111"/>
      <c r="H55" s="23"/>
      <c r="I55" s="97"/>
      <c r="J55" s="97"/>
    </row>
    <row r="56" spans="1:11" ht="12.6" customHeight="1" x14ac:dyDescent="0.2">
      <c r="A56" s="14">
        <v>46</v>
      </c>
      <c r="B56" s="49"/>
      <c r="C56" s="24" t="s">
        <v>208</v>
      </c>
      <c r="D56" s="65" t="s">
        <v>398</v>
      </c>
      <c r="E56" s="111">
        <v>1</v>
      </c>
      <c r="F56" s="111">
        <v>1</v>
      </c>
      <c r="G56" s="111"/>
      <c r="H56" s="23"/>
      <c r="I56" s="97"/>
      <c r="J56" s="97"/>
    </row>
    <row r="57" spans="1:11" ht="12.6" customHeight="1" x14ac:dyDescent="0.2">
      <c r="A57" s="14">
        <v>47</v>
      </c>
      <c r="B57" s="49"/>
      <c r="C57" s="24" t="s">
        <v>209</v>
      </c>
      <c r="D57" s="65" t="s">
        <v>398</v>
      </c>
      <c r="E57" s="111">
        <v>0.6</v>
      </c>
      <c r="F57" s="111">
        <v>0</v>
      </c>
      <c r="G57" s="111"/>
      <c r="H57" s="23"/>
      <c r="I57" s="97"/>
      <c r="J57" s="97"/>
    </row>
    <row r="58" spans="1:11" ht="12.6" customHeight="1" x14ac:dyDescent="0.2">
      <c r="A58" s="14">
        <v>48</v>
      </c>
      <c r="B58" s="49"/>
      <c r="C58" s="73" t="s">
        <v>210</v>
      </c>
      <c r="D58" s="65" t="s">
        <v>398</v>
      </c>
      <c r="E58" s="111">
        <v>0.5</v>
      </c>
      <c r="F58" s="111">
        <v>0.1</v>
      </c>
      <c r="G58" s="111"/>
      <c r="H58" s="23"/>
      <c r="I58" s="97"/>
      <c r="J58" s="97"/>
    </row>
    <row r="59" spans="1:11" ht="12.6" customHeight="1" x14ac:dyDescent="0.2">
      <c r="A59" s="14">
        <v>49</v>
      </c>
      <c r="B59" s="49"/>
      <c r="C59" s="24" t="s">
        <v>211</v>
      </c>
      <c r="D59" s="65" t="s">
        <v>398</v>
      </c>
      <c r="E59" s="111">
        <v>0.4</v>
      </c>
      <c r="F59" s="111">
        <v>0</v>
      </c>
      <c r="G59" s="111"/>
      <c r="H59" s="23"/>
      <c r="I59" s="97"/>
      <c r="J59" s="97"/>
    </row>
    <row r="60" spans="1:11" ht="12.6" customHeight="1" x14ac:dyDescent="0.2">
      <c r="A60" s="14">
        <v>50</v>
      </c>
      <c r="B60" s="49"/>
      <c r="C60" s="117" t="s">
        <v>481</v>
      </c>
      <c r="D60" s="49"/>
      <c r="E60" s="110">
        <f>+E11+E38+E47+E36</f>
        <v>170.2</v>
      </c>
      <c r="F60" s="110">
        <f>+F11+F38+F47+F36</f>
        <v>139.10000000000002</v>
      </c>
      <c r="G60" s="110">
        <f>+G11+G38+G47+G36</f>
        <v>9</v>
      </c>
      <c r="H60" s="110">
        <f>+H11+H38+H47+H36</f>
        <v>9</v>
      </c>
      <c r="I60" s="97"/>
      <c r="J60" s="97"/>
      <c r="K60" s="97"/>
    </row>
    <row r="61" spans="1:11" x14ac:dyDescent="0.2">
      <c r="C61" s="6" t="s">
        <v>502</v>
      </c>
      <c r="E61" s="104"/>
      <c r="F61" s="104"/>
      <c r="G61" s="104"/>
    </row>
    <row r="62" spans="1:11" x14ac:dyDescent="0.2">
      <c r="E62" s="104"/>
      <c r="F62" s="104"/>
      <c r="G62" s="104"/>
    </row>
    <row r="63" spans="1:11" x14ac:dyDescent="0.2">
      <c r="E63" s="104"/>
      <c r="F63" s="104"/>
      <c r="G63" s="104"/>
    </row>
    <row r="64" spans="1:11" x14ac:dyDescent="0.2">
      <c r="E64" s="104"/>
      <c r="F64" s="104"/>
      <c r="G64" s="104"/>
    </row>
    <row r="65" spans="5:7" x14ac:dyDescent="0.2">
      <c r="E65" s="124"/>
      <c r="F65" s="124"/>
      <c r="G65" s="124"/>
    </row>
  </sheetData>
  <mergeCells count="11">
    <mergeCell ref="E3:H3"/>
    <mergeCell ref="C2:H2"/>
    <mergeCell ref="C1:H1"/>
    <mergeCell ref="A5:G5"/>
    <mergeCell ref="A8:A9"/>
    <mergeCell ref="B8:B9"/>
    <mergeCell ref="C8:C9"/>
    <mergeCell ref="D8:D9"/>
    <mergeCell ref="E8:F8"/>
    <mergeCell ref="G8:H8"/>
    <mergeCell ref="G7:H7"/>
  </mergeCells>
  <pageMargins left="1.1023622047244095"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9E1AE-8A22-42BC-BD14-172FAE059406}">
  <dimension ref="A1:P53"/>
  <sheetViews>
    <sheetView workbookViewId="0">
      <selection activeCell="I6" sqref="I6"/>
    </sheetView>
  </sheetViews>
  <sheetFormatPr defaultRowHeight="12.75" x14ac:dyDescent="0.2"/>
  <cols>
    <col min="1" max="1" width="4.42578125" style="6" customWidth="1"/>
    <col min="2" max="2" width="7.28515625" style="2" customWidth="1"/>
    <col min="3" max="3" width="49" style="6" customWidth="1"/>
    <col min="4" max="4" width="10.140625" style="2" customWidth="1"/>
    <col min="5" max="6" width="8" style="1" customWidth="1"/>
    <col min="7" max="7" width="11.140625" style="1" customWidth="1"/>
    <col min="8" max="256" width="9.140625" style="4"/>
    <col min="257" max="257" width="4.42578125" style="4" customWidth="1"/>
    <col min="258" max="258" width="7.28515625" style="4" customWidth="1"/>
    <col min="259" max="259" width="49" style="4" customWidth="1"/>
    <col min="260" max="260" width="10.140625" style="4" customWidth="1"/>
    <col min="261" max="262" width="8" style="4" customWidth="1"/>
    <col min="263" max="263" width="11.140625" style="4" customWidth="1"/>
    <col min="264" max="512" width="9.140625" style="4"/>
    <col min="513" max="513" width="4.42578125" style="4" customWidth="1"/>
    <col min="514" max="514" width="7.28515625" style="4" customWidth="1"/>
    <col min="515" max="515" width="49" style="4" customWidth="1"/>
    <col min="516" max="516" width="10.140625" style="4" customWidth="1"/>
    <col min="517" max="518" width="8" style="4" customWidth="1"/>
    <col min="519" max="519" width="11.140625" style="4" customWidth="1"/>
    <col min="520" max="768" width="9.140625" style="4"/>
    <col min="769" max="769" width="4.42578125" style="4" customWidth="1"/>
    <col min="770" max="770" width="7.28515625" style="4" customWidth="1"/>
    <col min="771" max="771" width="49" style="4" customWidth="1"/>
    <col min="772" max="772" width="10.140625" style="4" customWidth="1"/>
    <col min="773" max="774" width="8" style="4" customWidth="1"/>
    <col min="775" max="775" width="11.140625" style="4" customWidth="1"/>
    <col min="776" max="1024" width="9.140625" style="4"/>
    <col min="1025" max="1025" width="4.42578125" style="4" customWidth="1"/>
    <col min="1026" max="1026" width="7.28515625" style="4" customWidth="1"/>
    <col min="1027" max="1027" width="49" style="4" customWidth="1"/>
    <col min="1028" max="1028" width="10.140625" style="4" customWidth="1"/>
    <col min="1029" max="1030" width="8" style="4" customWidth="1"/>
    <col min="1031" max="1031" width="11.140625" style="4" customWidth="1"/>
    <col min="1032" max="1280" width="9.140625" style="4"/>
    <col min="1281" max="1281" width="4.42578125" style="4" customWidth="1"/>
    <col min="1282" max="1282" width="7.28515625" style="4" customWidth="1"/>
    <col min="1283" max="1283" width="49" style="4" customWidth="1"/>
    <col min="1284" max="1284" width="10.140625" style="4" customWidth="1"/>
    <col min="1285" max="1286" width="8" style="4" customWidth="1"/>
    <col min="1287" max="1287" width="11.140625" style="4" customWidth="1"/>
    <col min="1288" max="1536" width="9.140625" style="4"/>
    <col min="1537" max="1537" width="4.42578125" style="4" customWidth="1"/>
    <col min="1538" max="1538" width="7.28515625" style="4" customWidth="1"/>
    <col min="1539" max="1539" width="49" style="4" customWidth="1"/>
    <col min="1540" max="1540" width="10.140625" style="4" customWidth="1"/>
    <col min="1541" max="1542" width="8" style="4" customWidth="1"/>
    <col min="1543" max="1543" width="11.140625" style="4" customWidth="1"/>
    <col min="1544" max="1792" width="9.140625" style="4"/>
    <col min="1793" max="1793" width="4.42578125" style="4" customWidth="1"/>
    <col min="1794" max="1794" width="7.28515625" style="4" customWidth="1"/>
    <col min="1795" max="1795" width="49" style="4" customWidth="1"/>
    <col min="1796" max="1796" width="10.140625" style="4" customWidth="1"/>
    <col min="1797" max="1798" width="8" style="4" customWidth="1"/>
    <col min="1799" max="1799" width="11.140625" style="4" customWidth="1"/>
    <col min="1800" max="2048" width="9.140625" style="4"/>
    <col min="2049" max="2049" width="4.42578125" style="4" customWidth="1"/>
    <col min="2050" max="2050" width="7.28515625" style="4" customWidth="1"/>
    <col min="2051" max="2051" width="49" style="4" customWidth="1"/>
    <col min="2052" max="2052" width="10.140625" style="4" customWidth="1"/>
    <col min="2053" max="2054" width="8" style="4" customWidth="1"/>
    <col min="2055" max="2055" width="11.140625" style="4" customWidth="1"/>
    <col min="2056" max="2304" width="9.140625" style="4"/>
    <col min="2305" max="2305" width="4.42578125" style="4" customWidth="1"/>
    <col min="2306" max="2306" width="7.28515625" style="4" customWidth="1"/>
    <col min="2307" max="2307" width="49" style="4" customWidth="1"/>
    <col min="2308" max="2308" width="10.140625" style="4" customWidth="1"/>
    <col min="2309" max="2310" width="8" style="4" customWidth="1"/>
    <col min="2311" max="2311" width="11.140625" style="4" customWidth="1"/>
    <col min="2312" max="2560" width="9.140625" style="4"/>
    <col min="2561" max="2561" width="4.42578125" style="4" customWidth="1"/>
    <col min="2562" max="2562" width="7.28515625" style="4" customWidth="1"/>
    <col min="2563" max="2563" width="49" style="4" customWidth="1"/>
    <col min="2564" max="2564" width="10.140625" style="4" customWidth="1"/>
    <col min="2565" max="2566" width="8" style="4" customWidth="1"/>
    <col min="2567" max="2567" width="11.140625" style="4" customWidth="1"/>
    <col min="2568" max="2816" width="9.140625" style="4"/>
    <col min="2817" max="2817" width="4.42578125" style="4" customWidth="1"/>
    <col min="2818" max="2818" width="7.28515625" style="4" customWidth="1"/>
    <col min="2819" max="2819" width="49" style="4" customWidth="1"/>
    <col min="2820" max="2820" width="10.140625" style="4" customWidth="1"/>
    <col min="2821" max="2822" width="8" style="4" customWidth="1"/>
    <col min="2823" max="2823" width="11.140625" style="4" customWidth="1"/>
    <col min="2824" max="3072" width="9.140625" style="4"/>
    <col min="3073" max="3073" width="4.42578125" style="4" customWidth="1"/>
    <col min="3074" max="3074" width="7.28515625" style="4" customWidth="1"/>
    <col min="3075" max="3075" width="49" style="4" customWidth="1"/>
    <col min="3076" max="3076" width="10.140625" style="4" customWidth="1"/>
    <col min="3077" max="3078" width="8" style="4" customWidth="1"/>
    <col min="3079" max="3079" width="11.140625" style="4" customWidth="1"/>
    <col min="3080" max="3328" width="9.140625" style="4"/>
    <col min="3329" max="3329" width="4.42578125" style="4" customWidth="1"/>
    <col min="3330" max="3330" width="7.28515625" style="4" customWidth="1"/>
    <col min="3331" max="3331" width="49" style="4" customWidth="1"/>
    <col min="3332" max="3332" width="10.140625" style="4" customWidth="1"/>
    <col min="3333" max="3334" width="8" style="4" customWidth="1"/>
    <col min="3335" max="3335" width="11.140625" style="4" customWidth="1"/>
    <col min="3336" max="3584" width="9.140625" style="4"/>
    <col min="3585" max="3585" width="4.42578125" style="4" customWidth="1"/>
    <col min="3586" max="3586" width="7.28515625" style="4" customWidth="1"/>
    <col min="3587" max="3587" width="49" style="4" customWidth="1"/>
    <col min="3588" max="3588" width="10.140625" style="4" customWidth="1"/>
    <col min="3589" max="3590" width="8" style="4" customWidth="1"/>
    <col min="3591" max="3591" width="11.140625" style="4" customWidth="1"/>
    <col min="3592" max="3840" width="9.140625" style="4"/>
    <col min="3841" max="3841" width="4.42578125" style="4" customWidth="1"/>
    <col min="3842" max="3842" width="7.28515625" style="4" customWidth="1"/>
    <col min="3843" max="3843" width="49" style="4" customWidth="1"/>
    <col min="3844" max="3844" width="10.140625" style="4" customWidth="1"/>
    <col min="3845" max="3846" width="8" style="4" customWidth="1"/>
    <col min="3847" max="3847" width="11.140625" style="4" customWidth="1"/>
    <col min="3848" max="4096" width="9.140625" style="4"/>
    <col min="4097" max="4097" width="4.42578125" style="4" customWidth="1"/>
    <col min="4098" max="4098" width="7.28515625" style="4" customWidth="1"/>
    <col min="4099" max="4099" width="49" style="4" customWidth="1"/>
    <col min="4100" max="4100" width="10.140625" style="4" customWidth="1"/>
    <col min="4101" max="4102" width="8" style="4" customWidth="1"/>
    <col min="4103" max="4103" width="11.140625" style="4" customWidth="1"/>
    <col min="4104" max="4352" width="9.140625" style="4"/>
    <col min="4353" max="4353" width="4.42578125" style="4" customWidth="1"/>
    <col min="4354" max="4354" width="7.28515625" style="4" customWidth="1"/>
    <col min="4355" max="4355" width="49" style="4" customWidth="1"/>
    <col min="4356" max="4356" width="10.140625" style="4" customWidth="1"/>
    <col min="4357" max="4358" width="8" style="4" customWidth="1"/>
    <col min="4359" max="4359" width="11.140625" style="4" customWidth="1"/>
    <col min="4360" max="4608" width="9.140625" style="4"/>
    <col min="4609" max="4609" width="4.42578125" style="4" customWidth="1"/>
    <col min="4610" max="4610" width="7.28515625" style="4" customWidth="1"/>
    <col min="4611" max="4611" width="49" style="4" customWidth="1"/>
    <col min="4612" max="4612" width="10.140625" style="4" customWidth="1"/>
    <col min="4613" max="4614" width="8" style="4" customWidth="1"/>
    <col min="4615" max="4615" width="11.140625" style="4" customWidth="1"/>
    <col min="4616" max="4864" width="9.140625" style="4"/>
    <col min="4865" max="4865" width="4.42578125" style="4" customWidth="1"/>
    <col min="4866" max="4866" width="7.28515625" style="4" customWidth="1"/>
    <col min="4867" max="4867" width="49" style="4" customWidth="1"/>
    <col min="4868" max="4868" width="10.140625" style="4" customWidth="1"/>
    <col min="4869" max="4870" width="8" style="4" customWidth="1"/>
    <col min="4871" max="4871" width="11.140625" style="4" customWidth="1"/>
    <col min="4872" max="5120" width="9.140625" style="4"/>
    <col min="5121" max="5121" width="4.42578125" style="4" customWidth="1"/>
    <col min="5122" max="5122" width="7.28515625" style="4" customWidth="1"/>
    <col min="5123" max="5123" width="49" style="4" customWidth="1"/>
    <col min="5124" max="5124" width="10.140625" style="4" customWidth="1"/>
    <col min="5125" max="5126" width="8" style="4" customWidth="1"/>
    <col min="5127" max="5127" width="11.140625" style="4" customWidth="1"/>
    <col min="5128" max="5376" width="9.140625" style="4"/>
    <col min="5377" max="5377" width="4.42578125" style="4" customWidth="1"/>
    <col min="5378" max="5378" width="7.28515625" style="4" customWidth="1"/>
    <col min="5379" max="5379" width="49" style="4" customWidth="1"/>
    <col min="5380" max="5380" width="10.140625" style="4" customWidth="1"/>
    <col min="5381" max="5382" width="8" style="4" customWidth="1"/>
    <col min="5383" max="5383" width="11.140625" style="4" customWidth="1"/>
    <col min="5384" max="5632" width="9.140625" style="4"/>
    <col min="5633" max="5633" width="4.42578125" style="4" customWidth="1"/>
    <col min="5634" max="5634" width="7.28515625" style="4" customWidth="1"/>
    <col min="5635" max="5635" width="49" style="4" customWidth="1"/>
    <col min="5636" max="5636" width="10.140625" style="4" customWidth="1"/>
    <col min="5637" max="5638" width="8" style="4" customWidth="1"/>
    <col min="5639" max="5639" width="11.140625" style="4" customWidth="1"/>
    <col min="5640" max="5888" width="9.140625" style="4"/>
    <col min="5889" max="5889" width="4.42578125" style="4" customWidth="1"/>
    <col min="5890" max="5890" width="7.28515625" style="4" customWidth="1"/>
    <col min="5891" max="5891" width="49" style="4" customWidth="1"/>
    <col min="5892" max="5892" width="10.140625" style="4" customWidth="1"/>
    <col min="5893" max="5894" width="8" style="4" customWidth="1"/>
    <col min="5895" max="5895" width="11.140625" style="4" customWidth="1"/>
    <col min="5896" max="6144" width="9.140625" style="4"/>
    <col min="6145" max="6145" width="4.42578125" style="4" customWidth="1"/>
    <col min="6146" max="6146" width="7.28515625" style="4" customWidth="1"/>
    <col min="6147" max="6147" width="49" style="4" customWidth="1"/>
    <col min="6148" max="6148" width="10.140625" style="4" customWidth="1"/>
    <col min="6149" max="6150" width="8" style="4" customWidth="1"/>
    <col min="6151" max="6151" width="11.140625" style="4" customWidth="1"/>
    <col min="6152" max="6400" width="9.140625" style="4"/>
    <col min="6401" max="6401" width="4.42578125" style="4" customWidth="1"/>
    <col min="6402" max="6402" width="7.28515625" style="4" customWidth="1"/>
    <col min="6403" max="6403" width="49" style="4" customWidth="1"/>
    <col min="6404" max="6404" width="10.140625" style="4" customWidth="1"/>
    <col min="6405" max="6406" width="8" style="4" customWidth="1"/>
    <col min="6407" max="6407" width="11.140625" style="4" customWidth="1"/>
    <col min="6408" max="6656" width="9.140625" style="4"/>
    <col min="6657" max="6657" width="4.42578125" style="4" customWidth="1"/>
    <col min="6658" max="6658" width="7.28515625" style="4" customWidth="1"/>
    <col min="6659" max="6659" width="49" style="4" customWidth="1"/>
    <col min="6660" max="6660" width="10.140625" style="4" customWidth="1"/>
    <col min="6661" max="6662" width="8" style="4" customWidth="1"/>
    <col min="6663" max="6663" width="11.140625" style="4" customWidth="1"/>
    <col min="6664" max="6912" width="9.140625" style="4"/>
    <col min="6913" max="6913" width="4.42578125" style="4" customWidth="1"/>
    <col min="6914" max="6914" width="7.28515625" style="4" customWidth="1"/>
    <col min="6915" max="6915" width="49" style="4" customWidth="1"/>
    <col min="6916" max="6916" width="10.140625" style="4" customWidth="1"/>
    <col min="6917" max="6918" width="8" style="4" customWidth="1"/>
    <col min="6919" max="6919" width="11.140625" style="4" customWidth="1"/>
    <col min="6920" max="7168" width="9.140625" style="4"/>
    <col min="7169" max="7169" width="4.42578125" style="4" customWidth="1"/>
    <col min="7170" max="7170" width="7.28515625" style="4" customWidth="1"/>
    <col min="7171" max="7171" width="49" style="4" customWidth="1"/>
    <col min="7172" max="7172" width="10.140625" style="4" customWidth="1"/>
    <col min="7173" max="7174" width="8" style="4" customWidth="1"/>
    <col min="7175" max="7175" width="11.140625" style="4" customWidth="1"/>
    <col min="7176" max="7424" width="9.140625" style="4"/>
    <col min="7425" max="7425" width="4.42578125" style="4" customWidth="1"/>
    <col min="7426" max="7426" width="7.28515625" style="4" customWidth="1"/>
    <col min="7427" max="7427" width="49" style="4" customWidth="1"/>
    <col min="7428" max="7428" width="10.140625" style="4" customWidth="1"/>
    <col min="7429" max="7430" width="8" style="4" customWidth="1"/>
    <col min="7431" max="7431" width="11.140625" style="4" customWidth="1"/>
    <col min="7432" max="7680" width="9.140625" style="4"/>
    <col min="7681" max="7681" width="4.42578125" style="4" customWidth="1"/>
    <col min="7682" max="7682" width="7.28515625" style="4" customWidth="1"/>
    <col min="7683" max="7683" width="49" style="4" customWidth="1"/>
    <col min="7684" max="7684" width="10.140625" style="4" customWidth="1"/>
    <col min="7685" max="7686" width="8" style="4" customWidth="1"/>
    <col min="7687" max="7687" width="11.140625" style="4" customWidth="1"/>
    <col min="7688" max="7936" width="9.140625" style="4"/>
    <col min="7937" max="7937" width="4.42578125" style="4" customWidth="1"/>
    <col min="7938" max="7938" width="7.28515625" style="4" customWidth="1"/>
    <col min="7939" max="7939" width="49" style="4" customWidth="1"/>
    <col min="7940" max="7940" width="10.140625" style="4" customWidth="1"/>
    <col min="7941" max="7942" width="8" style="4" customWidth="1"/>
    <col min="7943" max="7943" width="11.140625" style="4" customWidth="1"/>
    <col min="7944" max="8192" width="9.140625" style="4"/>
    <col min="8193" max="8193" width="4.42578125" style="4" customWidth="1"/>
    <col min="8194" max="8194" width="7.28515625" style="4" customWidth="1"/>
    <col min="8195" max="8195" width="49" style="4" customWidth="1"/>
    <col min="8196" max="8196" width="10.140625" style="4" customWidth="1"/>
    <col min="8197" max="8198" width="8" style="4" customWidth="1"/>
    <col min="8199" max="8199" width="11.140625" style="4" customWidth="1"/>
    <col min="8200" max="8448" width="9.140625" style="4"/>
    <col min="8449" max="8449" width="4.42578125" style="4" customWidth="1"/>
    <col min="8450" max="8450" width="7.28515625" style="4" customWidth="1"/>
    <col min="8451" max="8451" width="49" style="4" customWidth="1"/>
    <col min="8452" max="8452" width="10.140625" style="4" customWidth="1"/>
    <col min="8453" max="8454" width="8" style="4" customWidth="1"/>
    <col min="8455" max="8455" width="11.140625" style="4" customWidth="1"/>
    <col min="8456" max="8704" width="9.140625" style="4"/>
    <col min="8705" max="8705" width="4.42578125" style="4" customWidth="1"/>
    <col min="8706" max="8706" width="7.28515625" style="4" customWidth="1"/>
    <col min="8707" max="8707" width="49" style="4" customWidth="1"/>
    <col min="8708" max="8708" width="10.140625" style="4" customWidth="1"/>
    <col min="8709" max="8710" width="8" style="4" customWidth="1"/>
    <col min="8711" max="8711" width="11.140625" style="4" customWidth="1"/>
    <col min="8712" max="8960" width="9.140625" style="4"/>
    <col min="8961" max="8961" width="4.42578125" style="4" customWidth="1"/>
    <col min="8962" max="8962" width="7.28515625" style="4" customWidth="1"/>
    <col min="8963" max="8963" width="49" style="4" customWidth="1"/>
    <col min="8964" max="8964" width="10.140625" style="4" customWidth="1"/>
    <col min="8965" max="8966" width="8" style="4" customWidth="1"/>
    <col min="8967" max="8967" width="11.140625" style="4" customWidth="1"/>
    <col min="8968" max="9216" width="9.140625" style="4"/>
    <col min="9217" max="9217" width="4.42578125" style="4" customWidth="1"/>
    <col min="9218" max="9218" width="7.28515625" style="4" customWidth="1"/>
    <col min="9219" max="9219" width="49" style="4" customWidth="1"/>
    <col min="9220" max="9220" width="10.140625" style="4" customWidth="1"/>
    <col min="9221" max="9222" width="8" style="4" customWidth="1"/>
    <col min="9223" max="9223" width="11.140625" style="4" customWidth="1"/>
    <col min="9224" max="9472" width="9.140625" style="4"/>
    <col min="9473" max="9473" width="4.42578125" style="4" customWidth="1"/>
    <col min="9474" max="9474" width="7.28515625" style="4" customWidth="1"/>
    <col min="9475" max="9475" width="49" style="4" customWidth="1"/>
    <col min="9476" max="9476" width="10.140625" style="4" customWidth="1"/>
    <col min="9477" max="9478" width="8" style="4" customWidth="1"/>
    <col min="9479" max="9479" width="11.140625" style="4" customWidth="1"/>
    <col min="9480" max="9728" width="9.140625" style="4"/>
    <col min="9729" max="9729" width="4.42578125" style="4" customWidth="1"/>
    <col min="9730" max="9730" width="7.28515625" style="4" customWidth="1"/>
    <col min="9731" max="9731" width="49" style="4" customWidth="1"/>
    <col min="9732" max="9732" width="10.140625" style="4" customWidth="1"/>
    <col min="9733" max="9734" width="8" style="4" customWidth="1"/>
    <col min="9735" max="9735" width="11.140625" style="4" customWidth="1"/>
    <col min="9736" max="9984" width="9.140625" style="4"/>
    <col min="9985" max="9985" width="4.42578125" style="4" customWidth="1"/>
    <col min="9986" max="9986" width="7.28515625" style="4" customWidth="1"/>
    <col min="9987" max="9987" width="49" style="4" customWidth="1"/>
    <col min="9988" max="9988" width="10.140625" style="4" customWidth="1"/>
    <col min="9989" max="9990" width="8" style="4" customWidth="1"/>
    <col min="9991" max="9991" width="11.140625" style="4" customWidth="1"/>
    <col min="9992" max="10240" width="9.140625" style="4"/>
    <col min="10241" max="10241" width="4.42578125" style="4" customWidth="1"/>
    <col min="10242" max="10242" width="7.28515625" style="4" customWidth="1"/>
    <col min="10243" max="10243" width="49" style="4" customWidth="1"/>
    <col min="10244" max="10244" width="10.140625" style="4" customWidth="1"/>
    <col min="10245" max="10246" width="8" style="4" customWidth="1"/>
    <col min="10247" max="10247" width="11.140625" style="4" customWidth="1"/>
    <col min="10248" max="10496" width="9.140625" style="4"/>
    <col min="10497" max="10497" width="4.42578125" style="4" customWidth="1"/>
    <col min="10498" max="10498" width="7.28515625" style="4" customWidth="1"/>
    <col min="10499" max="10499" width="49" style="4" customWidth="1"/>
    <col min="10500" max="10500" width="10.140625" style="4" customWidth="1"/>
    <col min="10501" max="10502" width="8" style="4" customWidth="1"/>
    <col min="10503" max="10503" width="11.140625" style="4" customWidth="1"/>
    <col min="10504" max="10752" width="9.140625" style="4"/>
    <col min="10753" max="10753" width="4.42578125" style="4" customWidth="1"/>
    <col min="10754" max="10754" width="7.28515625" style="4" customWidth="1"/>
    <col min="10755" max="10755" width="49" style="4" customWidth="1"/>
    <col min="10756" max="10756" width="10.140625" style="4" customWidth="1"/>
    <col min="10757" max="10758" width="8" style="4" customWidth="1"/>
    <col min="10759" max="10759" width="11.140625" style="4" customWidth="1"/>
    <col min="10760" max="11008" width="9.140625" style="4"/>
    <col min="11009" max="11009" width="4.42578125" style="4" customWidth="1"/>
    <col min="11010" max="11010" width="7.28515625" style="4" customWidth="1"/>
    <col min="11011" max="11011" width="49" style="4" customWidth="1"/>
    <col min="11012" max="11012" width="10.140625" style="4" customWidth="1"/>
    <col min="11013" max="11014" width="8" style="4" customWidth="1"/>
    <col min="11015" max="11015" width="11.140625" style="4" customWidth="1"/>
    <col min="11016" max="11264" width="9.140625" style="4"/>
    <col min="11265" max="11265" width="4.42578125" style="4" customWidth="1"/>
    <col min="11266" max="11266" width="7.28515625" style="4" customWidth="1"/>
    <col min="11267" max="11267" width="49" style="4" customWidth="1"/>
    <col min="11268" max="11268" width="10.140625" style="4" customWidth="1"/>
    <col min="11269" max="11270" width="8" style="4" customWidth="1"/>
    <col min="11271" max="11271" width="11.140625" style="4" customWidth="1"/>
    <col min="11272" max="11520" width="9.140625" style="4"/>
    <col min="11521" max="11521" width="4.42578125" style="4" customWidth="1"/>
    <col min="11522" max="11522" width="7.28515625" style="4" customWidth="1"/>
    <col min="11523" max="11523" width="49" style="4" customWidth="1"/>
    <col min="11524" max="11524" width="10.140625" style="4" customWidth="1"/>
    <col min="11525" max="11526" width="8" style="4" customWidth="1"/>
    <col min="11527" max="11527" width="11.140625" style="4" customWidth="1"/>
    <col min="11528" max="11776" width="9.140625" style="4"/>
    <col min="11777" max="11777" width="4.42578125" style="4" customWidth="1"/>
    <col min="11778" max="11778" width="7.28515625" style="4" customWidth="1"/>
    <col min="11779" max="11779" width="49" style="4" customWidth="1"/>
    <col min="11780" max="11780" width="10.140625" style="4" customWidth="1"/>
    <col min="11781" max="11782" width="8" style="4" customWidth="1"/>
    <col min="11783" max="11783" width="11.140625" style="4" customWidth="1"/>
    <col min="11784" max="12032" width="9.140625" style="4"/>
    <col min="12033" max="12033" width="4.42578125" style="4" customWidth="1"/>
    <col min="12034" max="12034" width="7.28515625" style="4" customWidth="1"/>
    <col min="12035" max="12035" width="49" style="4" customWidth="1"/>
    <col min="12036" max="12036" width="10.140625" style="4" customWidth="1"/>
    <col min="12037" max="12038" width="8" style="4" customWidth="1"/>
    <col min="12039" max="12039" width="11.140625" style="4" customWidth="1"/>
    <col min="12040" max="12288" width="9.140625" style="4"/>
    <col min="12289" max="12289" width="4.42578125" style="4" customWidth="1"/>
    <col min="12290" max="12290" width="7.28515625" style="4" customWidth="1"/>
    <col min="12291" max="12291" width="49" style="4" customWidth="1"/>
    <col min="12292" max="12292" width="10.140625" style="4" customWidth="1"/>
    <col min="12293" max="12294" width="8" style="4" customWidth="1"/>
    <col min="12295" max="12295" width="11.140625" style="4" customWidth="1"/>
    <col min="12296" max="12544" width="9.140625" style="4"/>
    <col min="12545" max="12545" width="4.42578125" style="4" customWidth="1"/>
    <col min="12546" max="12546" width="7.28515625" style="4" customWidth="1"/>
    <col min="12547" max="12547" width="49" style="4" customWidth="1"/>
    <col min="12548" max="12548" width="10.140625" style="4" customWidth="1"/>
    <col min="12549" max="12550" width="8" style="4" customWidth="1"/>
    <col min="12551" max="12551" width="11.140625" style="4" customWidth="1"/>
    <col min="12552" max="12800" width="9.140625" style="4"/>
    <col min="12801" max="12801" width="4.42578125" style="4" customWidth="1"/>
    <col min="12802" max="12802" width="7.28515625" style="4" customWidth="1"/>
    <col min="12803" max="12803" width="49" style="4" customWidth="1"/>
    <col min="12804" max="12804" width="10.140625" style="4" customWidth="1"/>
    <col min="12805" max="12806" width="8" style="4" customWidth="1"/>
    <col min="12807" max="12807" width="11.140625" style="4" customWidth="1"/>
    <col min="12808" max="13056" width="9.140625" style="4"/>
    <col min="13057" max="13057" width="4.42578125" style="4" customWidth="1"/>
    <col min="13058" max="13058" width="7.28515625" style="4" customWidth="1"/>
    <col min="13059" max="13059" width="49" style="4" customWidth="1"/>
    <col min="13060" max="13060" width="10.140625" style="4" customWidth="1"/>
    <col min="13061" max="13062" width="8" style="4" customWidth="1"/>
    <col min="13063" max="13063" width="11.140625" style="4" customWidth="1"/>
    <col min="13064" max="13312" width="9.140625" style="4"/>
    <col min="13313" max="13313" width="4.42578125" style="4" customWidth="1"/>
    <col min="13314" max="13314" width="7.28515625" style="4" customWidth="1"/>
    <col min="13315" max="13315" width="49" style="4" customWidth="1"/>
    <col min="13316" max="13316" width="10.140625" style="4" customWidth="1"/>
    <col min="13317" max="13318" width="8" style="4" customWidth="1"/>
    <col min="13319" max="13319" width="11.140625" style="4" customWidth="1"/>
    <col min="13320" max="13568" width="9.140625" style="4"/>
    <col min="13569" max="13569" width="4.42578125" style="4" customWidth="1"/>
    <col min="13570" max="13570" width="7.28515625" style="4" customWidth="1"/>
    <col min="13571" max="13571" width="49" style="4" customWidth="1"/>
    <col min="13572" max="13572" width="10.140625" style="4" customWidth="1"/>
    <col min="13573" max="13574" width="8" style="4" customWidth="1"/>
    <col min="13575" max="13575" width="11.140625" style="4" customWidth="1"/>
    <col min="13576" max="13824" width="9.140625" style="4"/>
    <col min="13825" max="13825" width="4.42578125" style="4" customWidth="1"/>
    <col min="13826" max="13826" width="7.28515625" style="4" customWidth="1"/>
    <col min="13827" max="13827" width="49" style="4" customWidth="1"/>
    <col min="13828" max="13828" width="10.140625" style="4" customWidth="1"/>
    <col min="13829" max="13830" width="8" style="4" customWidth="1"/>
    <col min="13831" max="13831" width="11.140625" style="4" customWidth="1"/>
    <col min="13832" max="14080" width="9.140625" style="4"/>
    <col min="14081" max="14081" width="4.42578125" style="4" customWidth="1"/>
    <col min="14082" max="14082" width="7.28515625" style="4" customWidth="1"/>
    <col min="14083" max="14083" width="49" style="4" customWidth="1"/>
    <col min="14084" max="14084" width="10.140625" style="4" customWidth="1"/>
    <col min="14085" max="14086" width="8" style="4" customWidth="1"/>
    <col min="14087" max="14087" width="11.140625" style="4" customWidth="1"/>
    <col min="14088" max="14336" width="9.140625" style="4"/>
    <col min="14337" max="14337" width="4.42578125" style="4" customWidth="1"/>
    <col min="14338" max="14338" width="7.28515625" style="4" customWidth="1"/>
    <col min="14339" max="14339" width="49" style="4" customWidth="1"/>
    <col min="14340" max="14340" width="10.140625" style="4" customWidth="1"/>
    <col min="14341" max="14342" width="8" style="4" customWidth="1"/>
    <col min="14343" max="14343" width="11.140625" style="4" customWidth="1"/>
    <col min="14344" max="14592" width="9.140625" style="4"/>
    <col min="14593" max="14593" width="4.42578125" style="4" customWidth="1"/>
    <col min="14594" max="14594" width="7.28515625" style="4" customWidth="1"/>
    <col min="14595" max="14595" width="49" style="4" customWidth="1"/>
    <col min="14596" max="14596" width="10.140625" style="4" customWidth="1"/>
    <col min="14597" max="14598" width="8" style="4" customWidth="1"/>
    <col min="14599" max="14599" width="11.140625" style="4" customWidth="1"/>
    <col min="14600" max="14848" width="9.140625" style="4"/>
    <col min="14849" max="14849" width="4.42578125" style="4" customWidth="1"/>
    <col min="14850" max="14850" width="7.28515625" style="4" customWidth="1"/>
    <col min="14851" max="14851" width="49" style="4" customWidth="1"/>
    <col min="14852" max="14852" width="10.140625" style="4" customWidth="1"/>
    <col min="14853" max="14854" width="8" style="4" customWidth="1"/>
    <col min="14855" max="14855" width="11.140625" style="4" customWidth="1"/>
    <col min="14856" max="15104" width="9.140625" style="4"/>
    <col min="15105" max="15105" width="4.42578125" style="4" customWidth="1"/>
    <col min="15106" max="15106" width="7.28515625" style="4" customWidth="1"/>
    <col min="15107" max="15107" width="49" style="4" customWidth="1"/>
    <col min="15108" max="15108" width="10.140625" style="4" customWidth="1"/>
    <col min="15109" max="15110" width="8" style="4" customWidth="1"/>
    <col min="15111" max="15111" width="11.140625" style="4" customWidth="1"/>
    <col min="15112" max="15360" width="9.140625" style="4"/>
    <col min="15361" max="15361" width="4.42578125" style="4" customWidth="1"/>
    <col min="15362" max="15362" width="7.28515625" style="4" customWidth="1"/>
    <col min="15363" max="15363" width="49" style="4" customWidth="1"/>
    <col min="15364" max="15364" width="10.140625" style="4" customWidth="1"/>
    <col min="15365" max="15366" width="8" style="4" customWidth="1"/>
    <col min="15367" max="15367" width="11.140625" style="4" customWidth="1"/>
    <col min="15368" max="15616" width="9.140625" style="4"/>
    <col min="15617" max="15617" width="4.42578125" style="4" customWidth="1"/>
    <col min="15618" max="15618" width="7.28515625" style="4" customWidth="1"/>
    <col min="15619" max="15619" width="49" style="4" customWidth="1"/>
    <col min="15620" max="15620" width="10.140625" style="4" customWidth="1"/>
    <col min="15621" max="15622" width="8" style="4" customWidth="1"/>
    <col min="15623" max="15623" width="11.140625" style="4" customWidth="1"/>
    <col min="15624" max="15872" width="9.140625" style="4"/>
    <col min="15873" max="15873" width="4.42578125" style="4" customWidth="1"/>
    <col min="15874" max="15874" width="7.28515625" style="4" customWidth="1"/>
    <col min="15875" max="15875" width="49" style="4" customWidth="1"/>
    <col min="15876" max="15876" width="10.140625" style="4" customWidth="1"/>
    <col min="15877" max="15878" width="8" style="4" customWidth="1"/>
    <col min="15879" max="15879" width="11.140625" style="4" customWidth="1"/>
    <col min="15880" max="16128" width="9.140625" style="4"/>
    <col min="16129" max="16129" width="4.42578125" style="4" customWidth="1"/>
    <col min="16130" max="16130" width="7.28515625" style="4" customWidth="1"/>
    <col min="16131" max="16131" width="49" style="4" customWidth="1"/>
    <col min="16132" max="16132" width="10.140625" style="4" customWidth="1"/>
    <col min="16133" max="16134" width="8" style="4" customWidth="1"/>
    <col min="16135" max="16135" width="11.140625" style="4" customWidth="1"/>
    <col min="16136" max="16384" width="9.140625" style="4"/>
  </cols>
  <sheetData>
    <row r="1" spans="1:16" ht="15.75" x14ac:dyDescent="0.25">
      <c r="C1" s="264" t="s">
        <v>503</v>
      </c>
      <c r="D1" s="264"/>
      <c r="E1" s="264"/>
      <c r="F1" s="264"/>
      <c r="G1" s="264"/>
      <c r="H1" s="264"/>
    </row>
    <row r="2" spans="1:16" ht="15.75" x14ac:dyDescent="0.25">
      <c r="C2" s="264" t="s">
        <v>722</v>
      </c>
      <c r="D2" s="264"/>
      <c r="E2" s="264"/>
      <c r="F2" s="264"/>
      <c r="G2" s="264"/>
      <c r="H2" s="264"/>
    </row>
    <row r="3" spans="1:16" ht="15.75" x14ac:dyDescent="0.2">
      <c r="E3" s="263" t="s">
        <v>483</v>
      </c>
      <c r="F3" s="263"/>
      <c r="G3" s="263"/>
      <c r="H3" s="263"/>
    </row>
    <row r="4" spans="1:16" ht="15.75" x14ac:dyDescent="0.2">
      <c r="E4" s="7"/>
      <c r="F4" s="7"/>
      <c r="G4" s="7"/>
    </row>
    <row r="5" spans="1:16" ht="28.5" customHeight="1" x14ac:dyDescent="0.2">
      <c r="B5" s="273" t="s">
        <v>504</v>
      </c>
      <c r="C5" s="273"/>
      <c r="D5" s="273"/>
      <c r="E5" s="273"/>
      <c r="F5" s="273"/>
      <c r="G5" s="273"/>
    </row>
    <row r="7" spans="1:16" x14ac:dyDescent="0.2">
      <c r="G7" s="272" t="s">
        <v>3</v>
      </c>
      <c r="H7" s="272"/>
    </row>
    <row r="8" spans="1:16" ht="28.5" customHeight="1" x14ac:dyDescent="0.2">
      <c r="A8" s="266" t="s">
        <v>4</v>
      </c>
      <c r="B8" s="268" t="s">
        <v>5</v>
      </c>
      <c r="C8" s="266" t="s">
        <v>6</v>
      </c>
      <c r="D8" s="268" t="s">
        <v>7</v>
      </c>
      <c r="E8" s="270" t="s">
        <v>8</v>
      </c>
      <c r="F8" s="271"/>
      <c r="G8" s="270" t="s">
        <v>9</v>
      </c>
      <c r="H8" s="271"/>
    </row>
    <row r="9" spans="1:16" ht="18" customHeight="1" x14ac:dyDescent="0.2">
      <c r="A9" s="267"/>
      <c r="B9" s="269"/>
      <c r="C9" s="267"/>
      <c r="D9" s="269"/>
      <c r="E9" s="10" t="s">
        <v>10</v>
      </c>
      <c r="F9" s="10" t="s">
        <v>11</v>
      </c>
      <c r="G9" s="10" t="s">
        <v>10</v>
      </c>
      <c r="H9" s="11" t="s">
        <v>11</v>
      </c>
    </row>
    <row r="10" spans="1:16" x14ac:dyDescent="0.2">
      <c r="A10" s="11">
        <v>1</v>
      </c>
      <c r="B10" s="12" t="s">
        <v>12</v>
      </c>
      <c r="C10" s="10">
        <v>3</v>
      </c>
      <c r="D10" s="13">
        <v>4</v>
      </c>
      <c r="E10" s="10">
        <v>5</v>
      </c>
      <c r="F10" s="10">
        <v>6</v>
      </c>
      <c r="G10" s="10">
        <v>7</v>
      </c>
      <c r="H10" s="11">
        <v>8</v>
      </c>
    </row>
    <row r="11" spans="1:16" ht="20.100000000000001" customHeight="1" x14ac:dyDescent="0.2">
      <c r="A11" s="14">
        <v>1</v>
      </c>
      <c r="B11" s="12" t="s">
        <v>13</v>
      </c>
      <c r="C11" s="125" t="s">
        <v>14</v>
      </c>
      <c r="D11" s="11"/>
      <c r="E11" s="53">
        <f>SUM(E12:E37)</f>
        <v>775.2</v>
      </c>
      <c r="F11" s="53">
        <f>SUM(F12:F37)</f>
        <v>656</v>
      </c>
      <c r="G11" s="53">
        <f>SUM(G12:G37)</f>
        <v>12.1</v>
      </c>
      <c r="H11" s="53">
        <f>SUM(H12:H37)</f>
        <v>6.2</v>
      </c>
      <c r="I11" s="97"/>
      <c r="J11" s="97"/>
      <c r="K11" s="97"/>
      <c r="M11" s="97"/>
      <c r="N11" s="97"/>
      <c r="O11" s="97"/>
      <c r="P11" s="97"/>
    </row>
    <row r="12" spans="1:16" ht="12.6" customHeight="1" x14ac:dyDescent="0.2">
      <c r="A12" s="14">
        <v>2</v>
      </c>
      <c r="B12" s="49"/>
      <c r="C12" s="31" t="s">
        <v>15</v>
      </c>
      <c r="D12" s="18" t="s">
        <v>16</v>
      </c>
      <c r="E12" s="20">
        <v>46</v>
      </c>
      <c r="F12" s="20">
        <v>38.700000000000003</v>
      </c>
      <c r="G12" s="20"/>
      <c r="H12" s="23"/>
      <c r="I12" s="97"/>
      <c r="J12" s="97"/>
      <c r="K12" s="97"/>
      <c r="M12" s="97"/>
      <c r="N12" s="97"/>
      <c r="O12" s="97"/>
      <c r="P12" s="97"/>
    </row>
    <row r="13" spans="1:16" ht="12.6" customHeight="1" x14ac:dyDescent="0.2">
      <c r="A13" s="14">
        <v>3</v>
      </c>
      <c r="B13" s="49"/>
      <c r="C13" s="31" t="s">
        <v>17</v>
      </c>
      <c r="D13" s="18" t="s">
        <v>16</v>
      </c>
      <c r="E13" s="20">
        <v>45.3</v>
      </c>
      <c r="F13" s="20">
        <v>44.2</v>
      </c>
      <c r="G13" s="20"/>
      <c r="H13" s="23"/>
      <c r="I13" s="97"/>
      <c r="J13" s="97"/>
      <c r="K13" s="97"/>
      <c r="M13" s="97"/>
      <c r="N13" s="97"/>
      <c r="O13" s="97"/>
      <c r="P13" s="97"/>
    </row>
    <row r="14" spans="1:16" ht="12.6" customHeight="1" x14ac:dyDescent="0.2">
      <c r="A14" s="14">
        <v>4</v>
      </c>
      <c r="B14" s="49"/>
      <c r="C14" s="31" t="s">
        <v>18</v>
      </c>
      <c r="D14" s="18" t="s">
        <v>16</v>
      </c>
      <c r="E14" s="20">
        <f>64.4-10</f>
        <v>54.400000000000006</v>
      </c>
      <c r="F14" s="20">
        <v>42</v>
      </c>
      <c r="G14" s="20"/>
      <c r="H14" s="23"/>
      <c r="I14" s="97"/>
      <c r="J14" s="97"/>
      <c r="K14" s="97"/>
      <c r="M14" s="97"/>
      <c r="N14" s="97"/>
      <c r="O14" s="97"/>
      <c r="P14" s="97"/>
    </row>
    <row r="15" spans="1:16" ht="12.6" customHeight="1" x14ac:dyDescent="0.2">
      <c r="A15" s="14">
        <v>5</v>
      </c>
      <c r="B15" s="49"/>
      <c r="C15" s="31" t="s">
        <v>19</v>
      </c>
      <c r="D15" s="18" t="s">
        <v>16</v>
      </c>
      <c r="E15" s="20">
        <v>55.6</v>
      </c>
      <c r="F15" s="20">
        <v>53.3</v>
      </c>
      <c r="G15" s="20"/>
      <c r="H15" s="23"/>
      <c r="I15" s="97"/>
      <c r="J15" s="97"/>
      <c r="K15" s="97"/>
      <c r="M15" s="97"/>
      <c r="N15" s="97"/>
      <c r="O15" s="97"/>
      <c r="P15" s="97"/>
    </row>
    <row r="16" spans="1:16" ht="12.6" customHeight="1" x14ac:dyDescent="0.2">
      <c r="A16" s="14">
        <v>6</v>
      </c>
      <c r="B16" s="49"/>
      <c r="C16" s="31" t="s">
        <v>20</v>
      </c>
      <c r="D16" s="18" t="s">
        <v>16</v>
      </c>
      <c r="E16" s="20">
        <f>66.9-5.9</f>
        <v>61.000000000000007</v>
      </c>
      <c r="F16" s="20">
        <v>58.3</v>
      </c>
      <c r="G16" s="20"/>
      <c r="H16" s="23"/>
      <c r="I16" s="97"/>
      <c r="J16" s="97"/>
      <c r="K16" s="97"/>
      <c r="M16" s="97"/>
      <c r="N16" s="97"/>
      <c r="O16" s="97"/>
      <c r="P16" s="97"/>
    </row>
    <row r="17" spans="1:16" ht="12.6" customHeight="1" x14ac:dyDescent="0.2">
      <c r="A17" s="14">
        <v>7</v>
      </c>
      <c r="B17" s="49"/>
      <c r="C17" s="31" t="s">
        <v>21</v>
      </c>
      <c r="D17" s="18" t="s">
        <v>16</v>
      </c>
      <c r="E17" s="20">
        <f>41.1-4.8</f>
        <v>36.300000000000004</v>
      </c>
      <c r="F17" s="20">
        <v>35.1</v>
      </c>
      <c r="G17" s="20"/>
      <c r="H17" s="23"/>
      <c r="I17" s="97"/>
      <c r="J17" s="97"/>
      <c r="K17" s="97"/>
      <c r="M17" s="97"/>
      <c r="N17" s="97"/>
      <c r="O17" s="97"/>
      <c r="P17" s="97"/>
    </row>
    <row r="18" spans="1:16" ht="12.6" customHeight="1" x14ac:dyDescent="0.2">
      <c r="A18" s="14">
        <v>8</v>
      </c>
      <c r="B18" s="49"/>
      <c r="C18" s="31" t="s">
        <v>22</v>
      </c>
      <c r="D18" s="18" t="s">
        <v>16</v>
      </c>
      <c r="E18" s="20">
        <v>59.8</v>
      </c>
      <c r="F18" s="20">
        <v>53.7</v>
      </c>
      <c r="G18" s="20"/>
      <c r="H18" s="23"/>
      <c r="I18" s="97"/>
      <c r="J18" s="97"/>
      <c r="K18" s="97"/>
      <c r="M18" s="97"/>
      <c r="N18" s="97"/>
      <c r="O18" s="97"/>
      <c r="P18" s="97"/>
    </row>
    <row r="19" spans="1:16" ht="12.6" customHeight="1" x14ac:dyDescent="0.2">
      <c r="A19" s="14">
        <v>9</v>
      </c>
      <c r="B19" s="49"/>
      <c r="C19" s="24" t="s">
        <v>23</v>
      </c>
      <c r="D19" s="18" t="s">
        <v>24</v>
      </c>
      <c r="E19" s="20">
        <f>49.5-5.4</f>
        <v>44.1</v>
      </c>
      <c r="F19" s="29">
        <f>40.2-0.1</f>
        <v>40.1</v>
      </c>
      <c r="G19" s="20"/>
      <c r="H19" s="23"/>
      <c r="I19" s="97"/>
      <c r="J19" s="97"/>
      <c r="K19" s="97"/>
      <c r="M19" s="97"/>
      <c r="N19" s="97"/>
      <c r="O19" s="97"/>
      <c r="P19" s="97"/>
    </row>
    <row r="20" spans="1:16" ht="12.6" customHeight="1" x14ac:dyDescent="0.2">
      <c r="A20" s="14">
        <v>10</v>
      </c>
      <c r="B20" s="49"/>
      <c r="C20" s="31" t="s">
        <v>27</v>
      </c>
      <c r="D20" s="49" t="s">
        <v>46</v>
      </c>
      <c r="E20" s="20">
        <f>10.2-0.2</f>
        <v>10</v>
      </c>
      <c r="F20" s="20">
        <v>5.2</v>
      </c>
      <c r="G20" s="20"/>
      <c r="H20" s="23"/>
      <c r="I20" s="97"/>
      <c r="J20" s="97"/>
      <c r="K20" s="97"/>
      <c r="M20" s="97"/>
      <c r="N20" s="97"/>
      <c r="O20" s="97"/>
      <c r="P20" s="97"/>
    </row>
    <row r="21" spans="1:16" ht="12.6" customHeight="1" x14ac:dyDescent="0.2">
      <c r="A21" s="14">
        <v>11</v>
      </c>
      <c r="B21" s="49"/>
      <c r="C21" s="112" t="s">
        <v>29</v>
      </c>
      <c r="D21" s="18" t="s">
        <v>26</v>
      </c>
      <c r="E21" s="51">
        <f>23+4.5</f>
        <v>27.5</v>
      </c>
      <c r="F21" s="51">
        <v>26</v>
      </c>
      <c r="G21" s="51"/>
      <c r="H21" s="23"/>
      <c r="I21" s="97"/>
      <c r="J21" s="97"/>
      <c r="K21" s="97"/>
      <c r="M21" s="97"/>
      <c r="N21" s="97"/>
      <c r="O21" s="97"/>
      <c r="P21" s="97"/>
    </row>
    <row r="22" spans="1:16" ht="12.6" customHeight="1" x14ac:dyDescent="0.2">
      <c r="A22" s="14">
        <v>12</v>
      </c>
      <c r="B22" s="49"/>
      <c r="C22" s="112" t="s">
        <v>30</v>
      </c>
      <c r="D22" s="18" t="s">
        <v>26</v>
      </c>
      <c r="E22" s="51">
        <v>1.8</v>
      </c>
      <c r="F22" s="51">
        <v>1</v>
      </c>
      <c r="G22" s="51"/>
      <c r="H22" s="23"/>
      <c r="I22" s="97"/>
      <c r="J22" s="97"/>
      <c r="K22" s="97"/>
      <c r="M22" s="97"/>
      <c r="N22" s="97"/>
      <c r="O22" s="97"/>
      <c r="P22" s="97"/>
    </row>
    <row r="23" spans="1:16" ht="12.6" customHeight="1" x14ac:dyDescent="0.2">
      <c r="A23" s="14">
        <v>13</v>
      </c>
      <c r="B23" s="49"/>
      <c r="C23" s="112" t="s">
        <v>31</v>
      </c>
      <c r="D23" s="18" t="s">
        <v>26</v>
      </c>
      <c r="E23" s="51">
        <f>15.4-1.5</f>
        <v>13.9</v>
      </c>
      <c r="F23" s="51">
        <v>11.1</v>
      </c>
      <c r="G23" s="51"/>
      <c r="H23" s="23"/>
      <c r="I23" s="97"/>
      <c r="J23" s="97"/>
      <c r="K23" s="97"/>
      <c r="M23" s="97"/>
      <c r="N23" s="97"/>
      <c r="O23" s="97"/>
      <c r="P23" s="97"/>
    </row>
    <row r="24" spans="1:16" ht="12.6" customHeight="1" x14ac:dyDescent="0.2">
      <c r="A24" s="14">
        <v>14</v>
      </c>
      <c r="B24" s="49"/>
      <c r="C24" s="31" t="s">
        <v>32</v>
      </c>
      <c r="D24" s="18" t="s">
        <v>26</v>
      </c>
      <c r="E24" s="20">
        <v>5.3</v>
      </c>
      <c r="F24" s="20">
        <v>1.7</v>
      </c>
      <c r="G24" s="20"/>
      <c r="H24" s="23"/>
      <c r="I24" s="97"/>
      <c r="J24" s="97"/>
      <c r="K24" s="97"/>
      <c r="M24" s="97"/>
      <c r="N24" s="97"/>
      <c r="O24" s="97"/>
      <c r="P24" s="97"/>
    </row>
    <row r="25" spans="1:16" ht="12.6" customHeight="1" x14ac:dyDescent="0.2">
      <c r="A25" s="14">
        <v>15</v>
      </c>
      <c r="B25" s="49"/>
      <c r="C25" s="112" t="s">
        <v>33</v>
      </c>
      <c r="D25" s="25" t="s">
        <v>485</v>
      </c>
      <c r="E25" s="20">
        <f>4.7-1.9</f>
        <v>2.8000000000000003</v>
      </c>
      <c r="F25" s="20">
        <v>0.3</v>
      </c>
      <c r="G25" s="20"/>
      <c r="H25" s="23"/>
      <c r="I25" s="97"/>
      <c r="J25" s="97"/>
      <c r="K25" s="97"/>
      <c r="M25" s="97"/>
      <c r="N25" s="97"/>
      <c r="O25" s="97"/>
      <c r="P25" s="97"/>
    </row>
    <row r="26" spans="1:16" ht="12.6" customHeight="1" x14ac:dyDescent="0.2">
      <c r="A26" s="14">
        <v>16</v>
      </c>
      <c r="B26" s="49"/>
      <c r="C26" s="31" t="s">
        <v>35</v>
      </c>
      <c r="D26" s="25" t="s">
        <v>485</v>
      </c>
      <c r="E26" s="20">
        <f>3.2-1</f>
        <v>2.2000000000000002</v>
      </c>
      <c r="F26" s="20">
        <v>2.2000000000000002</v>
      </c>
      <c r="G26" s="20"/>
      <c r="H26" s="23"/>
      <c r="I26" s="97"/>
      <c r="J26" s="97"/>
      <c r="K26" s="97"/>
      <c r="M26" s="97"/>
      <c r="N26" s="97"/>
      <c r="O26" s="97"/>
      <c r="P26" s="97"/>
    </row>
    <row r="27" spans="1:16" ht="12.6" customHeight="1" x14ac:dyDescent="0.2">
      <c r="A27" s="14">
        <v>17</v>
      </c>
      <c r="B27" s="49"/>
      <c r="C27" s="112" t="s">
        <v>36</v>
      </c>
      <c r="D27" s="18" t="s">
        <v>34</v>
      </c>
      <c r="E27" s="20">
        <f>5.4+3</f>
        <v>8.4</v>
      </c>
      <c r="F27" s="20">
        <v>7.1</v>
      </c>
      <c r="G27" s="20"/>
      <c r="H27" s="23"/>
      <c r="I27" s="97"/>
      <c r="J27" s="97"/>
      <c r="K27" s="97"/>
      <c r="M27" s="97"/>
      <c r="N27" s="97"/>
      <c r="O27" s="97"/>
      <c r="P27" s="97"/>
    </row>
    <row r="28" spans="1:16" ht="12.6" customHeight="1" x14ac:dyDescent="0.2">
      <c r="A28" s="14">
        <v>18</v>
      </c>
      <c r="B28" s="49"/>
      <c r="C28" s="112" t="s">
        <v>37</v>
      </c>
      <c r="D28" s="18" t="s">
        <v>34</v>
      </c>
      <c r="E28" s="20">
        <f>0.7-0.3</f>
        <v>0.39999999999999997</v>
      </c>
      <c r="F28" s="20">
        <v>0.4</v>
      </c>
      <c r="G28" s="20"/>
      <c r="H28" s="23"/>
      <c r="I28" s="97"/>
      <c r="J28" s="97"/>
      <c r="K28" s="97"/>
      <c r="M28" s="97"/>
      <c r="N28" s="97"/>
      <c r="O28" s="97"/>
      <c r="P28" s="97"/>
    </row>
    <row r="29" spans="1:16" ht="12.6" customHeight="1" x14ac:dyDescent="0.2">
      <c r="A29" s="14">
        <v>19</v>
      </c>
      <c r="B29" s="49"/>
      <c r="C29" s="126" t="s">
        <v>38</v>
      </c>
      <c r="D29" s="49" t="s">
        <v>34</v>
      </c>
      <c r="E29" s="51">
        <f>45+4</f>
        <v>49</v>
      </c>
      <c r="F29" s="51">
        <v>48</v>
      </c>
      <c r="G29" s="51"/>
      <c r="H29" s="23"/>
      <c r="I29" s="97"/>
      <c r="J29" s="97"/>
      <c r="K29" s="97"/>
      <c r="M29" s="97"/>
      <c r="N29" s="97"/>
      <c r="O29" s="97"/>
      <c r="P29" s="97"/>
    </row>
    <row r="30" spans="1:16" ht="12.6" customHeight="1" x14ac:dyDescent="0.2">
      <c r="A30" s="14">
        <v>20</v>
      </c>
      <c r="B30" s="49"/>
      <c r="C30" s="24" t="s">
        <v>40</v>
      </c>
      <c r="D30" s="18" t="s">
        <v>34</v>
      </c>
      <c r="E30" s="51">
        <f>1.7+0.1</f>
        <v>1.8</v>
      </c>
      <c r="F30" s="51">
        <v>1.8</v>
      </c>
      <c r="G30" s="51"/>
      <c r="H30" s="23"/>
      <c r="I30" s="97"/>
      <c r="J30" s="97"/>
      <c r="K30" s="97"/>
      <c r="M30" s="97"/>
      <c r="N30" s="97"/>
      <c r="O30" s="97"/>
      <c r="P30" s="97"/>
    </row>
    <row r="31" spans="1:16" ht="12.6" customHeight="1" x14ac:dyDescent="0.2">
      <c r="A31" s="14">
        <v>21</v>
      </c>
      <c r="B31" s="49"/>
      <c r="C31" s="112" t="s">
        <v>42</v>
      </c>
      <c r="D31" s="49" t="s">
        <v>46</v>
      </c>
      <c r="E31" s="51">
        <v>39.200000000000003</v>
      </c>
      <c r="F31" s="51">
        <v>22.2</v>
      </c>
      <c r="G31" s="51">
        <v>12.1</v>
      </c>
      <c r="H31" s="23">
        <v>6.2</v>
      </c>
      <c r="I31" s="97"/>
      <c r="J31" s="97"/>
      <c r="K31" s="97"/>
      <c r="M31" s="97"/>
      <c r="N31" s="97"/>
      <c r="O31" s="97"/>
      <c r="P31" s="97"/>
    </row>
    <row r="32" spans="1:16" ht="12.6" customHeight="1" x14ac:dyDescent="0.2">
      <c r="A32" s="14">
        <v>22</v>
      </c>
      <c r="B32" s="49"/>
      <c r="C32" s="31" t="s">
        <v>44</v>
      </c>
      <c r="D32" s="18" t="s">
        <v>34</v>
      </c>
      <c r="E32" s="51">
        <f>6+3</f>
        <v>9</v>
      </c>
      <c r="F32" s="51">
        <v>7.9</v>
      </c>
      <c r="G32" s="51"/>
      <c r="H32" s="23"/>
      <c r="I32" s="97"/>
      <c r="J32" s="97"/>
      <c r="K32" s="97"/>
      <c r="M32" s="97"/>
      <c r="N32" s="97"/>
      <c r="O32" s="97"/>
      <c r="P32" s="97"/>
    </row>
    <row r="33" spans="1:16" ht="12.6" customHeight="1" x14ac:dyDescent="0.2">
      <c r="A33" s="14">
        <v>23</v>
      </c>
      <c r="B33" s="49"/>
      <c r="C33" s="127" t="s">
        <v>45</v>
      </c>
      <c r="D33" s="49" t="s">
        <v>46</v>
      </c>
      <c r="E33" s="51">
        <v>52</v>
      </c>
      <c r="F33" s="51">
        <v>36.700000000000003</v>
      </c>
      <c r="G33" s="51"/>
      <c r="H33" s="23"/>
      <c r="I33" s="97"/>
      <c r="J33" s="97"/>
      <c r="K33" s="97"/>
      <c r="M33" s="97"/>
      <c r="N33" s="97"/>
      <c r="O33" s="97"/>
      <c r="P33" s="97"/>
    </row>
    <row r="34" spans="1:16" ht="12.6" customHeight="1" x14ac:dyDescent="0.2">
      <c r="A34" s="14">
        <v>24</v>
      </c>
      <c r="B34" s="49"/>
      <c r="C34" s="127" t="s">
        <v>47</v>
      </c>
      <c r="D34" s="49" t="s">
        <v>46</v>
      </c>
      <c r="E34" s="51">
        <f>49.2+2</f>
        <v>51.2</v>
      </c>
      <c r="F34" s="51">
        <v>47</v>
      </c>
      <c r="G34" s="51"/>
      <c r="H34" s="23"/>
      <c r="I34" s="97"/>
      <c r="J34" s="97"/>
      <c r="K34" s="97"/>
      <c r="M34" s="97"/>
      <c r="N34" s="97"/>
      <c r="O34" s="97"/>
      <c r="P34" s="97"/>
    </row>
    <row r="35" spans="1:16" ht="12.6" customHeight="1" x14ac:dyDescent="0.2">
      <c r="A35" s="14">
        <v>25</v>
      </c>
      <c r="B35" s="49"/>
      <c r="C35" s="127" t="s">
        <v>49</v>
      </c>
      <c r="D35" s="49" t="s">
        <v>46</v>
      </c>
      <c r="E35" s="51">
        <v>75.599999999999994</v>
      </c>
      <c r="F35" s="51">
        <v>52</v>
      </c>
      <c r="G35" s="51"/>
      <c r="H35" s="23"/>
      <c r="I35" s="97"/>
      <c r="J35" s="97"/>
      <c r="K35" s="97"/>
      <c r="M35" s="97"/>
      <c r="N35" s="97"/>
      <c r="O35" s="97"/>
      <c r="P35" s="97"/>
    </row>
    <row r="36" spans="1:16" ht="12.6" customHeight="1" x14ac:dyDescent="0.2">
      <c r="A36" s="14">
        <v>26</v>
      </c>
      <c r="B36" s="49"/>
      <c r="C36" s="127" t="s">
        <v>52</v>
      </c>
      <c r="D36" s="18" t="s">
        <v>16</v>
      </c>
      <c r="E36" s="51">
        <v>13.6</v>
      </c>
      <c r="F36" s="51">
        <v>12</v>
      </c>
      <c r="G36" s="51"/>
      <c r="H36" s="23"/>
      <c r="I36" s="97"/>
      <c r="J36" s="97"/>
      <c r="K36" s="97"/>
      <c r="M36" s="97"/>
      <c r="N36" s="97"/>
      <c r="O36" s="97"/>
      <c r="P36" s="97"/>
    </row>
    <row r="37" spans="1:16" ht="12.6" customHeight="1" x14ac:dyDescent="0.2">
      <c r="A37" s="14">
        <v>27</v>
      </c>
      <c r="B37" s="49"/>
      <c r="C37" s="127" t="s">
        <v>505</v>
      </c>
      <c r="D37" s="18" t="s">
        <v>16</v>
      </c>
      <c r="E37" s="51">
        <f>8+1</f>
        <v>9</v>
      </c>
      <c r="F37" s="51">
        <v>8</v>
      </c>
      <c r="G37" s="51"/>
      <c r="H37" s="23"/>
      <c r="I37" s="97"/>
      <c r="J37" s="97"/>
      <c r="K37" s="97"/>
      <c r="M37" s="97"/>
      <c r="N37" s="97"/>
      <c r="O37" s="97"/>
      <c r="P37" s="97"/>
    </row>
    <row r="38" spans="1:16" ht="20.100000000000001" customHeight="1" x14ac:dyDescent="0.2">
      <c r="A38" s="14">
        <v>28</v>
      </c>
      <c r="B38" s="12" t="s">
        <v>144</v>
      </c>
      <c r="C38" s="128" t="s">
        <v>145</v>
      </c>
      <c r="D38" s="49"/>
      <c r="E38" s="53">
        <f>SUM(E39:E42)</f>
        <v>757.2</v>
      </c>
      <c r="F38" s="53">
        <f>SUM(F39:F42)</f>
        <v>674.2</v>
      </c>
      <c r="G38" s="53">
        <f>SUM(G39:G42)</f>
        <v>439.8</v>
      </c>
      <c r="H38" s="53">
        <f>SUM(H39:H42)</f>
        <v>396.6</v>
      </c>
      <c r="I38" s="97"/>
      <c r="J38" s="97"/>
      <c r="K38" s="97"/>
      <c r="M38" s="97"/>
      <c r="N38" s="97"/>
      <c r="O38" s="97"/>
      <c r="P38" s="97"/>
    </row>
    <row r="39" spans="1:16" ht="12.6" customHeight="1" x14ac:dyDescent="0.2">
      <c r="A39" s="14">
        <v>29</v>
      </c>
      <c r="B39" s="49"/>
      <c r="C39" s="127" t="s">
        <v>150</v>
      </c>
      <c r="D39" s="49" t="s">
        <v>151</v>
      </c>
      <c r="E39" s="20">
        <f>308.4+20</f>
        <v>328.4</v>
      </c>
      <c r="F39" s="29">
        <v>295.10000000000002</v>
      </c>
      <c r="G39" s="29">
        <v>207.3</v>
      </c>
      <c r="H39" s="34">
        <v>180.5</v>
      </c>
      <c r="I39" s="54"/>
      <c r="J39" s="97"/>
      <c r="K39" s="97"/>
      <c r="M39" s="97"/>
      <c r="N39" s="97"/>
      <c r="O39" s="97"/>
      <c r="P39" s="97"/>
    </row>
    <row r="40" spans="1:16" ht="12.6" customHeight="1" x14ac:dyDescent="0.2">
      <c r="A40" s="14">
        <v>30</v>
      </c>
      <c r="B40" s="49"/>
      <c r="C40" s="127" t="s">
        <v>52</v>
      </c>
      <c r="D40" s="65" t="s">
        <v>151</v>
      </c>
      <c r="E40" s="20">
        <f>182.8+33</f>
        <v>215.8</v>
      </c>
      <c r="F40" s="29">
        <v>199.1</v>
      </c>
      <c r="G40" s="29">
        <f>100+32.5</f>
        <v>132.5</v>
      </c>
      <c r="H40" s="34">
        <v>131.69999999999999</v>
      </c>
      <c r="I40" s="97"/>
      <c r="J40" s="97"/>
      <c r="K40" s="97"/>
      <c r="M40" s="97"/>
      <c r="N40" s="97"/>
      <c r="O40" s="97"/>
      <c r="P40" s="97"/>
    </row>
    <row r="41" spans="1:16" ht="12.6" customHeight="1" x14ac:dyDescent="0.2">
      <c r="A41" s="14">
        <v>31</v>
      </c>
      <c r="B41" s="49"/>
      <c r="C41" s="127" t="s">
        <v>505</v>
      </c>
      <c r="D41" s="65" t="s">
        <v>151</v>
      </c>
      <c r="E41" s="20">
        <f>187+16</f>
        <v>203</v>
      </c>
      <c r="F41" s="29">
        <f>175.1-0.1</f>
        <v>175</v>
      </c>
      <c r="G41" s="29">
        <v>100</v>
      </c>
      <c r="H41" s="34">
        <v>84.4</v>
      </c>
      <c r="I41" s="97"/>
      <c r="J41" s="97"/>
      <c r="K41" s="97"/>
      <c r="M41" s="97"/>
      <c r="N41" s="97"/>
      <c r="O41" s="97"/>
      <c r="P41" s="97"/>
    </row>
    <row r="42" spans="1:16" ht="12.6" customHeight="1" x14ac:dyDescent="0.2">
      <c r="A42" s="14">
        <v>32</v>
      </c>
      <c r="B42" s="49"/>
      <c r="C42" s="19" t="s">
        <v>153</v>
      </c>
      <c r="D42" s="65" t="s">
        <v>154</v>
      </c>
      <c r="E42" s="20">
        <v>10</v>
      </c>
      <c r="F42" s="29">
        <v>5</v>
      </c>
      <c r="G42" s="29"/>
      <c r="H42" s="34"/>
      <c r="I42" s="97"/>
      <c r="J42" s="97"/>
      <c r="K42" s="97"/>
      <c r="M42" s="97"/>
      <c r="N42" s="97"/>
      <c r="O42" s="97"/>
      <c r="P42" s="97"/>
    </row>
    <row r="43" spans="1:16" ht="12.6" customHeight="1" x14ac:dyDescent="0.2">
      <c r="A43" s="14">
        <v>33</v>
      </c>
      <c r="B43" s="12" t="s">
        <v>212</v>
      </c>
      <c r="C43" s="52" t="s">
        <v>213</v>
      </c>
      <c r="D43" s="65"/>
      <c r="E43" s="110">
        <f>E44</f>
        <v>19.5</v>
      </c>
      <c r="F43" s="235">
        <f>F44</f>
        <v>16</v>
      </c>
      <c r="G43" s="235">
        <f>G44</f>
        <v>0</v>
      </c>
      <c r="H43" s="235">
        <f>H44</f>
        <v>0</v>
      </c>
      <c r="I43" s="97"/>
      <c r="J43" s="97"/>
      <c r="K43" s="97"/>
      <c r="M43" s="97"/>
      <c r="N43" s="97"/>
      <c r="O43" s="97"/>
      <c r="P43" s="97"/>
    </row>
    <row r="44" spans="1:16" ht="12.6" customHeight="1" x14ac:dyDescent="0.2">
      <c r="A44" s="14">
        <v>34</v>
      </c>
      <c r="B44" s="49"/>
      <c r="C44" s="31" t="s">
        <v>214</v>
      </c>
      <c r="D44" s="49" t="s">
        <v>46</v>
      </c>
      <c r="E44" s="51">
        <v>19.5</v>
      </c>
      <c r="F44" s="50">
        <f>16.1-0.1</f>
        <v>16</v>
      </c>
      <c r="G44" s="50"/>
      <c r="H44" s="34"/>
      <c r="I44" s="97"/>
      <c r="J44" s="97"/>
      <c r="K44" s="97"/>
      <c r="M44" s="97"/>
      <c r="N44" s="97"/>
      <c r="O44" s="97"/>
      <c r="P44" s="97"/>
    </row>
    <row r="45" spans="1:16" ht="12.6" customHeight="1" x14ac:dyDescent="0.2">
      <c r="A45" s="14">
        <v>35</v>
      </c>
      <c r="B45" s="49"/>
      <c r="C45" s="129" t="s">
        <v>481</v>
      </c>
      <c r="D45" s="49"/>
      <c r="E45" s="53">
        <f>+E11+E38+E43</f>
        <v>1551.9</v>
      </c>
      <c r="F45" s="210">
        <f>+F11+F38+F43</f>
        <v>1346.2</v>
      </c>
      <c r="G45" s="210">
        <f>+G11+G38+G43</f>
        <v>451.90000000000003</v>
      </c>
      <c r="H45" s="210">
        <f>+H11+H38+H43</f>
        <v>402.8</v>
      </c>
      <c r="I45" s="97"/>
      <c r="J45" s="97"/>
      <c r="K45" s="97"/>
      <c r="L45" s="97"/>
      <c r="M45" s="97"/>
      <c r="N45" s="97"/>
      <c r="O45" s="97"/>
      <c r="P45" s="97"/>
    </row>
    <row r="46" spans="1:16" ht="12.6" customHeight="1" x14ac:dyDescent="0.2">
      <c r="A46" s="1"/>
      <c r="C46" s="130"/>
      <c r="E46" s="131"/>
      <c r="F46" s="131"/>
      <c r="G46" s="131"/>
      <c r="H46" s="131"/>
      <c r="I46" s="97"/>
      <c r="J46" s="97"/>
      <c r="K46" s="97"/>
      <c r="L46" s="97"/>
      <c r="M46" s="97"/>
      <c r="N46" s="97"/>
      <c r="O46" s="97"/>
      <c r="P46" s="97"/>
    </row>
    <row r="47" spans="1:16" x14ac:dyDescent="0.2">
      <c r="E47" s="118"/>
      <c r="F47" s="118"/>
      <c r="G47" s="118"/>
    </row>
    <row r="48" spans="1:16" x14ac:dyDescent="0.2">
      <c r="C48" s="6" t="s">
        <v>506</v>
      </c>
      <c r="I48" s="97"/>
    </row>
    <row r="49" spans="5:7" x14ac:dyDescent="0.2">
      <c r="E49" s="118"/>
      <c r="F49" s="118"/>
      <c r="G49" s="118"/>
    </row>
    <row r="50" spans="5:7" x14ac:dyDescent="0.2">
      <c r="E50" s="118"/>
      <c r="F50" s="118"/>
      <c r="G50" s="118"/>
    </row>
    <row r="51" spans="5:7" x14ac:dyDescent="0.2">
      <c r="E51" s="118"/>
      <c r="F51" s="118"/>
      <c r="G51" s="118"/>
    </row>
    <row r="53" spans="5:7" x14ac:dyDescent="0.2">
      <c r="E53" s="22"/>
      <c r="F53" s="22"/>
    </row>
  </sheetData>
  <mergeCells count="11">
    <mergeCell ref="E3:H3"/>
    <mergeCell ref="C2:H2"/>
    <mergeCell ref="C1:H1"/>
    <mergeCell ref="B5:G5"/>
    <mergeCell ref="A8:A9"/>
    <mergeCell ref="B8:B9"/>
    <mergeCell ref="C8:C9"/>
    <mergeCell ref="D8:D9"/>
    <mergeCell ref="E8:F8"/>
    <mergeCell ref="G8:H8"/>
    <mergeCell ref="G7:H7"/>
  </mergeCells>
  <pageMargins left="1.1023622047244095"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4F5ED-CAEB-454E-8EFC-20AE281A367F}">
  <dimension ref="A1:M80"/>
  <sheetViews>
    <sheetView workbookViewId="0">
      <selection activeCell="U7" sqref="U7"/>
    </sheetView>
  </sheetViews>
  <sheetFormatPr defaultRowHeight="12.75" x14ac:dyDescent="0.2"/>
  <cols>
    <col min="1" max="1" width="4.85546875" style="6" customWidth="1"/>
    <col min="2" max="2" width="7.140625" style="120" customWidth="1"/>
    <col min="3" max="3" width="50.28515625" style="6" customWidth="1"/>
    <col min="4" max="4" width="10.28515625" style="5" customWidth="1"/>
    <col min="5" max="6" width="8.140625" style="6" customWidth="1"/>
    <col min="7" max="7" width="11.28515625" style="6" customWidth="1"/>
    <col min="8" max="256" width="9.140625" style="4"/>
    <col min="257" max="257" width="4.85546875" style="4" customWidth="1"/>
    <col min="258" max="258" width="7.140625" style="4" customWidth="1"/>
    <col min="259" max="259" width="50.28515625" style="4" customWidth="1"/>
    <col min="260" max="260" width="10.28515625" style="4" customWidth="1"/>
    <col min="261" max="262" width="8.140625" style="4" customWidth="1"/>
    <col min="263" max="263" width="11.28515625" style="4" customWidth="1"/>
    <col min="264" max="512" width="9.140625" style="4"/>
    <col min="513" max="513" width="4.85546875" style="4" customWidth="1"/>
    <col min="514" max="514" width="7.140625" style="4" customWidth="1"/>
    <col min="515" max="515" width="50.28515625" style="4" customWidth="1"/>
    <col min="516" max="516" width="10.28515625" style="4" customWidth="1"/>
    <col min="517" max="518" width="8.140625" style="4" customWidth="1"/>
    <col min="519" max="519" width="11.28515625" style="4" customWidth="1"/>
    <col min="520" max="768" width="9.140625" style="4"/>
    <col min="769" max="769" width="4.85546875" style="4" customWidth="1"/>
    <col min="770" max="770" width="7.140625" style="4" customWidth="1"/>
    <col min="771" max="771" width="50.28515625" style="4" customWidth="1"/>
    <col min="772" max="772" width="10.28515625" style="4" customWidth="1"/>
    <col min="773" max="774" width="8.140625" style="4" customWidth="1"/>
    <col min="775" max="775" width="11.28515625" style="4" customWidth="1"/>
    <col min="776" max="1024" width="9.140625" style="4"/>
    <col min="1025" max="1025" width="4.85546875" style="4" customWidth="1"/>
    <col min="1026" max="1026" width="7.140625" style="4" customWidth="1"/>
    <col min="1027" max="1027" width="50.28515625" style="4" customWidth="1"/>
    <col min="1028" max="1028" width="10.28515625" style="4" customWidth="1"/>
    <col min="1029" max="1030" width="8.140625" style="4" customWidth="1"/>
    <col min="1031" max="1031" width="11.28515625" style="4" customWidth="1"/>
    <col min="1032" max="1280" width="9.140625" style="4"/>
    <col min="1281" max="1281" width="4.85546875" style="4" customWidth="1"/>
    <col min="1282" max="1282" width="7.140625" style="4" customWidth="1"/>
    <col min="1283" max="1283" width="50.28515625" style="4" customWidth="1"/>
    <col min="1284" max="1284" width="10.28515625" style="4" customWidth="1"/>
    <col min="1285" max="1286" width="8.140625" style="4" customWidth="1"/>
    <col min="1287" max="1287" width="11.28515625" style="4" customWidth="1"/>
    <col min="1288" max="1536" width="9.140625" style="4"/>
    <col min="1537" max="1537" width="4.85546875" style="4" customWidth="1"/>
    <col min="1538" max="1538" width="7.140625" style="4" customWidth="1"/>
    <col min="1539" max="1539" width="50.28515625" style="4" customWidth="1"/>
    <col min="1540" max="1540" width="10.28515625" style="4" customWidth="1"/>
    <col min="1541" max="1542" width="8.140625" style="4" customWidth="1"/>
    <col min="1543" max="1543" width="11.28515625" style="4" customWidth="1"/>
    <col min="1544" max="1792" width="9.140625" style="4"/>
    <col min="1793" max="1793" width="4.85546875" style="4" customWidth="1"/>
    <col min="1794" max="1794" width="7.140625" style="4" customWidth="1"/>
    <col min="1795" max="1795" width="50.28515625" style="4" customWidth="1"/>
    <col min="1796" max="1796" width="10.28515625" style="4" customWidth="1"/>
    <col min="1797" max="1798" width="8.140625" style="4" customWidth="1"/>
    <col min="1799" max="1799" width="11.28515625" style="4" customWidth="1"/>
    <col min="1800" max="2048" width="9.140625" style="4"/>
    <col min="2049" max="2049" width="4.85546875" style="4" customWidth="1"/>
    <col min="2050" max="2050" width="7.140625" style="4" customWidth="1"/>
    <col min="2051" max="2051" width="50.28515625" style="4" customWidth="1"/>
    <col min="2052" max="2052" width="10.28515625" style="4" customWidth="1"/>
    <col min="2053" max="2054" width="8.140625" style="4" customWidth="1"/>
    <col min="2055" max="2055" width="11.28515625" style="4" customWidth="1"/>
    <col min="2056" max="2304" width="9.140625" style="4"/>
    <col min="2305" max="2305" width="4.85546875" style="4" customWidth="1"/>
    <col min="2306" max="2306" width="7.140625" style="4" customWidth="1"/>
    <col min="2307" max="2307" width="50.28515625" style="4" customWidth="1"/>
    <col min="2308" max="2308" width="10.28515625" style="4" customWidth="1"/>
    <col min="2309" max="2310" width="8.140625" style="4" customWidth="1"/>
    <col min="2311" max="2311" width="11.28515625" style="4" customWidth="1"/>
    <col min="2312" max="2560" width="9.140625" style="4"/>
    <col min="2561" max="2561" width="4.85546875" style="4" customWidth="1"/>
    <col min="2562" max="2562" width="7.140625" style="4" customWidth="1"/>
    <col min="2563" max="2563" width="50.28515625" style="4" customWidth="1"/>
    <col min="2564" max="2564" width="10.28515625" style="4" customWidth="1"/>
    <col min="2565" max="2566" width="8.140625" style="4" customWidth="1"/>
    <col min="2567" max="2567" width="11.28515625" style="4" customWidth="1"/>
    <col min="2568" max="2816" width="9.140625" style="4"/>
    <col min="2817" max="2817" width="4.85546875" style="4" customWidth="1"/>
    <col min="2818" max="2818" width="7.140625" style="4" customWidth="1"/>
    <col min="2819" max="2819" width="50.28515625" style="4" customWidth="1"/>
    <col min="2820" max="2820" width="10.28515625" style="4" customWidth="1"/>
    <col min="2821" max="2822" width="8.140625" style="4" customWidth="1"/>
    <col min="2823" max="2823" width="11.28515625" style="4" customWidth="1"/>
    <col min="2824" max="3072" width="9.140625" style="4"/>
    <col min="3073" max="3073" width="4.85546875" style="4" customWidth="1"/>
    <col min="3074" max="3074" width="7.140625" style="4" customWidth="1"/>
    <col min="3075" max="3075" width="50.28515625" style="4" customWidth="1"/>
    <col min="3076" max="3076" width="10.28515625" style="4" customWidth="1"/>
    <col min="3077" max="3078" width="8.140625" style="4" customWidth="1"/>
    <col min="3079" max="3079" width="11.28515625" style="4" customWidth="1"/>
    <col min="3080" max="3328" width="9.140625" style="4"/>
    <col min="3329" max="3329" width="4.85546875" style="4" customWidth="1"/>
    <col min="3330" max="3330" width="7.140625" style="4" customWidth="1"/>
    <col min="3331" max="3331" width="50.28515625" style="4" customWidth="1"/>
    <col min="3332" max="3332" width="10.28515625" style="4" customWidth="1"/>
    <col min="3333" max="3334" width="8.140625" style="4" customWidth="1"/>
    <col min="3335" max="3335" width="11.28515625" style="4" customWidth="1"/>
    <col min="3336" max="3584" width="9.140625" style="4"/>
    <col min="3585" max="3585" width="4.85546875" style="4" customWidth="1"/>
    <col min="3586" max="3586" width="7.140625" style="4" customWidth="1"/>
    <col min="3587" max="3587" width="50.28515625" style="4" customWidth="1"/>
    <col min="3588" max="3588" width="10.28515625" style="4" customWidth="1"/>
    <col min="3589" max="3590" width="8.140625" style="4" customWidth="1"/>
    <col min="3591" max="3591" width="11.28515625" style="4" customWidth="1"/>
    <col min="3592" max="3840" width="9.140625" style="4"/>
    <col min="3841" max="3841" width="4.85546875" style="4" customWidth="1"/>
    <col min="3842" max="3842" width="7.140625" style="4" customWidth="1"/>
    <col min="3843" max="3843" width="50.28515625" style="4" customWidth="1"/>
    <col min="3844" max="3844" width="10.28515625" style="4" customWidth="1"/>
    <col min="3845" max="3846" width="8.140625" style="4" customWidth="1"/>
    <col min="3847" max="3847" width="11.28515625" style="4" customWidth="1"/>
    <col min="3848" max="4096" width="9.140625" style="4"/>
    <col min="4097" max="4097" width="4.85546875" style="4" customWidth="1"/>
    <col min="4098" max="4098" width="7.140625" style="4" customWidth="1"/>
    <col min="4099" max="4099" width="50.28515625" style="4" customWidth="1"/>
    <col min="4100" max="4100" width="10.28515625" style="4" customWidth="1"/>
    <col min="4101" max="4102" width="8.140625" style="4" customWidth="1"/>
    <col min="4103" max="4103" width="11.28515625" style="4" customWidth="1"/>
    <col min="4104" max="4352" width="9.140625" style="4"/>
    <col min="4353" max="4353" width="4.85546875" style="4" customWidth="1"/>
    <col min="4354" max="4354" width="7.140625" style="4" customWidth="1"/>
    <col min="4355" max="4355" width="50.28515625" style="4" customWidth="1"/>
    <col min="4356" max="4356" width="10.28515625" style="4" customWidth="1"/>
    <col min="4357" max="4358" width="8.140625" style="4" customWidth="1"/>
    <col min="4359" max="4359" width="11.28515625" style="4" customWidth="1"/>
    <col min="4360" max="4608" width="9.140625" style="4"/>
    <col min="4609" max="4609" width="4.85546875" style="4" customWidth="1"/>
    <col min="4610" max="4610" width="7.140625" style="4" customWidth="1"/>
    <col min="4611" max="4611" width="50.28515625" style="4" customWidth="1"/>
    <col min="4612" max="4612" width="10.28515625" style="4" customWidth="1"/>
    <col min="4613" max="4614" width="8.140625" style="4" customWidth="1"/>
    <col min="4615" max="4615" width="11.28515625" style="4" customWidth="1"/>
    <col min="4616" max="4864" width="9.140625" style="4"/>
    <col min="4865" max="4865" width="4.85546875" style="4" customWidth="1"/>
    <col min="4866" max="4866" width="7.140625" style="4" customWidth="1"/>
    <col min="4867" max="4867" width="50.28515625" style="4" customWidth="1"/>
    <col min="4868" max="4868" width="10.28515625" style="4" customWidth="1"/>
    <col min="4869" max="4870" width="8.140625" style="4" customWidth="1"/>
    <col min="4871" max="4871" width="11.28515625" style="4" customWidth="1"/>
    <col min="4872" max="5120" width="9.140625" style="4"/>
    <col min="5121" max="5121" width="4.85546875" style="4" customWidth="1"/>
    <col min="5122" max="5122" width="7.140625" style="4" customWidth="1"/>
    <col min="5123" max="5123" width="50.28515625" style="4" customWidth="1"/>
    <col min="5124" max="5124" width="10.28515625" style="4" customWidth="1"/>
    <col min="5125" max="5126" width="8.140625" style="4" customWidth="1"/>
    <col min="5127" max="5127" width="11.28515625" style="4" customWidth="1"/>
    <col min="5128" max="5376" width="9.140625" style="4"/>
    <col min="5377" max="5377" width="4.85546875" style="4" customWidth="1"/>
    <col min="5378" max="5378" width="7.140625" style="4" customWidth="1"/>
    <col min="5379" max="5379" width="50.28515625" style="4" customWidth="1"/>
    <col min="5380" max="5380" width="10.28515625" style="4" customWidth="1"/>
    <col min="5381" max="5382" width="8.140625" style="4" customWidth="1"/>
    <col min="5383" max="5383" width="11.28515625" style="4" customWidth="1"/>
    <col min="5384" max="5632" width="9.140625" style="4"/>
    <col min="5633" max="5633" width="4.85546875" style="4" customWidth="1"/>
    <col min="5634" max="5634" width="7.140625" style="4" customWidth="1"/>
    <col min="5635" max="5635" width="50.28515625" style="4" customWidth="1"/>
    <col min="5636" max="5636" width="10.28515625" style="4" customWidth="1"/>
    <col min="5637" max="5638" width="8.140625" style="4" customWidth="1"/>
    <col min="5639" max="5639" width="11.28515625" style="4" customWidth="1"/>
    <col min="5640" max="5888" width="9.140625" style="4"/>
    <col min="5889" max="5889" width="4.85546875" style="4" customWidth="1"/>
    <col min="5890" max="5890" width="7.140625" style="4" customWidth="1"/>
    <col min="5891" max="5891" width="50.28515625" style="4" customWidth="1"/>
    <col min="5892" max="5892" width="10.28515625" style="4" customWidth="1"/>
    <col min="5893" max="5894" width="8.140625" style="4" customWidth="1"/>
    <col min="5895" max="5895" width="11.28515625" style="4" customWidth="1"/>
    <col min="5896" max="6144" width="9.140625" style="4"/>
    <col min="6145" max="6145" width="4.85546875" style="4" customWidth="1"/>
    <col min="6146" max="6146" width="7.140625" style="4" customWidth="1"/>
    <col min="6147" max="6147" width="50.28515625" style="4" customWidth="1"/>
    <col min="6148" max="6148" width="10.28515625" style="4" customWidth="1"/>
    <col min="6149" max="6150" width="8.140625" style="4" customWidth="1"/>
    <col min="6151" max="6151" width="11.28515625" style="4" customWidth="1"/>
    <col min="6152" max="6400" width="9.140625" style="4"/>
    <col min="6401" max="6401" width="4.85546875" style="4" customWidth="1"/>
    <col min="6402" max="6402" width="7.140625" style="4" customWidth="1"/>
    <col min="6403" max="6403" width="50.28515625" style="4" customWidth="1"/>
    <col min="6404" max="6404" width="10.28515625" style="4" customWidth="1"/>
    <col min="6405" max="6406" width="8.140625" style="4" customWidth="1"/>
    <col min="6407" max="6407" width="11.28515625" style="4" customWidth="1"/>
    <col min="6408" max="6656" width="9.140625" style="4"/>
    <col min="6657" max="6657" width="4.85546875" style="4" customWidth="1"/>
    <col min="6658" max="6658" width="7.140625" style="4" customWidth="1"/>
    <col min="6659" max="6659" width="50.28515625" style="4" customWidth="1"/>
    <col min="6660" max="6660" width="10.28515625" style="4" customWidth="1"/>
    <col min="6661" max="6662" width="8.140625" style="4" customWidth="1"/>
    <col min="6663" max="6663" width="11.28515625" style="4" customWidth="1"/>
    <col min="6664" max="6912" width="9.140625" style="4"/>
    <col min="6913" max="6913" width="4.85546875" style="4" customWidth="1"/>
    <col min="6914" max="6914" width="7.140625" style="4" customWidth="1"/>
    <col min="6915" max="6915" width="50.28515625" style="4" customWidth="1"/>
    <col min="6916" max="6916" width="10.28515625" style="4" customWidth="1"/>
    <col min="6917" max="6918" width="8.140625" style="4" customWidth="1"/>
    <col min="6919" max="6919" width="11.28515625" style="4" customWidth="1"/>
    <col min="6920" max="7168" width="9.140625" style="4"/>
    <col min="7169" max="7169" width="4.85546875" style="4" customWidth="1"/>
    <col min="7170" max="7170" width="7.140625" style="4" customWidth="1"/>
    <col min="7171" max="7171" width="50.28515625" style="4" customWidth="1"/>
    <col min="7172" max="7172" width="10.28515625" style="4" customWidth="1"/>
    <col min="7173" max="7174" width="8.140625" style="4" customWidth="1"/>
    <col min="7175" max="7175" width="11.28515625" style="4" customWidth="1"/>
    <col min="7176" max="7424" width="9.140625" style="4"/>
    <col min="7425" max="7425" width="4.85546875" style="4" customWidth="1"/>
    <col min="7426" max="7426" width="7.140625" style="4" customWidth="1"/>
    <col min="7427" max="7427" width="50.28515625" style="4" customWidth="1"/>
    <col min="7428" max="7428" width="10.28515625" style="4" customWidth="1"/>
    <col min="7429" max="7430" width="8.140625" style="4" customWidth="1"/>
    <col min="7431" max="7431" width="11.28515625" style="4" customWidth="1"/>
    <col min="7432" max="7680" width="9.140625" style="4"/>
    <col min="7681" max="7681" width="4.85546875" style="4" customWidth="1"/>
    <col min="7682" max="7682" width="7.140625" style="4" customWidth="1"/>
    <col min="7683" max="7683" width="50.28515625" style="4" customWidth="1"/>
    <col min="7684" max="7684" width="10.28515625" style="4" customWidth="1"/>
    <col min="7685" max="7686" width="8.140625" style="4" customWidth="1"/>
    <col min="7687" max="7687" width="11.28515625" style="4" customWidth="1"/>
    <col min="7688" max="7936" width="9.140625" style="4"/>
    <col min="7937" max="7937" width="4.85546875" style="4" customWidth="1"/>
    <col min="7938" max="7938" width="7.140625" style="4" customWidth="1"/>
    <col min="7939" max="7939" width="50.28515625" style="4" customWidth="1"/>
    <col min="7940" max="7940" width="10.28515625" style="4" customWidth="1"/>
    <col min="7941" max="7942" width="8.140625" style="4" customWidth="1"/>
    <col min="7943" max="7943" width="11.28515625" style="4" customWidth="1"/>
    <col min="7944" max="8192" width="9.140625" style="4"/>
    <col min="8193" max="8193" width="4.85546875" style="4" customWidth="1"/>
    <col min="8194" max="8194" width="7.140625" style="4" customWidth="1"/>
    <col min="8195" max="8195" width="50.28515625" style="4" customWidth="1"/>
    <col min="8196" max="8196" width="10.28515625" style="4" customWidth="1"/>
    <col min="8197" max="8198" width="8.140625" style="4" customWidth="1"/>
    <col min="8199" max="8199" width="11.28515625" style="4" customWidth="1"/>
    <col min="8200" max="8448" width="9.140625" style="4"/>
    <col min="8449" max="8449" width="4.85546875" style="4" customWidth="1"/>
    <col min="8450" max="8450" width="7.140625" style="4" customWidth="1"/>
    <col min="8451" max="8451" width="50.28515625" style="4" customWidth="1"/>
    <col min="8452" max="8452" width="10.28515625" style="4" customWidth="1"/>
    <col min="8453" max="8454" width="8.140625" style="4" customWidth="1"/>
    <col min="8455" max="8455" width="11.28515625" style="4" customWidth="1"/>
    <col min="8456" max="8704" width="9.140625" style="4"/>
    <col min="8705" max="8705" width="4.85546875" style="4" customWidth="1"/>
    <col min="8706" max="8706" width="7.140625" style="4" customWidth="1"/>
    <col min="8707" max="8707" width="50.28515625" style="4" customWidth="1"/>
    <col min="8708" max="8708" width="10.28515625" style="4" customWidth="1"/>
    <col min="8709" max="8710" width="8.140625" style="4" customWidth="1"/>
    <col min="8711" max="8711" width="11.28515625" style="4" customWidth="1"/>
    <col min="8712" max="8960" width="9.140625" style="4"/>
    <col min="8961" max="8961" width="4.85546875" style="4" customWidth="1"/>
    <col min="8962" max="8962" width="7.140625" style="4" customWidth="1"/>
    <col min="8963" max="8963" width="50.28515625" style="4" customWidth="1"/>
    <col min="8964" max="8964" width="10.28515625" style="4" customWidth="1"/>
    <col min="8965" max="8966" width="8.140625" style="4" customWidth="1"/>
    <col min="8967" max="8967" width="11.28515625" style="4" customWidth="1"/>
    <col min="8968" max="9216" width="9.140625" style="4"/>
    <col min="9217" max="9217" width="4.85546875" style="4" customWidth="1"/>
    <col min="9218" max="9218" width="7.140625" style="4" customWidth="1"/>
    <col min="9219" max="9219" width="50.28515625" style="4" customWidth="1"/>
    <col min="9220" max="9220" width="10.28515625" style="4" customWidth="1"/>
    <col min="9221" max="9222" width="8.140625" style="4" customWidth="1"/>
    <col min="9223" max="9223" width="11.28515625" style="4" customWidth="1"/>
    <col min="9224" max="9472" width="9.140625" style="4"/>
    <col min="9473" max="9473" width="4.85546875" style="4" customWidth="1"/>
    <col min="9474" max="9474" width="7.140625" style="4" customWidth="1"/>
    <col min="9475" max="9475" width="50.28515625" style="4" customWidth="1"/>
    <col min="9476" max="9476" width="10.28515625" style="4" customWidth="1"/>
    <col min="9477" max="9478" width="8.140625" style="4" customWidth="1"/>
    <col min="9479" max="9479" width="11.28515625" style="4" customWidth="1"/>
    <col min="9480" max="9728" width="9.140625" style="4"/>
    <col min="9729" max="9729" width="4.85546875" style="4" customWidth="1"/>
    <col min="9730" max="9730" width="7.140625" style="4" customWidth="1"/>
    <col min="9731" max="9731" width="50.28515625" style="4" customWidth="1"/>
    <col min="9732" max="9732" width="10.28515625" style="4" customWidth="1"/>
    <col min="9733" max="9734" width="8.140625" style="4" customWidth="1"/>
    <col min="9735" max="9735" width="11.28515625" style="4" customWidth="1"/>
    <col min="9736" max="9984" width="9.140625" style="4"/>
    <col min="9985" max="9985" width="4.85546875" style="4" customWidth="1"/>
    <col min="9986" max="9986" width="7.140625" style="4" customWidth="1"/>
    <col min="9987" max="9987" width="50.28515625" style="4" customWidth="1"/>
    <col min="9988" max="9988" width="10.28515625" style="4" customWidth="1"/>
    <col min="9989" max="9990" width="8.140625" style="4" customWidth="1"/>
    <col min="9991" max="9991" width="11.28515625" style="4" customWidth="1"/>
    <col min="9992" max="10240" width="9.140625" style="4"/>
    <col min="10241" max="10241" width="4.85546875" style="4" customWidth="1"/>
    <col min="10242" max="10242" width="7.140625" style="4" customWidth="1"/>
    <col min="10243" max="10243" width="50.28515625" style="4" customWidth="1"/>
    <col min="10244" max="10244" width="10.28515625" style="4" customWidth="1"/>
    <col min="10245" max="10246" width="8.140625" style="4" customWidth="1"/>
    <col min="10247" max="10247" width="11.28515625" style="4" customWidth="1"/>
    <col min="10248" max="10496" width="9.140625" style="4"/>
    <col min="10497" max="10497" width="4.85546875" style="4" customWidth="1"/>
    <col min="10498" max="10498" width="7.140625" style="4" customWidth="1"/>
    <col min="10499" max="10499" width="50.28515625" style="4" customWidth="1"/>
    <col min="10500" max="10500" width="10.28515625" style="4" customWidth="1"/>
    <col min="10501" max="10502" width="8.140625" style="4" customWidth="1"/>
    <col min="10503" max="10503" width="11.28515625" style="4" customWidth="1"/>
    <col min="10504" max="10752" width="9.140625" style="4"/>
    <col min="10753" max="10753" width="4.85546875" style="4" customWidth="1"/>
    <col min="10754" max="10754" width="7.140625" style="4" customWidth="1"/>
    <col min="10755" max="10755" width="50.28515625" style="4" customWidth="1"/>
    <col min="10756" max="10756" width="10.28515625" style="4" customWidth="1"/>
    <col min="10757" max="10758" width="8.140625" style="4" customWidth="1"/>
    <col min="10759" max="10759" width="11.28515625" style="4" customWidth="1"/>
    <col min="10760" max="11008" width="9.140625" style="4"/>
    <col min="11009" max="11009" width="4.85546875" style="4" customWidth="1"/>
    <col min="11010" max="11010" width="7.140625" style="4" customWidth="1"/>
    <col min="11011" max="11011" width="50.28515625" style="4" customWidth="1"/>
    <col min="11012" max="11012" width="10.28515625" style="4" customWidth="1"/>
    <col min="11013" max="11014" width="8.140625" style="4" customWidth="1"/>
    <col min="11015" max="11015" width="11.28515625" style="4" customWidth="1"/>
    <col min="11016" max="11264" width="9.140625" style="4"/>
    <col min="11265" max="11265" width="4.85546875" style="4" customWidth="1"/>
    <col min="11266" max="11266" width="7.140625" style="4" customWidth="1"/>
    <col min="11267" max="11267" width="50.28515625" style="4" customWidth="1"/>
    <col min="11268" max="11268" width="10.28515625" style="4" customWidth="1"/>
    <col min="11269" max="11270" width="8.140625" style="4" customWidth="1"/>
    <col min="11271" max="11271" width="11.28515625" style="4" customWidth="1"/>
    <col min="11272" max="11520" width="9.140625" style="4"/>
    <col min="11521" max="11521" width="4.85546875" style="4" customWidth="1"/>
    <col min="11522" max="11522" width="7.140625" style="4" customWidth="1"/>
    <col min="11523" max="11523" width="50.28515625" style="4" customWidth="1"/>
    <col min="11524" max="11524" width="10.28515625" style="4" customWidth="1"/>
    <col min="11525" max="11526" width="8.140625" style="4" customWidth="1"/>
    <col min="11527" max="11527" width="11.28515625" style="4" customWidth="1"/>
    <col min="11528" max="11776" width="9.140625" style="4"/>
    <col min="11777" max="11777" width="4.85546875" style="4" customWidth="1"/>
    <col min="11778" max="11778" width="7.140625" style="4" customWidth="1"/>
    <col min="11779" max="11779" width="50.28515625" style="4" customWidth="1"/>
    <col min="11780" max="11780" width="10.28515625" style="4" customWidth="1"/>
    <col min="11781" max="11782" width="8.140625" style="4" customWidth="1"/>
    <col min="11783" max="11783" width="11.28515625" style="4" customWidth="1"/>
    <col min="11784" max="12032" width="9.140625" style="4"/>
    <col min="12033" max="12033" width="4.85546875" style="4" customWidth="1"/>
    <col min="12034" max="12034" width="7.140625" style="4" customWidth="1"/>
    <col min="12035" max="12035" width="50.28515625" style="4" customWidth="1"/>
    <col min="12036" max="12036" width="10.28515625" style="4" customWidth="1"/>
    <col min="12037" max="12038" width="8.140625" style="4" customWidth="1"/>
    <col min="12039" max="12039" width="11.28515625" style="4" customWidth="1"/>
    <col min="12040" max="12288" width="9.140625" style="4"/>
    <col min="12289" max="12289" width="4.85546875" style="4" customWidth="1"/>
    <col min="12290" max="12290" width="7.140625" style="4" customWidth="1"/>
    <col min="12291" max="12291" width="50.28515625" style="4" customWidth="1"/>
    <col min="12292" max="12292" width="10.28515625" style="4" customWidth="1"/>
    <col min="12293" max="12294" width="8.140625" style="4" customWidth="1"/>
    <col min="12295" max="12295" width="11.28515625" style="4" customWidth="1"/>
    <col min="12296" max="12544" width="9.140625" style="4"/>
    <col min="12545" max="12545" width="4.85546875" style="4" customWidth="1"/>
    <col min="12546" max="12546" width="7.140625" style="4" customWidth="1"/>
    <col min="12547" max="12547" width="50.28515625" style="4" customWidth="1"/>
    <col min="12548" max="12548" width="10.28515625" style="4" customWidth="1"/>
    <col min="12549" max="12550" width="8.140625" style="4" customWidth="1"/>
    <col min="12551" max="12551" width="11.28515625" style="4" customWidth="1"/>
    <col min="12552" max="12800" width="9.140625" style="4"/>
    <col min="12801" max="12801" width="4.85546875" style="4" customWidth="1"/>
    <col min="12802" max="12802" width="7.140625" style="4" customWidth="1"/>
    <col min="12803" max="12803" width="50.28515625" style="4" customWidth="1"/>
    <col min="12804" max="12804" width="10.28515625" style="4" customWidth="1"/>
    <col min="12805" max="12806" width="8.140625" style="4" customWidth="1"/>
    <col min="12807" max="12807" width="11.28515625" style="4" customWidth="1"/>
    <col min="12808" max="13056" width="9.140625" style="4"/>
    <col min="13057" max="13057" width="4.85546875" style="4" customWidth="1"/>
    <col min="13058" max="13058" width="7.140625" style="4" customWidth="1"/>
    <col min="13059" max="13059" width="50.28515625" style="4" customWidth="1"/>
    <col min="13060" max="13060" width="10.28515625" style="4" customWidth="1"/>
    <col min="13061" max="13062" width="8.140625" style="4" customWidth="1"/>
    <col min="13063" max="13063" width="11.28515625" style="4" customWidth="1"/>
    <col min="13064" max="13312" width="9.140625" style="4"/>
    <col min="13313" max="13313" width="4.85546875" style="4" customWidth="1"/>
    <col min="13314" max="13314" width="7.140625" style="4" customWidth="1"/>
    <col min="13315" max="13315" width="50.28515625" style="4" customWidth="1"/>
    <col min="13316" max="13316" width="10.28515625" style="4" customWidth="1"/>
    <col min="13317" max="13318" width="8.140625" style="4" customWidth="1"/>
    <col min="13319" max="13319" width="11.28515625" style="4" customWidth="1"/>
    <col min="13320" max="13568" width="9.140625" style="4"/>
    <col min="13569" max="13569" width="4.85546875" style="4" customWidth="1"/>
    <col min="13570" max="13570" width="7.140625" style="4" customWidth="1"/>
    <col min="13571" max="13571" width="50.28515625" style="4" customWidth="1"/>
    <col min="13572" max="13572" width="10.28515625" style="4" customWidth="1"/>
    <col min="13573" max="13574" width="8.140625" style="4" customWidth="1"/>
    <col min="13575" max="13575" width="11.28515625" style="4" customWidth="1"/>
    <col min="13576" max="13824" width="9.140625" style="4"/>
    <col min="13825" max="13825" width="4.85546875" style="4" customWidth="1"/>
    <col min="13826" max="13826" width="7.140625" style="4" customWidth="1"/>
    <col min="13827" max="13827" width="50.28515625" style="4" customWidth="1"/>
    <col min="13828" max="13828" width="10.28515625" style="4" customWidth="1"/>
    <col min="13829" max="13830" width="8.140625" style="4" customWidth="1"/>
    <col min="13831" max="13831" width="11.28515625" style="4" customWidth="1"/>
    <col min="13832" max="14080" width="9.140625" style="4"/>
    <col min="14081" max="14081" width="4.85546875" style="4" customWidth="1"/>
    <col min="14082" max="14082" width="7.140625" style="4" customWidth="1"/>
    <col min="14083" max="14083" width="50.28515625" style="4" customWidth="1"/>
    <col min="14084" max="14084" width="10.28515625" style="4" customWidth="1"/>
    <col min="14085" max="14086" width="8.140625" style="4" customWidth="1"/>
    <col min="14087" max="14087" width="11.28515625" style="4" customWidth="1"/>
    <col min="14088" max="14336" width="9.140625" style="4"/>
    <col min="14337" max="14337" width="4.85546875" style="4" customWidth="1"/>
    <col min="14338" max="14338" width="7.140625" style="4" customWidth="1"/>
    <col min="14339" max="14339" width="50.28515625" style="4" customWidth="1"/>
    <col min="14340" max="14340" width="10.28515625" style="4" customWidth="1"/>
    <col min="14341" max="14342" width="8.140625" style="4" customWidth="1"/>
    <col min="14343" max="14343" width="11.28515625" style="4" customWidth="1"/>
    <col min="14344" max="14592" width="9.140625" style="4"/>
    <col min="14593" max="14593" width="4.85546875" style="4" customWidth="1"/>
    <col min="14594" max="14594" width="7.140625" style="4" customWidth="1"/>
    <col min="14595" max="14595" width="50.28515625" style="4" customWidth="1"/>
    <col min="14596" max="14596" width="10.28515625" style="4" customWidth="1"/>
    <col min="14597" max="14598" width="8.140625" style="4" customWidth="1"/>
    <col min="14599" max="14599" width="11.28515625" style="4" customWidth="1"/>
    <col min="14600" max="14848" width="9.140625" style="4"/>
    <col min="14849" max="14849" width="4.85546875" style="4" customWidth="1"/>
    <col min="14850" max="14850" width="7.140625" style="4" customWidth="1"/>
    <col min="14851" max="14851" width="50.28515625" style="4" customWidth="1"/>
    <col min="14852" max="14852" width="10.28515625" style="4" customWidth="1"/>
    <col min="14853" max="14854" width="8.140625" style="4" customWidth="1"/>
    <col min="14855" max="14855" width="11.28515625" style="4" customWidth="1"/>
    <col min="14856" max="15104" width="9.140625" style="4"/>
    <col min="15105" max="15105" width="4.85546875" style="4" customWidth="1"/>
    <col min="15106" max="15106" width="7.140625" style="4" customWidth="1"/>
    <col min="15107" max="15107" width="50.28515625" style="4" customWidth="1"/>
    <col min="15108" max="15108" width="10.28515625" style="4" customWidth="1"/>
    <col min="15109" max="15110" width="8.140625" style="4" customWidth="1"/>
    <col min="15111" max="15111" width="11.28515625" style="4" customWidth="1"/>
    <col min="15112" max="15360" width="9.140625" style="4"/>
    <col min="15361" max="15361" width="4.85546875" style="4" customWidth="1"/>
    <col min="15362" max="15362" width="7.140625" style="4" customWidth="1"/>
    <col min="15363" max="15363" width="50.28515625" style="4" customWidth="1"/>
    <col min="15364" max="15364" width="10.28515625" style="4" customWidth="1"/>
    <col min="15365" max="15366" width="8.140625" style="4" customWidth="1"/>
    <col min="15367" max="15367" width="11.28515625" style="4" customWidth="1"/>
    <col min="15368" max="15616" width="9.140625" style="4"/>
    <col min="15617" max="15617" width="4.85546875" style="4" customWidth="1"/>
    <col min="15618" max="15618" width="7.140625" style="4" customWidth="1"/>
    <col min="15619" max="15619" width="50.28515625" style="4" customWidth="1"/>
    <col min="15620" max="15620" width="10.28515625" style="4" customWidth="1"/>
    <col min="15621" max="15622" width="8.140625" style="4" customWidth="1"/>
    <col min="15623" max="15623" width="11.28515625" style="4" customWidth="1"/>
    <col min="15624" max="15872" width="9.140625" style="4"/>
    <col min="15873" max="15873" width="4.85546875" style="4" customWidth="1"/>
    <col min="15874" max="15874" width="7.140625" style="4" customWidth="1"/>
    <col min="15875" max="15875" width="50.28515625" style="4" customWidth="1"/>
    <col min="15876" max="15876" width="10.28515625" style="4" customWidth="1"/>
    <col min="15877" max="15878" width="8.140625" style="4" customWidth="1"/>
    <col min="15879" max="15879" width="11.28515625" style="4" customWidth="1"/>
    <col min="15880" max="16128" width="9.140625" style="4"/>
    <col min="16129" max="16129" width="4.85546875" style="4" customWidth="1"/>
    <col min="16130" max="16130" width="7.140625" style="4" customWidth="1"/>
    <col min="16131" max="16131" width="50.28515625" style="4" customWidth="1"/>
    <col min="16132" max="16132" width="10.28515625" style="4" customWidth="1"/>
    <col min="16133" max="16134" width="8.140625" style="4" customWidth="1"/>
    <col min="16135" max="16135" width="11.28515625" style="4" customWidth="1"/>
    <col min="16136" max="16384" width="9.140625" style="4"/>
  </cols>
  <sheetData>
    <row r="1" spans="1:13" ht="15.75" customHeight="1" x14ac:dyDescent="0.25">
      <c r="C1" s="264" t="s">
        <v>507</v>
      </c>
      <c r="D1" s="264"/>
      <c r="E1" s="264"/>
      <c r="F1" s="264"/>
      <c r="G1" s="264"/>
      <c r="H1" s="264"/>
    </row>
    <row r="2" spans="1:13" ht="15.75" customHeight="1" x14ac:dyDescent="0.25">
      <c r="C2" s="264" t="s">
        <v>724</v>
      </c>
      <c r="D2" s="264"/>
      <c r="E2" s="264"/>
      <c r="F2" s="264"/>
      <c r="G2" s="264"/>
      <c r="H2" s="264"/>
    </row>
    <row r="3" spans="1:13" ht="15.75" x14ac:dyDescent="0.2">
      <c r="B3" s="5"/>
      <c r="E3" s="263" t="s">
        <v>499</v>
      </c>
      <c r="F3" s="263"/>
      <c r="G3" s="263"/>
      <c r="H3" s="263"/>
    </row>
    <row r="4" spans="1:13" ht="15.75" x14ac:dyDescent="0.2">
      <c r="B4" s="5"/>
      <c r="E4" s="7"/>
      <c r="F4" s="7"/>
      <c r="G4" s="7"/>
    </row>
    <row r="5" spans="1:13" ht="30" customHeight="1" x14ac:dyDescent="0.2">
      <c r="A5" s="265" t="s">
        <v>509</v>
      </c>
      <c r="B5" s="265"/>
      <c r="C5" s="265"/>
      <c r="D5" s="265"/>
      <c r="E5" s="265"/>
      <c r="F5" s="265"/>
      <c r="G5" s="265"/>
    </row>
    <row r="6" spans="1:13" x14ac:dyDescent="0.2">
      <c r="A6" s="8"/>
      <c r="B6" s="8"/>
      <c r="C6" s="8"/>
      <c r="D6" s="8"/>
      <c r="E6" s="8"/>
      <c r="F6" s="8"/>
      <c r="G6" s="8"/>
    </row>
    <row r="7" spans="1:13" x14ac:dyDescent="0.2">
      <c r="B7" s="5"/>
      <c r="E7" s="1"/>
      <c r="F7" s="1"/>
      <c r="G7" s="272" t="s">
        <v>3</v>
      </c>
      <c r="H7" s="272"/>
    </row>
    <row r="8" spans="1:13" ht="30.75" customHeight="1" x14ac:dyDescent="0.2">
      <c r="A8" s="266" t="s">
        <v>4</v>
      </c>
      <c r="B8" s="268" t="s">
        <v>5</v>
      </c>
      <c r="C8" s="266" t="s">
        <v>6</v>
      </c>
      <c r="D8" s="268" t="s">
        <v>7</v>
      </c>
      <c r="E8" s="270" t="s">
        <v>8</v>
      </c>
      <c r="F8" s="271"/>
      <c r="G8" s="270" t="s">
        <v>9</v>
      </c>
      <c r="H8" s="271"/>
    </row>
    <row r="9" spans="1:13" ht="21" customHeight="1" x14ac:dyDescent="0.2">
      <c r="A9" s="267"/>
      <c r="B9" s="269"/>
      <c r="C9" s="267"/>
      <c r="D9" s="269"/>
      <c r="E9" s="10" t="s">
        <v>10</v>
      </c>
      <c r="F9" s="10" t="s">
        <v>11</v>
      </c>
      <c r="G9" s="10" t="s">
        <v>10</v>
      </c>
      <c r="H9" s="11" t="s">
        <v>11</v>
      </c>
    </row>
    <row r="10" spans="1:13" x14ac:dyDescent="0.2">
      <c r="A10" s="11">
        <v>1</v>
      </c>
      <c r="B10" s="12" t="s">
        <v>12</v>
      </c>
      <c r="C10" s="10">
        <v>3</v>
      </c>
      <c r="D10" s="13">
        <v>4</v>
      </c>
      <c r="E10" s="10">
        <v>5</v>
      </c>
      <c r="F10" s="10">
        <v>6</v>
      </c>
      <c r="G10" s="10">
        <v>7</v>
      </c>
      <c r="H10" s="11">
        <v>8</v>
      </c>
    </row>
    <row r="11" spans="1:13" ht="18" customHeight="1" x14ac:dyDescent="0.2">
      <c r="A11" s="14">
        <v>1</v>
      </c>
      <c r="B11" s="12" t="s">
        <v>13</v>
      </c>
      <c r="C11" s="15" t="s">
        <v>14</v>
      </c>
      <c r="D11" s="13"/>
      <c r="E11" s="16">
        <f>+E16+E12</f>
        <v>307.39999999999998</v>
      </c>
      <c r="F11" s="16">
        <f>+F16+F12</f>
        <v>298.90000000000003</v>
      </c>
      <c r="G11" s="16">
        <f>+G16+G12</f>
        <v>5</v>
      </c>
      <c r="H11" s="16">
        <f>+H16+H12</f>
        <v>5</v>
      </c>
      <c r="I11" s="97"/>
      <c r="J11" s="97"/>
      <c r="K11" s="97"/>
      <c r="L11" s="97"/>
      <c r="M11" s="97"/>
    </row>
    <row r="12" spans="1:13" ht="25.5" x14ac:dyDescent="0.2">
      <c r="A12" s="132" t="s">
        <v>12</v>
      </c>
      <c r="B12" s="18"/>
      <c r="C12" s="47" t="s">
        <v>510</v>
      </c>
      <c r="D12" s="18"/>
      <c r="E12" s="133">
        <f>+E13+E14+E15</f>
        <v>9.3000000000000007</v>
      </c>
      <c r="F12" s="133">
        <f>+F13+F14+F15</f>
        <v>9.3000000000000007</v>
      </c>
      <c r="G12" s="133">
        <f>+G13+G14+G15</f>
        <v>5</v>
      </c>
      <c r="H12" s="133">
        <f>+H13+H14+H15</f>
        <v>5</v>
      </c>
      <c r="I12" s="97"/>
      <c r="J12" s="97"/>
      <c r="K12" s="97"/>
      <c r="L12" s="97"/>
      <c r="M12" s="97"/>
    </row>
    <row r="13" spans="1:13" ht="15" customHeight="1" x14ac:dyDescent="0.2">
      <c r="A13" s="132" t="s">
        <v>511</v>
      </c>
      <c r="B13" s="18"/>
      <c r="C13" s="134" t="s">
        <v>512</v>
      </c>
      <c r="D13" s="18" t="s">
        <v>26</v>
      </c>
      <c r="E13" s="158">
        <v>3.2</v>
      </c>
      <c r="F13" s="158">
        <v>3.2</v>
      </c>
      <c r="G13" s="158">
        <v>2.1</v>
      </c>
      <c r="H13" s="232">
        <v>2.1</v>
      </c>
      <c r="I13" s="97"/>
      <c r="J13" s="97"/>
      <c r="K13" s="97"/>
      <c r="L13" s="97"/>
      <c r="M13" s="97"/>
    </row>
    <row r="14" spans="1:13" ht="15" customHeight="1" x14ac:dyDescent="0.2">
      <c r="A14" s="132" t="s">
        <v>513</v>
      </c>
      <c r="B14" s="18"/>
      <c r="C14" s="134" t="s">
        <v>514</v>
      </c>
      <c r="D14" s="65" t="s">
        <v>46</v>
      </c>
      <c r="E14" s="158">
        <v>4.2</v>
      </c>
      <c r="F14" s="158">
        <v>4.2</v>
      </c>
      <c r="G14" s="158">
        <v>1</v>
      </c>
      <c r="H14" s="232">
        <v>1</v>
      </c>
      <c r="I14" s="97"/>
      <c r="J14" s="97"/>
      <c r="K14" s="97"/>
      <c r="L14" s="97"/>
      <c r="M14" s="97"/>
    </row>
    <row r="15" spans="1:13" ht="15" customHeight="1" x14ac:dyDescent="0.2">
      <c r="A15" s="132" t="s">
        <v>515</v>
      </c>
      <c r="B15" s="18"/>
      <c r="C15" s="134" t="s">
        <v>516</v>
      </c>
      <c r="D15" s="65" t="s">
        <v>517</v>
      </c>
      <c r="E15" s="158">
        <v>1.9</v>
      </c>
      <c r="F15" s="158">
        <v>1.9</v>
      </c>
      <c r="G15" s="158">
        <v>1.9</v>
      </c>
      <c r="H15" s="232">
        <v>1.9</v>
      </c>
      <c r="I15" s="97"/>
      <c r="J15" s="97"/>
      <c r="K15" s="97"/>
      <c r="L15" s="97"/>
      <c r="M15" s="97"/>
    </row>
    <row r="16" spans="1:13" x14ac:dyDescent="0.2">
      <c r="A16" s="14">
        <v>3</v>
      </c>
      <c r="B16" s="18"/>
      <c r="C16" s="136" t="s">
        <v>431</v>
      </c>
      <c r="D16" s="18"/>
      <c r="E16" s="42">
        <f>+E17+E18+E19+E20</f>
        <v>298.09999999999997</v>
      </c>
      <c r="F16" s="42">
        <f>+F17+F18+F19+F20</f>
        <v>289.60000000000002</v>
      </c>
      <c r="G16" s="42">
        <f>+G17+G18+G19+G20</f>
        <v>0</v>
      </c>
      <c r="H16" s="42">
        <f>+H17+H18+H19+H20</f>
        <v>0</v>
      </c>
      <c r="I16" s="97"/>
      <c r="J16" s="97"/>
      <c r="K16" s="97"/>
      <c r="L16" s="97"/>
      <c r="M16" s="137"/>
    </row>
    <row r="17" spans="1:13" ht="25.5" x14ac:dyDescent="0.2">
      <c r="A17" s="132" t="s">
        <v>518</v>
      </c>
      <c r="B17" s="18"/>
      <c r="C17" s="47" t="s">
        <v>70</v>
      </c>
      <c r="D17" s="18" t="s">
        <v>34</v>
      </c>
      <c r="E17" s="42">
        <f>33.4+25</f>
        <v>58.4</v>
      </c>
      <c r="F17" s="42">
        <v>56.1</v>
      </c>
      <c r="G17" s="42"/>
      <c r="H17" s="135"/>
      <c r="I17" s="97"/>
      <c r="J17" s="97"/>
      <c r="K17" s="97"/>
      <c r="L17" s="97"/>
      <c r="M17" s="137"/>
    </row>
    <row r="18" spans="1:13" ht="25.5" x14ac:dyDescent="0.2">
      <c r="A18" s="132" t="s">
        <v>519</v>
      </c>
      <c r="B18" s="18"/>
      <c r="C18" s="43" t="s">
        <v>91</v>
      </c>
      <c r="D18" s="18" t="s">
        <v>16</v>
      </c>
      <c r="E18" s="42">
        <v>6.2</v>
      </c>
      <c r="F18" s="42">
        <v>0</v>
      </c>
      <c r="G18" s="42"/>
      <c r="H18" s="135"/>
      <c r="I18" s="97"/>
      <c r="J18" s="97"/>
      <c r="K18" s="97"/>
      <c r="L18" s="97"/>
      <c r="M18" s="137"/>
    </row>
    <row r="19" spans="1:13" x14ac:dyDescent="0.2">
      <c r="A19" s="132" t="s">
        <v>520</v>
      </c>
      <c r="B19" s="18"/>
      <c r="C19" s="43" t="s">
        <v>521</v>
      </c>
      <c r="D19" s="18" t="s">
        <v>34</v>
      </c>
      <c r="E19" s="40">
        <v>208.8</v>
      </c>
      <c r="F19" s="40">
        <v>208.8</v>
      </c>
      <c r="G19" s="42"/>
      <c r="H19" s="135"/>
      <c r="I19" s="97"/>
      <c r="J19" s="97"/>
      <c r="K19" s="97"/>
      <c r="L19" s="97"/>
      <c r="M19" s="137"/>
    </row>
    <row r="20" spans="1:13" x14ac:dyDescent="0.2">
      <c r="A20" s="132" t="s">
        <v>522</v>
      </c>
      <c r="B20" s="18"/>
      <c r="C20" s="43" t="s">
        <v>523</v>
      </c>
      <c r="D20" s="18" t="s">
        <v>26</v>
      </c>
      <c r="E20" s="40">
        <v>24.7</v>
      </c>
      <c r="F20" s="40">
        <v>24.7</v>
      </c>
      <c r="G20" s="42"/>
      <c r="H20" s="135"/>
      <c r="I20" s="97"/>
      <c r="J20" s="97"/>
      <c r="K20" s="97"/>
      <c r="L20" s="97"/>
      <c r="M20" s="137"/>
    </row>
    <row r="21" spans="1:13" ht="18" customHeight="1" x14ac:dyDescent="0.2">
      <c r="A21" s="132" t="s">
        <v>524</v>
      </c>
      <c r="B21" s="12" t="s">
        <v>92</v>
      </c>
      <c r="C21" s="52" t="s">
        <v>93</v>
      </c>
      <c r="D21" s="18"/>
      <c r="E21" s="138">
        <f>+E24+E22</f>
        <v>147.30000000000001</v>
      </c>
      <c r="F21" s="138">
        <f>+F24+F22</f>
        <v>122.6</v>
      </c>
      <c r="G21" s="138">
        <f>+G24+G22</f>
        <v>0.7</v>
      </c>
      <c r="H21" s="138">
        <f>+H24+H22</f>
        <v>0.8</v>
      </c>
      <c r="I21" s="97"/>
      <c r="J21" s="97"/>
      <c r="K21" s="97"/>
      <c r="L21" s="97"/>
      <c r="M21" s="137"/>
    </row>
    <row r="22" spans="1:13" ht="25.5" x14ac:dyDescent="0.2">
      <c r="A22" s="132" t="s">
        <v>525</v>
      </c>
      <c r="B22" s="12"/>
      <c r="C22" s="24" t="s">
        <v>94</v>
      </c>
      <c r="D22" s="18"/>
      <c r="E22" s="26">
        <f>+E23</f>
        <v>125.3</v>
      </c>
      <c r="F22" s="26">
        <f>+F23</f>
        <v>106.1</v>
      </c>
      <c r="G22" s="14">
        <f>+G23</f>
        <v>0.7</v>
      </c>
      <c r="H22" s="14">
        <f>+H23</f>
        <v>0.8</v>
      </c>
    </row>
    <row r="23" spans="1:13" ht="25.5" x14ac:dyDescent="0.2">
      <c r="A23" s="132" t="s">
        <v>526</v>
      </c>
      <c r="B23" s="12"/>
      <c r="C23" s="134" t="s">
        <v>527</v>
      </c>
      <c r="D23" s="18" t="s">
        <v>490</v>
      </c>
      <c r="E23" s="233">
        <v>125.3</v>
      </c>
      <c r="F23" s="233">
        <v>106.1</v>
      </c>
      <c r="G23" s="227">
        <v>0.7</v>
      </c>
      <c r="H23" s="227">
        <v>0.8</v>
      </c>
    </row>
    <row r="24" spans="1:13" x14ac:dyDescent="0.2">
      <c r="A24" s="132" t="s">
        <v>528</v>
      </c>
      <c r="B24" s="12"/>
      <c r="C24" s="136" t="s">
        <v>431</v>
      </c>
      <c r="D24" s="18"/>
      <c r="E24" s="42">
        <f>+E25</f>
        <v>22</v>
      </c>
      <c r="F24" s="42">
        <f>+F25</f>
        <v>16.5</v>
      </c>
      <c r="G24" s="42">
        <f>+G25</f>
        <v>0</v>
      </c>
      <c r="H24" s="42">
        <f>+H25</f>
        <v>0</v>
      </c>
      <c r="I24" s="97"/>
      <c r="J24" s="97"/>
      <c r="K24" s="97"/>
      <c r="L24" s="97"/>
      <c r="M24" s="137"/>
    </row>
    <row r="25" spans="1:13" ht="25.5" x14ac:dyDescent="0.2">
      <c r="A25" s="132" t="s">
        <v>529</v>
      </c>
      <c r="B25" s="12"/>
      <c r="C25" s="139" t="s">
        <v>530</v>
      </c>
      <c r="D25" s="25" t="s">
        <v>531</v>
      </c>
      <c r="E25" s="42">
        <v>22</v>
      </c>
      <c r="F25" s="42">
        <v>16.5</v>
      </c>
      <c r="G25" s="140"/>
      <c r="H25" s="135"/>
      <c r="I25" s="97"/>
      <c r="J25" s="97"/>
      <c r="K25" s="97"/>
      <c r="L25" s="97"/>
      <c r="M25" s="137"/>
    </row>
    <row r="26" spans="1:13" ht="18" customHeight="1" x14ac:dyDescent="0.2">
      <c r="A26" s="14">
        <v>7</v>
      </c>
      <c r="B26" s="12" t="s">
        <v>144</v>
      </c>
      <c r="C26" s="52" t="s">
        <v>145</v>
      </c>
      <c r="D26" s="18"/>
      <c r="E26" s="138">
        <f>+E31+E27+E29</f>
        <v>288.89999999999998</v>
      </c>
      <c r="F26" s="138">
        <f>+F31+F27+F29</f>
        <v>249.5</v>
      </c>
      <c r="G26" s="138">
        <f>+G31+G27+G29</f>
        <v>128.19999999999999</v>
      </c>
      <c r="H26" s="138">
        <f>+H31+H27+H29</f>
        <v>128.19999999999999</v>
      </c>
      <c r="I26" s="97"/>
      <c r="J26" s="97"/>
      <c r="K26" s="97"/>
      <c r="L26" s="97"/>
      <c r="M26" s="137"/>
    </row>
    <row r="27" spans="1:13" ht="18" customHeight="1" x14ac:dyDescent="0.2">
      <c r="A27" s="132" t="s">
        <v>532</v>
      </c>
      <c r="B27" s="18"/>
      <c r="C27" s="19" t="s">
        <v>146</v>
      </c>
      <c r="D27" s="18"/>
      <c r="E27" s="42">
        <f>+E28</f>
        <v>32.9</v>
      </c>
      <c r="F27" s="42">
        <f>+F28</f>
        <v>32.9</v>
      </c>
      <c r="G27" s="42">
        <f>+G28</f>
        <v>24.1</v>
      </c>
      <c r="H27" s="42">
        <f>+H28</f>
        <v>24.1</v>
      </c>
      <c r="I27" s="97"/>
      <c r="J27" s="97"/>
      <c r="K27" s="97"/>
      <c r="L27" s="97"/>
      <c r="M27" s="137"/>
    </row>
    <row r="28" spans="1:13" ht="18" customHeight="1" x14ac:dyDescent="0.2">
      <c r="A28" s="132" t="s">
        <v>533</v>
      </c>
      <c r="B28" s="18"/>
      <c r="C28" s="58" t="s">
        <v>149</v>
      </c>
      <c r="D28" s="18" t="s">
        <v>178</v>
      </c>
      <c r="E28" s="229">
        <v>32.9</v>
      </c>
      <c r="F28" s="229">
        <v>32.9</v>
      </c>
      <c r="G28" s="229">
        <v>24.1</v>
      </c>
      <c r="H28" s="234">
        <v>24.1</v>
      </c>
      <c r="I28" s="97"/>
      <c r="J28" s="97"/>
      <c r="K28" s="97"/>
      <c r="L28" s="97"/>
      <c r="M28" s="137"/>
    </row>
    <row r="29" spans="1:13" x14ac:dyDescent="0.2">
      <c r="A29" s="132" t="s">
        <v>534</v>
      </c>
      <c r="B29" s="18"/>
      <c r="C29" s="47" t="s">
        <v>153</v>
      </c>
      <c r="D29" s="18"/>
      <c r="E29" s="42">
        <f>+E30</f>
        <v>111</v>
      </c>
      <c r="F29" s="42">
        <f>+F30</f>
        <v>111</v>
      </c>
      <c r="G29" s="42">
        <f>+G30</f>
        <v>104.1</v>
      </c>
      <c r="H29" s="42">
        <f>+H30</f>
        <v>104.1</v>
      </c>
      <c r="I29" s="97"/>
      <c r="J29" s="97"/>
      <c r="K29" s="97"/>
      <c r="L29" s="97"/>
      <c r="M29" s="137"/>
    </row>
    <row r="30" spans="1:13" ht="38.25" x14ac:dyDescent="0.2">
      <c r="A30" s="132" t="s">
        <v>535</v>
      </c>
      <c r="B30" s="18"/>
      <c r="C30" s="134" t="s">
        <v>536</v>
      </c>
      <c r="D30" s="18" t="s">
        <v>154</v>
      </c>
      <c r="E30" s="229">
        <v>111</v>
      </c>
      <c r="F30" s="229">
        <v>111</v>
      </c>
      <c r="G30" s="229">
        <v>104.1</v>
      </c>
      <c r="H30" s="234">
        <v>104.1</v>
      </c>
      <c r="I30" s="97"/>
      <c r="J30" s="97"/>
      <c r="K30" s="97"/>
      <c r="L30" s="97"/>
      <c r="M30" s="137"/>
    </row>
    <row r="31" spans="1:13" x14ac:dyDescent="0.2">
      <c r="A31" s="14">
        <v>10</v>
      </c>
      <c r="B31" s="12"/>
      <c r="C31" s="136" t="s">
        <v>431</v>
      </c>
      <c r="D31" s="18"/>
      <c r="E31" s="42">
        <f>+E32+E33+E34</f>
        <v>145</v>
      </c>
      <c r="F31" s="42">
        <f>+F32+F33+F34</f>
        <v>105.60000000000001</v>
      </c>
      <c r="G31" s="42">
        <f>+G32+G33+G34</f>
        <v>0</v>
      </c>
      <c r="H31" s="42">
        <f>+H32+H33+H34</f>
        <v>0</v>
      </c>
      <c r="I31" s="97"/>
      <c r="J31" s="97"/>
      <c r="K31" s="97"/>
      <c r="L31" s="97"/>
      <c r="M31" s="137"/>
    </row>
    <row r="32" spans="1:13" x14ac:dyDescent="0.2">
      <c r="A32" s="132" t="s">
        <v>537</v>
      </c>
      <c r="B32" s="18"/>
      <c r="C32" s="142" t="s">
        <v>538</v>
      </c>
      <c r="D32" s="28" t="s">
        <v>185</v>
      </c>
      <c r="E32" s="40">
        <f>90+55-47</f>
        <v>98</v>
      </c>
      <c r="F32" s="40">
        <v>97.7</v>
      </c>
      <c r="G32" s="40"/>
      <c r="H32" s="143"/>
      <c r="I32" s="97"/>
      <c r="J32" s="97"/>
      <c r="K32" s="97"/>
      <c r="L32" s="97"/>
      <c r="M32" s="97"/>
    </row>
    <row r="33" spans="1:13" x14ac:dyDescent="0.2">
      <c r="A33" s="132" t="s">
        <v>539</v>
      </c>
      <c r="B33" s="18"/>
      <c r="C33" s="46" t="s">
        <v>188</v>
      </c>
      <c r="D33" s="33" t="s">
        <v>189</v>
      </c>
      <c r="E33" s="42">
        <v>12.5</v>
      </c>
      <c r="F33" s="42">
        <v>0</v>
      </c>
      <c r="G33" s="42"/>
      <c r="H33" s="135"/>
      <c r="I33" s="97"/>
      <c r="J33" s="97"/>
      <c r="K33" s="97"/>
      <c r="L33" s="97"/>
      <c r="M33" s="97"/>
    </row>
    <row r="34" spans="1:13" ht="25.5" x14ac:dyDescent="0.2">
      <c r="A34" s="132" t="s">
        <v>540</v>
      </c>
      <c r="B34" s="18"/>
      <c r="C34" s="47" t="s">
        <v>196</v>
      </c>
      <c r="D34" s="18" t="s">
        <v>154</v>
      </c>
      <c r="E34" s="42">
        <v>34.5</v>
      </c>
      <c r="F34" s="42">
        <v>7.9</v>
      </c>
      <c r="G34" s="42"/>
      <c r="H34" s="135"/>
      <c r="I34" s="97"/>
      <c r="J34" s="97"/>
      <c r="K34" s="97"/>
      <c r="L34" s="97"/>
      <c r="M34" s="97"/>
    </row>
    <row r="35" spans="1:13" ht="18" customHeight="1" x14ac:dyDescent="0.2">
      <c r="A35" s="132" t="s">
        <v>449</v>
      </c>
      <c r="B35" s="12" t="s">
        <v>212</v>
      </c>
      <c r="C35" s="52" t="s">
        <v>213</v>
      </c>
      <c r="D35" s="18"/>
      <c r="E35" s="138">
        <f t="shared" ref="E35:H36" si="0">+E36</f>
        <v>15</v>
      </c>
      <c r="F35" s="138">
        <f t="shared" si="0"/>
        <v>14.4</v>
      </c>
      <c r="G35" s="138">
        <f t="shared" si="0"/>
        <v>0</v>
      </c>
      <c r="H35" s="138">
        <f t="shared" si="0"/>
        <v>0</v>
      </c>
      <c r="I35" s="97"/>
      <c r="J35" s="97"/>
      <c r="K35" s="97"/>
      <c r="L35" s="97"/>
      <c r="M35" s="137"/>
    </row>
    <row r="36" spans="1:13" x14ac:dyDescent="0.2">
      <c r="A36" s="132" t="s">
        <v>541</v>
      </c>
      <c r="B36" s="18"/>
      <c r="C36" s="136" t="s">
        <v>431</v>
      </c>
      <c r="D36" s="18"/>
      <c r="E36" s="144">
        <f t="shared" si="0"/>
        <v>15</v>
      </c>
      <c r="F36" s="144">
        <f t="shared" si="0"/>
        <v>14.4</v>
      </c>
      <c r="G36" s="144">
        <f t="shared" si="0"/>
        <v>0</v>
      </c>
      <c r="H36" s="144">
        <f t="shared" si="0"/>
        <v>0</v>
      </c>
      <c r="I36" s="97"/>
      <c r="J36" s="97"/>
      <c r="K36" s="97"/>
      <c r="L36" s="97"/>
      <c r="M36" s="137"/>
    </row>
    <row r="37" spans="1:13" ht="25.5" x14ac:dyDescent="0.2">
      <c r="A37" s="132" t="s">
        <v>542</v>
      </c>
      <c r="B37" s="18"/>
      <c r="C37" s="47" t="s">
        <v>543</v>
      </c>
      <c r="D37" s="18" t="s">
        <v>46</v>
      </c>
      <c r="E37" s="144">
        <v>15</v>
      </c>
      <c r="F37" s="144">
        <v>14.4</v>
      </c>
      <c r="G37" s="144"/>
      <c r="H37" s="135"/>
      <c r="I37" s="97"/>
      <c r="J37" s="97"/>
      <c r="K37" s="97"/>
      <c r="L37" s="97"/>
      <c r="M37" s="137"/>
    </row>
    <row r="38" spans="1:13" ht="18" customHeight="1" x14ac:dyDescent="0.2">
      <c r="A38" s="14">
        <v>13</v>
      </c>
      <c r="B38" s="12" t="s">
        <v>239</v>
      </c>
      <c r="C38" s="52" t="s">
        <v>240</v>
      </c>
      <c r="D38" s="10"/>
      <c r="E38" s="138">
        <f>+E41+E39</f>
        <v>408.4</v>
      </c>
      <c r="F38" s="138">
        <f>+F41+F39</f>
        <v>355.3</v>
      </c>
      <c r="G38" s="138">
        <f>+G41+G39</f>
        <v>2.1</v>
      </c>
      <c r="H38" s="138">
        <f>+H41+H39</f>
        <v>1.4</v>
      </c>
      <c r="I38" s="97"/>
      <c r="J38" s="97"/>
      <c r="K38" s="97"/>
      <c r="L38" s="97"/>
      <c r="M38" s="137"/>
    </row>
    <row r="39" spans="1:13" ht="18" customHeight="1" x14ac:dyDescent="0.2">
      <c r="A39" s="14">
        <v>14</v>
      </c>
      <c r="B39" s="12"/>
      <c r="C39" s="145" t="s">
        <v>544</v>
      </c>
      <c r="D39" s="10"/>
      <c r="E39" s="42">
        <f>+E40</f>
        <v>4.4000000000000004</v>
      </c>
      <c r="F39" s="42">
        <f>+F40</f>
        <v>2.4</v>
      </c>
      <c r="G39" s="42">
        <f>+G40</f>
        <v>2.1</v>
      </c>
      <c r="H39" s="42">
        <f>+H40</f>
        <v>1.4</v>
      </c>
      <c r="I39" s="97"/>
      <c r="J39" s="97"/>
      <c r="K39" s="97"/>
      <c r="L39" s="97"/>
      <c r="M39" s="137"/>
    </row>
    <row r="40" spans="1:13" ht="18" customHeight="1" x14ac:dyDescent="0.2">
      <c r="A40" s="14" t="s">
        <v>545</v>
      </c>
      <c r="B40" s="12"/>
      <c r="C40" s="146" t="s">
        <v>546</v>
      </c>
      <c r="D40" s="25" t="s">
        <v>242</v>
      </c>
      <c r="E40" s="229">
        <v>4.4000000000000004</v>
      </c>
      <c r="F40" s="229">
        <v>2.4</v>
      </c>
      <c r="G40" s="229">
        <v>2.1</v>
      </c>
      <c r="H40" s="232">
        <v>1.4</v>
      </c>
      <c r="I40" s="97"/>
      <c r="J40" s="97"/>
      <c r="K40" s="97"/>
      <c r="L40" s="97"/>
      <c r="M40" s="137"/>
    </row>
    <row r="41" spans="1:13" ht="15" customHeight="1" x14ac:dyDescent="0.2">
      <c r="A41" s="14">
        <v>15</v>
      </c>
      <c r="B41" s="12"/>
      <c r="C41" s="136" t="s">
        <v>431</v>
      </c>
      <c r="D41" s="18"/>
      <c r="E41" s="42">
        <f>+E42+E43</f>
        <v>404</v>
      </c>
      <c r="F41" s="42">
        <f>+F42+F43</f>
        <v>352.90000000000003</v>
      </c>
      <c r="G41" s="42">
        <f>+G42+G43</f>
        <v>0</v>
      </c>
      <c r="H41" s="42">
        <f>+H42+H43</f>
        <v>0</v>
      </c>
      <c r="I41" s="97"/>
      <c r="J41" s="97"/>
      <c r="K41" s="97"/>
      <c r="L41" s="97"/>
      <c r="M41" s="137"/>
    </row>
    <row r="42" spans="1:13" ht="38.25" x14ac:dyDescent="0.2">
      <c r="A42" s="132" t="s">
        <v>547</v>
      </c>
      <c r="B42" s="18"/>
      <c r="C42" s="73" t="s">
        <v>271</v>
      </c>
      <c r="D42" s="25" t="s">
        <v>251</v>
      </c>
      <c r="E42" s="42">
        <f>250+123</f>
        <v>373</v>
      </c>
      <c r="F42" s="40">
        <f>325.3+0.1</f>
        <v>325.40000000000003</v>
      </c>
      <c r="G42" s="42"/>
      <c r="H42" s="135"/>
      <c r="I42" s="97"/>
      <c r="J42" s="97"/>
      <c r="K42" s="97"/>
      <c r="L42" s="97"/>
      <c r="M42" s="137"/>
    </row>
    <row r="43" spans="1:13" ht="25.5" x14ac:dyDescent="0.2">
      <c r="A43" s="132" t="s">
        <v>548</v>
      </c>
      <c r="B43" s="18"/>
      <c r="C43" s="73" t="s">
        <v>273</v>
      </c>
      <c r="D43" s="25" t="s">
        <v>242</v>
      </c>
      <c r="E43" s="42">
        <v>31</v>
      </c>
      <c r="F43" s="42">
        <v>27.5</v>
      </c>
      <c r="G43" s="42"/>
      <c r="H43" s="135"/>
      <c r="I43" s="97"/>
      <c r="J43" s="97"/>
      <c r="K43" s="97"/>
      <c r="L43" s="97"/>
      <c r="M43" s="137"/>
    </row>
    <row r="44" spans="1:13" ht="28.5" customHeight="1" x14ac:dyDescent="0.2">
      <c r="A44" s="14">
        <v>16</v>
      </c>
      <c r="B44" s="12" t="s">
        <v>278</v>
      </c>
      <c r="C44" s="81" t="s">
        <v>279</v>
      </c>
      <c r="D44" s="18"/>
      <c r="E44" s="138">
        <f>+E45</f>
        <v>62.6</v>
      </c>
      <c r="F44" s="138">
        <f>+F45</f>
        <v>38.1</v>
      </c>
      <c r="G44" s="138">
        <f>+G45</f>
        <v>0</v>
      </c>
      <c r="H44" s="138">
        <f>+H45</f>
        <v>0</v>
      </c>
      <c r="I44" s="97"/>
      <c r="J44" s="97"/>
      <c r="K44" s="97"/>
      <c r="L44" s="97"/>
      <c r="M44" s="137"/>
    </row>
    <row r="45" spans="1:13" ht="12.6" customHeight="1" x14ac:dyDescent="0.2">
      <c r="A45" s="14">
        <v>17</v>
      </c>
      <c r="B45" s="12"/>
      <c r="C45" s="73" t="s">
        <v>431</v>
      </c>
      <c r="D45" s="18"/>
      <c r="E45" s="144">
        <f>+E46+E47</f>
        <v>62.6</v>
      </c>
      <c r="F45" s="144">
        <f>+F46+F47</f>
        <v>38.1</v>
      </c>
      <c r="G45" s="144">
        <f>+G46+G47</f>
        <v>0</v>
      </c>
      <c r="H45" s="144">
        <f>+H46+H47</f>
        <v>0</v>
      </c>
      <c r="I45" s="97"/>
      <c r="J45" s="97"/>
      <c r="K45" s="97"/>
      <c r="L45" s="97"/>
      <c r="M45" s="137"/>
    </row>
    <row r="46" spans="1:13" ht="42.75" customHeight="1" x14ac:dyDescent="0.2">
      <c r="A46" s="132" t="s">
        <v>549</v>
      </c>
      <c r="B46" s="18"/>
      <c r="C46" s="47" t="s">
        <v>309</v>
      </c>
      <c r="D46" s="18" t="s">
        <v>550</v>
      </c>
      <c r="E46" s="144">
        <f>33+4.1</f>
        <v>37.1</v>
      </c>
      <c r="F46" s="144">
        <v>37</v>
      </c>
      <c r="G46" s="144"/>
      <c r="H46" s="135"/>
      <c r="I46" s="97"/>
      <c r="J46" s="97"/>
      <c r="K46" s="97"/>
      <c r="L46" s="97"/>
      <c r="M46" s="137"/>
    </row>
    <row r="47" spans="1:13" ht="25.5" x14ac:dyDescent="0.2">
      <c r="A47" s="132" t="s">
        <v>551</v>
      </c>
      <c r="B47" s="18"/>
      <c r="C47" s="147" t="s">
        <v>552</v>
      </c>
      <c r="D47" s="18" t="s">
        <v>254</v>
      </c>
      <c r="E47" s="144">
        <v>25.5</v>
      </c>
      <c r="F47" s="144">
        <v>1.1000000000000001</v>
      </c>
      <c r="G47" s="144"/>
      <c r="H47" s="135"/>
      <c r="I47" s="97"/>
      <c r="J47" s="97"/>
      <c r="K47" s="97"/>
      <c r="L47" s="97"/>
      <c r="M47" s="137"/>
    </row>
    <row r="48" spans="1:13" ht="18" customHeight="1" x14ac:dyDescent="0.2">
      <c r="A48" s="14">
        <v>18</v>
      </c>
      <c r="B48" s="12" t="s">
        <v>320</v>
      </c>
      <c r="C48" s="85" t="s">
        <v>321</v>
      </c>
      <c r="D48" s="18"/>
      <c r="E48" s="138">
        <f>+E49</f>
        <v>640</v>
      </c>
      <c r="F48" s="138">
        <f>+F49</f>
        <v>571.5</v>
      </c>
      <c r="G48" s="138">
        <f>+G49</f>
        <v>0</v>
      </c>
      <c r="H48" s="138">
        <f>+H49</f>
        <v>0</v>
      </c>
      <c r="I48" s="97"/>
      <c r="J48" s="97"/>
      <c r="K48" s="97"/>
      <c r="L48" s="97"/>
      <c r="M48" s="137"/>
    </row>
    <row r="49" spans="1:13" ht="12.6" customHeight="1" x14ac:dyDescent="0.2">
      <c r="A49" s="14">
        <v>19</v>
      </c>
      <c r="B49" s="18"/>
      <c r="C49" s="136" t="s">
        <v>431</v>
      </c>
      <c r="D49" s="25"/>
      <c r="E49" s="144">
        <f>+E50+E51+E52+E53+E54</f>
        <v>640</v>
      </c>
      <c r="F49" s="144">
        <f>+F50+F51+F52+F53+F54</f>
        <v>571.5</v>
      </c>
      <c r="G49" s="144">
        <f>+G50+G51+G52+G53</f>
        <v>0</v>
      </c>
      <c r="H49" s="144">
        <f>+H50+H51+H52+H53</f>
        <v>0</v>
      </c>
      <c r="I49" s="97"/>
      <c r="J49" s="97"/>
      <c r="K49" s="97"/>
      <c r="L49" s="97"/>
      <c r="M49" s="137"/>
    </row>
    <row r="50" spans="1:13" ht="12.6" customHeight="1" x14ac:dyDescent="0.2">
      <c r="A50" s="132" t="s">
        <v>553</v>
      </c>
      <c r="B50" s="18"/>
      <c r="C50" s="112" t="s">
        <v>383</v>
      </c>
      <c r="D50" s="25" t="s">
        <v>384</v>
      </c>
      <c r="E50" s="144">
        <f>36+2</f>
        <v>38</v>
      </c>
      <c r="F50" s="144">
        <v>29</v>
      </c>
      <c r="G50" s="144"/>
      <c r="H50" s="135"/>
      <c r="I50" s="97"/>
      <c r="J50" s="97"/>
      <c r="K50" s="97"/>
      <c r="L50" s="97"/>
      <c r="M50" s="137"/>
    </row>
    <row r="51" spans="1:13" ht="25.5" x14ac:dyDescent="0.2">
      <c r="A51" s="132" t="s">
        <v>554</v>
      </c>
      <c r="B51" s="18"/>
      <c r="C51" s="136" t="s">
        <v>378</v>
      </c>
      <c r="D51" s="25" t="s">
        <v>555</v>
      </c>
      <c r="E51" s="144">
        <f>100+50</f>
        <v>150</v>
      </c>
      <c r="F51" s="144">
        <v>136.6</v>
      </c>
      <c r="G51" s="144"/>
      <c r="H51" s="135"/>
      <c r="I51" s="97"/>
      <c r="J51" s="97"/>
      <c r="K51" s="97"/>
      <c r="L51" s="97"/>
      <c r="M51" s="137"/>
    </row>
    <row r="52" spans="1:13" ht="12.6" customHeight="1" x14ac:dyDescent="0.2">
      <c r="A52" s="132" t="s">
        <v>556</v>
      </c>
      <c r="B52" s="18"/>
      <c r="C52" s="24" t="s">
        <v>557</v>
      </c>
      <c r="D52" s="25" t="s">
        <v>558</v>
      </c>
      <c r="E52" s="144">
        <f>270+12</f>
        <v>282</v>
      </c>
      <c r="F52" s="144">
        <v>270.2</v>
      </c>
      <c r="G52" s="144"/>
      <c r="H52" s="135"/>
      <c r="I52" s="97"/>
      <c r="J52" s="97"/>
      <c r="K52" s="97"/>
      <c r="L52" s="97"/>
      <c r="M52" s="137"/>
    </row>
    <row r="53" spans="1:13" ht="38.25" x14ac:dyDescent="0.2">
      <c r="A53" s="132" t="s">
        <v>559</v>
      </c>
      <c r="B53" s="18"/>
      <c r="C53" s="24" t="s">
        <v>394</v>
      </c>
      <c r="D53" s="25" t="s">
        <v>395</v>
      </c>
      <c r="E53" s="144">
        <f>20.2+11.8+2</f>
        <v>34</v>
      </c>
      <c r="F53" s="144">
        <v>0</v>
      </c>
      <c r="G53" s="144"/>
      <c r="H53" s="135"/>
      <c r="I53" s="97"/>
      <c r="J53" s="97"/>
      <c r="K53" s="97"/>
      <c r="L53" s="97"/>
      <c r="M53" s="137"/>
    </row>
    <row r="54" spans="1:13" x14ac:dyDescent="0.2">
      <c r="A54" s="132" t="s">
        <v>560</v>
      </c>
      <c r="B54" s="18"/>
      <c r="C54" s="24" t="s">
        <v>561</v>
      </c>
      <c r="D54" s="25" t="s">
        <v>384</v>
      </c>
      <c r="E54" s="51">
        <v>136</v>
      </c>
      <c r="F54" s="51">
        <v>135.69999999999999</v>
      </c>
      <c r="G54" s="144"/>
      <c r="H54" s="135"/>
      <c r="I54" s="97"/>
      <c r="J54" s="97"/>
      <c r="K54" s="97"/>
      <c r="L54" s="97"/>
      <c r="M54" s="137"/>
    </row>
    <row r="55" spans="1:13" ht="18" customHeight="1" x14ac:dyDescent="0.2">
      <c r="A55" s="14">
        <v>20</v>
      </c>
      <c r="B55" s="12" t="s">
        <v>403</v>
      </c>
      <c r="C55" s="52" t="s">
        <v>404</v>
      </c>
      <c r="D55" s="18"/>
      <c r="E55" s="138">
        <f>+E56</f>
        <v>555</v>
      </c>
      <c r="F55" s="138">
        <f>+F56</f>
        <v>224.5</v>
      </c>
      <c r="G55" s="138">
        <f>+G56</f>
        <v>0</v>
      </c>
      <c r="H55" s="138">
        <f>+H56</f>
        <v>0</v>
      </c>
      <c r="I55" s="97"/>
      <c r="J55" s="97"/>
      <c r="K55" s="97"/>
      <c r="L55" s="97"/>
      <c r="M55" s="137"/>
    </row>
    <row r="56" spans="1:13" x14ac:dyDescent="0.2">
      <c r="A56" s="14">
        <v>21</v>
      </c>
      <c r="B56" s="18"/>
      <c r="C56" s="136" t="s">
        <v>431</v>
      </c>
      <c r="D56" s="18"/>
      <c r="E56" s="144">
        <f>+E57+E58</f>
        <v>555</v>
      </c>
      <c r="F56" s="144">
        <f>+F57+F58</f>
        <v>224.5</v>
      </c>
      <c r="G56" s="144">
        <f>+G57+G58</f>
        <v>0</v>
      </c>
      <c r="H56" s="144">
        <f>+H57+H58</f>
        <v>0</v>
      </c>
      <c r="I56" s="97"/>
      <c r="J56" s="97"/>
      <c r="K56" s="97"/>
      <c r="L56" s="97"/>
      <c r="M56" s="137"/>
    </row>
    <row r="57" spans="1:13" ht="29.25" customHeight="1" x14ac:dyDescent="0.2">
      <c r="A57" s="132" t="s">
        <v>562</v>
      </c>
      <c r="B57" s="18"/>
      <c r="C57" s="148" t="s">
        <v>424</v>
      </c>
      <c r="D57" s="18" t="s">
        <v>411</v>
      </c>
      <c r="E57" s="144">
        <v>439</v>
      </c>
      <c r="F57" s="144">
        <v>184.2</v>
      </c>
      <c r="G57" s="144"/>
      <c r="H57" s="135"/>
      <c r="I57" s="97"/>
      <c r="J57" s="97"/>
      <c r="K57" s="97"/>
      <c r="L57" s="97"/>
      <c r="M57" s="137"/>
    </row>
    <row r="58" spans="1:13" ht="38.25" x14ac:dyDescent="0.2">
      <c r="A58" s="132" t="s">
        <v>563</v>
      </c>
      <c r="B58" s="18"/>
      <c r="C58" s="148" t="s">
        <v>426</v>
      </c>
      <c r="D58" s="18" t="s">
        <v>406</v>
      </c>
      <c r="E58" s="144">
        <v>116</v>
      </c>
      <c r="F58" s="144">
        <v>40.299999999999997</v>
      </c>
      <c r="G58" s="144"/>
      <c r="H58" s="135"/>
      <c r="I58" s="97"/>
      <c r="J58" s="97"/>
      <c r="K58" s="97"/>
      <c r="L58" s="97"/>
      <c r="M58" s="137"/>
    </row>
    <row r="59" spans="1:13" ht="15.75" customHeight="1" x14ac:dyDescent="0.2">
      <c r="A59" s="14">
        <v>22</v>
      </c>
      <c r="B59" s="18"/>
      <c r="C59" s="129" t="s">
        <v>481</v>
      </c>
      <c r="D59" s="18"/>
      <c r="E59" s="53">
        <f>+E11+E21+E26+E35+E38+E44+E48+E55</f>
        <v>2424.6</v>
      </c>
      <c r="F59" s="53">
        <f>+F11+F21+F26+F35+F38+F44+F48+F55</f>
        <v>1874.8</v>
      </c>
      <c r="G59" s="53">
        <f>+G11+G21+G26+G35+G38+G44+G48+G55</f>
        <v>135.99999999999997</v>
      </c>
      <c r="H59" s="53">
        <f>+H11+H21+H26+H35+H38+H44+H48+H55</f>
        <v>135.4</v>
      </c>
      <c r="I59" s="97"/>
      <c r="J59" s="97"/>
      <c r="K59" s="97"/>
      <c r="L59" s="97"/>
      <c r="M59" s="97"/>
    </row>
    <row r="60" spans="1:13" x14ac:dyDescent="0.2">
      <c r="C60" s="6" t="s">
        <v>564</v>
      </c>
      <c r="E60" s="104"/>
      <c r="F60" s="104"/>
      <c r="G60" s="104"/>
    </row>
    <row r="61" spans="1:13" x14ac:dyDescent="0.2">
      <c r="D61" s="2"/>
      <c r="E61" s="104"/>
      <c r="F61" s="104"/>
      <c r="G61" s="104"/>
    </row>
    <row r="62" spans="1:13" x14ac:dyDescent="0.2">
      <c r="C62" s="100"/>
      <c r="E62" s="149"/>
      <c r="F62" s="149"/>
      <c r="G62" s="149"/>
    </row>
    <row r="63" spans="1:13" x14ac:dyDescent="0.2">
      <c r="C63" s="1"/>
      <c r="D63" s="2"/>
      <c r="E63" s="104"/>
      <c r="F63" s="104"/>
      <c r="G63" s="104"/>
    </row>
    <row r="64" spans="1:13" x14ac:dyDescent="0.2">
      <c r="C64" s="80"/>
      <c r="E64" s="104"/>
      <c r="F64" s="104"/>
      <c r="G64" s="104"/>
    </row>
    <row r="65" spans="3:7" x14ac:dyDescent="0.2">
      <c r="C65" s="80"/>
      <c r="E65" s="104"/>
      <c r="F65" s="104"/>
      <c r="G65" s="104"/>
    </row>
    <row r="66" spans="3:7" x14ac:dyDescent="0.2">
      <c r="G66" s="104"/>
    </row>
    <row r="67" spans="3:7" x14ac:dyDescent="0.2">
      <c r="C67" s="1"/>
      <c r="E67" s="104"/>
      <c r="F67" s="104"/>
      <c r="G67" s="104"/>
    </row>
    <row r="68" spans="3:7" x14ac:dyDescent="0.2">
      <c r="C68" s="1"/>
    </row>
    <row r="69" spans="3:7" x14ac:dyDescent="0.2">
      <c r="C69" s="1"/>
    </row>
    <row r="70" spans="3:7" x14ac:dyDescent="0.2">
      <c r="C70" s="1"/>
      <c r="E70" s="104"/>
      <c r="F70" s="104"/>
      <c r="G70" s="104"/>
    </row>
    <row r="71" spans="3:7" x14ac:dyDescent="0.2">
      <c r="C71" s="1"/>
      <c r="E71" s="104"/>
      <c r="F71" s="104"/>
      <c r="G71" s="104"/>
    </row>
    <row r="72" spans="3:7" x14ac:dyDescent="0.2">
      <c r="C72" s="150"/>
      <c r="D72" s="6"/>
      <c r="E72" s="104"/>
      <c r="F72" s="104"/>
      <c r="G72" s="104"/>
    </row>
    <row r="73" spans="3:7" x14ac:dyDescent="0.2">
      <c r="C73" s="151"/>
      <c r="D73" s="104"/>
    </row>
    <row r="74" spans="3:7" x14ac:dyDescent="0.2">
      <c r="C74" s="1"/>
      <c r="D74" s="104"/>
    </row>
    <row r="75" spans="3:7" x14ac:dyDescent="0.2">
      <c r="C75" s="1"/>
      <c r="D75" s="152"/>
    </row>
    <row r="76" spans="3:7" x14ac:dyDescent="0.2">
      <c r="C76" s="1"/>
    </row>
    <row r="77" spans="3:7" x14ac:dyDescent="0.2">
      <c r="C77" s="1"/>
    </row>
    <row r="78" spans="3:7" x14ac:dyDescent="0.2">
      <c r="D78" s="6"/>
    </row>
    <row r="80" spans="3:7" x14ac:dyDescent="0.2">
      <c r="C80" s="1"/>
    </row>
  </sheetData>
  <mergeCells count="11">
    <mergeCell ref="E3:H3"/>
    <mergeCell ref="C2:H2"/>
    <mergeCell ref="C1:H1"/>
    <mergeCell ref="G7:H7"/>
    <mergeCell ref="A5:G5"/>
    <mergeCell ref="G8:H8"/>
    <mergeCell ref="A8:A9"/>
    <mergeCell ref="B8:B9"/>
    <mergeCell ref="C8:C9"/>
    <mergeCell ref="D8:D9"/>
    <mergeCell ref="E8:F8"/>
  </mergeCells>
  <pageMargins left="1.1023622047244095"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B5156-F702-4E01-8544-0F8A4F78EDF3}">
  <dimension ref="A1:L114"/>
  <sheetViews>
    <sheetView workbookViewId="0">
      <selection activeCell="N30" sqref="N30"/>
    </sheetView>
  </sheetViews>
  <sheetFormatPr defaultRowHeight="12.75" x14ac:dyDescent="0.2"/>
  <cols>
    <col min="1" max="1" width="3.85546875" style="6" customWidth="1"/>
    <col min="2" max="2" width="7.28515625" style="5" customWidth="1"/>
    <col min="3" max="3" width="55.140625" style="100" customWidth="1"/>
    <col min="4" max="4" width="10.28515625" style="154" customWidth="1"/>
    <col min="5" max="5" width="8.7109375" style="1" customWidth="1"/>
    <col min="6" max="6" width="8.5703125" style="1" customWidth="1"/>
    <col min="7" max="7" width="11.140625" style="1" customWidth="1"/>
    <col min="8" max="256" width="9.140625" style="4"/>
    <col min="257" max="257" width="3.85546875" style="4" customWidth="1"/>
    <col min="258" max="258" width="7.28515625" style="4" customWidth="1"/>
    <col min="259" max="259" width="55.140625" style="4" customWidth="1"/>
    <col min="260" max="260" width="10.28515625" style="4" customWidth="1"/>
    <col min="261" max="261" width="8.7109375" style="4" customWidth="1"/>
    <col min="262" max="262" width="8.5703125" style="4" customWidth="1"/>
    <col min="263" max="263" width="11.140625" style="4" customWidth="1"/>
    <col min="264" max="512" width="9.140625" style="4"/>
    <col min="513" max="513" width="3.85546875" style="4" customWidth="1"/>
    <col min="514" max="514" width="7.28515625" style="4" customWidth="1"/>
    <col min="515" max="515" width="55.140625" style="4" customWidth="1"/>
    <col min="516" max="516" width="10.28515625" style="4" customWidth="1"/>
    <col min="517" max="517" width="8.7109375" style="4" customWidth="1"/>
    <col min="518" max="518" width="8.5703125" style="4" customWidth="1"/>
    <col min="519" max="519" width="11.140625" style="4" customWidth="1"/>
    <col min="520" max="768" width="9.140625" style="4"/>
    <col min="769" max="769" width="3.85546875" style="4" customWidth="1"/>
    <col min="770" max="770" width="7.28515625" style="4" customWidth="1"/>
    <col min="771" max="771" width="55.140625" style="4" customWidth="1"/>
    <col min="772" max="772" width="10.28515625" style="4" customWidth="1"/>
    <col min="773" max="773" width="8.7109375" style="4" customWidth="1"/>
    <col min="774" max="774" width="8.5703125" style="4" customWidth="1"/>
    <col min="775" max="775" width="11.140625" style="4" customWidth="1"/>
    <col min="776" max="1024" width="9.140625" style="4"/>
    <col min="1025" max="1025" width="3.85546875" style="4" customWidth="1"/>
    <col min="1026" max="1026" width="7.28515625" style="4" customWidth="1"/>
    <col min="1027" max="1027" width="55.140625" style="4" customWidth="1"/>
    <col min="1028" max="1028" width="10.28515625" style="4" customWidth="1"/>
    <col min="1029" max="1029" width="8.7109375" style="4" customWidth="1"/>
    <col min="1030" max="1030" width="8.5703125" style="4" customWidth="1"/>
    <col min="1031" max="1031" width="11.140625" style="4" customWidth="1"/>
    <col min="1032" max="1280" width="9.140625" style="4"/>
    <col min="1281" max="1281" width="3.85546875" style="4" customWidth="1"/>
    <col min="1282" max="1282" width="7.28515625" style="4" customWidth="1"/>
    <col min="1283" max="1283" width="55.140625" style="4" customWidth="1"/>
    <col min="1284" max="1284" width="10.28515625" style="4" customWidth="1"/>
    <col min="1285" max="1285" width="8.7109375" style="4" customWidth="1"/>
    <col min="1286" max="1286" width="8.5703125" style="4" customWidth="1"/>
    <col min="1287" max="1287" width="11.140625" style="4" customWidth="1"/>
    <col min="1288" max="1536" width="9.140625" style="4"/>
    <col min="1537" max="1537" width="3.85546875" style="4" customWidth="1"/>
    <col min="1538" max="1538" width="7.28515625" style="4" customWidth="1"/>
    <col min="1539" max="1539" width="55.140625" style="4" customWidth="1"/>
    <col min="1540" max="1540" width="10.28515625" style="4" customWidth="1"/>
    <col min="1541" max="1541" width="8.7109375" style="4" customWidth="1"/>
    <col min="1542" max="1542" width="8.5703125" style="4" customWidth="1"/>
    <col min="1543" max="1543" width="11.140625" style="4" customWidth="1"/>
    <col min="1544" max="1792" width="9.140625" style="4"/>
    <col min="1793" max="1793" width="3.85546875" style="4" customWidth="1"/>
    <col min="1794" max="1794" width="7.28515625" style="4" customWidth="1"/>
    <col min="1795" max="1795" width="55.140625" style="4" customWidth="1"/>
    <col min="1796" max="1796" width="10.28515625" style="4" customWidth="1"/>
    <col min="1797" max="1797" width="8.7109375" style="4" customWidth="1"/>
    <col min="1798" max="1798" width="8.5703125" style="4" customWidth="1"/>
    <col min="1799" max="1799" width="11.140625" style="4" customWidth="1"/>
    <col min="1800" max="2048" width="9.140625" style="4"/>
    <col min="2049" max="2049" width="3.85546875" style="4" customWidth="1"/>
    <col min="2050" max="2050" width="7.28515625" style="4" customWidth="1"/>
    <col min="2051" max="2051" width="55.140625" style="4" customWidth="1"/>
    <col min="2052" max="2052" width="10.28515625" style="4" customWidth="1"/>
    <col min="2053" max="2053" width="8.7109375" style="4" customWidth="1"/>
    <col min="2054" max="2054" width="8.5703125" style="4" customWidth="1"/>
    <col min="2055" max="2055" width="11.140625" style="4" customWidth="1"/>
    <col min="2056" max="2304" width="9.140625" style="4"/>
    <col min="2305" max="2305" width="3.85546875" style="4" customWidth="1"/>
    <col min="2306" max="2306" width="7.28515625" style="4" customWidth="1"/>
    <col min="2307" max="2307" width="55.140625" style="4" customWidth="1"/>
    <col min="2308" max="2308" width="10.28515625" style="4" customWidth="1"/>
    <col min="2309" max="2309" width="8.7109375" style="4" customWidth="1"/>
    <col min="2310" max="2310" width="8.5703125" style="4" customWidth="1"/>
    <col min="2311" max="2311" width="11.140625" style="4" customWidth="1"/>
    <col min="2312" max="2560" width="9.140625" style="4"/>
    <col min="2561" max="2561" width="3.85546875" style="4" customWidth="1"/>
    <col min="2562" max="2562" width="7.28515625" style="4" customWidth="1"/>
    <col min="2563" max="2563" width="55.140625" style="4" customWidth="1"/>
    <col min="2564" max="2564" width="10.28515625" style="4" customWidth="1"/>
    <col min="2565" max="2565" width="8.7109375" style="4" customWidth="1"/>
    <col min="2566" max="2566" width="8.5703125" style="4" customWidth="1"/>
    <col min="2567" max="2567" width="11.140625" style="4" customWidth="1"/>
    <col min="2568" max="2816" width="9.140625" style="4"/>
    <col min="2817" max="2817" width="3.85546875" style="4" customWidth="1"/>
    <col min="2818" max="2818" width="7.28515625" style="4" customWidth="1"/>
    <col min="2819" max="2819" width="55.140625" style="4" customWidth="1"/>
    <col min="2820" max="2820" width="10.28515625" style="4" customWidth="1"/>
    <col min="2821" max="2821" width="8.7109375" style="4" customWidth="1"/>
    <col min="2822" max="2822" width="8.5703125" style="4" customWidth="1"/>
    <col min="2823" max="2823" width="11.140625" style="4" customWidth="1"/>
    <col min="2824" max="3072" width="9.140625" style="4"/>
    <col min="3073" max="3073" width="3.85546875" style="4" customWidth="1"/>
    <col min="3074" max="3074" width="7.28515625" style="4" customWidth="1"/>
    <col min="3075" max="3075" width="55.140625" style="4" customWidth="1"/>
    <col min="3076" max="3076" width="10.28515625" style="4" customWidth="1"/>
    <col min="3077" max="3077" width="8.7109375" style="4" customWidth="1"/>
    <col min="3078" max="3078" width="8.5703125" style="4" customWidth="1"/>
    <col min="3079" max="3079" width="11.140625" style="4" customWidth="1"/>
    <col min="3080" max="3328" width="9.140625" style="4"/>
    <col min="3329" max="3329" width="3.85546875" style="4" customWidth="1"/>
    <col min="3330" max="3330" width="7.28515625" style="4" customWidth="1"/>
    <col min="3331" max="3331" width="55.140625" style="4" customWidth="1"/>
    <col min="3332" max="3332" width="10.28515625" style="4" customWidth="1"/>
    <col min="3333" max="3333" width="8.7109375" style="4" customWidth="1"/>
    <col min="3334" max="3334" width="8.5703125" style="4" customWidth="1"/>
    <col min="3335" max="3335" width="11.140625" style="4" customWidth="1"/>
    <col min="3336" max="3584" width="9.140625" style="4"/>
    <col min="3585" max="3585" width="3.85546875" style="4" customWidth="1"/>
    <col min="3586" max="3586" width="7.28515625" style="4" customWidth="1"/>
    <col min="3587" max="3587" width="55.140625" style="4" customWidth="1"/>
    <col min="3588" max="3588" width="10.28515625" style="4" customWidth="1"/>
    <col min="3589" max="3589" width="8.7109375" style="4" customWidth="1"/>
    <col min="3590" max="3590" width="8.5703125" style="4" customWidth="1"/>
    <col min="3591" max="3591" width="11.140625" style="4" customWidth="1"/>
    <col min="3592" max="3840" width="9.140625" style="4"/>
    <col min="3841" max="3841" width="3.85546875" style="4" customWidth="1"/>
    <col min="3842" max="3842" width="7.28515625" style="4" customWidth="1"/>
    <col min="3843" max="3843" width="55.140625" style="4" customWidth="1"/>
    <col min="3844" max="3844" width="10.28515625" style="4" customWidth="1"/>
    <col min="3845" max="3845" width="8.7109375" style="4" customWidth="1"/>
    <col min="3846" max="3846" width="8.5703125" style="4" customWidth="1"/>
    <col min="3847" max="3847" width="11.140625" style="4" customWidth="1"/>
    <col min="3848" max="4096" width="9.140625" style="4"/>
    <col min="4097" max="4097" width="3.85546875" style="4" customWidth="1"/>
    <col min="4098" max="4098" width="7.28515625" style="4" customWidth="1"/>
    <col min="4099" max="4099" width="55.140625" style="4" customWidth="1"/>
    <col min="4100" max="4100" width="10.28515625" style="4" customWidth="1"/>
    <col min="4101" max="4101" width="8.7109375" style="4" customWidth="1"/>
    <col min="4102" max="4102" width="8.5703125" style="4" customWidth="1"/>
    <col min="4103" max="4103" width="11.140625" style="4" customWidth="1"/>
    <col min="4104" max="4352" width="9.140625" style="4"/>
    <col min="4353" max="4353" width="3.85546875" style="4" customWidth="1"/>
    <col min="4354" max="4354" width="7.28515625" style="4" customWidth="1"/>
    <col min="4355" max="4355" width="55.140625" style="4" customWidth="1"/>
    <col min="4356" max="4356" width="10.28515625" style="4" customWidth="1"/>
    <col min="4357" max="4357" width="8.7109375" style="4" customWidth="1"/>
    <col min="4358" max="4358" width="8.5703125" style="4" customWidth="1"/>
    <col min="4359" max="4359" width="11.140625" style="4" customWidth="1"/>
    <col min="4360" max="4608" width="9.140625" style="4"/>
    <col min="4609" max="4609" width="3.85546875" style="4" customWidth="1"/>
    <col min="4610" max="4610" width="7.28515625" style="4" customWidth="1"/>
    <col min="4611" max="4611" width="55.140625" style="4" customWidth="1"/>
    <col min="4612" max="4612" width="10.28515625" style="4" customWidth="1"/>
    <col min="4613" max="4613" width="8.7109375" style="4" customWidth="1"/>
    <col min="4614" max="4614" width="8.5703125" style="4" customWidth="1"/>
    <col min="4615" max="4615" width="11.140625" style="4" customWidth="1"/>
    <col min="4616" max="4864" width="9.140625" style="4"/>
    <col min="4865" max="4865" width="3.85546875" style="4" customWidth="1"/>
    <col min="4866" max="4866" width="7.28515625" style="4" customWidth="1"/>
    <col min="4867" max="4867" width="55.140625" style="4" customWidth="1"/>
    <col min="4868" max="4868" width="10.28515625" style="4" customWidth="1"/>
    <col min="4869" max="4869" width="8.7109375" style="4" customWidth="1"/>
    <col min="4870" max="4870" width="8.5703125" style="4" customWidth="1"/>
    <col min="4871" max="4871" width="11.140625" style="4" customWidth="1"/>
    <col min="4872" max="5120" width="9.140625" style="4"/>
    <col min="5121" max="5121" width="3.85546875" style="4" customWidth="1"/>
    <col min="5122" max="5122" width="7.28515625" style="4" customWidth="1"/>
    <col min="5123" max="5123" width="55.140625" style="4" customWidth="1"/>
    <col min="5124" max="5124" width="10.28515625" style="4" customWidth="1"/>
    <col min="5125" max="5125" width="8.7109375" style="4" customWidth="1"/>
    <col min="5126" max="5126" width="8.5703125" style="4" customWidth="1"/>
    <col min="5127" max="5127" width="11.140625" style="4" customWidth="1"/>
    <col min="5128" max="5376" width="9.140625" style="4"/>
    <col min="5377" max="5377" width="3.85546875" style="4" customWidth="1"/>
    <col min="5378" max="5378" width="7.28515625" style="4" customWidth="1"/>
    <col min="5379" max="5379" width="55.140625" style="4" customWidth="1"/>
    <col min="5380" max="5380" width="10.28515625" style="4" customWidth="1"/>
    <col min="5381" max="5381" width="8.7109375" style="4" customWidth="1"/>
    <col min="5382" max="5382" width="8.5703125" style="4" customWidth="1"/>
    <col min="5383" max="5383" width="11.140625" style="4" customWidth="1"/>
    <col min="5384" max="5632" width="9.140625" style="4"/>
    <col min="5633" max="5633" width="3.85546875" style="4" customWidth="1"/>
    <col min="5634" max="5634" width="7.28515625" style="4" customWidth="1"/>
    <col min="5635" max="5635" width="55.140625" style="4" customWidth="1"/>
    <col min="5636" max="5636" width="10.28515625" style="4" customWidth="1"/>
    <col min="5637" max="5637" width="8.7109375" style="4" customWidth="1"/>
    <col min="5638" max="5638" width="8.5703125" style="4" customWidth="1"/>
    <col min="5639" max="5639" width="11.140625" style="4" customWidth="1"/>
    <col min="5640" max="5888" width="9.140625" style="4"/>
    <col min="5889" max="5889" width="3.85546875" style="4" customWidth="1"/>
    <col min="5890" max="5890" width="7.28515625" style="4" customWidth="1"/>
    <col min="5891" max="5891" width="55.140625" style="4" customWidth="1"/>
    <col min="5892" max="5892" width="10.28515625" style="4" customWidth="1"/>
    <col min="5893" max="5893" width="8.7109375" style="4" customWidth="1"/>
    <col min="5894" max="5894" width="8.5703125" style="4" customWidth="1"/>
    <col min="5895" max="5895" width="11.140625" style="4" customWidth="1"/>
    <col min="5896" max="6144" width="9.140625" style="4"/>
    <col min="6145" max="6145" width="3.85546875" style="4" customWidth="1"/>
    <col min="6146" max="6146" width="7.28515625" style="4" customWidth="1"/>
    <col min="6147" max="6147" width="55.140625" style="4" customWidth="1"/>
    <col min="6148" max="6148" width="10.28515625" style="4" customWidth="1"/>
    <col min="6149" max="6149" width="8.7109375" style="4" customWidth="1"/>
    <col min="6150" max="6150" width="8.5703125" style="4" customWidth="1"/>
    <col min="6151" max="6151" width="11.140625" style="4" customWidth="1"/>
    <col min="6152" max="6400" width="9.140625" style="4"/>
    <col min="6401" max="6401" width="3.85546875" style="4" customWidth="1"/>
    <col min="6402" max="6402" width="7.28515625" style="4" customWidth="1"/>
    <col min="6403" max="6403" width="55.140625" style="4" customWidth="1"/>
    <col min="6404" max="6404" width="10.28515625" style="4" customWidth="1"/>
    <col min="6405" max="6405" width="8.7109375" style="4" customWidth="1"/>
    <col min="6406" max="6406" width="8.5703125" style="4" customWidth="1"/>
    <col min="6407" max="6407" width="11.140625" style="4" customWidth="1"/>
    <col min="6408" max="6656" width="9.140625" style="4"/>
    <col min="6657" max="6657" width="3.85546875" style="4" customWidth="1"/>
    <col min="6658" max="6658" width="7.28515625" style="4" customWidth="1"/>
    <col min="6659" max="6659" width="55.140625" style="4" customWidth="1"/>
    <col min="6660" max="6660" width="10.28515625" style="4" customWidth="1"/>
    <col min="6661" max="6661" width="8.7109375" style="4" customWidth="1"/>
    <col min="6662" max="6662" width="8.5703125" style="4" customWidth="1"/>
    <col min="6663" max="6663" width="11.140625" style="4" customWidth="1"/>
    <col min="6664" max="6912" width="9.140625" style="4"/>
    <col min="6913" max="6913" width="3.85546875" style="4" customWidth="1"/>
    <col min="6914" max="6914" width="7.28515625" style="4" customWidth="1"/>
    <col min="6915" max="6915" width="55.140625" style="4" customWidth="1"/>
    <col min="6916" max="6916" width="10.28515625" style="4" customWidth="1"/>
    <col min="6917" max="6917" width="8.7109375" style="4" customWidth="1"/>
    <col min="6918" max="6918" width="8.5703125" style="4" customWidth="1"/>
    <col min="6919" max="6919" width="11.140625" style="4" customWidth="1"/>
    <col min="6920" max="7168" width="9.140625" style="4"/>
    <col min="7169" max="7169" width="3.85546875" style="4" customWidth="1"/>
    <col min="7170" max="7170" width="7.28515625" style="4" customWidth="1"/>
    <col min="7171" max="7171" width="55.140625" style="4" customWidth="1"/>
    <col min="7172" max="7172" width="10.28515625" style="4" customWidth="1"/>
    <col min="7173" max="7173" width="8.7109375" style="4" customWidth="1"/>
    <col min="7174" max="7174" width="8.5703125" style="4" customWidth="1"/>
    <col min="7175" max="7175" width="11.140625" style="4" customWidth="1"/>
    <col min="7176" max="7424" width="9.140625" style="4"/>
    <col min="7425" max="7425" width="3.85546875" style="4" customWidth="1"/>
    <col min="7426" max="7426" width="7.28515625" style="4" customWidth="1"/>
    <col min="7427" max="7427" width="55.140625" style="4" customWidth="1"/>
    <col min="7428" max="7428" width="10.28515625" style="4" customWidth="1"/>
    <col min="7429" max="7429" width="8.7109375" style="4" customWidth="1"/>
    <col min="7430" max="7430" width="8.5703125" style="4" customWidth="1"/>
    <col min="7431" max="7431" width="11.140625" style="4" customWidth="1"/>
    <col min="7432" max="7680" width="9.140625" style="4"/>
    <col min="7681" max="7681" width="3.85546875" style="4" customWidth="1"/>
    <col min="7682" max="7682" width="7.28515625" style="4" customWidth="1"/>
    <col min="7683" max="7683" width="55.140625" style="4" customWidth="1"/>
    <col min="7684" max="7684" width="10.28515625" style="4" customWidth="1"/>
    <col min="7685" max="7685" width="8.7109375" style="4" customWidth="1"/>
    <col min="7686" max="7686" width="8.5703125" style="4" customWidth="1"/>
    <col min="7687" max="7687" width="11.140625" style="4" customWidth="1"/>
    <col min="7688" max="7936" width="9.140625" style="4"/>
    <col min="7937" max="7937" width="3.85546875" style="4" customWidth="1"/>
    <col min="7938" max="7938" width="7.28515625" style="4" customWidth="1"/>
    <col min="7939" max="7939" width="55.140625" style="4" customWidth="1"/>
    <col min="7940" max="7940" width="10.28515625" style="4" customWidth="1"/>
    <col min="7941" max="7941" width="8.7109375" style="4" customWidth="1"/>
    <col min="7942" max="7942" width="8.5703125" style="4" customWidth="1"/>
    <col min="7943" max="7943" width="11.140625" style="4" customWidth="1"/>
    <col min="7944" max="8192" width="9.140625" style="4"/>
    <col min="8193" max="8193" width="3.85546875" style="4" customWidth="1"/>
    <col min="8194" max="8194" width="7.28515625" style="4" customWidth="1"/>
    <col min="8195" max="8195" width="55.140625" style="4" customWidth="1"/>
    <col min="8196" max="8196" width="10.28515625" style="4" customWidth="1"/>
    <col min="8197" max="8197" width="8.7109375" style="4" customWidth="1"/>
    <col min="8198" max="8198" width="8.5703125" style="4" customWidth="1"/>
    <col min="8199" max="8199" width="11.140625" style="4" customWidth="1"/>
    <col min="8200" max="8448" width="9.140625" style="4"/>
    <col min="8449" max="8449" width="3.85546875" style="4" customWidth="1"/>
    <col min="8450" max="8450" width="7.28515625" style="4" customWidth="1"/>
    <col min="8451" max="8451" width="55.140625" style="4" customWidth="1"/>
    <col min="8452" max="8452" width="10.28515625" style="4" customWidth="1"/>
    <col min="8453" max="8453" width="8.7109375" style="4" customWidth="1"/>
    <col min="8454" max="8454" width="8.5703125" style="4" customWidth="1"/>
    <col min="8455" max="8455" width="11.140625" style="4" customWidth="1"/>
    <col min="8456" max="8704" width="9.140625" style="4"/>
    <col min="8705" max="8705" width="3.85546875" style="4" customWidth="1"/>
    <col min="8706" max="8706" width="7.28515625" style="4" customWidth="1"/>
    <col min="8707" max="8707" width="55.140625" style="4" customWidth="1"/>
    <col min="8708" max="8708" width="10.28515625" style="4" customWidth="1"/>
    <col min="8709" max="8709" width="8.7109375" style="4" customWidth="1"/>
    <col min="8710" max="8710" width="8.5703125" style="4" customWidth="1"/>
    <col min="8711" max="8711" width="11.140625" style="4" customWidth="1"/>
    <col min="8712" max="8960" width="9.140625" style="4"/>
    <col min="8961" max="8961" width="3.85546875" style="4" customWidth="1"/>
    <col min="8962" max="8962" width="7.28515625" style="4" customWidth="1"/>
    <col min="8963" max="8963" width="55.140625" style="4" customWidth="1"/>
    <col min="8964" max="8964" width="10.28515625" style="4" customWidth="1"/>
    <col min="8965" max="8965" width="8.7109375" style="4" customWidth="1"/>
    <col min="8966" max="8966" width="8.5703125" style="4" customWidth="1"/>
    <col min="8967" max="8967" width="11.140625" style="4" customWidth="1"/>
    <col min="8968" max="9216" width="9.140625" style="4"/>
    <col min="9217" max="9217" width="3.85546875" style="4" customWidth="1"/>
    <col min="9218" max="9218" width="7.28515625" style="4" customWidth="1"/>
    <col min="9219" max="9219" width="55.140625" style="4" customWidth="1"/>
    <col min="9220" max="9220" width="10.28515625" style="4" customWidth="1"/>
    <col min="9221" max="9221" width="8.7109375" style="4" customWidth="1"/>
    <col min="9222" max="9222" width="8.5703125" style="4" customWidth="1"/>
    <col min="9223" max="9223" width="11.140625" style="4" customWidth="1"/>
    <col min="9224" max="9472" width="9.140625" style="4"/>
    <col min="9473" max="9473" width="3.85546875" style="4" customWidth="1"/>
    <col min="9474" max="9474" width="7.28515625" style="4" customWidth="1"/>
    <col min="9475" max="9475" width="55.140625" style="4" customWidth="1"/>
    <col min="9476" max="9476" width="10.28515625" style="4" customWidth="1"/>
    <col min="9477" max="9477" width="8.7109375" style="4" customWidth="1"/>
    <col min="9478" max="9478" width="8.5703125" style="4" customWidth="1"/>
    <col min="9479" max="9479" width="11.140625" style="4" customWidth="1"/>
    <col min="9480" max="9728" width="9.140625" style="4"/>
    <col min="9729" max="9729" width="3.85546875" style="4" customWidth="1"/>
    <col min="9730" max="9730" width="7.28515625" style="4" customWidth="1"/>
    <col min="9731" max="9731" width="55.140625" style="4" customWidth="1"/>
    <col min="9732" max="9732" width="10.28515625" style="4" customWidth="1"/>
    <col min="9733" max="9733" width="8.7109375" style="4" customWidth="1"/>
    <col min="9734" max="9734" width="8.5703125" style="4" customWidth="1"/>
    <col min="9735" max="9735" width="11.140625" style="4" customWidth="1"/>
    <col min="9736" max="9984" width="9.140625" style="4"/>
    <col min="9985" max="9985" width="3.85546875" style="4" customWidth="1"/>
    <col min="9986" max="9986" width="7.28515625" style="4" customWidth="1"/>
    <col min="9987" max="9987" width="55.140625" style="4" customWidth="1"/>
    <col min="9988" max="9988" width="10.28515625" style="4" customWidth="1"/>
    <col min="9989" max="9989" width="8.7109375" style="4" customWidth="1"/>
    <col min="9990" max="9990" width="8.5703125" style="4" customWidth="1"/>
    <col min="9991" max="9991" width="11.140625" style="4" customWidth="1"/>
    <col min="9992" max="10240" width="9.140625" style="4"/>
    <col min="10241" max="10241" width="3.85546875" style="4" customWidth="1"/>
    <col min="10242" max="10242" width="7.28515625" style="4" customWidth="1"/>
    <col min="10243" max="10243" width="55.140625" style="4" customWidth="1"/>
    <col min="10244" max="10244" width="10.28515625" style="4" customWidth="1"/>
    <col min="10245" max="10245" width="8.7109375" style="4" customWidth="1"/>
    <col min="10246" max="10246" width="8.5703125" style="4" customWidth="1"/>
    <col min="10247" max="10247" width="11.140625" style="4" customWidth="1"/>
    <col min="10248" max="10496" width="9.140625" style="4"/>
    <col min="10497" max="10497" width="3.85546875" style="4" customWidth="1"/>
    <col min="10498" max="10498" width="7.28515625" style="4" customWidth="1"/>
    <col min="10499" max="10499" width="55.140625" style="4" customWidth="1"/>
    <col min="10500" max="10500" width="10.28515625" style="4" customWidth="1"/>
    <col min="10501" max="10501" width="8.7109375" style="4" customWidth="1"/>
    <col min="10502" max="10502" width="8.5703125" style="4" customWidth="1"/>
    <col min="10503" max="10503" width="11.140625" style="4" customWidth="1"/>
    <col min="10504" max="10752" width="9.140625" style="4"/>
    <col min="10753" max="10753" width="3.85546875" style="4" customWidth="1"/>
    <col min="10754" max="10754" width="7.28515625" style="4" customWidth="1"/>
    <col min="10755" max="10755" width="55.140625" style="4" customWidth="1"/>
    <col min="10756" max="10756" width="10.28515625" style="4" customWidth="1"/>
    <col min="10757" max="10757" width="8.7109375" style="4" customWidth="1"/>
    <col min="10758" max="10758" width="8.5703125" style="4" customWidth="1"/>
    <col min="10759" max="10759" width="11.140625" style="4" customWidth="1"/>
    <col min="10760" max="11008" width="9.140625" style="4"/>
    <col min="11009" max="11009" width="3.85546875" style="4" customWidth="1"/>
    <col min="11010" max="11010" width="7.28515625" style="4" customWidth="1"/>
    <col min="11011" max="11011" width="55.140625" style="4" customWidth="1"/>
    <col min="11012" max="11012" width="10.28515625" style="4" customWidth="1"/>
    <col min="11013" max="11013" width="8.7109375" style="4" customWidth="1"/>
    <col min="11014" max="11014" width="8.5703125" style="4" customWidth="1"/>
    <col min="11015" max="11015" width="11.140625" style="4" customWidth="1"/>
    <col min="11016" max="11264" width="9.140625" style="4"/>
    <col min="11265" max="11265" width="3.85546875" style="4" customWidth="1"/>
    <col min="11266" max="11266" width="7.28515625" style="4" customWidth="1"/>
    <col min="11267" max="11267" width="55.140625" style="4" customWidth="1"/>
    <col min="11268" max="11268" width="10.28515625" style="4" customWidth="1"/>
    <col min="11269" max="11269" width="8.7109375" style="4" customWidth="1"/>
    <col min="11270" max="11270" width="8.5703125" style="4" customWidth="1"/>
    <col min="11271" max="11271" width="11.140625" style="4" customWidth="1"/>
    <col min="11272" max="11520" width="9.140625" style="4"/>
    <col min="11521" max="11521" width="3.85546875" style="4" customWidth="1"/>
    <col min="11522" max="11522" width="7.28515625" style="4" customWidth="1"/>
    <col min="11523" max="11523" width="55.140625" style="4" customWidth="1"/>
    <col min="11524" max="11524" width="10.28515625" style="4" customWidth="1"/>
    <col min="11525" max="11525" width="8.7109375" style="4" customWidth="1"/>
    <col min="11526" max="11526" width="8.5703125" style="4" customWidth="1"/>
    <col min="11527" max="11527" width="11.140625" style="4" customWidth="1"/>
    <col min="11528" max="11776" width="9.140625" style="4"/>
    <col min="11777" max="11777" width="3.85546875" style="4" customWidth="1"/>
    <col min="11778" max="11778" width="7.28515625" style="4" customWidth="1"/>
    <col min="11779" max="11779" width="55.140625" style="4" customWidth="1"/>
    <col min="11780" max="11780" width="10.28515625" style="4" customWidth="1"/>
    <col min="11781" max="11781" width="8.7109375" style="4" customWidth="1"/>
    <col min="11782" max="11782" width="8.5703125" style="4" customWidth="1"/>
    <col min="11783" max="11783" width="11.140625" style="4" customWidth="1"/>
    <col min="11784" max="12032" width="9.140625" style="4"/>
    <col min="12033" max="12033" width="3.85546875" style="4" customWidth="1"/>
    <col min="12034" max="12034" width="7.28515625" style="4" customWidth="1"/>
    <col min="12035" max="12035" width="55.140625" style="4" customWidth="1"/>
    <col min="12036" max="12036" width="10.28515625" style="4" customWidth="1"/>
    <col min="12037" max="12037" width="8.7109375" style="4" customWidth="1"/>
    <col min="12038" max="12038" width="8.5703125" style="4" customWidth="1"/>
    <col min="12039" max="12039" width="11.140625" style="4" customWidth="1"/>
    <col min="12040" max="12288" width="9.140625" style="4"/>
    <col min="12289" max="12289" width="3.85546875" style="4" customWidth="1"/>
    <col min="12290" max="12290" width="7.28515625" style="4" customWidth="1"/>
    <col min="12291" max="12291" width="55.140625" style="4" customWidth="1"/>
    <col min="12292" max="12292" width="10.28515625" style="4" customWidth="1"/>
    <col min="12293" max="12293" width="8.7109375" style="4" customWidth="1"/>
    <col min="12294" max="12294" width="8.5703125" style="4" customWidth="1"/>
    <col min="12295" max="12295" width="11.140625" style="4" customWidth="1"/>
    <col min="12296" max="12544" width="9.140625" style="4"/>
    <col min="12545" max="12545" width="3.85546875" style="4" customWidth="1"/>
    <col min="12546" max="12546" width="7.28515625" style="4" customWidth="1"/>
    <col min="12547" max="12547" width="55.140625" style="4" customWidth="1"/>
    <col min="12548" max="12548" width="10.28515625" style="4" customWidth="1"/>
    <col min="12549" max="12549" width="8.7109375" style="4" customWidth="1"/>
    <col min="12550" max="12550" width="8.5703125" style="4" customWidth="1"/>
    <col min="12551" max="12551" width="11.140625" style="4" customWidth="1"/>
    <col min="12552" max="12800" width="9.140625" style="4"/>
    <col min="12801" max="12801" width="3.85546875" style="4" customWidth="1"/>
    <col min="12802" max="12802" width="7.28515625" style="4" customWidth="1"/>
    <col min="12803" max="12803" width="55.140625" style="4" customWidth="1"/>
    <col min="12804" max="12804" width="10.28515625" style="4" customWidth="1"/>
    <col min="12805" max="12805" width="8.7109375" style="4" customWidth="1"/>
    <col min="12806" max="12806" width="8.5703125" style="4" customWidth="1"/>
    <col min="12807" max="12807" width="11.140625" style="4" customWidth="1"/>
    <col min="12808" max="13056" width="9.140625" style="4"/>
    <col min="13057" max="13057" width="3.85546875" style="4" customWidth="1"/>
    <col min="13058" max="13058" width="7.28515625" style="4" customWidth="1"/>
    <col min="13059" max="13059" width="55.140625" style="4" customWidth="1"/>
    <col min="13060" max="13060" width="10.28515625" style="4" customWidth="1"/>
    <col min="13061" max="13061" width="8.7109375" style="4" customWidth="1"/>
    <col min="13062" max="13062" width="8.5703125" style="4" customWidth="1"/>
    <col min="13063" max="13063" width="11.140625" style="4" customWidth="1"/>
    <col min="13064" max="13312" width="9.140625" style="4"/>
    <col min="13313" max="13313" width="3.85546875" style="4" customWidth="1"/>
    <col min="13314" max="13314" width="7.28515625" style="4" customWidth="1"/>
    <col min="13315" max="13315" width="55.140625" style="4" customWidth="1"/>
    <col min="13316" max="13316" width="10.28515625" style="4" customWidth="1"/>
    <col min="13317" max="13317" width="8.7109375" style="4" customWidth="1"/>
    <col min="13318" max="13318" width="8.5703125" style="4" customWidth="1"/>
    <col min="13319" max="13319" width="11.140625" style="4" customWidth="1"/>
    <col min="13320" max="13568" width="9.140625" style="4"/>
    <col min="13569" max="13569" width="3.85546875" style="4" customWidth="1"/>
    <col min="13570" max="13570" width="7.28515625" style="4" customWidth="1"/>
    <col min="13571" max="13571" width="55.140625" style="4" customWidth="1"/>
    <col min="13572" max="13572" width="10.28515625" style="4" customWidth="1"/>
    <col min="13573" max="13573" width="8.7109375" style="4" customWidth="1"/>
    <col min="13574" max="13574" width="8.5703125" style="4" customWidth="1"/>
    <col min="13575" max="13575" width="11.140625" style="4" customWidth="1"/>
    <col min="13576" max="13824" width="9.140625" style="4"/>
    <col min="13825" max="13825" width="3.85546875" style="4" customWidth="1"/>
    <col min="13826" max="13826" width="7.28515625" style="4" customWidth="1"/>
    <col min="13827" max="13827" width="55.140625" style="4" customWidth="1"/>
    <col min="13828" max="13828" width="10.28515625" style="4" customWidth="1"/>
    <col min="13829" max="13829" width="8.7109375" style="4" customWidth="1"/>
    <col min="13830" max="13830" width="8.5703125" style="4" customWidth="1"/>
    <col min="13831" max="13831" width="11.140625" style="4" customWidth="1"/>
    <col min="13832" max="14080" width="9.140625" style="4"/>
    <col min="14081" max="14081" width="3.85546875" style="4" customWidth="1"/>
    <col min="14082" max="14082" width="7.28515625" style="4" customWidth="1"/>
    <col min="14083" max="14083" width="55.140625" style="4" customWidth="1"/>
    <col min="14084" max="14084" width="10.28515625" style="4" customWidth="1"/>
    <col min="14085" max="14085" width="8.7109375" style="4" customWidth="1"/>
    <col min="14086" max="14086" width="8.5703125" style="4" customWidth="1"/>
    <col min="14087" max="14087" width="11.140625" style="4" customWidth="1"/>
    <col min="14088" max="14336" width="9.140625" style="4"/>
    <col min="14337" max="14337" width="3.85546875" style="4" customWidth="1"/>
    <col min="14338" max="14338" width="7.28515625" style="4" customWidth="1"/>
    <col min="14339" max="14339" width="55.140625" style="4" customWidth="1"/>
    <col min="14340" max="14340" width="10.28515625" style="4" customWidth="1"/>
    <col min="14341" max="14341" width="8.7109375" style="4" customWidth="1"/>
    <col min="14342" max="14342" width="8.5703125" style="4" customWidth="1"/>
    <col min="14343" max="14343" width="11.140625" style="4" customWidth="1"/>
    <col min="14344" max="14592" width="9.140625" style="4"/>
    <col min="14593" max="14593" width="3.85546875" style="4" customWidth="1"/>
    <col min="14594" max="14594" width="7.28515625" style="4" customWidth="1"/>
    <col min="14595" max="14595" width="55.140625" style="4" customWidth="1"/>
    <col min="14596" max="14596" width="10.28515625" style="4" customWidth="1"/>
    <col min="14597" max="14597" width="8.7109375" style="4" customWidth="1"/>
    <col min="14598" max="14598" width="8.5703125" style="4" customWidth="1"/>
    <col min="14599" max="14599" width="11.140625" style="4" customWidth="1"/>
    <col min="14600" max="14848" width="9.140625" style="4"/>
    <col min="14849" max="14849" width="3.85546875" style="4" customWidth="1"/>
    <col min="14850" max="14850" width="7.28515625" style="4" customWidth="1"/>
    <col min="14851" max="14851" width="55.140625" style="4" customWidth="1"/>
    <col min="14852" max="14852" width="10.28515625" style="4" customWidth="1"/>
    <col min="14853" max="14853" width="8.7109375" style="4" customWidth="1"/>
    <col min="14854" max="14854" width="8.5703125" style="4" customWidth="1"/>
    <col min="14855" max="14855" width="11.140625" style="4" customWidth="1"/>
    <col min="14856" max="15104" width="9.140625" style="4"/>
    <col min="15105" max="15105" width="3.85546875" style="4" customWidth="1"/>
    <col min="15106" max="15106" width="7.28515625" style="4" customWidth="1"/>
    <col min="15107" max="15107" width="55.140625" style="4" customWidth="1"/>
    <col min="15108" max="15108" width="10.28515625" style="4" customWidth="1"/>
    <col min="15109" max="15109" width="8.7109375" style="4" customWidth="1"/>
    <col min="15110" max="15110" width="8.5703125" style="4" customWidth="1"/>
    <col min="15111" max="15111" width="11.140625" style="4" customWidth="1"/>
    <col min="15112" max="15360" width="9.140625" style="4"/>
    <col min="15361" max="15361" width="3.85546875" style="4" customWidth="1"/>
    <col min="15362" max="15362" width="7.28515625" style="4" customWidth="1"/>
    <col min="15363" max="15363" width="55.140625" style="4" customWidth="1"/>
    <col min="15364" max="15364" width="10.28515625" style="4" customWidth="1"/>
    <col min="15365" max="15365" width="8.7109375" style="4" customWidth="1"/>
    <col min="15366" max="15366" width="8.5703125" style="4" customWidth="1"/>
    <col min="15367" max="15367" width="11.140625" style="4" customWidth="1"/>
    <col min="15368" max="15616" width="9.140625" style="4"/>
    <col min="15617" max="15617" width="3.85546875" style="4" customWidth="1"/>
    <col min="15618" max="15618" width="7.28515625" style="4" customWidth="1"/>
    <col min="15619" max="15619" width="55.140625" style="4" customWidth="1"/>
    <col min="15620" max="15620" width="10.28515625" style="4" customWidth="1"/>
    <col min="15621" max="15621" width="8.7109375" style="4" customWidth="1"/>
    <col min="15622" max="15622" width="8.5703125" style="4" customWidth="1"/>
    <col min="15623" max="15623" width="11.140625" style="4" customWidth="1"/>
    <col min="15624" max="15872" width="9.140625" style="4"/>
    <col min="15873" max="15873" width="3.85546875" style="4" customWidth="1"/>
    <col min="15874" max="15874" width="7.28515625" style="4" customWidth="1"/>
    <col min="15875" max="15875" width="55.140625" style="4" customWidth="1"/>
    <col min="15876" max="15876" width="10.28515625" style="4" customWidth="1"/>
    <col min="15877" max="15877" width="8.7109375" style="4" customWidth="1"/>
    <col min="15878" max="15878" width="8.5703125" style="4" customWidth="1"/>
    <col min="15879" max="15879" width="11.140625" style="4" customWidth="1"/>
    <col min="15880" max="16128" width="9.140625" style="4"/>
    <col min="16129" max="16129" width="3.85546875" style="4" customWidth="1"/>
    <col min="16130" max="16130" width="7.28515625" style="4" customWidth="1"/>
    <col min="16131" max="16131" width="55.140625" style="4" customWidth="1"/>
    <col min="16132" max="16132" width="10.28515625" style="4" customWidth="1"/>
    <col min="16133" max="16133" width="8.7109375" style="4" customWidth="1"/>
    <col min="16134" max="16134" width="8.5703125" style="4" customWidth="1"/>
    <col min="16135" max="16135" width="11.140625" style="4" customWidth="1"/>
    <col min="16136" max="16384" width="9.140625" style="4"/>
  </cols>
  <sheetData>
    <row r="1" spans="1:9" ht="15.75" x14ac:dyDescent="0.25">
      <c r="C1" s="264" t="s">
        <v>565</v>
      </c>
      <c r="D1" s="264"/>
      <c r="E1" s="264"/>
      <c r="F1" s="264"/>
      <c r="G1" s="264"/>
      <c r="H1" s="264"/>
    </row>
    <row r="2" spans="1:9" ht="15.75" x14ac:dyDescent="0.25">
      <c r="C2" s="264" t="s">
        <v>723</v>
      </c>
      <c r="D2" s="264"/>
      <c r="E2" s="264"/>
      <c r="F2" s="264"/>
      <c r="G2" s="264"/>
      <c r="H2" s="264"/>
    </row>
    <row r="3" spans="1:9" ht="15.75" x14ac:dyDescent="0.25">
      <c r="C3" s="153"/>
      <c r="D3" s="153"/>
      <c r="E3" s="263" t="s">
        <v>728</v>
      </c>
      <c r="F3" s="263"/>
      <c r="G3" s="263"/>
      <c r="H3" s="263"/>
    </row>
    <row r="4" spans="1:9" ht="12" customHeight="1" x14ac:dyDescent="0.2">
      <c r="C4" s="2"/>
      <c r="D4" s="2"/>
      <c r="E4" s="2"/>
      <c r="F4" s="2"/>
      <c r="G4" s="2"/>
    </row>
    <row r="5" spans="1:9" ht="25.5" customHeight="1" x14ac:dyDescent="0.2">
      <c r="A5" s="265" t="s">
        <v>567</v>
      </c>
      <c r="B5" s="265"/>
      <c r="C5" s="265"/>
      <c r="D5" s="265"/>
      <c r="E5" s="265"/>
      <c r="F5" s="265"/>
      <c r="G5" s="265"/>
    </row>
    <row r="6" spans="1:9" ht="12.75" customHeight="1" x14ac:dyDescent="0.2">
      <c r="A6" s="8"/>
      <c r="B6" s="8"/>
      <c r="C6" s="8"/>
      <c r="D6" s="8"/>
      <c r="E6" s="8"/>
      <c r="F6" s="8"/>
      <c r="G6" s="8"/>
    </row>
    <row r="7" spans="1:9" x14ac:dyDescent="0.2">
      <c r="A7" s="8"/>
      <c r="B7" s="8"/>
      <c r="C7" s="8"/>
      <c r="D7" s="8"/>
      <c r="E7" s="8"/>
      <c r="F7" s="8"/>
      <c r="G7" s="274" t="s">
        <v>3</v>
      </c>
      <c r="H7" s="274"/>
    </row>
    <row r="8" spans="1:9" ht="51.75" customHeight="1" x14ac:dyDescent="0.2">
      <c r="A8" s="266" t="s">
        <v>4</v>
      </c>
      <c r="B8" s="268" t="s">
        <v>5</v>
      </c>
      <c r="C8" s="266" t="s">
        <v>6</v>
      </c>
      <c r="D8" s="268" t="s">
        <v>7</v>
      </c>
      <c r="E8" s="270" t="s">
        <v>8</v>
      </c>
      <c r="F8" s="271"/>
      <c r="G8" s="270" t="s">
        <v>9</v>
      </c>
      <c r="H8" s="271"/>
    </row>
    <row r="9" spans="1:9" ht="18.75" customHeight="1" x14ac:dyDescent="0.2">
      <c r="A9" s="267"/>
      <c r="B9" s="269"/>
      <c r="C9" s="267"/>
      <c r="D9" s="269"/>
      <c r="E9" s="10" t="s">
        <v>10</v>
      </c>
      <c r="F9" s="10" t="s">
        <v>11</v>
      </c>
      <c r="G9" s="10" t="s">
        <v>10</v>
      </c>
      <c r="H9" s="11" t="s">
        <v>11</v>
      </c>
    </row>
    <row r="10" spans="1:9" s="120" customFormat="1" ht="12" customHeight="1" x14ac:dyDescent="0.2">
      <c r="A10" s="11">
        <v>1</v>
      </c>
      <c r="B10" s="12" t="s">
        <v>12</v>
      </c>
      <c r="C10" s="10">
        <v>3</v>
      </c>
      <c r="D10" s="13">
        <v>4</v>
      </c>
      <c r="E10" s="10">
        <v>5</v>
      </c>
      <c r="F10" s="10">
        <v>6</v>
      </c>
      <c r="G10" s="10">
        <v>7</v>
      </c>
      <c r="H10" s="155">
        <v>8</v>
      </c>
    </row>
    <row r="11" spans="1:9" s="120" customFormat="1" ht="20.100000000000001" customHeight="1" x14ac:dyDescent="0.2">
      <c r="A11" s="14">
        <v>1</v>
      </c>
      <c r="B11" s="13" t="s">
        <v>92</v>
      </c>
      <c r="C11" s="15" t="s">
        <v>93</v>
      </c>
      <c r="D11" s="13"/>
      <c r="E11" s="53">
        <f>SUM(+E12+E14+E16)</f>
        <v>546</v>
      </c>
      <c r="F11" s="53">
        <f>SUM(+F12+F14+F16)</f>
        <v>545.79999999999995</v>
      </c>
      <c r="G11" s="53">
        <f>SUM(+G12+G14+G16)</f>
        <v>379.9</v>
      </c>
      <c r="H11" s="53">
        <f>SUM(+H12+H14+H16)</f>
        <v>379.8</v>
      </c>
      <c r="I11" s="156"/>
    </row>
    <row r="12" spans="1:9" s="120" customFormat="1" ht="24.75" customHeight="1" x14ac:dyDescent="0.25">
      <c r="A12" s="14">
        <v>2</v>
      </c>
      <c r="B12" s="25" t="s">
        <v>568</v>
      </c>
      <c r="C12" s="157" t="s">
        <v>569</v>
      </c>
      <c r="D12" s="25" t="s">
        <v>490</v>
      </c>
      <c r="E12" s="158">
        <f>+E13</f>
        <v>452.5</v>
      </c>
      <c r="F12" s="158">
        <f>+F13</f>
        <v>452.5</v>
      </c>
      <c r="G12" s="158">
        <f>+G13</f>
        <v>377.5</v>
      </c>
      <c r="H12" s="159">
        <f>+H13</f>
        <v>377.5</v>
      </c>
      <c r="I12" s="160"/>
    </row>
    <row r="13" spans="1:9" s="120" customFormat="1" ht="12.6" customHeight="1" x14ac:dyDescent="0.2">
      <c r="A13" s="14">
        <v>3</v>
      </c>
      <c r="B13" s="25"/>
      <c r="C13" s="84" t="s">
        <v>489</v>
      </c>
      <c r="D13" s="161"/>
      <c r="E13" s="162">
        <v>452.5</v>
      </c>
      <c r="F13" s="162">
        <v>452.5</v>
      </c>
      <c r="G13" s="162">
        <f>379.3-1.8</f>
        <v>377.5</v>
      </c>
      <c r="H13" s="23">
        <v>377.5</v>
      </c>
      <c r="I13" s="163"/>
    </row>
    <row r="14" spans="1:9" s="120" customFormat="1" ht="12.6" customHeight="1" x14ac:dyDescent="0.2">
      <c r="A14" s="14">
        <v>4</v>
      </c>
      <c r="B14" s="25" t="s">
        <v>570</v>
      </c>
      <c r="C14" s="157" t="s">
        <v>571</v>
      </c>
      <c r="D14" s="25" t="s">
        <v>490</v>
      </c>
      <c r="E14" s="158">
        <f>+E15</f>
        <v>91</v>
      </c>
      <c r="F14" s="158">
        <f>+F15</f>
        <v>91</v>
      </c>
      <c r="G14" s="158">
        <f>+G15</f>
        <v>0</v>
      </c>
      <c r="H14" s="159">
        <f>+H15</f>
        <v>0</v>
      </c>
      <c r="I14" s="163"/>
    </row>
    <row r="15" spans="1:9" s="120" customFormat="1" ht="12.6" customHeight="1" x14ac:dyDescent="0.2">
      <c r="A15" s="14">
        <v>5</v>
      </c>
      <c r="B15" s="25"/>
      <c r="C15" s="48" t="s">
        <v>489</v>
      </c>
      <c r="D15" s="13"/>
      <c r="E15" s="133">
        <v>91</v>
      </c>
      <c r="F15" s="133">
        <v>91</v>
      </c>
      <c r="G15" s="133"/>
      <c r="H15" s="23"/>
      <c r="I15" s="163"/>
    </row>
    <row r="16" spans="1:9" s="120" customFormat="1" ht="12.6" customHeight="1" x14ac:dyDescent="0.2">
      <c r="A16" s="14">
        <v>6</v>
      </c>
      <c r="B16" s="25" t="s">
        <v>572</v>
      </c>
      <c r="C16" s="157" t="s">
        <v>573</v>
      </c>
      <c r="D16" s="25" t="s">
        <v>136</v>
      </c>
      <c r="E16" s="158">
        <f>+E17</f>
        <v>2.5</v>
      </c>
      <c r="F16" s="158">
        <f>+F17</f>
        <v>2.2999999999999998</v>
      </c>
      <c r="G16" s="158">
        <f>+G17</f>
        <v>2.4</v>
      </c>
      <c r="H16" s="159">
        <f>+H17</f>
        <v>2.2999999999999998</v>
      </c>
      <c r="I16" s="163"/>
    </row>
    <row r="17" spans="1:12" s="120" customFormat="1" ht="12.6" customHeight="1" x14ac:dyDescent="0.2">
      <c r="A17" s="14">
        <v>7</v>
      </c>
      <c r="B17" s="13"/>
      <c r="C17" s="122" t="s">
        <v>56</v>
      </c>
      <c r="D17" s="13"/>
      <c r="E17" s="133">
        <v>2.5</v>
      </c>
      <c r="F17" s="133">
        <v>2.2999999999999998</v>
      </c>
      <c r="G17" s="133">
        <v>2.4</v>
      </c>
      <c r="H17" s="23">
        <v>2.2999999999999998</v>
      </c>
      <c r="I17" s="163"/>
    </row>
    <row r="18" spans="1:12" ht="18" customHeight="1" x14ac:dyDescent="0.2">
      <c r="A18" s="14">
        <v>8</v>
      </c>
      <c r="B18" s="12" t="s">
        <v>144</v>
      </c>
      <c r="C18" s="52" t="s">
        <v>145</v>
      </c>
      <c r="D18" s="18"/>
      <c r="E18" s="53">
        <f>SUM(E19+E26+E28+E30+E43+E45)</f>
        <v>3464.4000000000005</v>
      </c>
      <c r="F18" s="53">
        <f>SUM(F19+F26+F28+F30+F43+F45)</f>
        <v>3378.7000000000003</v>
      </c>
      <c r="G18" s="53">
        <f>SUM(G19+G26+G28+G30+G43+G45)</f>
        <v>1576.9</v>
      </c>
      <c r="H18" s="53">
        <f>SUM(H19+H26+H28+H30+H43+H45)</f>
        <v>1533.2</v>
      </c>
      <c r="I18" s="97"/>
    </row>
    <row r="19" spans="1:12" ht="24.95" customHeight="1" x14ac:dyDescent="0.2">
      <c r="A19" s="14">
        <v>9</v>
      </c>
      <c r="B19" s="18" t="s">
        <v>574</v>
      </c>
      <c r="C19" s="157" t="s">
        <v>575</v>
      </c>
      <c r="D19" s="49" t="s">
        <v>178</v>
      </c>
      <c r="E19" s="164">
        <f>SUM(E20:E24)</f>
        <v>1285.3000000000002</v>
      </c>
      <c r="F19" s="164">
        <f>SUM(F20:F24)</f>
        <v>1285</v>
      </c>
      <c r="G19" s="164">
        <f>SUM(G20:G24)</f>
        <v>701.7</v>
      </c>
      <c r="H19" s="164">
        <f>SUM(H20:H24)</f>
        <v>701.7</v>
      </c>
      <c r="I19" s="97"/>
      <c r="J19" s="102"/>
      <c r="L19" s="54"/>
    </row>
    <row r="20" spans="1:12" ht="12.6" customHeight="1" x14ac:dyDescent="0.2">
      <c r="A20" s="14">
        <v>10</v>
      </c>
      <c r="B20" s="28"/>
      <c r="C20" s="66" t="s">
        <v>146</v>
      </c>
      <c r="D20" s="165"/>
      <c r="E20" s="29">
        <f>254.3+60.6+60+43-37</f>
        <v>380.90000000000003</v>
      </c>
      <c r="F20" s="29">
        <v>380.7</v>
      </c>
      <c r="G20" s="29">
        <f>247.5+57.7+59+42.2-36</f>
        <v>370.4</v>
      </c>
      <c r="H20" s="34">
        <v>370.4</v>
      </c>
      <c r="I20" s="97"/>
    </row>
    <row r="21" spans="1:12" ht="12.6" customHeight="1" x14ac:dyDescent="0.2">
      <c r="A21" s="14">
        <v>11</v>
      </c>
      <c r="B21" s="28"/>
      <c r="C21" s="70" t="s">
        <v>150</v>
      </c>
      <c r="D21" s="165"/>
      <c r="E21" s="29">
        <f>151.9+39.8</f>
        <v>191.7</v>
      </c>
      <c r="F21" s="29">
        <v>191.7</v>
      </c>
      <c r="G21" s="29">
        <f>120.3+8</f>
        <v>128.30000000000001</v>
      </c>
      <c r="H21" s="34">
        <v>128.30000000000001</v>
      </c>
      <c r="I21" s="97"/>
    </row>
    <row r="22" spans="1:12" ht="12.6" customHeight="1" x14ac:dyDescent="0.2">
      <c r="A22" s="14">
        <v>12</v>
      </c>
      <c r="B22" s="28"/>
      <c r="C22" s="70" t="s">
        <v>52</v>
      </c>
      <c r="D22" s="165"/>
      <c r="E22" s="29">
        <f>102.5+4+2.5+39.6</f>
        <v>148.6</v>
      </c>
      <c r="F22" s="29">
        <v>148.6</v>
      </c>
      <c r="G22" s="29">
        <f>78+8+5</f>
        <v>91</v>
      </c>
      <c r="H22" s="34">
        <v>91</v>
      </c>
      <c r="I22" s="97"/>
    </row>
    <row r="23" spans="1:12" ht="12.6" customHeight="1" x14ac:dyDescent="0.2">
      <c r="A23" s="14">
        <v>13</v>
      </c>
      <c r="B23" s="28"/>
      <c r="C23" s="70" t="s">
        <v>53</v>
      </c>
      <c r="D23" s="165"/>
      <c r="E23" s="29">
        <f>102.5+4+2.5+39.6</f>
        <v>148.6</v>
      </c>
      <c r="F23" s="29">
        <v>148.5</v>
      </c>
      <c r="G23" s="29">
        <f>93.4+18.6</f>
        <v>112</v>
      </c>
      <c r="H23" s="34">
        <v>112</v>
      </c>
      <c r="I23" s="97"/>
    </row>
    <row r="24" spans="1:12" ht="12.6" customHeight="1" x14ac:dyDescent="0.2">
      <c r="A24" s="242">
        <v>14</v>
      </c>
      <c r="B24" s="275"/>
      <c r="C24" s="166" t="s">
        <v>56</v>
      </c>
      <c r="D24" s="165"/>
      <c r="E24" s="29">
        <f>271.5+40+30+74</f>
        <v>415.5</v>
      </c>
      <c r="F24" s="29">
        <v>415.5</v>
      </c>
      <c r="G24" s="29"/>
      <c r="H24" s="34"/>
      <c r="I24" s="97"/>
    </row>
    <row r="25" spans="1:12" ht="25.5" x14ac:dyDescent="0.2">
      <c r="A25" s="243"/>
      <c r="B25" s="276"/>
      <c r="C25" s="66" t="s">
        <v>576</v>
      </c>
      <c r="D25" s="165"/>
      <c r="E25" s="29">
        <v>35</v>
      </c>
      <c r="F25" s="29">
        <v>35</v>
      </c>
      <c r="G25" s="29"/>
      <c r="H25" s="34"/>
      <c r="I25" s="97"/>
    </row>
    <row r="26" spans="1:12" ht="24.95" customHeight="1" x14ac:dyDescent="0.2">
      <c r="A26" s="14">
        <v>15</v>
      </c>
      <c r="B26" s="18" t="s">
        <v>577</v>
      </c>
      <c r="C26" s="157" t="s">
        <v>578</v>
      </c>
      <c r="D26" s="18" t="s">
        <v>154</v>
      </c>
      <c r="E26" s="164">
        <f>SUM(E27:E27)</f>
        <v>828.8</v>
      </c>
      <c r="F26" s="164">
        <f>SUM(F27:F27)</f>
        <v>828.8</v>
      </c>
      <c r="G26" s="164">
        <f>SUM(G27:G27)</f>
        <v>797</v>
      </c>
      <c r="H26" s="164">
        <f>SUM(H27:H27)</f>
        <v>797</v>
      </c>
      <c r="I26" s="97"/>
    </row>
    <row r="27" spans="1:12" ht="12.6" customHeight="1" x14ac:dyDescent="0.2">
      <c r="A27" s="14">
        <v>16</v>
      </c>
      <c r="B27" s="18"/>
      <c r="C27" s="73" t="s">
        <v>153</v>
      </c>
      <c r="D27" s="18"/>
      <c r="E27" s="20">
        <v>828.8</v>
      </c>
      <c r="F27" s="20">
        <v>828.8</v>
      </c>
      <c r="G27" s="20">
        <v>797</v>
      </c>
      <c r="H27" s="23">
        <v>797</v>
      </c>
      <c r="I27" s="97"/>
    </row>
    <row r="28" spans="1:12" ht="25.5" x14ac:dyDescent="0.2">
      <c r="A28" s="14">
        <v>17</v>
      </c>
      <c r="B28" s="18" t="s">
        <v>579</v>
      </c>
      <c r="C28" s="157" t="s">
        <v>580</v>
      </c>
      <c r="D28" s="18" t="s">
        <v>154</v>
      </c>
      <c r="E28" s="164">
        <f>SUM(E29:E29)</f>
        <v>55</v>
      </c>
      <c r="F28" s="164">
        <f>SUM(F29:F29)</f>
        <v>11.9</v>
      </c>
      <c r="G28" s="164">
        <f>SUM(G29:G29)</f>
        <v>54.2</v>
      </c>
      <c r="H28" s="164">
        <f>SUM(H29:H29)</f>
        <v>11.7</v>
      </c>
      <c r="I28" s="97"/>
    </row>
    <row r="29" spans="1:12" x14ac:dyDescent="0.2">
      <c r="A29" s="14">
        <v>18</v>
      </c>
      <c r="B29" s="18"/>
      <c r="C29" s="73" t="s">
        <v>153</v>
      </c>
      <c r="D29" s="18"/>
      <c r="E29" s="20">
        <v>55</v>
      </c>
      <c r="F29" s="20">
        <v>11.9</v>
      </c>
      <c r="G29" s="20">
        <v>54.2</v>
      </c>
      <c r="H29" s="23">
        <v>11.7</v>
      </c>
      <c r="I29" s="97"/>
    </row>
    <row r="30" spans="1:12" ht="45.6" customHeight="1" x14ac:dyDescent="0.2">
      <c r="A30" s="14">
        <v>19</v>
      </c>
      <c r="B30" s="18" t="s">
        <v>581</v>
      </c>
      <c r="C30" s="157" t="s">
        <v>582</v>
      </c>
      <c r="D30" s="25" t="s">
        <v>583</v>
      </c>
      <c r="E30" s="164">
        <f>SUM(E31:E42)</f>
        <v>343.9</v>
      </c>
      <c r="F30" s="164">
        <f>SUM(F31:F42)</f>
        <v>336.60000000000008</v>
      </c>
      <c r="G30" s="164">
        <f>SUM(G31:G42)</f>
        <v>10</v>
      </c>
      <c r="H30" s="164">
        <f>SUM(H31:H42)</f>
        <v>8.9999999999999982</v>
      </c>
      <c r="I30" s="97"/>
    </row>
    <row r="31" spans="1:12" ht="12.6" customHeight="1" x14ac:dyDescent="0.2">
      <c r="A31" s="14">
        <v>20</v>
      </c>
      <c r="B31" s="18"/>
      <c r="C31" s="122" t="s">
        <v>56</v>
      </c>
      <c r="D31" s="25"/>
      <c r="E31" s="20">
        <f>6-1.5</f>
        <v>4.5</v>
      </c>
      <c r="F31" s="20">
        <v>4.0999999999999996</v>
      </c>
      <c r="G31" s="20"/>
      <c r="H31" s="23"/>
      <c r="I31" s="97"/>
    </row>
    <row r="32" spans="1:12" ht="12.6" customHeight="1" x14ac:dyDescent="0.2">
      <c r="A32" s="14">
        <v>21</v>
      </c>
      <c r="B32" s="28"/>
      <c r="C32" s="72" t="s">
        <v>199</v>
      </c>
      <c r="D32" s="28"/>
      <c r="E32" s="29">
        <f>197.5+20.7-10.2+20.8-35.4-8.6</f>
        <v>184.8</v>
      </c>
      <c r="F32" s="29">
        <v>186.8</v>
      </c>
      <c r="G32" s="29">
        <f>5.7-0.2</f>
        <v>5.5</v>
      </c>
      <c r="H32" s="34">
        <v>5.0999999999999996</v>
      </c>
      <c r="I32" s="97"/>
    </row>
    <row r="33" spans="1:9" ht="12.6" customHeight="1" x14ac:dyDescent="0.2">
      <c r="A33" s="14">
        <v>22</v>
      </c>
      <c r="B33" s="18"/>
      <c r="C33" s="24" t="s">
        <v>201</v>
      </c>
      <c r="D33" s="18"/>
      <c r="E33" s="20">
        <f>34.6+3-4.2</f>
        <v>33.4</v>
      </c>
      <c r="F33" s="29">
        <v>33</v>
      </c>
      <c r="G33" s="20">
        <v>1</v>
      </c>
      <c r="H33" s="23">
        <v>1</v>
      </c>
      <c r="I33" s="97"/>
    </row>
    <row r="34" spans="1:9" ht="12.6" customHeight="1" x14ac:dyDescent="0.2">
      <c r="A34" s="14">
        <v>23</v>
      </c>
      <c r="B34" s="18"/>
      <c r="C34" s="24" t="s">
        <v>203</v>
      </c>
      <c r="D34" s="18"/>
      <c r="E34" s="20">
        <f>8+1.6</f>
        <v>9.6</v>
      </c>
      <c r="F34" s="29">
        <v>6.9</v>
      </c>
      <c r="G34" s="20">
        <f>0.2+0.1</f>
        <v>0.30000000000000004</v>
      </c>
      <c r="H34" s="23">
        <v>0.2</v>
      </c>
      <c r="I34" s="97"/>
    </row>
    <row r="35" spans="1:9" ht="12.6" customHeight="1" x14ac:dyDescent="0.2">
      <c r="A35" s="14">
        <v>24</v>
      </c>
      <c r="B35" s="18"/>
      <c r="C35" s="24" t="s">
        <v>204</v>
      </c>
      <c r="D35" s="18"/>
      <c r="E35" s="20">
        <f>22.7-4</f>
        <v>18.7</v>
      </c>
      <c r="F35" s="29">
        <v>18.100000000000001</v>
      </c>
      <c r="G35" s="20">
        <f>0.7-0.2</f>
        <v>0.49999999999999994</v>
      </c>
      <c r="H35" s="23">
        <v>0.3</v>
      </c>
      <c r="I35" s="97"/>
    </row>
    <row r="36" spans="1:9" ht="12.6" customHeight="1" x14ac:dyDescent="0.2">
      <c r="A36" s="14">
        <v>25</v>
      </c>
      <c r="B36" s="18"/>
      <c r="C36" s="24" t="s">
        <v>205</v>
      </c>
      <c r="D36" s="18"/>
      <c r="E36" s="20">
        <f>19.2-5.3</f>
        <v>13.899999999999999</v>
      </c>
      <c r="F36" s="29">
        <v>15.4</v>
      </c>
      <c r="G36" s="20">
        <f>0.6-0.2</f>
        <v>0.39999999999999997</v>
      </c>
      <c r="H36" s="23">
        <v>0.4</v>
      </c>
      <c r="I36" s="97"/>
    </row>
    <row r="37" spans="1:9" ht="12.6" customHeight="1" x14ac:dyDescent="0.2">
      <c r="A37" s="14">
        <v>26</v>
      </c>
      <c r="B37" s="18"/>
      <c r="C37" s="24" t="s">
        <v>206</v>
      </c>
      <c r="D37" s="18"/>
      <c r="E37" s="20">
        <f>20.9+3.8</f>
        <v>24.7</v>
      </c>
      <c r="F37" s="29">
        <v>22</v>
      </c>
      <c r="G37" s="20">
        <f>0.6+0.1</f>
        <v>0.7</v>
      </c>
      <c r="H37" s="23">
        <v>0.6</v>
      </c>
      <c r="I37" s="97"/>
    </row>
    <row r="38" spans="1:9" ht="12.6" customHeight="1" x14ac:dyDescent="0.2">
      <c r="A38" s="14">
        <v>27</v>
      </c>
      <c r="B38" s="18"/>
      <c r="C38" s="73" t="s">
        <v>207</v>
      </c>
      <c r="D38" s="18"/>
      <c r="E38" s="20">
        <f>10.3-0.7</f>
        <v>9.6000000000000014</v>
      </c>
      <c r="F38" s="29">
        <v>8</v>
      </c>
      <c r="G38" s="20">
        <v>0.3</v>
      </c>
      <c r="H38" s="23">
        <v>0.2</v>
      </c>
      <c r="I38" s="97"/>
    </row>
    <row r="39" spans="1:9" ht="12.6" customHeight="1" x14ac:dyDescent="0.2">
      <c r="A39" s="14">
        <v>28</v>
      </c>
      <c r="B39" s="18"/>
      <c r="C39" s="24" t="s">
        <v>208</v>
      </c>
      <c r="D39" s="18"/>
      <c r="E39" s="20">
        <f>8.1-1.8</f>
        <v>6.3</v>
      </c>
      <c r="F39" s="29">
        <v>4.8</v>
      </c>
      <c r="G39" s="20">
        <v>0.2</v>
      </c>
      <c r="H39" s="23">
        <v>0.1</v>
      </c>
      <c r="I39" s="97"/>
    </row>
    <row r="40" spans="1:9" ht="12.6" customHeight="1" x14ac:dyDescent="0.2">
      <c r="A40" s="14">
        <v>29</v>
      </c>
      <c r="B40" s="18"/>
      <c r="C40" s="24" t="s">
        <v>209</v>
      </c>
      <c r="D40" s="18"/>
      <c r="E40" s="20">
        <f>18.4-5.1</f>
        <v>13.299999999999999</v>
      </c>
      <c r="F40" s="29">
        <v>11.8</v>
      </c>
      <c r="G40" s="20">
        <f>0.5-0.1</f>
        <v>0.4</v>
      </c>
      <c r="H40" s="23">
        <v>0.4</v>
      </c>
      <c r="I40" s="97"/>
    </row>
    <row r="41" spans="1:9" ht="12.6" customHeight="1" x14ac:dyDescent="0.2">
      <c r="A41" s="14">
        <v>30</v>
      </c>
      <c r="B41" s="18"/>
      <c r="C41" s="24" t="s">
        <v>210</v>
      </c>
      <c r="D41" s="18"/>
      <c r="E41" s="20">
        <f>10.3-2.9</f>
        <v>7.4</v>
      </c>
      <c r="F41" s="29">
        <v>6.6</v>
      </c>
      <c r="G41" s="20">
        <f>0.3-0.1</f>
        <v>0.19999999999999998</v>
      </c>
      <c r="H41" s="23">
        <v>0.2</v>
      </c>
      <c r="I41" s="97"/>
    </row>
    <row r="42" spans="1:9" ht="12.6" customHeight="1" x14ac:dyDescent="0.2">
      <c r="A42" s="14">
        <v>31</v>
      </c>
      <c r="B42" s="18"/>
      <c r="C42" s="24" t="s">
        <v>211</v>
      </c>
      <c r="D42" s="18"/>
      <c r="E42" s="20">
        <f>18.4-0.7</f>
        <v>17.7</v>
      </c>
      <c r="F42" s="29">
        <v>19.100000000000001</v>
      </c>
      <c r="G42" s="20">
        <v>0.5</v>
      </c>
      <c r="H42" s="23">
        <v>0.5</v>
      </c>
      <c r="I42" s="97"/>
    </row>
    <row r="43" spans="1:9" ht="29.25" customHeight="1" x14ac:dyDescent="0.2">
      <c r="A43" s="14">
        <v>32</v>
      </c>
      <c r="B43" s="18" t="s">
        <v>584</v>
      </c>
      <c r="C43" s="167" t="s">
        <v>585</v>
      </c>
      <c r="D43" s="18" t="s">
        <v>185</v>
      </c>
      <c r="E43" s="164">
        <f>+E44</f>
        <v>942.50000000000011</v>
      </c>
      <c r="F43" s="164">
        <f>+F44</f>
        <v>912.1</v>
      </c>
      <c r="G43" s="164">
        <f>+G44</f>
        <v>14</v>
      </c>
      <c r="H43" s="164">
        <f>+H44</f>
        <v>13.8</v>
      </c>
      <c r="I43" s="97"/>
    </row>
    <row r="44" spans="1:9" ht="12.6" customHeight="1" x14ac:dyDescent="0.2">
      <c r="A44" s="14">
        <v>33</v>
      </c>
      <c r="B44" s="28"/>
      <c r="C44" s="166" t="s">
        <v>56</v>
      </c>
      <c r="D44" s="28"/>
      <c r="E44" s="29">
        <f>797.6+70.7+74.2</f>
        <v>942.50000000000011</v>
      </c>
      <c r="F44" s="29">
        <v>912.1</v>
      </c>
      <c r="G44" s="29">
        <f>15.5-1.5</f>
        <v>14</v>
      </c>
      <c r="H44" s="34">
        <v>13.8</v>
      </c>
      <c r="I44" s="168"/>
    </row>
    <row r="45" spans="1:9" ht="24.95" customHeight="1" x14ac:dyDescent="0.2">
      <c r="A45" s="14">
        <v>34</v>
      </c>
      <c r="B45" s="18" t="s">
        <v>586</v>
      </c>
      <c r="C45" s="167" t="s">
        <v>587</v>
      </c>
      <c r="D45" s="18" t="s">
        <v>159</v>
      </c>
      <c r="E45" s="164">
        <f>+E46</f>
        <v>8.9</v>
      </c>
      <c r="F45" s="164">
        <f>+F46</f>
        <v>4.3</v>
      </c>
      <c r="G45" s="164">
        <f>+G46</f>
        <v>0</v>
      </c>
      <c r="H45" s="164">
        <f>+H46</f>
        <v>0</v>
      </c>
      <c r="I45" s="97"/>
    </row>
    <row r="46" spans="1:9" ht="12.6" customHeight="1" x14ac:dyDescent="0.2">
      <c r="A46" s="14">
        <v>35</v>
      </c>
      <c r="B46" s="18"/>
      <c r="C46" s="122" t="s">
        <v>56</v>
      </c>
      <c r="D46" s="18"/>
      <c r="E46" s="20">
        <v>8.9</v>
      </c>
      <c r="F46" s="20">
        <v>4.3</v>
      </c>
      <c r="G46" s="20"/>
      <c r="H46" s="23"/>
      <c r="I46" s="97"/>
    </row>
    <row r="47" spans="1:9" ht="18" customHeight="1" x14ac:dyDescent="0.2">
      <c r="A47" s="14">
        <v>36</v>
      </c>
      <c r="B47" s="12" t="s">
        <v>87</v>
      </c>
      <c r="C47" s="52" t="s">
        <v>430</v>
      </c>
      <c r="D47" s="18"/>
      <c r="E47" s="53">
        <f>+E48+E60+E63</f>
        <v>572.70000000000005</v>
      </c>
      <c r="F47" s="53">
        <f>+F48+F60+F63</f>
        <v>572.4</v>
      </c>
      <c r="G47" s="53">
        <f>+G48+G60+G63</f>
        <v>194.29999999999998</v>
      </c>
      <c r="H47" s="53">
        <f>+H48+H60+H63</f>
        <v>194.09999999999997</v>
      </c>
      <c r="I47" s="97"/>
    </row>
    <row r="48" spans="1:9" ht="12.6" customHeight="1" x14ac:dyDescent="0.2">
      <c r="A48" s="14">
        <v>37</v>
      </c>
      <c r="B48" s="18" t="s">
        <v>588</v>
      </c>
      <c r="C48" s="167" t="s">
        <v>589</v>
      </c>
      <c r="D48" s="18" t="s">
        <v>590</v>
      </c>
      <c r="E48" s="164">
        <f>SUM(E49:E59)</f>
        <v>190.70000000000005</v>
      </c>
      <c r="F48" s="164">
        <f>SUM(F49:F59)</f>
        <v>190.4</v>
      </c>
      <c r="G48" s="164">
        <f>SUM(G49:G59)</f>
        <v>183.39999999999998</v>
      </c>
      <c r="H48" s="164">
        <f>SUM(H49:H59)</f>
        <v>183.19999999999996</v>
      </c>
      <c r="I48" s="97"/>
    </row>
    <row r="49" spans="1:9" ht="12.6" customHeight="1" x14ac:dyDescent="0.2">
      <c r="A49" s="14">
        <v>38</v>
      </c>
      <c r="B49" s="28"/>
      <c r="C49" s="166" t="s">
        <v>56</v>
      </c>
      <c r="D49" s="28"/>
      <c r="E49" s="29">
        <f>77.9+1</f>
        <v>78.900000000000006</v>
      </c>
      <c r="F49" s="29">
        <v>78.900000000000006</v>
      </c>
      <c r="G49" s="29">
        <f>72.1+4.6-3.6</f>
        <v>73.099999999999994</v>
      </c>
      <c r="H49" s="23">
        <v>73.099999999999994</v>
      </c>
      <c r="I49" s="97"/>
    </row>
    <row r="50" spans="1:9" ht="12.6" customHeight="1" x14ac:dyDescent="0.2">
      <c r="A50" s="14">
        <v>39</v>
      </c>
      <c r="B50" s="18"/>
      <c r="C50" s="24" t="s">
        <v>201</v>
      </c>
      <c r="D50" s="18"/>
      <c r="E50" s="20">
        <v>11.9</v>
      </c>
      <c r="F50" s="20">
        <v>11.9</v>
      </c>
      <c r="G50" s="20">
        <v>11.7</v>
      </c>
      <c r="H50" s="23">
        <v>11.7</v>
      </c>
      <c r="I50" s="97"/>
    </row>
    <row r="51" spans="1:9" ht="12.6" customHeight="1" x14ac:dyDescent="0.2">
      <c r="A51" s="14">
        <v>40</v>
      </c>
      <c r="B51" s="18"/>
      <c r="C51" s="24" t="s">
        <v>203</v>
      </c>
      <c r="D51" s="18"/>
      <c r="E51" s="20">
        <v>8.9</v>
      </c>
      <c r="F51" s="20">
        <v>8.9</v>
      </c>
      <c r="G51" s="20">
        <v>8.8000000000000007</v>
      </c>
      <c r="H51" s="23">
        <v>8.8000000000000007</v>
      </c>
      <c r="I51" s="97"/>
    </row>
    <row r="52" spans="1:9" ht="12.6" customHeight="1" x14ac:dyDescent="0.2">
      <c r="A52" s="14">
        <v>41</v>
      </c>
      <c r="B52" s="18"/>
      <c r="C52" s="24" t="s">
        <v>204</v>
      </c>
      <c r="D52" s="18"/>
      <c r="E52" s="20">
        <v>12.8</v>
      </c>
      <c r="F52" s="20">
        <v>12.8</v>
      </c>
      <c r="G52" s="20">
        <v>12.6</v>
      </c>
      <c r="H52" s="23">
        <v>12.6</v>
      </c>
      <c r="I52" s="97"/>
    </row>
    <row r="53" spans="1:9" ht="12.6" customHeight="1" x14ac:dyDescent="0.2">
      <c r="A53" s="14">
        <v>42</v>
      </c>
      <c r="B53" s="18"/>
      <c r="C53" s="24" t="s">
        <v>205</v>
      </c>
      <c r="D53" s="18"/>
      <c r="E53" s="20">
        <v>15.9</v>
      </c>
      <c r="F53" s="20">
        <v>15.9</v>
      </c>
      <c r="G53" s="20">
        <v>15.7</v>
      </c>
      <c r="H53" s="23">
        <v>15.7</v>
      </c>
      <c r="I53" s="97"/>
    </row>
    <row r="54" spans="1:9" ht="12.6" customHeight="1" x14ac:dyDescent="0.2">
      <c r="A54" s="14">
        <v>43</v>
      </c>
      <c r="B54" s="18"/>
      <c r="C54" s="72" t="s">
        <v>206</v>
      </c>
      <c r="D54" s="28"/>
      <c r="E54" s="29">
        <f>12.8-1</f>
        <v>11.8</v>
      </c>
      <c r="F54" s="29">
        <v>11.7</v>
      </c>
      <c r="G54" s="29">
        <f>12.6-1</f>
        <v>11.6</v>
      </c>
      <c r="H54" s="23">
        <v>11.5</v>
      </c>
      <c r="I54" s="97"/>
    </row>
    <row r="55" spans="1:9" ht="12.6" customHeight="1" x14ac:dyDescent="0.2">
      <c r="A55" s="14">
        <v>44</v>
      </c>
      <c r="B55" s="18"/>
      <c r="C55" s="73" t="s">
        <v>207</v>
      </c>
      <c r="D55" s="18"/>
      <c r="E55" s="20">
        <v>9</v>
      </c>
      <c r="F55" s="20">
        <v>9</v>
      </c>
      <c r="G55" s="20">
        <v>8.9</v>
      </c>
      <c r="H55" s="23">
        <v>8.9</v>
      </c>
      <c r="I55" s="97"/>
    </row>
    <row r="56" spans="1:9" ht="12.6" customHeight="1" x14ac:dyDescent="0.2">
      <c r="A56" s="14">
        <v>45</v>
      </c>
      <c r="B56" s="18"/>
      <c r="C56" s="24" t="s">
        <v>208</v>
      </c>
      <c r="D56" s="18"/>
      <c r="E56" s="20">
        <v>8.3000000000000007</v>
      </c>
      <c r="F56" s="20">
        <v>8.3000000000000007</v>
      </c>
      <c r="G56" s="20">
        <v>8.1999999999999993</v>
      </c>
      <c r="H56" s="23">
        <v>8.1999999999999993</v>
      </c>
      <c r="I56" s="97"/>
    </row>
    <row r="57" spans="1:9" ht="12.6" customHeight="1" x14ac:dyDescent="0.2">
      <c r="A57" s="14">
        <v>46</v>
      </c>
      <c r="B57" s="18"/>
      <c r="C57" s="24" t="s">
        <v>209</v>
      </c>
      <c r="D57" s="18"/>
      <c r="E57" s="20">
        <v>11.8</v>
      </c>
      <c r="F57" s="20">
        <v>11.8</v>
      </c>
      <c r="G57" s="20">
        <v>11.7</v>
      </c>
      <c r="H57" s="23">
        <v>11.7</v>
      </c>
      <c r="I57" s="97"/>
    </row>
    <row r="58" spans="1:9" ht="12.6" customHeight="1" x14ac:dyDescent="0.2">
      <c r="A58" s="14">
        <v>47</v>
      </c>
      <c r="B58" s="18"/>
      <c r="C58" s="24" t="s">
        <v>210</v>
      </c>
      <c r="D58" s="18"/>
      <c r="E58" s="20">
        <v>9.5</v>
      </c>
      <c r="F58" s="20">
        <v>9.5</v>
      </c>
      <c r="G58" s="20">
        <v>9.4</v>
      </c>
      <c r="H58" s="23">
        <v>9.4</v>
      </c>
      <c r="I58" s="97"/>
    </row>
    <row r="59" spans="1:9" ht="12.6" customHeight="1" x14ac:dyDescent="0.2">
      <c r="A59" s="14">
        <v>48</v>
      </c>
      <c r="B59" s="18"/>
      <c r="C59" s="24" t="s">
        <v>211</v>
      </c>
      <c r="D59" s="18"/>
      <c r="E59" s="20">
        <v>11.9</v>
      </c>
      <c r="F59" s="29">
        <f>11.8-0.1</f>
        <v>11.700000000000001</v>
      </c>
      <c r="G59" s="20">
        <v>11.7</v>
      </c>
      <c r="H59" s="23">
        <v>11.6</v>
      </c>
      <c r="I59" s="97"/>
    </row>
    <row r="60" spans="1:9" ht="72" customHeight="1" x14ac:dyDescent="0.2">
      <c r="A60" s="242">
        <v>49</v>
      </c>
      <c r="B60" s="244" t="s">
        <v>591</v>
      </c>
      <c r="C60" s="157" t="s">
        <v>592</v>
      </c>
      <c r="D60" s="244"/>
      <c r="E60" s="164">
        <f>+E62</f>
        <v>359.9</v>
      </c>
      <c r="F60" s="164">
        <f>+F62</f>
        <v>359.9</v>
      </c>
      <c r="G60" s="164">
        <f>+G62</f>
        <v>0</v>
      </c>
      <c r="H60" s="19">
        <v>0</v>
      </c>
      <c r="I60" s="97"/>
    </row>
    <row r="61" spans="1:9" ht="12.6" customHeight="1" x14ac:dyDescent="0.2">
      <c r="A61" s="243"/>
      <c r="B61" s="245"/>
      <c r="C61" s="157" t="s">
        <v>593</v>
      </c>
      <c r="D61" s="245"/>
      <c r="E61" s="164">
        <f>10+1.9</f>
        <v>11.9</v>
      </c>
      <c r="F61" s="164">
        <v>11.9</v>
      </c>
      <c r="G61" s="164"/>
      <c r="H61" s="23"/>
      <c r="I61" s="97"/>
    </row>
    <row r="62" spans="1:9" ht="12.6" customHeight="1" x14ac:dyDescent="0.2">
      <c r="A62" s="14">
        <v>50</v>
      </c>
      <c r="B62" s="18"/>
      <c r="C62" s="166" t="s">
        <v>56</v>
      </c>
      <c r="D62" s="28" t="s">
        <v>439</v>
      </c>
      <c r="E62" s="29">
        <f>358+1.9</f>
        <v>359.9</v>
      </c>
      <c r="F62" s="29">
        <v>359.9</v>
      </c>
      <c r="G62" s="29"/>
      <c r="H62" s="34"/>
      <c r="I62" s="97"/>
    </row>
    <row r="63" spans="1:9" ht="12.6" customHeight="1" x14ac:dyDescent="0.2">
      <c r="A63" s="14">
        <v>51</v>
      </c>
      <c r="B63" s="18"/>
      <c r="C63" s="58" t="s">
        <v>594</v>
      </c>
      <c r="D63" s="18" t="s">
        <v>595</v>
      </c>
      <c r="E63" s="164">
        <f>+E64</f>
        <v>22.1</v>
      </c>
      <c r="F63" s="164">
        <f>+F64</f>
        <v>22.1</v>
      </c>
      <c r="G63" s="164">
        <f>+G64</f>
        <v>10.9</v>
      </c>
      <c r="H63" s="164">
        <f>+H64</f>
        <v>10.9</v>
      </c>
      <c r="I63" s="97"/>
    </row>
    <row r="64" spans="1:9" ht="12.6" customHeight="1" x14ac:dyDescent="0.2">
      <c r="A64" s="14">
        <v>52</v>
      </c>
      <c r="B64" s="18"/>
      <c r="C64" s="24" t="s">
        <v>56</v>
      </c>
      <c r="D64" s="18"/>
      <c r="E64" s="20">
        <v>22.1</v>
      </c>
      <c r="F64" s="20">
        <v>22.1</v>
      </c>
      <c r="G64" s="20">
        <v>10.9</v>
      </c>
      <c r="H64" s="23">
        <v>10.9</v>
      </c>
      <c r="I64" s="97"/>
    </row>
    <row r="65" spans="1:9" ht="18" customHeight="1" x14ac:dyDescent="0.2">
      <c r="A65" s="14">
        <v>53</v>
      </c>
      <c r="B65" s="12" t="s">
        <v>449</v>
      </c>
      <c r="C65" s="52" t="s">
        <v>450</v>
      </c>
      <c r="D65" s="18"/>
      <c r="E65" s="53">
        <f>SUM(E66+E68+E70+E72+E74+E76+E78+E80+E82+E84+E86+E88+E101+E103)</f>
        <v>1589.9999999999998</v>
      </c>
      <c r="F65" s="53">
        <f>SUM(F66+F68+F70+F72+F74+F76+F78+F80+F82+F84+F86+F88+F101+F103)</f>
        <v>1585.6</v>
      </c>
      <c r="G65" s="53">
        <f>SUM(G66+G68+G70+G72+G74+G76+G78+G80+G82+G84+G86+G88+G101)</f>
        <v>1446.8</v>
      </c>
      <c r="H65" s="53">
        <f>SUM(H66+H68+H70+H72+H74+H76+H78+H80+H82+H84+H86+H88+H101)</f>
        <v>1444.9</v>
      </c>
      <c r="I65" s="97"/>
    </row>
    <row r="66" spans="1:9" ht="12.6" customHeight="1" x14ac:dyDescent="0.2">
      <c r="A66" s="14">
        <v>54</v>
      </c>
      <c r="B66" s="18" t="s">
        <v>596</v>
      </c>
      <c r="C66" s="167" t="s">
        <v>597</v>
      </c>
      <c r="D66" s="18" t="s">
        <v>452</v>
      </c>
      <c r="E66" s="164">
        <f>+E67</f>
        <v>1208.9000000000001</v>
      </c>
      <c r="F66" s="164">
        <f>+F67</f>
        <v>1208.9000000000001</v>
      </c>
      <c r="G66" s="164">
        <f>+G67</f>
        <v>1096.4000000000001</v>
      </c>
      <c r="H66" s="164">
        <f>+H67</f>
        <v>1096.4000000000001</v>
      </c>
      <c r="I66" s="97"/>
    </row>
    <row r="67" spans="1:9" ht="12.6" customHeight="1" x14ac:dyDescent="0.2">
      <c r="A67" s="14">
        <v>55</v>
      </c>
      <c r="B67" s="82"/>
      <c r="C67" s="72" t="s">
        <v>451</v>
      </c>
      <c r="D67" s="165"/>
      <c r="E67" s="29">
        <f>1176.9+32</f>
        <v>1208.9000000000001</v>
      </c>
      <c r="F67" s="29">
        <v>1208.9000000000001</v>
      </c>
      <c r="G67" s="29">
        <f>1075.4+21</f>
        <v>1096.4000000000001</v>
      </c>
      <c r="H67" s="34">
        <v>1096.4000000000001</v>
      </c>
      <c r="I67" s="168"/>
    </row>
    <row r="68" spans="1:9" ht="12.6" customHeight="1" x14ac:dyDescent="0.2">
      <c r="A68" s="14">
        <v>56</v>
      </c>
      <c r="B68" s="18" t="s">
        <v>598</v>
      </c>
      <c r="C68" s="157" t="s">
        <v>599</v>
      </c>
      <c r="D68" s="18" t="s">
        <v>600</v>
      </c>
      <c r="E68" s="164">
        <f>SUM(E69:E69)</f>
        <v>0.8</v>
      </c>
      <c r="F68" s="164">
        <f>SUM(F69:F69)</f>
        <v>0.8</v>
      </c>
      <c r="G68" s="164">
        <f>SUM(G69:G69)</f>
        <v>0.8</v>
      </c>
      <c r="H68" s="164">
        <f>SUM(H69:H69)</f>
        <v>0.8</v>
      </c>
      <c r="I68" s="97"/>
    </row>
    <row r="69" spans="1:9" ht="12.6" customHeight="1" x14ac:dyDescent="0.2">
      <c r="A69" s="14">
        <v>57</v>
      </c>
      <c r="B69" s="18"/>
      <c r="C69" s="122" t="s">
        <v>56</v>
      </c>
      <c r="D69" s="18"/>
      <c r="E69" s="20">
        <v>0.8</v>
      </c>
      <c r="F69" s="20">
        <v>0.8</v>
      </c>
      <c r="G69" s="20">
        <v>0.8</v>
      </c>
      <c r="H69" s="23">
        <v>0.8</v>
      </c>
      <c r="I69" s="97"/>
    </row>
    <row r="70" spans="1:9" ht="12.6" customHeight="1" x14ac:dyDescent="0.2">
      <c r="A70" s="14">
        <v>58</v>
      </c>
      <c r="B70" s="25" t="s">
        <v>601</v>
      </c>
      <c r="C70" s="157" t="s">
        <v>602</v>
      </c>
      <c r="D70" s="18" t="s">
        <v>600</v>
      </c>
      <c r="E70" s="158">
        <f>+E71</f>
        <v>46.7</v>
      </c>
      <c r="F70" s="158">
        <f>+F71</f>
        <v>46.7</v>
      </c>
      <c r="G70" s="158">
        <f>+G71</f>
        <v>40.9</v>
      </c>
      <c r="H70" s="158">
        <f>+H71</f>
        <v>40.9</v>
      </c>
      <c r="I70" s="97"/>
    </row>
    <row r="71" spans="1:9" ht="12.6" customHeight="1" x14ac:dyDescent="0.2">
      <c r="A71" s="14">
        <v>59</v>
      </c>
      <c r="B71" s="18"/>
      <c r="C71" s="122" t="s">
        <v>56</v>
      </c>
      <c r="D71" s="18"/>
      <c r="E71" s="20">
        <v>46.7</v>
      </c>
      <c r="F71" s="20">
        <v>46.7</v>
      </c>
      <c r="G71" s="20">
        <v>40.9</v>
      </c>
      <c r="H71" s="23">
        <v>40.9</v>
      </c>
      <c r="I71" s="97"/>
    </row>
    <row r="72" spans="1:9" ht="12.6" customHeight="1" x14ac:dyDescent="0.2">
      <c r="A72" s="14">
        <v>60</v>
      </c>
      <c r="B72" s="18" t="s">
        <v>603</v>
      </c>
      <c r="C72" s="157" t="s">
        <v>604</v>
      </c>
      <c r="D72" s="18" t="s">
        <v>331</v>
      </c>
      <c r="E72" s="158">
        <f>+E73</f>
        <v>33.700000000000003</v>
      </c>
      <c r="F72" s="158">
        <f>+F73</f>
        <v>33.6</v>
      </c>
      <c r="G72" s="158">
        <f>+G73</f>
        <v>32.299999999999997</v>
      </c>
      <c r="H72" s="158">
        <f>+H73</f>
        <v>32.200000000000003</v>
      </c>
      <c r="I72" s="97"/>
    </row>
    <row r="73" spans="1:9" ht="12.6" customHeight="1" x14ac:dyDescent="0.2">
      <c r="A73" s="14">
        <v>61</v>
      </c>
      <c r="B73" s="18"/>
      <c r="C73" s="122" t="s">
        <v>56</v>
      </c>
      <c r="D73" s="18"/>
      <c r="E73" s="20">
        <v>33.700000000000003</v>
      </c>
      <c r="F73" s="20">
        <v>33.6</v>
      </c>
      <c r="G73" s="20">
        <v>32.299999999999997</v>
      </c>
      <c r="H73" s="23">
        <v>32.200000000000003</v>
      </c>
      <c r="I73" s="97"/>
    </row>
    <row r="74" spans="1:9" ht="12.6" customHeight="1" x14ac:dyDescent="0.2">
      <c r="A74" s="14">
        <v>62</v>
      </c>
      <c r="B74" s="18" t="s">
        <v>605</v>
      </c>
      <c r="C74" s="157" t="s">
        <v>606</v>
      </c>
      <c r="D74" s="25" t="s">
        <v>607</v>
      </c>
      <c r="E74" s="158">
        <f>+E75</f>
        <v>46.5</v>
      </c>
      <c r="F74" s="158">
        <f>+F75</f>
        <v>46.4</v>
      </c>
      <c r="G74" s="158">
        <f>+G75</f>
        <v>37.5</v>
      </c>
      <c r="H74" s="158">
        <f>+H75</f>
        <v>37.5</v>
      </c>
      <c r="I74" s="97"/>
    </row>
    <row r="75" spans="1:9" ht="12.6" customHeight="1" x14ac:dyDescent="0.2">
      <c r="A75" s="14">
        <v>63</v>
      </c>
      <c r="B75" s="18"/>
      <c r="C75" s="122" t="s">
        <v>56</v>
      </c>
      <c r="D75" s="18"/>
      <c r="E75" s="133">
        <v>46.5</v>
      </c>
      <c r="F75" s="133">
        <v>46.4</v>
      </c>
      <c r="G75" s="133">
        <f>38.7-1.2</f>
        <v>37.5</v>
      </c>
      <c r="H75" s="23">
        <v>37.5</v>
      </c>
      <c r="I75" s="97"/>
    </row>
    <row r="76" spans="1:9" ht="12.6" customHeight="1" x14ac:dyDescent="0.2">
      <c r="A76" s="14">
        <v>64</v>
      </c>
      <c r="B76" s="18" t="s">
        <v>608</v>
      </c>
      <c r="C76" s="167" t="s">
        <v>609</v>
      </c>
      <c r="D76" s="18" t="s">
        <v>331</v>
      </c>
      <c r="E76" s="158">
        <f>+E77</f>
        <v>8.5</v>
      </c>
      <c r="F76" s="158">
        <f>+F77</f>
        <v>8.5</v>
      </c>
      <c r="G76" s="158">
        <f>+G77</f>
        <v>8.4</v>
      </c>
      <c r="H76" s="158">
        <f>+H77</f>
        <v>8.4</v>
      </c>
      <c r="I76" s="97"/>
    </row>
    <row r="77" spans="1:9" ht="12.6" customHeight="1" x14ac:dyDescent="0.2">
      <c r="A77" s="14">
        <v>65</v>
      </c>
      <c r="B77" s="18"/>
      <c r="C77" s="122" t="s">
        <v>56</v>
      </c>
      <c r="D77" s="18"/>
      <c r="E77" s="20">
        <v>8.5</v>
      </c>
      <c r="F77" s="20">
        <v>8.5</v>
      </c>
      <c r="G77" s="20">
        <v>8.4</v>
      </c>
      <c r="H77" s="23">
        <v>8.4</v>
      </c>
      <c r="I77" s="97"/>
    </row>
    <row r="78" spans="1:9" ht="12.6" customHeight="1" x14ac:dyDescent="0.2">
      <c r="A78" s="14">
        <v>66</v>
      </c>
      <c r="B78" s="18" t="s">
        <v>610</v>
      </c>
      <c r="C78" s="157" t="s">
        <v>611</v>
      </c>
      <c r="D78" s="25" t="s">
        <v>612</v>
      </c>
      <c r="E78" s="164">
        <f>+E79</f>
        <v>30.1</v>
      </c>
      <c r="F78" s="164">
        <f>+F79</f>
        <v>28.8</v>
      </c>
      <c r="G78" s="164">
        <f>+G79</f>
        <v>26.5</v>
      </c>
      <c r="H78" s="164">
        <f>+H79</f>
        <v>25.3</v>
      </c>
      <c r="I78" s="97"/>
    </row>
    <row r="79" spans="1:9" ht="12.6" customHeight="1" x14ac:dyDescent="0.2">
      <c r="A79" s="14">
        <v>67</v>
      </c>
      <c r="B79" s="18"/>
      <c r="C79" s="122" t="s">
        <v>56</v>
      </c>
      <c r="D79" s="18"/>
      <c r="E79" s="20">
        <v>30.1</v>
      </c>
      <c r="F79" s="20">
        <v>28.8</v>
      </c>
      <c r="G79" s="20">
        <v>26.5</v>
      </c>
      <c r="H79" s="23">
        <v>25.3</v>
      </c>
      <c r="I79" s="97"/>
    </row>
    <row r="80" spans="1:9" ht="12.6" customHeight="1" x14ac:dyDescent="0.2">
      <c r="A80" s="14">
        <v>68</v>
      </c>
      <c r="B80" s="18" t="s">
        <v>613</v>
      </c>
      <c r="C80" s="167" t="s">
        <v>614</v>
      </c>
      <c r="D80" s="18" t="s">
        <v>331</v>
      </c>
      <c r="E80" s="164">
        <f>+E81</f>
        <v>20</v>
      </c>
      <c r="F80" s="164">
        <f>+F81</f>
        <v>20</v>
      </c>
      <c r="G80" s="164">
        <f>+G81</f>
        <v>19</v>
      </c>
      <c r="H80" s="164">
        <f>+H81</f>
        <v>19</v>
      </c>
      <c r="I80" s="97"/>
    </row>
    <row r="81" spans="1:10" ht="12.6" customHeight="1" x14ac:dyDescent="0.2">
      <c r="A81" s="14">
        <v>69</v>
      </c>
      <c r="B81" s="18"/>
      <c r="C81" s="122" t="s">
        <v>56</v>
      </c>
      <c r="D81" s="18"/>
      <c r="E81" s="20">
        <f>19.8+0.2</f>
        <v>20</v>
      </c>
      <c r="F81" s="20">
        <v>20</v>
      </c>
      <c r="G81" s="20">
        <f>18.8+0.2</f>
        <v>19</v>
      </c>
      <c r="H81" s="23">
        <v>19</v>
      </c>
      <c r="I81" s="97"/>
    </row>
    <row r="82" spans="1:10" ht="12.6" customHeight="1" x14ac:dyDescent="0.2">
      <c r="A82" s="14">
        <v>70</v>
      </c>
      <c r="B82" s="18" t="s">
        <v>615</v>
      </c>
      <c r="C82" s="157" t="s">
        <v>616</v>
      </c>
      <c r="D82" s="18" t="s">
        <v>331</v>
      </c>
      <c r="E82" s="164">
        <f>+E83</f>
        <v>14.5</v>
      </c>
      <c r="F82" s="164">
        <f>+F83</f>
        <v>14.5</v>
      </c>
      <c r="G82" s="164">
        <f>+G83</f>
        <v>13.8</v>
      </c>
      <c r="H82" s="164">
        <f>+H83</f>
        <v>13.8</v>
      </c>
      <c r="I82" s="97"/>
    </row>
    <row r="83" spans="1:10" ht="12.6" customHeight="1" x14ac:dyDescent="0.2">
      <c r="A83" s="14">
        <v>71</v>
      </c>
      <c r="B83" s="18"/>
      <c r="C83" s="122" t="s">
        <v>56</v>
      </c>
      <c r="D83" s="18"/>
      <c r="E83" s="20">
        <v>14.5</v>
      </c>
      <c r="F83" s="20">
        <v>14.5</v>
      </c>
      <c r="G83" s="20">
        <v>13.8</v>
      </c>
      <c r="H83" s="23">
        <v>13.8</v>
      </c>
      <c r="I83" s="97"/>
    </row>
    <row r="84" spans="1:10" ht="12.6" customHeight="1" x14ac:dyDescent="0.2">
      <c r="A84" s="14">
        <v>72</v>
      </c>
      <c r="B84" s="18" t="s">
        <v>617</v>
      </c>
      <c r="C84" s="167" t="s">
        <v>618</v>
      </c>
      <c r="D84" s="18" t="s">
        <v>600</v>
      </c>
      <c r="E84" s="164">
        <f>+E85</f>
        <v>1.3</v>
      </c>
      <c r="F84" s="164">
        <f>+F85</f>
        <v>1.3</v>
      </c>
      <c r="G84" s="164">
        <f>+G85</f>
        <v>1.3</v>
      </c>
      <c r="H84" s="164">
        <f>+H85</f>
        <v>1.3</v>
      </c>
      <c r="I84" s="97"/>
    </row>
    <row r="85" spans="1:10" ht="12.6" customHeight="1" x14ac:dyDescent="0.2">
      <c r="A85" s="14">
        <v>73</v>
      </c>
      <c r="B85" s="18"/>
      <c r="C85" s="122" t="s">
        <v>56</v>
      </c>
      <c r="D85" s="18"/>
      <c r="E85" s="20">
        <v>1.3</v>
      </c>
      <c r="F85" s="20">
        <v>1.3</v>
      </c>
      <c r="G85" s="20">
        <v>1.3</v>
      </c>
      <c r="H85" s="23">
        <v>1.3</v>
      </c>
      <c r="I85" s="97"/>
    </row>
    <row r="86" spans="1:10" ht="12.6" customHeight="1" x14ac:dyDescent="0.2">
      <c r="A86" s="14">
        <v>74</v>
      </c>
      <c r="B86" s="18" t="s">
        <v>619</v>
      </c>
      <c r="C86" s="167" t="s">
        <v>620</v>
      </c>
      <c r="D86" s="18" t="s">
        <v>331</v>
      </c>
      <c r="E86" s="164">
        <f>SUM(E87:E87)</f>
        <v>6.8</v>
      </c>
      <c r="F86" s="164">
        <f>SUM(F87:F87)</f>
        <v>6.7</v>
      </c>
      <c r="G86" s="164">
        <f>SUM(G87:G87)</f>
        <v>6.6</v>
      </c>
      <c r="H86" s="164">
        <f>SUM(H87:H87)</f>
        <v>6.6</v>
      </c>
      <c r="I86" s="97"/>
    </row>
    <row r="87" spans="1:10" ht="12.6" customHeight="1" x14ac:dyDescent="0.2">
      <c r="A87" s="14">
        <v>75</v>
      </c>
      <c r="B87" s="33"/>
      <c r="C87" s="24" t="s">
        <v>199</v>
      </c>
      <c r="D87" s="33"/>
      <c r="E87" s="20">
        <v>6.8</v>
      </c>
      <c r="F87" s="20">
        <v>6.7</v>
      </c>
      <c r="G87" s="20">
        <v>6.6</v>
      </c>
      <c r="H87" s="23">
        <v>6.6</v>
      </c>
      <c r="I87" s="97"/>
    </row>
    <row r="88" spans="1:10" ht="12.6" customHeight="1" x14ac:dyDescent="0.2">
      <c r="A88" s="14">
        <v>76</v>
      </c>
      <c r="B88" s="18" t="s">
        <v>621</v>
      </c>
      <c r="C88" s="167" t="s">
        <v>622</v>
      </c>
      <c r="D88" s="18" t="s">
        <v>480</v>
      </c>
      <c r="E88" s="164">
        <f>SUM(E89:E100)</f>
        <v>153.09999999999997</v>
      </c>
      <c r="F88" s="231">
        <f>SUM(F89:F100)</f>
        <v>150.29999999999998</v>
      </c>
      <c r="G88" s="164">
        <f>SUM(G89:G100)</f>
        <v>144.80000000000001</v>
      </c>
      <c r="H88" s="164">
        <f>SUM(H89:H100)</f>
        <v>144.20000000000002</v>
      </c>
      <c r="I88" s="97"/>
      <c r="J88" s="102"/>
    </row>
    <row r="89" spans="1:10" ht="12.6" customHeight="1" x14ac:dyDescent="0.2">
      <c r="A89" s="14">
        <v>77</v>
      </c>
      <c r="B89" s="18"/>
      <c r="C89" s="122" t="s">
        <v>56</v>
      </c>
      <c r="D89" s="18"/>
      <c r="E89" s="20">
        <v>14</v>
      </c>
      <c r="F89" s="20">
        <v>11.5</v>
      </c>
      <c r="G89" s="20">
        <v>9.6999999999999993</v>
      </c>
      <c r="H89" s="23">
        <v>9.3000000000000007</v>
      </c>
      <c r="I89" s="97"/>
    </row>
    <row r="90" spans="1:10" ht="12.6" customHeight="1" x14ac:dyDescent="0.2">
      <c r="A90" s="14">
        <v>78</v>
      </c>
      <c r="B90" s="18"/>
      <c r="C90" s="24" t="s">
        <v>199</v>
      </c>
      <c r="D90" s="18"/>
      <c r="E90" s="20">
        <v>52.8</v>
      </c>
      <c r="F90" s="20">
        <v>52.6</v>
      </c>
      <c r="G90" s="20">
        <v>51.4</v>
      </c>
      <c r="H90" s="23">
        <v>51.3</v>
      </c>
      <c r="I90" s="97"/>
    </row>
    <row r="91" spans="1:10" ht="12.6" customHeight="1" x14ac:dyDescent="0.2">
      <c r="A91" s="14">
        <v>79</v>
      </c>
      <c r="B91" s="18"/>
      <c r="C91" s="24" t="s">
        <v>201</v>
      </c>
      <c r="D91" s="18"/>
      <c r="E91" s="20">
        <v>13.3</v>
      </c>
      <c r="F91" s="20">
        <v>13.3</v>
      </c>
      <c r="G91" s="20">
        <v>12.9</v>
      </c>
      <c r="H91" s="23">
        <v>12.9</v>
      </c>
      <c r="I91" s="97"/>
    </row>
    <row r="92" spans="1:10" ht="12.6" customHeight="1" x14ac:dyDescent="0.2">
      <c r="A92" s="14">
        <v>80</v>
      </c>
      <c r="B92" s="18"/>
      <c r="C92" s="24" t="s">
        <v>203</v>
      </c>
      <c r="D92" s="18"/>
      <c r="E92" s="20">
        <v>10</v>
      </c>
      <c r="F92" s="29">
        <f>9.9+0.1</f>
        <v>10</v>
      </c>
      <c r="G92" s="20">
        <v>9.6999999999999993</v>
      </c>
      <c r="H92" s="23">
        <v>9.6</v>
      </c>
      <c r="I92" s="97"/>
    </row>
    <row r="93" spans="1:10" ht="12.6" customHeight="1" x14ac:dyDescent="0.2">
      <c r="A93" s="14">
        <v>81</v>
      </c>
      <c r="B93" s="18"/>
      <c r="C93" s="24" t="s">
        <v>204</v>
      </c>
      <c r="D93" s="18"/>
      <c r="E93" s="20">
        <v>10</v>
      </c>
      <c r="F93" s="20">
        <v>10</v>
      </c>
      <c r="G93" s="20">
        <v>9.6999999999999993</v>
      </c>
      <c r="H93" s="23">
        <v>9.6999999999999993</v>
      </c>
      <c r="I93" s="97"/>
    </row>
    <row r="94" spans="1:10" ht="12.6" customHeight="1" x14ac:dyDescent="0.2">
      <c r="A94" s="14">
        <v>82</v>
      </c>
      <c r="B94" s="18"/>
      <c r="C94" s="24" t="s">
        <v>205</v>
      </c>
      <c r="D94" s="18"/>
      <c r="E94" s="20">
        <v>10</v>
      </c>
      <c r="F94" s="20">
        <v>10</v>
      </c>
      <c r="G94" s="20">
        <v>9.6999999999999993</v>
      </c>
      <c r="H94" s="23">
        <v>9.6999999999999993</v>
      </c>
      <c r="I94" s="97"/>
    </row>
    <row r="95" spans="1:10" ht="12.6" customHeight="1" x14ac:dyDescent="0.2">
      <c r="A95" s="14">
        <v>83</v>
      </c>
      <c r="B95" s="18"/>
      <c r="C95" s="24" t="s">
        <v>206</v>
      </c>
      <c r="D95" s="18"/>
      <c r="E95" s="20">
        <v>6.6</v>
      </c>
      <c r="F95" s="20">
        <v>6.6</v>
      </c>
      <c r="G95" s="20">
        <v>6.4</v>
      </c>
      <c r="H95" s="23">
        <v>6.4</v>
      </c>
      <c r="J95" s="97"/>
    </row>
    <row r="96" spans="1:10" ht="12.6" customHeight="1" x14ac:dyDescent="0.2">
      <c r="A96" s="14">
        <v>84</v>
      </c>
      <c r="B96" s="18"/>
      <c r="C96" s="73" t="s">
        <v>207</v>
      </c>
      <c r="D96" s="18"/>
      <c r="E96" s="20">
        <v>6.6</v>
      </c>
      <c r="F96" s="20">
        <v>6.6</v>
      </c>
      <c r="G96" s="20">
        <v>6.4</v>
      </c>
      <c r="H96" s="23">
        <v>6.4</v>
      </c>
      <c r="I96" s="97"/>
    </row>
    <row r="97" spans="1:10" ht="12.6" customHeight="1" x14ac:dyDescent="0.2">
      <c r="A97" s="14">
        <v>85</v>
      </c>
      <c r="B97" s="18"/>
      <c r="C97" s="24" t="s">
        <v>208</v>
      </c>
      <c r="D97" s="18"/>
      <c r="E97" s="20">
        <v>6.6</v>
      </c>
      <c r="F97" s="20">
        <v>6.6</v>
      </c>
      <c r="G97" s="20">
        <v>6.4</v>
      </c>
      <c r="H97" s="23">
        <v>6.4</v>
      </c>
      <c r="I97" s="97"/>
    </row>
    <row r="98" spans="1:10" ht="12.6" customHeight="1" x14ac:dyDescent="0.2">
      <c r="A98" s="14">
        <v>86</v>
      </c>
      <c r="B98" s="18"/>
      <c r="C98" s="24" t="s">
        <v>209</v>
      </c>
      <c r="D98" s="18"/>
      <c r="E98" s="20">
        <v>6.6</v>
      </c>
      <c r="F98" s="20">
        <v>6.6</v>
      </c>
      <c r="G98" s="20">
        <v>6.4</v>
      </c>
      <c r="H98" s="23">
        <v>6.4</v>
      </c>
      <c r="J98" s="97"/>
    </row>
    <row r="99" spans="1:10" ht="12.6" customHeight="1" x14ac:dyDescent="0.2">
      <c r="A99" s="14">
        <v>87</v>
      </c>
      <c r="B99" s="18"/>
      <c r="C99" s="24" t="s">
        <v>210</v>
      </c>
      <c r="D99" s="18"/>
      <c r="E99" s="20">
        <v>6.6</v>
      </c>
      <c r="F99" s="20">
        <v>6.5</v>
      </c>
      <c r="G99" s="20">
        <v>6.4</v>
      </c>
      <c r="H99" s="23">
        <v>6.4</v>
      </c>
      <c r="I99" s="97"/>
    </row>
    <row r="100" spans="1:10" ht="12.6" customHeight="1" x14ac:dyDescent="0.2">
      <c r="A100" s="14">
        <v>88</v>
      </c>
      <c r="B100" s="18"/>
      <c r="C100" s="24" t="s">
        <v>211</v>
      </c>
      <c r="D100" s="18"/>
      <c r="E100" s="20">
        <v>10</v>
      </c>
      <c r="F100" s="20">
        <v>10</v>
      </c>
      <c r="G100" s="20">
        <v>9.6999999999999993</v>
      </c>
      <c r="H100" s="23">
        <v>9.6999999999999993</v>
      </c>
      <c r="I100" s="97"/>
    </row>
    <row r="101" spans="1:10" ht="38.25" x14ac:dyDescent="0.2">
      <c r="A101" s="14">
        <v>89</v>
      </c>
      <c r="B101" s="18" t="s">
        <v>623</v>
      </c>
      <c r="C101" s="58" t="s">
        <v>624</v>
      </c>
      <c r="D101" s="18"/>
      <c r="E101" s="164">
        <f>+E102</f>
        <v>18.8</v>
      </c>
      <c r="F101" s="164">
        <f>+F102</f>
        <v>18.8</v>
      </c>
      <c r="G101" s="164">
        <f>+G102</f>
        <v>18.5</v>
      </c>
      <c r="H101" s="164">
        <f>+H102</f>
        <v>18.5</v>
      </c>
      <c r="I101" s="97"/>
    </row>
    <row r="102" spans="1:10" ht="12.6" customHeight="1" x14ac:dyDescent="0.2">
      <c r="A102" s="14">
        <v>90</v>
      </c>
      <c r="B102" s="18"/>
      <c r="C102" s="139" t="s">
        <v>56</v>
      </c>
      <c r="D102" s="55" t="s">
        <v>625</v>
      </c>
      <c r="E102" s="20">
        <v>18.8</v>
      </c>
      <c r="F102" s="20">
        <v>18.8</v>
      </c>
      <c r="G102" s="20">
        <v>18.5</v>
      </c>
      <c r="H102" s="23">
        <v>18.5</v>
      </c>
      <c r="I102" s="97"/>
    </row>
    <row r="103" spans="1:10" ht="25.5" x14ac:dyDescent="0.2">
      <c r="A103" s="14">
        <v>91</v>
      </c>
      <c r="B103" s="18" t="s">
        <v>626</v>
      </c>
      <c r="C103" s="58" t="s">
        <v>627</v>
      </c>
      <c r="D103" s="55"/>
      <c r="E103" s="164">
        <f>+E104</f>
        <v>0.3</v>
      </c>
      <c r="F103" s="164">
        <f>+F104</f>
        <v>0.3</v>
      </c>
      <c r="G103" s="164">
        <f>+G104</f>
        <v>0</v>
      </c>
      <c r="H103" s="164">
        <f>+H104</f>
        <v>0</v>
      </c>
      <c r="I103" s="97"/>
    </row>
    <row r="104" spans="1:10" ht="12.6" customHeight="1" x14ac:dyDescent="0.2">
      <c r="A104" s="14">
        <v>92</v>
      </c>
      <c r="B104" s="18"/>
      <c r="C104" s="139" t="s">
        <v>56</v>
      </c>
      <c r="D104" s="18" t="s">
        <v>628</v>
      </c>
      <c r="E104" s="20">
        <v>0.3</v>
      </c>
      <c r="F104" s="20">
        <v>0.3</v>
      </c>
      <c r="G104" s="20"/>
      <c r="H104" s="23"/>
      <c r="I104" s="97"/>
    </row>
    <row r="105" spans="1:10" ht="12.6" customHeight="1" x14ac:dyDescent="0.2">
      <c r="A105" s="14">
        <v>93</v>
      </c>
      <c r="B105" s="18"/>
      <c r="C105" s="169" t="s">
        <v>481</v>
      </c>
      <c r="D105" s="12"/>
      <c r="E105" s="53">
        <f>+E11+E18+E47+E65</f>
        <v>6173.1</v>
      </c>
      <c r="F105" s="53">
        <f>+F11+F18+F47+F65</f>
        <v>6082.5</v>
      </c>
      <c r="G105" s="53">
        <f>+G11+G18+G47+G65</f>
        <v>3597.9000000000005</v>
      </c>
      <c r="H105" s="53">
        <f>+H11+H18+H47+H65</f>
        <v>3552</v>
      </c>
      <c r="I105" s="97"/>
    </row>
    <row r="106" spans="1:10" ht="10.5" customHeight="1" x14ac:dyDescent="0.2">
      <c r="E106" s="118"/>
      <c r="F106" s="118"/>
      <c r="G106" s="118"/>
    </row>
    <row r="107" spans="1:10" x14ac:dyDescent="0.2">
      <c r="C107" s="6" t="s">
        <v>629</v>
      </c>
      <c r="D107" s="100"/>
      <c r="E107" s="118"/>
      <c r="F107" s="118"/>
      <c r="G107" s="118"/>
    </row>
    <row r="108" spans="1:10" x14ac:dyDescent="0.2">
      <c r="E108" s="104"/>
      <c r="F108" s="104"/>
      <c r="G108" s="104"/>
    </row>
    <row r="109" spans="1:10" x14ac:dyDescent="0.2">
      <c r="E109" s="118"/>
      <c r="F109" s="118"/>
      <c r="G109" s="118"/>
    </row>
    <row r="110" spans="1:10" x14ac:dyDescent="0.2">
      <c r="E110" s="118"/>
      <c r="F110" s="118"/>
      <c r="G110" s="118"/>
    </row>
    <row r="112" spans="1:10" x14ac:dyDescent="0.2">
      <c r="C112" s="170"/>
    </row>
    <row r="113" spans="3:3" x14ac:dyDescent="0.2">
      <c r="C113" s="170"/>
    </row>
    <row r="114" spans="3:3" x14ac:dyDescent="0.2">
      <c r="C114" s="1"/>
    </row>
  </sheetData>
  <mergeCells count="16">
    <mergeCell ref="C2:H2"/>
    <mergeCell ref="C1:H1"/>
    <mergeCell ref="A24:A25"/>
    <mergeCell ref="B24:B25"/>
    <mergeCell ref="A5:G5"/>
    <mergeCell ref="A8:A9"/>
    <mergeCell ref="B8:B9"/>
    <mergeCell ref="C8:C9"/>
    <mergeCell ref="D8:D9"/>
    <mergeCell ref="E8:F8"/>
    <mergeCell ref="G8:H8"/>
    <mergeCell ref="A60:A61"/>
    <mergeCell ref="B60:B61"/>
    <mergeCell ref="D60:D61"/>
    <mergeCell ref="G7:H7"/>
    <mergeCell ref="E3:H3"/>
  </mergeCells>
  <pageMargins left="1.1023622047244095"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0743C-7C83-4272-8678-8A6E4B9D24BF}">
  <dimension ref="A1:R66"/>
  <sheetViews>
    <sheetView workbookViewId="0">
      <selection activeCell="M11" sqref="M11"/>
    </sheetView>
  </sheetViews>
  <sheetFormatPr defaultRowHeight="12.75" x14ac:dyDescent="0.2"/>
  <cols>
    <col min="1" max="1" width="4.140625" style="6" customWidth="1"/>
    <col min="2" max="2" width="8.140625" style="5" customWidth="1"/>
    <col min="3" max="3" width="47.7109375" style="171" customWidth="1"/>
    <col min="4" max="4" width="10.7109375" style="2" customWidth="1"/>
    <col min="5" max="5" width="9.5703125" style="1" customWidth="1"/>
    <col min="6" max="6" width="8.42578125" style="1" customWidth="1"/>
    <col min="7" max="10" width="11.140625" style="1" customWidth="1"/>
    <col min="11" max="256" width="9.140625" style="4"/>
    <col min="257" max="257" width="4.140625" style="4" customWidth="1"/>
    <col min="258" max="258" width="8.140625" style="4" customWidth="1"/>
    <col min="259" max="259" width="47.7109375" style="4" customWidth="1"/>
    <col min="260" max="260" width="10.7109375" style="4" customWidth="1"/>
    <col min="261" max="261" width="9.5703125" style="4" customWidth="1"/>
    <col min="262" max="262" width="8.42578125" style="4" customWidth="1"/>
    <col min="263" max="266" width="11.140625" style="4" customWidth="1"/>
    <col min="267" max="512" width="9.140625" style="4"/>
    <col min="513" max="513" width="4.140625" style="4" customWidth="1"/>
    <col min="514" max="514" width="8.140625" style="4" customWidth="1"/>
    <col min="515" max="515" width="47.7109375" style="4" customWidth="1"/>
    <col min="516" max="516" width="10.7109375" style="4" customWidth="1"/>
    <col min="517" max="517" width="9.5703125" style="4" customWidth="1"/>
    <col min="518" max="518" width="8.42578125" style="4" customWidth="1"/>
    <col min="519" max="522" width="11.140625" style="4" customWidth="1"/>
    <col min="523" max="768" width="9.140625" style="4"/>
    <col min="769" max="769" width="4.140625" style="4" customWidth="1"/>
    <col min="770" max="770" width="8.140625" style="4" customWidth="1"/>
    <col min="771" max="771" width="47.7109375" style="4" customWidth="1"/>
    <col min="772" max="772" width="10.7109375" style="4" customWidth="1"/>
    <col min="773" max="773" width="9.5703125" style="4" customWidth="1"/>
    <col min="774" max="774" width="8.42578125" style="4" customWidth="1"/>
    <col min="775" max="778" width="11.140625" style="4" customWidth="1"/>
    <col min="779" max="1024" width="9.140625" style="4"/>
    <col min="1025" max="1025" width="4.140625" style="4" customWidth="1"/>
    <col min="1026" max="1026" width="8.140625" style="4" customWidth="1"/>
    <col min="1027" max="1027" width="47.7109375" style="4" customWidth="1"/>
    <col min="1028" max="1028" width="10.7109375" style="4" customWidth="1"/>
    <col min="1029" max="1029" width="9.5703125" style="4" customWidth="1"/>
    <col min="1030" max="1030" width="8.42578125" style="4" customWidth="1"/>
    <col min="1031" max="1034" width="11.140625" style="4" customWidth="1"/>
    <col min="1035" max="1280" width="9.140625" style="4"/>
    <col min="1281" max="1281" width="4.140625" style="4" customWidth="1"/>
    <col min="1282" max="1282" width="8.140625" style="4" customWidth="1"/>
    <col min="1283" max="1283" width="47.7109375" style="4" customWidth="1"/>
    <col min="1284" max="1284" width="10.7109375" style="4" customWidth="1"/>
    <col min="1285" max="1285" width="9.5703125" style="4" customWidth="1"/>
    <col min="1286" max="1286" width="8.42578125" style="4" customWidth="1"/>
    <col min="1287" max="1290" width="11.140625" style="4" customWidth="1"/>
    <col min="1291" max="1536" width="9.140625" style="4"/>
    <col min="1537" max="1537" width="4.140625" style="4" customWidth="1"/>
    <col min="1538" max="1538" width="8.140625" style="4" customWidth="1"/>
    <col min="1539" max="1539" width="47.7109375" style="4" customWidth="1"/>
    <col min="1540" max="1540" width="10.7109375" style="4" customWidth="1"/>
    <col min="1541" max="1541" width="9.5703125" style="4" customWidth="1"/>
    <col min="1542" max="1542" width="8.42578125" style="4" customWidth="1"/>
    <col min="1543" max="1546" width="11.140625" style="4" customWidth="1"/>
    <col min="1547" max="1792" width="9.140625" style="4"/>
    <col min="1793" max="1793" width="4.140625" style="4" customWidth="1"/>
    <col min="1794" max="1794" width="8.140625" style="4" customWidth="1"/>
    <col min="1795" max="1795" width="47.7109375" style="4" customWidth="1"/>
    <col min="1796" max="1796" width="10.7109375" style="4" customWidth="1"/>
    <col min="1797" max="1797" width="9.5703125" style="4" customWidth="1"/>
    <col min="1798" max="1798" width="8.42578125" style="4" customWidth="1"/>
    <col min="1799" max="1802" width="11.140625" style="4" customWidth="1"/>
    <col min="1803" max="2048" width="9.140625" style="4"/>
    <col min="2049" max="2049" width="4.140625" style="4" customWidth="1"/>
    <col min="2050" max="2050" width="8.140625" style="4" customWidth="1"/>
    <col min="2051" max="2051" width="47.7109375" style="4" customWidth="1"/>
    <col min="2052" max="2052" width="10.7109375" style="4" customWidth="1"/>
    <col min="2053" max="2053" width="9.5703125" style="4" customWidth="1"/>
    <col min="2054" max="2054" width="8.42578125" style="4" customWidth="1"/>
    <col min="2055" max="2058" width="11.140625" style="4" customWidth="1"/>
    <col min="2059" max="2304" width="9.140625" style="4"/>
    <col min="2305" max="2305" width="4.140625" style="4" customWidth="1"/>
    <col min="2306" max="2306" width="8.140625" style="4" customWidth="1"/>
    <col min="2307" max="2307" width="47.7109375" style="4" customWidth="1"/>
    <col min="2308" max="2308" width="10.7109375" style="4" customWidth="1"/>
    <col min="2309" max="2309" width="9.5703125" style="4" customWidth="1"/>
    <col min="2310" max="2310" width="8.42578125" style="4" customWidth="1"/>
    <col min="2311" max="2314" width="11.140625" style="4" customWidth="1"/>
    <col min="2315" max="2560" width="9.140625" style="4"/>
    <col min="2561" max="2561" width="4.140625" style="4" customWidth="1"/>
    <col min="2562" max="2562" width="8.140625" style="4" customWidth="1"/>
    <col min="2563" max="2563" width="47.7109375" style="4" customWidth="1"/>
    <col min="2564" max="2564" width="10.7109375" style="4" customWidth="1"/>
    <col min="2565" max="2565" width="9.5703125" style="4" customWidth="1"/>
    <col min="2566" max="2566" width="8.42578125" style="4" customWidth="1"/>
    <col min="2567" max="2570" width="11.140625" style="4" customWidth="1"/>
    <col min="2571" max="2816" width="9.140625" style="4"/>
    <col min="2817" max="2817" width="4.140625" style="4" customWidth="1"/>
    <col min="2818" max="2818" width="8.140625" style="4" customWidth="1"/>
    <col min="2819" max="2819" width="47.7109375" style="4" customWidth="1"/>
    <col min="2820" max="2820" width="10.7109375" style="4" customWidth="1"/>
    <col min="2821" max="2821" width="9.5703125" style="4" customWidth="1"/>
    <col min="2822" max="2822" width="8.42578125" style="4" customWidth="1"/>
    <col min="2823" max="2826" width="11.140625" style="4" customWidth="1"/>
    <col min="2827" max="3072" width="9.140625" style="4"/>
    <col min="3073" max="3073" width="4.140625" style="4" customWidth="1"/>
    <col min="3074" max="3074" width="8.140625" style="4" customWidth="1"/>
    <col min="3075" max="3075" width="47.7109375" style="4" customWidth="1"/>
    <col min="3076" max="3076" width="10.7109375" style="4" customWidth="1"/>
    <col min="3077" max="3077" width="9.5703125" style="4" customWidth="1"/>
    <col min="3078" max="3078" width="8.42578125" style="4" customWidth="1"/>
    <col min="3079" max="3082" width="11.140625" style="4" customWidth="1"/>
    <col min="3083" max="3328" width="9.140625" style="4"/>
    <col min="3329" max="3329" width="4.140625" style="4" customWidth="1"/>
    <col min="3330" max="3330" width="8.140625" style="4" customWidth="1"/>
    <col min="3331" max="3331" width="47.7109375" style="4" customWidth="1"/>
    <col min="3332" max="3332" width="10.7109375" style="4" customWidth="1"/>
    <col min="3333" max="3333" width="9.5703125" style="4" customWidth="1"/>
    <col min="3334" max="3334" width="8.42578125" style="4" customWidth="1"/>
    <col min="3335" max="3338" width="11.140625" style="4" customWidth="1"/>
    <col min="3339" max="3584" width="9.140625" style="4"/>
    <col min="3585" max="3585" width="4.140625" style="4" customWidth="1"/>
    <col min="3586" max="3586" width="8.140625" style="4" customWidth="1"/>
    <col min="3587" max="3587" width="47.7109375" style="4" customWidth="1"/>
    <col min="3588" max="3588" width="10.7109375" style="4" customWidth="1"/>
    <col min="3589" max="3589" width="9.5703125" style="4" customWidth="1"/>
    <col min="3590" max="3590" width="8.42578125" style="4" customWidth="1"/>
    <col min="3591" max="3594" width="11.140625" style="4" customWidth="1"/>
    <col min="3595" max="3840" width="9.140625" style="4"/>
    <col min="3841" max="3841" width="4.140625" style="4" customWidth="1"/>
    <col min="3842" max="3842" width="8.140625" style="4" customWidth="1"/>
    <col min="3843" max="3843" width="47.7109375" style="4" customWidth="1"/>
    <col min="3844" max="3844" width="10.7109375" style="4" customWidth="1"/>
    <col min="3845" max="3845" width="9.5703125" style="4" customWidth="1"/>
    <col min="3846" max="3846" width="8.42578125" style="4" customWidth="1"/>
    <col min="3847" max="3850" width="11.140625" style="4" customWidth="1"/>
    <col min="3851" max="4096" width="9.140625" style="4"/>
    <col min="4097" max="4097" width="4.140625" style="4" customWidth="1"/>
    <col min="4098" max="4098" width="8.140625" style="4" customWidth="1"/>
    <col min="4099" max="4099" width="47.7109375" style="4" customWidth="1"/>
    <col min="4100" max="4100" width="10.7109375" style="4" customWidth="1"/>
    <col min="4101" max="4101" width="9.5703125" style="4" customWidth="1"/>
    <col min="4102" max="4102" width="8.42578125" style="4" customWidth="1"/>
    <col min="4103" max="4106" width="11.140625" style="4" customWidth="1"/>
    <col min="4107" max="4352" width="9.140625" style="4"/>
    <col min="4353" max="4353" width="4.140625" style="4" customWidth="1"/>
    <col min="4354" max="4354" width="8.140625" style="4" customWidth="1"/>
    <col min="4355" max="4355" width="47.7109375" style="4" customWidth="1"/>
    <col min="4356" max="4356" width="10.7109375" style="4" customWidth="1"/>
    <col min="4357" max="4357" width="9.5703125" style="4" customWidth="1"/>
    <col min="4358" max="4358" width="8.42578125" style="4" customWidth="1"/>
    <col min="4359" max="4362" width="11.140625" style="4" customWidth="1"/>
    <col min="4363" max="4608" width="9.140625" style="4"/>
    <col min="4609" max="4609" width="4.140625" style="4" customWidth="1"/>
    <col min="4610" max="4610" width="8.140625" style="4" customWidth="1"/>
    <col min="4611" max="4611" width="47.7109375" style="4" customWidth="1"/>
    <col min="4612" max="4612" width="10.7109375" style="4" customWidth="1"/>
    <col min="4613" max="4613" width="9.5703125" style="4" customWidth="1"/>
    <col min="4614" max="4614" width="8.42578125" style="4" customWidth="1"/>
    <col min="4615" max="4618" width="11.140625" style="4" customWidth="1"/>
    <col min="4619" max="4864" width="9.140625" style="4"/>
    <col min="4865" max="4865" width="4.140625" style="4" customWidth="1"/>
    <col min="4866" max="4866" width="8.140625" style="4" customWidth="1"/>
    <col min="4867" max="4867" width="47.7109375" style="4" customWidth="1"/>
    <col min="4868" max="4868" width="10.7109375" style="4" customWidth="1"/>
    <col min="4869" max="4869" width="9.5703125" style="4" customWidth="1"/>
    <col min="4870" max="4870" width="8.42578125" style="4" customWidth="1"/>
    <col min="4871" max="4874" width="11.140625" style="4" customWidth="1"/>
    <col min="4875" max="5120" width="9.140625" style="4"/>
    <col min="5121" max="5121" width="4.140625" style="4" customWidth="1"/>
    <col min="5122" max="5122" width="8.140625" style="4" customWidth="1"/>
    <col min="5123" max="5123" width="47.7109375" style="4" customWidth="1"/>
    <col min="5124" max="5124" width="10.7109375" style="4" customWidth="1"/>
    <col min="5125" max="5125" width="9.5703125" style="4" customWidth="1"/>
    <col min="5126" max="5126" width="8.42578125" style="4" customWidth="1"/>
    <col min="5127" max="5130" width="11.140625" style="4" customWidth="1"/>
    <col min="5131" max="5376" width="9.140625" style="4"/>
    <col min="5377" max="5377" width="4.140625" style="4" customWidth="1"/>
    <col min="5378" max="5378" width="8.140625" style="4" customWidth="1"/>
    <col min="5379" max="5379" width="47.7109375" style="4" customWidth="1"/>
    <col min="5380" max="5380" width="10.7109375" style="4" customWidth="1"/>
    <col min="5381" max="5381" width="9.5703125" style="4" customWidth="1"/>
    <col min="5382" max="5382" width="8.42578125" style="4" customWidth="1"/>
    <col min="5383" max="5386" width="11.140625" style="4" customWidth="1"/>
    <col min="5387" max="5632" width="9.140625" style="4"/>
    <col min="5633" max="5633" width="4.140625" style="4" customWidth="1"/>
    <col min="5634" max="5634" width="8.140625" style="4" customWidth="1"/>
    <col min="5635" max="5635" width="47.7109375" style="4" customWidth="1"/>
    <col min="5636" max="5636" width="10.7109375" style="4" customWidth="1"/>
    <col min="5637" max="5637" width="9.5703125" style="4" customWidth="1"/>
    <col min="5638" max="5638" width="8.42578125" style="4" customWidth="1"/>
    <col min="5639" max="5642" width="11.140625" style="4" customWidth="1"/>
    <col min="5643" max="5888" width="9.140625" style="4"/>
    <col min="5889" max="5889" width="4.140625" style="4" customWidth="1"/>
    <col min="5890" max="5890" width="8.140625" style="4" customWidth="1"/>
    <col min="5891" max="5891" width="47.7109375" style="4" customWidth="1"/>
    <col min="5892" max="5892" width="10.7109375" style="4" customWidth="1"/>
    <col min="5893" max="5893" width="9.5703125" style="4" customWidth="1"/>
    <col min="5894" max="5894" width="8.42578125" style="4" customWidth="1"/>
    <col min="5895" max="5898" width="11.140625" style="4" customWidth="1"/>
    <col min="5899" max="6144" width="9.140625" style="4"/>
    <col min="6145" max="6145" width="4.140625" style="4" customWidth="1"/>
    <col min="6146" max="6146" width="8.140625" style="4" customWidth="1"/>
    <col min="6147" max="6147" width="47.7109375" style="4" customWidth="1"/>
    <col min="6148" max="6148" width="10.7109375" style="4" customWidth="1"/>
    <col min="6149" max="6149" width="9.5703125" style="4" customWidth="1"/>
    <col min="6150" max="6150" width="8.42578125" style="4" customWidth="1"/>
    <col min="6151" max="6154" width="11.140625" style="4" customWidth="1"/>
    <col min="6155" max="6400" width="9.140625" style="4"/>
    <col min="6401" max="6401" width="4.140625" style="4" customWidth="1"/>
    <col min="6402" max="6402" width="8.140625" style="4" customWidth="1"/>
    <col min="6403" max="6403" width="47.7109375" style="4" customWidth="1"/>
    <col min="6404" max="6404" width="10.7109375" style="4" customWidth="1"/>
    <col min="6405" max="6405" width="9.5703125" style="4" customWidth="1"/>
    <col min="6406" max="6406" width="8.42578125" style="4" customWidth="1"/>
    <col min="6407" max="6410" width="11.140625" style="4" customWidth="1"/>
    <col min="6411" max="6656" width="9.140625" style="4"/>
    <col min="6657" max="6657" width="4.140625" style="4" customWidth="1"/>
    <col min="6658" max="6658" width="8.140625" style="4" customWidth="1"/>
    <col min="6659" max="6659" width="47.7109375" style="4" customWidth="1"/>
    <col min="6660" max="6660" width="10.7109375" style="4" customWidth="1"/>
    <col min="6661" max="6661" width="9.5703125" style="4" customWidth="1"/>
    <col min="6662" max="6662" width="8.42578125" style="4" customWidth="1"/>
    <col min="6663" max="6666" width="11.140625" style="4" customWidth="1"/>
    <col min="6667" max="6912" width="9.140625" style="4"/>
    <col min="6913" max="6913" width="4.140625" style="4" customWidth="1"/>
    <col min="6914" max="6914" width="8.140625" style="4" customWidth="1"/>
    <col min="6915" max="6915" width="47.7109375" style="4" customWidth="1"/>
    <col min="6916" max="6916" width="10.7109375" style="4" customWidth="1"/>
    <col min="6917" max="6917" width="9.5703125" style="4" customWidth="1"/>
    <col min="6918" max="6918" width="8.42578125" style="4" customWidth="1"/>
    <col min="6919" max="6922" width="11.140625" style="4" customWidth="1"/>
    <col min="6923" max="7168" width="9.140625" style="4"/>
    <col min="7169" max="7169" width="4.140625" style="4" customWidth="1"/>
    <col min="7170" max="7170" width="8.140625" style="4" customWidth="1"/>
    <col min="7171" max="7171" width="47.7109375" style="4" customWidth="1"/>
    <col min="7172" max="7172" width="10.7109375" style="4" customWidth="1"/>
    <col min="7173" max="7173" width="9.5703125" style="4" customWidth="1"/>
    <col min="7174" max="7174" width="8.42578125" style="4" customWidth="1"/>
    <col min="7175" max="7178" width="11.140625" style="4" customWidth="1"/>
    <col min="7179" max="7424" width="9.140625" style="4"/>
    <col min="7425" max="7425" width="4.140625" style="4" customWidth="1"/>
    <col min="7426" max="7426" width="8.140625" style="4" customWidth="1"/>
    <col min="7427" max="7427" width="47.7109375" style="4" customWidth="1"/>
    <col min="7428" max="7428" width="10.7109375" style="4" customWidth="1"/>
    <col min="7429" max="7429" width="9.5703125" style="4" customWidth="1"/>
    <col min="7430" max="7430" width="8.42578125" style="4" customWidth="1"/>
    <col min="7431" max="7434" width="11.140625" style="4" customWidth="1"/>
    <col min="7435" max="7680" width="9.140625" style="4"/>
    <col min="7681" max="7681" width="4.140625" style="4" customWidth="1"/>
    <col min="7682" max="7682" width="8.140625" style="4" customWidth="1"/>
    <col min="7683" max="7683" width="47.7109375" style="4" customWidth="1"/>
    <col min="7684" max="7684" width="10.7109375" style="4" customWidth="1"/>
    <col min="7685" max="7685" width="9.5703125" style="4" customWidth="1"/>
    <col min="7686" max="7686" width="8.42578125" style="4" customWidth="1"/>
    <col min="7687" max="7690" width="11.140625" style="4" customWidth="1"/>
    <col min="7691" max="7936" width="9.140625" style="4"/>
    <col min="7937" max="7937" width="4.140625" style="4" customWidth="1"/>
    <col min="7938" max="7938" width="8.140625" style="4" customWidth="1"/>
    <col min="7939" max="7939" width="47.7109375" style="4" customWidth="1"/>
    <col min="7940" max="7940" width="10.7109375" style="4" customWidth="1"/>
    <col min="7941" max="7941" width="9.5703125" style="4" customWidth="1"/>
    <col min="7942" max="7942" width="8.42578125" style="4" customWidth="1"/>
    <col min="7943" max="7946" width="11.140625" style="4" customWidth="1"/>
    <col min="7947" max="8192" width="9.140625" style="4"/>
    <col min="8193" max="8193" width="4.140625" style="4" customWidth="1"/>
    <col min="8194" max="8194" width="8.140625" style="4" customWidth="1"/>
    <col min="8195" max="8195" width="47.7109375" style="4" customWidth="1"/>
    <col min="8196" max="8196" width="10.7109375" style="4" customWidth="1"/>
    <col min="8197" max="8197" width="9.5703125" style="4" customWidth="1"/>
    <col min="8198" max="8198" width="8.42578125" style="4" customWidth="1"/>
    <col min="8199" max="8202" width="11.140625" style="4" customWidth="1"/>
    <col min="8203" max="8448" width="9.140625" style="4"/>
    <col min="8449" max="8449" width="4.140625" style="4" customWidth="1"/>
    <col min="8450" max="8450" width="8.140625" style="4" customWidth="1"/>
    <col min="8451" max="8451" width="47.7109375" style="4" customWidth="1"/>
    <col min="8452" max="8452" width="10.7109375" style="4" customWidth="1"/>
    <col min="8453" max="8453" width="9.5703125" style="4" customWidth="1"/>
    <col min="8454" max="8454" width="8.42578125" style="4" customWidth="1"/>
    <col min="8455" max="8458" width="11.140625" style="4" customWidth="1"/>
    <col min="8459" max="8704" width="9.140625" style="4"/>
    <col min="8705" max="8705" width="4.140625" style="4" customWidth="1"/>
    <col min="8706" max="8706" width="8.140625" style="4" customWidth="1"/>
    <col min="8707" max="8707" width="47.7109375" style="4" customWidth="1"/>
    <col min="8708" max="8708" width="10.7109375" style="4" customWidth="1"/>
    <col min="8709" max="8709" width="9.5703125" style="4" customWidth="1"/>
    <col min="8710" max="8710" width="8.42578125" style="4" customWidth="1"/>
    <col min="8711" max="8714" width="11.140625" style="4" customWidth="1"/>
    <col min="8715" max="8960" width="9.140625" style="4"/>
    <col min="8961" max="8961" width="4.140625" style="4" customWidth="1"/>
    <col min="8962" max="8962" width="8.140625" style="4" customWidth="1"/>
    <col min="8963" max="8963" width="47.7109375" style="4" customWidth="1"/>
    <col min="8964" max="8964" width="10.7109375" style="4" customWidth="1"/>
    <col min="8965" max="8965" width="9.5703125" style="4" customWidth="1"/>
    <col min="8966" max="8966" width="8.42578125" style="4" customWidth="1"/>
    <col min="8967" max="8970" width="11.140625" style="4" customWidth="1"/>
    <col min="8971" max="9216" width="9.140625" style="4"/>
    <col min="9217" max="9217" width="4.140625" style="4" customWidth="1"/>
    <col min="9218" max="9218" width="8.140625" style="4" customWidth="1"/>
    <col min="9219" max="9219" width="47.7109375" style="4" customWidth="1"/>
    <col min="9220" max="9220" width="10.7109375" style="4" customWidth="1"/>
    <col min="9221" max="9221" width="9.5703125" style="4" customWidth="1"/>
    <col min="9222" max="9222" width="8.42578125" style="4" customWidth="1"/>
    <col min="9223" max="9226" width="11.140625" style="4" customWidth="1"/>
    <col min="9227" max="9472" width="9.140625" style="4"/>
    <col min="9473" max="9473" width="4.140625" style="4" customWidth="1"/>
    <col min="9474" max="9474" width="8.140625" style="4" customWidth="1"/>
    <col min="9475" max="9475" width="47.7109375" style="4" customWidth="1"/>
    <col min="9476" max="9476" width="10.7109375" style="4" customWidth="1"/>
    <col min="9477" max="9477" width="9.5703125" style="4" customWidth="1"/>
    <col min="9478" max="9478" width="8.42578125" style="4" customWidth="1"/>
    <col min="9479" max="9482" width="11.140625" style="4" customWidth="1"/>
    <col min="9483" max="9728" width="9.140625" style="4"/>
    <col min="9729" max="9729" width="4.140625" style="4" customWidth="1"/>
    <col min="9730" max="9730" width="8.140625" style="4" customWidth="1"/>
    <col min="9731" max="9731" width="47.7109375" style="4" customWidth="1"/>
    <col min="9732" max="9732" width="10.7109375" style="4" customWidth="1"/>
    <col min="9733" max="9733" width="9.5703125" style="4" customWidth="1"/>
    <col min="9734" max="9734" width="8.42578125" style="4" customWidth="1"/>
    <col min="9735" max="9738" width="11.140625" style="4" customWidth="1"/>
    <col min="9739" max="9984" width="9.140625" style="4"/>
    <col min="9985" max="9985" width="4.140625" style="4" customWidth="1"/>
    <col min="9986" max="9986" width="8.140625" style="4" customWidth="1"/>
    <col min="9987" max="9987" width="47.7109375" style="4" customWidth="1"/>
    <col min="9988" max="9988" width="10.7109375" style="4" customWidth="1"/>
    <col min="9989" max="9989" width="9.5703125" style="4" customWidth="1"/>
    <col min="9990" max="9990" width="8.42578125" style="4" customWidth="1"/>
    <col min="9991" max="9994" width="11.140625" style="4" customWidth="1"/>
    <col min="9995" max="10240" width="9.140625" style="4"/>
    <col min="10241" max="10241" width="4.140625" style="4" customWidth="1"/>
    <col min="10242" max="10242" width="8.140625" style="4" customWidth="1"/>
    <col min="10243" max="10243" width="47.7109375" style="4" customWidth="1"/>
    <col min="10244" max="10244" width="10.7109375" style="4" customWidth="1"/>
    <col min="10245" max="10245" width="9.5703125" style="4" customWidth="1"/>
    <col min="10246" max="10246" width="8.42578125" style="4" customWidth="1"/>
    <col min="10247" max="10250" width="11.140625" style="4" customWidth="1"/>
    <col min="10251" max="10496" width="9.140625" style="4"/>
    <col min="10497" max="10497" width="4.140625" style="4" customWidth="1"/>
    <col min="10498" max="10498" width="8.140625" style="4" customWidth="1"/>
    <col min="10499" max="10499" width="47.7109375" style="4" customWidth="1"/>
    <col min="10500" max="10500" width="10.7109375" style="4" customWidth="1"/>
    <col min="10501" max="10501" width="9.5703125" style="4" customWidth="1"/>
    <col min="10502" max="10502" width="8.42578125" style="4" customWidth="1"/>
    <col min="10503" max="10506" width="11.140625" style="4" customWidth="1"/>
    <col min="10507" max="10752" width="9.140625" style="4"/>
    <col min="10753" max="10753" width="4.140625" style="4" customWidth="1"/>
    <col min="10754" max="10754" width="8.140625" style="4" customWidth="1"/>
    <col min="10755" max="10755" width="47.7109375" style="4" customWidth="1"/>
    <col min="10756" max="10756" width="10.7109375" style="4" customWidth="1"/>
    <col min="10757" max="10757" width="9.5703125" style="4" customWidth="1"/>
    <col min="10758" max="10758" width="8.42578125" style="4" customWidth="1"/>
    <col min="10759" max="10762" width="11.140625" style="4" customWidth="1"/>
    <col min="10763" max="11008" width="9.140625" style="4"/>
    <col min="11009" max="11009" width="4.140625" style="4" customWidth="1"/>
    <col min="11010" max="11010" width="8.140625" style="4" customWidth="1"/>
    <col min="11011" max="11011" width="47.7109375" style="4" customWidth="1"/>
    <col min="11012" max="11012" width="10.7109375" style="4" customWidth="1"/>
    <col min="11013" max="11013" width="9.5703125" style="4" customWidth="1"/>
    <col min="11014" max="11014" width="8.42578125" style="4" customWidth="1"/>
    <col min="11015" max="11018" width="11.140625" style="4" customWidth="1"/>
    <col min="11019" max="11264" width="9.140625" style="4"/>
    <col min="11265" max="11265" width="4.140625" style="4" customWidth="1"/>
    <col min="11266" max="11266" width="8.140625" style="4" customWidth="1"/>
    <col min="11267" max="11267" width="47.7109375" style="4" customWidth="1"/>
    <col min="11268" max="11268" width="10.7109375" style="4" customWidth="1"/>
    <col min="11269" max="11269" width="9.5703125" style="4" customWidth="1"/>
    <col min="11270" max="11270" width="8.42578125" style="4" customWidth="1"/>
    <col min="11271" max="11274" width="11.140625" style="4" customWidth="1"/>
    <col min="11275" max="11520" width="9.140625" style="4"/>
    <col min="11521" max="11521" width="4.140625" style="4" customWidth="1"/>
    <col min="11522" max="11522" width="8.140625" style="4" customWidth="1"/>
    <col min="11523" max="11523" width="47.7109375" style="4" customWidth="1"/>
    <col min="11524" max="11524" width="10.7109375" style="4" customWidth="1"/>
    <col min="11525" max="11525" width="9.5703125" style="4" customWidth="1"/>
    <col min="11526" max="11526" width="8.42578125" style="4" customWidth="1"/>
    <col min="11527" max="11530" width="11.140625" style="4" customWidth="1"/>
    <col min="11531" max="11776" width="9.140625" style="4"/>
    <col min="11777" max="11777" width="4.140625" style="4" customWidth="1"/>
    <col min="11778" max="11778" width="8.140625" style="4" customWidth="1"/>
    <col min="11779" max="11779" width="47.7109375" style="4" customWidth="1"/>
    <col min="11780" max="11780" width="10.7109375" style="4" customWidth="1"/>
    <col min="11781" max="11781" width="9.5703125" style="4" customWidth="1"/>
    <col min="11782" max="11782" width="8.42578125" style="4" customWidth="1"/>
    <col min="11783" max="11786" width="11.140625" style="4" customWidth="1"/>
    <col min="11787" max="12032" width="9.140625" style="4"/>
    <col min="12033" max="12033" width="4.140625" style="4" customWidth="1"/>
    <col min="12034" max="12034" width="8.140625" style="4" customWidth="1"/>
    <col min="12035" max="12035" width="47.7109375" style="4" customWidth="1"/>
    <col min="12036" max="12036" width="10.7109375" style="4" customWidth="1"/>
    <col min="12037" max="12037" width="9.5703125" style="4" customWidth="1"/>
    <col min="12038" max="12038" width="8.42578125" style="4" customWidth="1"/>
    <col min="12039" max="12042" width="11.140625" style="4" customWidth="1"/>
    <col min="12043" max="12288" width="9.140625" style="4"/>
    <col min="12289" max="12289" width="4.140625" style="4" customWidth="1"/>
    <col min="12290" max="12290" width="8.140625" style="4" customWidth="1"/>
    <col min="12291" max="12291" width="47.7109375" style="4" customWidth="1"/>
    <col min="12292" max="12292" width="10.7109375" style="4" customWidth="1"/>
    <col min="12293" max="12293" width="9.5703125" style="4" customWidth="1"/>
    <col min="12294" max="12294" width="8.42578125" style="4" customWidth="1"/>
    <col min="12295" max="12298" width="11.140625" style="4" customWidth="1"/>
    <col min="12299" max="12544" width="9.140625" style="4"/>
    <col min="12545" max="12545" width="4.140625" style="4" customWidth="1"/>
    <col min="12546" max="12546" width="8.140625" style="4" customWidth="1"/>
    <col min="12547" max="12547" width="47.7109375" style="4" customWidth="1"/>
    <col min="12548" max="12548" width="10.7109375" style="4" customWidth="1"/>
    <col min="12549" max="12549" width="9.5703125" style="4" customWidth="1"/>
    <col min="12550" max="12550" width="8.42578125" style="4" customWidth="1"/>
    <col min="12551" max="12554" width="11.140625" style="4" customWidth="1"/>
    <col min="12555" max="12800" width="9.140625" style="4"/>
    <col min="12801" max="12801" width="4.140625" style="4" customWidth="1"/>
    <col min="12802" max="12802" width="8.140625" style="4" customWidth="1"/>
    <col min="12803" max="12803" width="47.7109375" style="4" customWidth="1"/>
    <col min="12804" max="12804" width="10.7109375" style="4" customWidth="1"/>
    <col min="12805" max="12805" width="9.5703125" style="4" customWidth="1"/>
    <col min="12806" max="12806" width="8.42578125" style="4" customWidth="1"/>
    <col min="12807" max="12810" width="11.140625" style="4" customWidth="1"/>
    <col min="12811" max="13056" width="9.140625" style="4"/>
    <col min="13057" max="13057" width="4.140625" style="4" customWidth="1"/>
    <col min="13058" max="13058" width="8.140625" style="4" customWidth="1"/>
    <col min="13059" max="13059" width="47.7109375" style="4" customWidth="1"/>
    <col min="13060" max="13060" width="10.7109375" style="4" customWidth="1"/>
    <col min="13061" max="13061" width="9.5703125" style="4" customWidth="1"/>
    <col min="13062" max="13062" width="8.42578125" style="4" customWidth="1"/>
    <col min="13063" max="13066" width="11.140625" style="4" customWidth="1"/>
    <col min="13067" max="13312" width="9.140625" style="4"/>
    <col min="13313" max="13313" width="4.140625" style="4" customWidth="1"/>
    <col min="13314" max="13314" width="8.140625" style="4" customWidth="1"/>
    <col min="13315" max="13315" width="47.7109375" style="4" customWidth="1"/>
    <col min="13316" max="13316" width="10.7109375" style="4" customWidth="1"/>
    <col min="13317" max="13317" width="9.5703125" style="4" customWidth="1"/>
    <col min="13318" max="13318" width="8.42578125" style="4" customWidth="1"/>
    <col min="13319" max="13322" width="11.140625" style="4" customWidth="1"/>
    <col min="13323" max="13568" width="9.140625" style="4"/>
    <col min="13569" max="13569" width="4.140625" style="4" customWidth="1"/>
    <col min="13570" max="13570" width="8.140625" style="4" customWidth="1"/>
    <col min="13571" max="13571" width="47.7109375" style="4" customWidth="1"/>
    <col min="13572" max="13572" width="10.7109375" style="4" customWidth="1"/>
    <col min="13573" max="13573" width="9.5703125" style="4" customWidth="1"/>
    <col min="13574" max="13574" width="8.42578125" style="4" customWidth="1"/>
    <col min="13575" max="13578" width="11.140625" style="4" customWidth="1"/>
    <col min="13579" max="13824" width="9.140625" style="4"/>
    <col min="13825" max="13825" width="4.140625" style="4" customWidth="1"/>
    <col min="13826" max="13826" width="8.140625" style="4" customWidth="1"/>
    <col min="13827" max="13827" width="47.7109375" style="4" customWidth="1"/>
    <col min="13828" max="13828" width="10.7109375" style="4" customWidth="1"/>
    <col min="13829" max="13829" width="9.5703125" style="4" customWidth="1"/>
    <col min="13830" max="13830" width="8.42578125" style="4" customWidth="1"/>
    <col min="13831" max="13834" width="11.140625" style="4" customWidth="1"/>
    <col min="13835" max="14080" width="9.140625" style="4"/>
    <col min="14081" max="14081" width="4.140625" style="4" customWidth="1"/>
    <col min="14082" max="14082" width="8.140625" style="4" customWidth="1"/>
    <col min="14083" max="14083" width="47.7109375" style="4" customWidth="1"/>
    <col min="14084" max="14084" width="10.7109375" style="4" customWidth="1"/>
    <col min="14085" max="14085" width="9.5703125" style="4" customWidth="1"/>
    <col min="14086" max="14086" width="8.42578125" style="4" customWidth="1"/>
    <col min="14087" max="14090" width="11.140625" style="4" customWidth="1"/>
    <col min="14091" max="14336" width="9.140625" style="4"/>
    <col min="14337" max="14337" width="4.140625" style="4" customWidth="1"/>
    <col min="14338" max="14338" width="8.140625" style="4" customWidth="1"/>
    <col min="14339" max="14339" width="47.7109375" style="4" customWidth="1"/>
    <col min="14340" max="14340" width="10.7109375" style="4" customWidth="1"/>
    <col min="14341" max="14341" width="9.5703125" style="4" customWidth="1"/>
    <col min="14342" max="14342" width="8.42578125" style="4" customWidth="1"/>
    <col min="14343" max="14346" width="11.140625" style="4" customWidth="1"/>
    <col min="14347" max="14592" width="9.140625" style="4"/>
    <col min="14593" max="14593" width="4.140625" style="4" customWidth="1"/>
    <col min="14594" max="14594" width="8.140625" style="4" customWidth="1"/>
    <col min="14595" max="14595" width="47.7109375" style="4" customWidth="1"/>
    <col min="14596" max="14596" width="10.7109375" style="4" customWidth="1"/>
    <col min="14597" max="14597" width="9.5703125" style="4" customWidth="1"/>
    <col min="14598" max="14598" width="8.42578125" style="4" customWidth="1"/>
    <col min="14599" max="14602" width="11.140625" style="4" customWidth="1"/>
    <col min="14603" max="14848" width="9.140625" style="4"/>
    <col min="14849" max="14849" width="4.140625" style="4" customWidth="1"/>
    <col min="14850" max="14850" width="8.140625" style="4" customWidth="1"/>
    <col min="14851" max="14851" width="47.7109375" style="4" customWidth="1"/>
    <col min="14852" max="14852" width="10.7109375" style="4" customWidth="1"/>
    <col min="14853" max="14853" width="9.5703125" style="4" customWidth="1"/>
    <col min="14854" max="14854" width="8.42578125" style="4" customWidth="1"/>
    <col min="14855" max="14858" width="11.140625" style="4" customWidth="1"/>
    <col min="14859" max="15104" width="9.140625" style="4"/>
    <col min="15105" max="15105" width="4.140625" style="4" customWidth="1"/>
    <col min="15106" max="15106" width="8.140625" style="4" customWidth="1"/>
    <col min="15107" max="15107" width="47.7109375" style="4" customWidth="1"/>
    <col min="15108" max="15108" width="10.7109375" style="4" customWidth="1"/>
    <col min="15109" max="15109" width="9.5703125" style="4" customWidth="1"/>
    <col min="15110" max="15110" width="8.42578125" style="4" customWidth="1"/>
    <col min="15111" max="15114" width="11.140625" style="4" customWidth="1"/>
    <col min="15115" max="15360" width="9.140625" style="4"/>
    <col min="15361" max="15361" width="4.140625" style="4" customWidth="1"/>
    <col min="15362" max="15362" width="8.140625" style="4" customWidth="1"/>
    <col min="15363" max="15363" width="47.7109375" style="4" customWidth="1"/>
    <col min="15364" max="15364" width="10.7109375" style="4" customWidth="1"/>
    <col min="15365" max="15365" width="9.5703125" style="4" customWidth="1"/>
    <col min="15366" max="15366" width="8.42578125" style="4" customWidth="1"/>
    <col min="15367" max="15370" width="11.140625" style="4" customWidth="1"/>
    <col min="15371" max="15616" width="9.140625" style="4"/>
    <col min="15617" max="15617" width="4.140625" style="4" customWidth="1"/>
    <col min="15618" max="15618" width="8.140625" style="4" customWidth="1"/>
    <col min="15619" max="15619" width="47.7109375" style="4" customWidth="1"/>
    <col min="15620" max="15620" width="10.7109375" style="4" customWidth="1"/>
    <col min="15621" max="15621" width="9.5703125" style="4" customWidth="1"/>
    <col min="15622" max="15622" width="8.42578125" style="4" customWidth="1"/>
    <col min="15623" max="15626" width="11.140625" style="4" customWidth="1"/>
    <col min="15627" max="15872" width="9.140625" style="4"/>
    <col min="15873" max="15873" width="4.140625" style="4" customWidth="1"/>
    <col min="15874" max="15874" width="8.140625" style="4" customWidth="1"/>
    <col min="15875" max="15875" width="47.7109375" style="4" customWidth="1"/>
    <col min="15876" max="15876" width="10.7109375" style="4" customWidth="1"/>
    <col min="15877" max="15877" width="9.5703125" style="4" customWidth="1"/>
    <col min="15878" max="15878" width="8.42578125" style="4" customWidth="1"/>
    <col min="15879" max="15882" width="11.140625" style="4" customWidth="1"/>
    <col min="15883" max="16128" width="9.140625" style="4"/>
    <col min="16129" max="16129" width="4.140625" style="4" customWidth="1"/>
    <col min="16130" max="16130" width="8.140625" style="4" customWidth="1"/>
    <col min="16131" max="16131" width="47.7109375" style="4" customWidth="1"/>
    <col min="16132" max="16132" width="10.7109375" style="4" customWidth="1"/>
    <col min="16133" max="16133" width="9.5703125" style="4" customWidth="1"/>
    <col min="16134" max="16134" width="8.42578125" style="4" customWidth="1"/>
    <col min="16135" max="16138" width="11.140625" style="4" customWidth="1"/>
    <col min="16139" max="16384" width="9.140625" style="4"/>
  </cols>
  <sheetData>
    <row r="1" spans="1:18" ht="15.75" x14ac:dyDescent="0.25">
      <c r="C1" s="264" t="s">
        <v>630</v>
      </c>
      <c r="D1" s="264"/>
      <c r="E1" s="264"/>
      <c r="F1" s="264"/>
      <c r="G1" s="264"/>
      <c r="H1" s="264"/>
      <c r="I1" s="3"/>
      <c r="J1" s="3"/>
    </row>
    <row r="2" spans="1:18" ht="15.75" x14ac:dyDescent="0.25">
      <c r="C2" s="264" t="s">
        <v>722</v>
      </c>
      <c r="D2" s="264"/>
      <c r="E2" s="264"/>
      <c r="F2" s="264"/>
      <c r="G2" s="264"/>
      <c r="H2" s="264"/>
      <c r="I2" s="3"/>
      <c r="J2" s="3"/>
    </row>
    <row r="3" spans="1:18" ht="15.75" x14ac:dyDescent="0.25">
      <c r="C3" s="153"/>
      <c r="D3" s="153"/>
      <c r="E3" s="263" t="s">
        <v>508</v>
      </c>
      <c r="F3" s="263"/>
      <c r="G3" s="263"/>
      <c r="H3" s="263"/>
      <c r="I3" s="7"/>
      <c r="J3" s="7"/>
    </row>
    <row r="4" spans="1:18" ht="15.75" x14ac:dyDescent="0.2">
      <c r="E4" s="7"/>
      <c r="F4" s="7"/>
      <c r="G4" s="7"/>
      <c r="H4" s="7"/>
      <c r="I4" s="7"/>
      <c r="J4" s="7"/>
    </row>
    <row r="5" spans="1:18" ht="32.25" customHeight="1" x14ac:dyDescent="0.2">
      <c r="A5" s="278" t="s">
        <v>632</v>
      </c>
      <c r="B5" s="278"/>
      <c r="C5" s="278"/>
      <c r="D5" s="278"/>
      <c r="E5" s="278"/>
      <c r="F5" s="278"/>
      <c r="G5" s="278"/>
      <c r="H5" s="172"/>
      <c r="I5" s="172"/>
      <c r="J5" s="172"/>
    </row>
    <row r="6" spans="1:18" ht="13.5" customHeight="1" x14ac:dyDescent="0.2">
      <c r="A6" s="172"/>
      <c r="B6" s="172"/>
      <c r="C6" s="172"/>
      <c r="D6" s="172"/>
      <c r="E6" s="172"/>
      <c r="F6" s="172"/>
      <c r="G6" s="172"/>
      <c r="H6" s="172"/>
      <c r="I6" s="172"/>
      <c r="J6" s="172"/>
    </row>
    <row r="7" spans="1:18" x14ac:dyDescent="0.2">
      <c r="A7" s="172"/>
      <c r="B7" s="172"/>
      <c r="C7" s="172"/>
      <c r="D7" s="172"/>
      <c r="E7" s="172"/>
      <c r="F7" s="172"/>
      <c r="G7" s="277" t="s">
        <v>3</v>
      </c>
      <c r="H7" s="277"/>
      <c r="I7" s="172"/>
      <c r="J7" s="172"/>
    </row>
    <row r="8" spans="1:18" ht="39.75" customHeight="1" x14ac:dyDescent="0.2">
      <c r="A8" s="266" t="s">
        <v>4</v>
      </c>
      <c r="B8" s="268" t="s">
        <v>5</v>
      </c>
      <c r="C8" s="266" t="s">
        <v>6</v>
      </c>
      <c r="D8" s="268" t="s">
        <v>7</v>
      </c>
      <c r="E8" s="270" t="s">
        <v>8</v>
      </c>
      <c r="F8" s="271"/>
      <c r="G8" s="270" t="s">
        <v>9</v>
      </c>
      <c r="H8" s="271"/>
      <c r="I8" s="109"/>
      <c r="J8" s="109"/>
    </row>
    <row r="9" spans="1:18" ht="16.5" customHeight="1" x14ac:dyDescent="0.2">
      <c r="A9" s="267"/>
      <c r="B9" s="269"/>
      <c r="C9" s="267"/>
      <c r="D9" s="269"/>
      <c r="E9" s="10" t="s">
        <v>10</v>
      </c>
      <c r="F9" s="10" t="s">
        <v>11</v>
      </c>
      <c r="G9" s="10" t="s">
        <v>10</v>
      </c>
      <c r="H9" s="10" t="s">
        <v>11</v>
      </c>
      <c r="I9" s="109"/>
      <c r="J9" s="109"/>
    </row>
    <row r="10" spans="1:18" s="120" customFormat="1" ht="12.75" customHeight="1" x14ac:dyDescent="0.2">
      <c r="A10" s="11">
        <v>1</v>
      </c>
      <c r="B10" s="12" t="s">
        <v>12</v>
      </c>
      <c r="C10" s="10">
        <v>3</v>
      </c>
      <c r="D10" s="13">
        <v>4</v>
      </c>
      <c r="E10" s="10">
        <v>5</v>
      </c>
      <c r="F10" s="10">
        <v>6</v>
      </c>
      <c r="G10" s="10">
        <v>7</v>
      </c>
      <c r="H10" s="10">
        <v>8</v>
      </c>
      <c r="I10" s="109"/>
      <c r="J10" s="109"/>
      <c r="K10" s="4"/>
      <c r="L10" s="4"/>
      <c r="M10" s="4"/>
      <c r="N10" s="4"/>
      <c r="O10" s="4"/>
    </row>
    <row r="11" spans="1:18" s="120" customFormat="1" ht="18" customHeight="1" x14ac:dyDescent="0.2">
      <c r="A11" s="14">
        <v>1</v>
      </c>
      <c r="B11" s="12" t="s">
        <v>13</v>
      </c>
      <c r="C11" s="15" t="s">
        <v>14</v>
      </c>
      <c r="D11" s="10"/>
      <c r="E11" s="16">
        <f>+E12+E46</f>
        <v>17516.499999999996</v>
      </c>
      <c r="F11" s="16">
        <f>+F12+F46</f>
        <v>17510.2</v>
      </c>
      <c r="G11" s="16">
        <f>+G12+G46</f>
        <v>16577</v>
      </c>
      <c r="H11" s="16">
        <f>+H12+H46</f>
        <v>16571.099999999999</v>
      </c>
      <c r="I11" s="177"/>
      <c r="J11" s="177"/>
      <c r="K11" s="97"/>
      <c r="L11" s="97"/>
      <c r="M11" s="97"/>
      <c r="N11" s="97"/>
      <c r="O11" s="97"/>
      <c r="P11" s="163"/>
      <c r="Q11" s="163"/>
      <c r="R11" s="163"/>
    </row>
    <row r="12" spans="1:18" s="120" customFormat="1" ht="24.95" customHeight="1" x14ac:dyDescent="0.2">
      <c r="A12" s="14">
        <v>2</v>
      </c>
      <c r="B12" s="25" t="s">
        <v>633</v>
      </c>
      <c r="C12" s="178" t="s">
        <v>634</v>
      </c>
      <c r="D12" s="10"/>
      <c r="E12" s="158">
        <f>+E14+E17+E18+E19+E13+E15+E16+E20+E25+E22+E35+E21+E27+E28+E23+E24+E26+E29+E30+E31+E32+E33+E34+E36+E37+E38+E39+E45+E44</f>
        <v>16957.799999999996</v>
      </c>
      <c r="F12" s="158">
        <f>+F14+F17+F18+F19+F13+F15+F16+F20+F25+F22+F35+F21+F27+F28+F23+F24+F26+F29+F30+F31+F32+F33+F34+F36+F37+F38+F39+F45+F44</f>
        <v>16951.5</v>
      </c>
      <c r="G12" s="158">
        <f>+G14+G17+G18+G19+G13+G15+G16+G20+G25+G22+G35+G21+G27+G28+G23+G24+G26+G29+G30+G31+G32+G33+G34+G36+G37+G38+G39+G45+G44</f>
        <v>16106.1</v>
      </c>
      <c r="H12" s="158">
        <f>+H14+H17+H18+H19+H13+H15+H16+H20+H25+H22+H35+H21+H27+H28+H23+H24+H26+H29+H30+H31+H32+H33+H34+H36+H37+H38+H39+H45+H44</f>
        <v>16100.199999999999</v>
      </c>
      <c r="I12" s="179"/>
      <c r="J12" s="179"/>
      <c r="K12" s="97"/>
      <c r="L12" s="97"/>
      <c r="M12" s="97"/>
      <c r="N12" s="97"/>
      <c r="O12" s="97"/>
      <c r="P12" s="163"/>
      <c r="Q12" s="163"/>
      <c r="R12" s="163"/>
    </row>
    <row r="13" spans="1:18" ht="12.6" customHeight="1" x14ac:dyDescent="0.2">
      <c r="A13" s="14">
        <v>3</v>
      </c>
      <c r="B13" s="18"/>
      <c r="C13" s="31" t="s">
        <v>15</v>
      </c>
      <c r="D13" s="18" t="s">
        <v>16</v>
      </c>
      <c r="E13" s="20">
        <f>310.9-1.8+6.9</f>
        <v>315.99999999999994</v>
      </c>
      <c r="F13" s="20">
        <v>316</v>
      </c>
      <c r="G13" s="20">
        <f>300.4-1.7+6.8</f>
        <v>305.5</v>
      </c>
      <c r="H13" s="20">
        <v>305.5</v>
      </c>
      <c r="I13" s="22"/>
      <c r="J13" s="22"/>
      <c r="K13" s="22"/>
      <c r="L13" s="22"/>
      <c r="M13" s="97"/>
      <c r="N13" s="97"/>
      <c r="O13" s="97"/>
      <c r="P13" s="97"/>
      <c r="Q13" s="97"/>
      <c r="R13" s="97"/>
    </row>
    <row r="14" spans="1:18" ht="12.6" customHeight="1" x14ac:dyDescent="0.2">
      <c r="A14" s="14">
        <v>4</v>
      </c>
      <c r="B14" s="18"/>
      <c r="C14" s="31" t="s">
        <v>17</v>
      </c>
      <c r="D14" s="18" t="s">
        <v>16</v>
      </c>
      <c r="E14" s="20">
        <f>363.8-18.7+12.4</f>
        <v>357.5</v>
      </c>
      <c r="F14" s="20">
        <v>357.5</v>
      </c>
      <c r="G14" s="20">
        <f>352.2-18.4+12.2</f>
        <v>346</v>
      </c>
      <c r="H14" s="20">
        <v>346</v>
      </c>
      <c r="I14" s="22"/>
      <c r="J14" s="22"/>
      <c r="K14" s="22"/>
      <c r="L14" s="22"/>
      <c r="M14" s="97"/>
      <c r="N14" s="97"/>
      <c r="O14" s="97"/>
      <c r="P14" s="97"/>
      <c r="Q14" s="97"/>
      <c r="R14" s="97"/>
    </row>
    <row r="15" spans="1:18" ht="12.6" customHeight="1" x14ac:dyDescent="0.2">
      <c r="A15" s="14">
        <v>5</v>
      </c>
      <c r="B15" s="18"/>
      <c r="C15" s="31" t="s">
        <v>18</v>
      </c>
      <c r="D15" s="18" t="s">
        <v>16</v>
      </c>
      <c r="E15" s="20">
        <f>361+2.3+2.4</f>
        <v>365.7</v>
      </c>
      <c r="F15" s="20">
        <v>365.7</v>
      </c>
      <c r="G15" s="20">
        <f>348.5+2.3+2.4-4.6</f>
        <v>348.59999999999997</v>
      </c>
      <c r="H15" s="20">
        <v>348.6</v>
      </c>
      <c r="I15" s="22"/>
      <c r="J15" s="22"/>
      <c r="K15" s="22"/>
      <c r="L15" s="22"/>
      <c r="M15" s="97"/>
      <c r="N15" s="97"/>
      <c r="O15" s="97"/>
      <c r="P15" s="97"/>
      <c r="Q15" s="97"/>
      <c r="R15" s="97"/>
    </row>
    <row r="16" spans="1:18" ht="12.6" customHeight="1" x14ac:dyDescent="0.2">
      <c r="A16" s="14">
        <v>6</v>
      </c>
      <c r="B16" s="18"/>
      <c r="C16" s="31" t="s">
        <v>19</v>
      </c>
      <c r="D16" s="18" t="s">
        <v>16</v>
      </c>
      <c r="E16" s="20">
        <f>420-4+0.5</f>
        <v>416.5</v>
      </c>
      <c r="F16" s="20">
        <v>416.5</v>
      </c>
      <c r="G16" s="20">
        <f>405.6-4+0.5-15</f>
        <v>387.1</v>
      </c>
      <c r="H16" s="20">
        <v>387.1</v>
      </c>
      <c r="I16" s="22"/>
      <c r="J16" s="22"/>
      <c r="K16" s="22"/>
      <c r="L16" s="22"/>
      <c r="M16" s="97"/>
      <c r="N16" s="97"/>
      <c r="O16" s="97"/>
      <c r="P16" s="97"/>
      <c r="Q16" s="97"/>
      <c r="R16" s="97"/>
    </row>
    <row r="17" spans="1:18" ht="12.6" customHeight="1" x14ac:dyDescent="0.2">
      <c r="A17" s="14">
        <v>7</v>
      </c>
      <c r="B17" s="18"/>
      <c r="C17" s="31" t="s">
        <v>20</v>
      </c>
      <c r="D17" s="18" t="s">
        <v>16</v>
      </c>
      <c r="E17" s="20">
        <f>391.9-7.3+1.9</f>
        <v>386.49999999999994</v>
      </c>
      <c r="F17" s="20">
        <v>386.5</v>
      </c>
      <c r="G17" s="20">
        <f>378.4-7.1+1.9-13.1</f>
        <v>360.09999999999991</v>
      </c>
      <c r="H17" s="20">
        <v>360.1</v>
      </c>
      <c r="I17" s="22"/>
      <c r="J17" s="22"/>
      <c r="K17" s="22"/>
      <c r="L17" s="22"/>
      <c r="M17" s="97"/>
      <c r="N17" s="97"/>
      <c r="O17" s="97"/>
      <c r="P17" s="97"/>
      <c r="Q17" s="97"/>
      <c r="R17" s="97"/>
    </row>
    <row r="18" spans="1:18" ht="12.6" customHeight="1" x14ac:dyDescent="0.2">
      <c r="A18" s="14">
        <v>8</v>
      </c>
      <c r="B18" s="18"/>
      <c r="C18" s="31" t="s">
        <v>21</v>
      </c>
      <c r="D18" s="18" t="s">
        <v>16</v>
      </c>
      <c r="E18" s="20">
        <f>395.8-0.4+2.4</f>
        <v>397.8</v>
      </c>
      <c r="F18" s="20">
        <v>397.8</v>
      </c>
      <c r="G18" s="20">
        <f>384.2-0.4+2.4-6.1</f>
        <v>380.09999999999997</v>
      </c>
      <c r="H18" s="20">
        <v>380.1</v>
      </c>
      <c r="I18" s="22"/>
      <c r="J18" s="22"/>
      <c r="K18" s="22"/>
      <c r="L18" s="22"/>
      <c r="M18" s="97"/>
      <c r="N18" s="97"/>
      <c r="O18" s="97"/>
      <c r="Q18" s="97"/>
      <c r="R18" s="97"/>
    </row>
    <row r="19" spans="1:18" ht="12.6" customHeight="1" x14ac:dyDescent="0.2">
      <c r="A19" s="14">
        <v>9</v>
      </c>
      <c r="B19" s="18"/>
      <c r="C19" s="31" t="s">
        <v>22</v>
      </c>
      <c r="D19" s="18" t="s">
        <v>16</v>
      </c>
      <c r="E19" s="20">
        <f>391.1-2.4+2.4</f>
        <v>391.1</v>
      </c>
      <c r="F19" s="20">
        <v>391.1</v>
      </c>
      <c r="G19" s="20">
        <f>377.1-2.4+2.4</f>
        <v>377.1</v>
      </c>
      <c r="H19" s="20">
        <v>377.1</v>
      </c>
      <c r="I19" s="22"/>
      <c r="J19" s="22"/>
      <c r="K19" s="22"/>
      <c r="L19" s="22"/>
      <c r="M19" s="97"/>
      <c r="N19" s="97"/>
      <c r="O19" s="180"/>
      <c r="Q19" s="97"/>
      <c r="R19" s="97"/>
    </row>
    <row r="20" spans="1:18" ht="12.6" customHeight="1" x14ac:dyDescent="0.2">
      <c r="A20" s="14">
        <v>10</v>
      </c>
      <c r="B20" s="33"/>
      <c r="C20" s="24" t="s">
        <v>23</v>
      </c>
      <c r="D20" s="33" t="s">
        <v>24</v>
      </c>
      <c r="E20" s="20">
        <f>418.5+4+1.5</f>
        <v>424</v>
      </c>
      <c r="F20" s="20">
        <v>424</v>
      </c>
      <c r="G20" s="20">
        <f>401.9+4+1.5-1.7</f>
        <v>405.7</v>
      </c>
      <c r="H20" s="20">
        <v>405.7</v>
      </c>
      <c r="I20" s="22"/>
      <c r="J20" s="22"/>
      <c r="K20" s="22"/>
      <c r="L20" s="22"/>
      <c r="M20" s="97"/>
      <c r="N20" s="97"/>
      <c r="O20" s="97"/>
      <c r="Q20" s="97"/>
      <c r="R20" s="97"/>
    </row>
    <row r="21" spans="1:18" ht="12.6" customHeight="1" x14ac:dyDescent="0.2">
      <c r="A21" s="14">
        <v>11</v>
      </c>
      <c r="B21" s="33"/>
      <c r="C21" s="31" t="s">
        <v>25</v>
      </c>
      <c r="D21" s="33" t="s">
        <v>26</v>
      </c>
      <c r="E21" s="20">
        <f>1179.2-22+17.4</f>
        <v>1174.6000000000001</v>
      </c>
      <c r="F21" s="20">
        <v>1174.5999999999999</v>
      </c>
      <c r="G21" s="20">
        <f>1127.7-21.3+17.2-6</f>
        <v>1117.6000000000001</v>
      </c>
      <c r="H21" s="20">
        <v>1117.5999999999999</v>
      </c>
      <c r="I21" s="22"/>
      <c r="J21" s="22"/>
      <c r="K21" s="22"/>
      <c r="L21" s="22"/>
      <c r="M21" s="97"/>
      <c r="N21" s="97"/>
      <c r="O21" s="97"/>
      <c r="P21" s="97"/>
      <c r="Q21" s="97"/>
      <c r="R21" s="97"/>
    </row>
    <row r="22" spans="1:18" ht="12.6" customHeight="1" x14ac:dyDescent="0.2">
      <c r="A22" s="14">
        <v>12</v>
      </c>
      <c r="B22" s="33"/>
      <c r="C22" s="31" t="s">
        <v>27</v>
      </c>
      <c r="D22" s="33" t="s">
        <v>26</v>
      </c>
      <c r="E22" s="20">
        <f>1137.2+12.3+2.3</f>
        <v>1151.8</v>
      </c>
      <c r="F22" s="20">
        <v>1151.8</v>
      </c>
      <c r="G22" s="20">
        <f>1087.8+11.5+2.3-4.6</f>
        <v>1097</v>
      </c>
      <c r="H22" s="20">
        <v>1097</v>
      </c>
      <c r="I22" s="22"/>
      <c r="J22" s="22"/>
      <c r="K22" s="22"/>
      <c r="L22" s="22"/>
      <c r="M22" s="97"/>
      <c r="N22" s="97"/>
      <c r="O22" s="97"/>
      <c r="P22" s="97"/>
      <c r="Q22" s="97"/>
      <c r="R22" s="97"/>
    </row>
    <row r="23" spans="1:18" ht="12.6" customHeight="1" x14ac:dyDescent="0.2">
      <c r="A23" s="14">
        <v>13</v>
      </c>
      <c r="B23" s="33"/>
      <c r="C23" s="112" t="s">
        <v>29</v>
      </c>
      <c r="D23" s="33" t="s">
        <v>26</v>
      </c>
      <c r="E23" s="20">
        <f>981.9-15.1+11.1</f>
        <v>977.9</v>
      </c>
      <c r="F23" s="20">
        <v>977.9</v>
      </c>
      <c r="G23" s="20">
        <f>943.5-15+11-17.9</f>
        <v>921.6</v>
      </c>
      <c r="H23" s="20">
        <v>921.6</v>
      </c>
      <c r="I23" s="22"/>
      <c r="J23" s="22"/>
      <c r="K23" s="22"/>
      <c r="L23" s="22"/>
      <c r="M23" s="97"/>
      <c r="N23" s="97"/>
      <c r="O23" s="97"/>
      <c r="P23" s="97"/>
      <c r="Q23" s="97"/>
      <c r="R23" s="97"/>
    </row>
    <row r="24" spans="1:18" ht="12.6" customHeight="1" x14ac:dyDescent="0.2">
      <c r="A24" s="14">
        <v>14</v>
      </c>
      <c r="B24" s="33"/>
      <c r="C24" s="112" t="s">
        <v>30</v>
      </c>
      <c r="D24" s="33" t="s">
        <v>26</v>
      </c>
      <c r="E24" s="20">
        <f>742.9-9+29</f>
        <v>762.9</v>
      </c>
      <c r="F24" s="20">
        <v>762.9</v>
      </c>
      <c r="G24" s="20">
        <f>711.4-8.9+28.6-8.5</f>
        <v>722.6</v>
      </c>
      <c r="H24" s="20">
        <v>722.6</v>
      </c>
      <c r="I24" s="22"/>
      <c r="J24" s="22"/>
      <c r="K24" s="22"/>
      <c r="L24" s="22"/>
      <c r="M24" s="97"/>
      <c r="N24" s="97"/>
      <c r="O24" s="97"/>
      <c r="P24" s="97"/>
      <c r="Q24" s="97"/>
      <c r="R24" s="97"/>
    </row>
    <row r="25" spans="1:18" ht="12.6" customHeight="1" x14ac:dyDescent="0.2">
      <c r="A25" s="14">
        <v>15</v>
      </c>
      <c r="B25" s="33"/>
      <c r="C25" s="112" t="s">
        <v>31</v>
      </c>
      <c r="D25" s="33" t="s">
        <v>26</v>
      </c>
      <c r="E25" s="20">
        <f>885.5-27.1+3.1</f>
        <v>861.5</v>
      </c>
      <c r="F25" s="20">
        <v>861.5</v>
      </c>
      <c r="G25" s="20">
        <f>853.7-26.8+3.1-6</f>
        <v>824.00000000000011</v>
      </c>
      <c r="H25" s="20">
        <v>824</v>
      </c>
      <c r="I25" s="22"/>
      <c r="J25" s="22"/>
      <c r="K25" s="22"/>
      <c r="L25" s="22"/>
      <c r="M25" s="97"/>
      <c r="N25" s="97"/>
      <c r="O25" s="97"/>
      <c r="P25" s="97"/>
      <c r="Q25" s="97"/>
      <c r="R25" s="97"/>
    </row>
    <row r="26" spans="1:18" ht="12.6" customHeight="1" x14ac:dyDescent="0.2">
      <c r="A26" s="14">
        <v>16</v>
      </c>
      <c r="B26" s="33"/>
      <c r="C26" s="31" t="s">
        <v>32</v>
      </c>
      <c r="D26" s="33" t="s">
        <v>26</v>
      </c>
      <c r="E26" s="20">
        <f>689.2+75.4-47.5+3.7</f>
        <v>720.80000000000007</v>
      </c>
      <c r="F26" s="20">
        <v>720.8</v>
      </c>
      <c r="G26" s="20">
        <f>662.4+70.6-43.9+3.5</f>
        <v>692.6</v>
      </c>
      <c r="H26" s="20">
        <v>692.6</v>
      </c>
      <c r="I26" s="22"/>
      <c r="J26" s="22"/>
      <c r="K26" s="22"/>
      <c r="L26" s="22"/>
      <c r="M26" s="97"/>
      <c r="N26" s="97"/>
      <c r="O26" s="97"/>
      <c r="P26" s="97"/>
      <c r="Q26" s="97"/>
      <c r="R26" s="97"/>
    </row>
    <row r="27" spans="1:18" ht="12.6" customHeight="1" x14ac:dyDescent="0.2">
      <c r="A27" s="14">
        <v>17</v>
      </c>
      <c r="B27" s="33"/>
      <c r="C27" s="112" t="s">
        <v>33</v>
      </c>
      <c r="D27" s="33" t="s">
        <v>34</v>
      </c>
      <c r="E27" s="20">
        <f>1668.5-26.5+17.7</f>
        <v>1659.7</v>
      </c>
      <c r="F27" s="20">
        <v>1659.7</v>
      </c>
      <c r="G27" s="20">
        <f>1587.1-26.5+17.5-24.8</f>
        <v>1553.3</v>
      </c>
      <c r="H27" s="20">
        <v>1553.3</v>
      </c>
      <c r="I27" s="22"/>
      <c r="J27" s="22"/>
      <c r="K27" s="22"/>
      <c r="L27" s="22"/>
      <c r="M27" s="97"/>
      <c r="N27" s="97"/>
      <c r="O27" s="97"/>
      <c r="P27" s="97"/>
      <c r="Q27" s="97"/>
      <c r="R27" s="97"/>
    </row>
    <row r="28" spans="1:18" ht="12.6" customHeight="1" x14ac:dyDescent="0.2">
      <c r="A28" s="14">
        <v>18</v>
      </c>
      <c r="B28" s="33"/>
      <c r="C28" s="31" t="s">
        <v>35</v>
      </c>
      <c r="D28" s="56" t="s">
        <v>485</v>
      </c>
      <c r="E28" s="20">
        <f>1704.1-22.8+23.1</f>
        <v>1704.3999999999999</v>
      </c>
      <c r="F28" s="20">
        <v>1704.4</v>
      </c>
      <c r="G28" s="20">
        <f>1617.1-22.8+22.8-53</f>
        <v>1564.1</v>
      </c>
      <c r="H28" s="20">
        <v>1564.1</v>
      </c>
      <c r="I28" s="22"/>
      <c r="J28" s="22"/>
      <c r="K28" s="22"/>
      <c r="L28" s="22"/>
      <c r="M28" s="97"/>
      <c r="N28" s="97"/>
      <c r="O28" s="97"/>
      <c r="P28" s="97"/>
      <c r="Q28" s="97"/>
      <c r="R28" s="97"/>
    </row>
    <row r="29" spans="1:18" ht="12.6" customHeight="1" x14ac:dyDescent="0.2">
      <c r="A29" s="14">
        <v>19</v>
      </c>
      <c r="B29" s="33"/>
      <c r="C29" s="112" t="s">
        <v>36</v>
      </c>
      <c r="D29" s="56" t="s">
        <v>485</v>
      </c>
      <c r="E29" s="20">
        <f>1164-21.4+35.3</f>
        <v>1177.8999999999999</v>
      </c>
      <c r="F29" s="20">
        <v>1177.9000000000001</v>
      </c>
      <c r="G29" s="20">
        <f>1109.2-21.9+34.8-3.5</f>
        <v>1118.5999999999999</v>
      </c>
      <c r="H29" s="20">
        <v>1118.5999999999999</v>
      </c>
      <c r="I29" s="22"/>
      <c r="J29" s="22"/>
      <c r="K29" s="22"/>
      <c r="L29" s="22"/>
      <c r="M29" s="97"/>
      <c r="N29" s="97"/>
      <c r="O29" s="97"/>
      <c r="P29" s="97"/>
      <c r="Q29" s="97"/>
      <c r="R29" s="97"/>
    </row>
    <row r="30" spans="1:18" ht="12.6" customHeight="1" x14ac:dyDescent="0.2">
      <c r="A30" s="14">
        <v>20</v>
      </c>
      <c r="B30" s="33"/>
      <c r="C30" s="112" t="s">
        <v>37</v>
      </c>
      <c r="D30" s="33" t="s">
        <v>34</v>
      </c>
      <c r="E30" s="20">
        <f>408.5+0.4+0.5</f>
        <v>409.4</v>
      </c>
      <c r="F30" s="20">
        <v>409.4</v>
      </c>
      <c r="G30" s="20">
        <f>395.7+0.3+0.5+2.3</f>
        <v>398.8</v>
      </c>
      <c r="H30" s="20">
        <v>398.8</v>
      </c>
      <c r="I30" s="22"/>
      <c r="J30" s="22"/>
      <c r="K30" s="22"/>
      <c r="L30" s="22"/>
      <c r="M30" s="97"/>
      <c r="N30" s="97"/>
      <c r="O30" s="97"/>
      <c r="P30" s="97"/>
      <c r="Q30" s="97"/>
      <c r="R30" s="97"/>
    </row>
    <row r="31" spans="1:18" ht="12.6" customHeight="1" x14ac:dyDescent="0.2">
      <c r="A31" s="14">
        <v>21</v>
      </c>
      <c r="B31" s="33"/>
      <c r="C31" s="112" t="s">
        <v>38</v>
      </c>
      <c r="D31" s="33" t="s">
        <v>34</v>
      </c>
      <c r="E31" s="20">
        <f>847.4-23.5+19.4</f>
        <v>843.3</v>
      </c>
      <c r="F31" s="20">
        <v>843.3</v>
      </c>
      <c r="G31" s="20">
        <f>819.2-22.9+19.1-1.5</f>
        <v>813.90000000000009</v>
      </c>
      <c r="H31" s="20">
        <v>813.9</v>
      </c>
      <c r="I31" s="22"/>
      <c r="J31" s="22"/>
      <c r="K31" s="22"/>
      <c r="L31" s="22"/>
      <c r="M31" s="97"/>
      <c r="N31" s="97"/>
      <c r="O31" s="97"/>
      <c r="P31" s="97"/>
      <c r="Q31" s="97"/>
      <c r="R31" s="97"/>
    </row>
    <row r="32" spans="1:18" ht="12.6" customHeight="1" x14ac:dyDescent="0.2">
      <c r="A32" s="14">
        <v>22</v>
      </c>
      <c r="B32" s="33"/>
      <c r="C32" s="112" t="s">
        <v>486</v>
      </c>
      <c r="D32" s="33" t="s">
        <v>34</v>
      </c>
      <c r="E32" s="20">
        <f>345-12.7+1.5</f>
        <v>333.8</v>
      </c>
      <c r="F32" s="20">
        <v>333.7</v>
      </c>
      <c r="G32" s="20">
        <f>334.5-12.3+1.5-9.3</f>
        <v>314.39999999999998</v>
      </c>
      <c r="H32" s="20">
        <v>314.39999999999998</v>
      </c>
      <c r="I32" s="22"/>
      <c r="J32" s="22"/>
      <c r="K32" s="22"/>
      <c r="L32" s="22"/>
      <c r="M32" s="97"/>
      <c r="N32" s="97"/>
      <c r="O32" s="97"/>
      <c r="P32" s="97"/>
      <c r="Q32" s="97"/>
      <c r="R32" s="97"/>
    </row>
    <row r="33" spans="1:18" ht="12.6" customHeight="1" x14ac:dyDescent="0.2">
      <c r="A33" s="14">
        <v>23</v>
      </c>
      <c r="B33" s="181"/>
      <c r="C33" s="112" t="s">
        <v>40</v>
      </c>
      <c r="D33" s="33" t="s">
        <v>34</v>
      </c>
      <c r="E33" s="20">
        <f>377.3-9.6</f>
        <v>367.7</v>
      </c>
      <c r="F33" s="20">
        <v>367.7</v>
      </c>
      <c r="G33" s="20">
        <f>364.8-9.3-1</f>
        <v>354.5</v>
      </c>
      <c r="H33" s="20">
        <v>354.5</v>
      </c>
      <c r="I33" s="22"/>
      <c r="J33" s="22"/>
      <c r="K33" s="22"/>
      <c r="L33" s="22"/>
      <c r="M33" s="97"/>
      <c r="N33" s="97"/>
      <c r="O33" s="97"/>
      <c r="P33" s="97"/>
      <c r="Q33" s="97"/>
      <c r="R33" s="97"/>
    </row>
    <row r="34" spans="1:18" ht="12.6" customHeight="1" x14ac:dyDescent="0.2">
      <c r="A34" s="14">
        <v>24</v>
      </c>
      <c r="B34" s="33"/>
      <c r="C34" s="112" t="s">
        <v>41</v>
      </c>
      <c r="D34" s="33" t="s">
        <v>34</v>
      </c>
      <c r="E34" s="20">
        <f>321.3-75.4</f>
        <v>245.9</v>
      </c>
      <c r="F34" s="20">
        <v>245.9</v>
      </c>
      <c r="G34" s="20">
        <f>311.7-70.6</f>
        <v>241.1</v>
      </c>
      <c r="H34" s="20">
        <v>241.1</v>
      </c>
      <c r="I34" s="22"/>
      <c r="J34" s="22"/>
      <c r="K34" s="22"/>
      <c r="L34" s="22"/>
      <c r="M34" s="97"/>
      <c r="N34" s="97"/>
      <c r="O34" s="97"/>
      <c r="P34" s="97"/>
      <c r="Q34" s="97"/>
      <c r="R34" s="97"/>
    </row>
    <row r="35" spans="1:18" ht="25.5" x14ac:dyDescent="0.2">
      <c r="A35" s="14">
        <v>25</v>
      </c>
      <c r="B35" s="33"/>
      <c r="C35" s="112" t="s">
        <v>42</v>
      </c>
      <c r="D35" s="56" t="s">
        <v>635</v>
      </c>
      <c r="E35" s="20">
        <f>299.9-21.1+0.3</f>
        <v>279.09999999999997</v>
      </c>
      <c r="F35" s="20">
        <v>279.10000000000002</v>
      </c>
      <c r="G35" s="20">
        <f>284.7-20.5+0.3-2.5</f>
        <v>262</v>
      </c>
      <c r="H35" s="20">
        <v>262</v>
      </c>
      <c r="I35" s="22"/>
      <c r="J35" s="22"/>
      <c r="K35" s="22"/>
      <c r="L35" s="22"/>
      <c r="M35" s="97"/>
      <c r="N35" s="97"/>
      <c r="O35" s="97"/>
      <c r="P35" s="97"/>
      <c r="Q35" s="97"/>
      <c r="R35" s="97"/>
    </row>
    <row r="36" spans="1:18" ht="12.6" customHeight="1" x14ac:dyDescent="0.2">
      <c r="A36" s="14">
        <v>26</v>
      </c>
      <c r="B36" s="33"/>
      <c r="C36" s="31" t="s">
        <v>44</v>
      </c>
      <c r="D36" s="33" t="s">
        <v>34</v>
      </c>
      <c r="E36" s="20">
        <f>615.7+0.1+1.1</f>
        <v>616.90000000000009</v>
      </c>
      <c r="F36" s="20">
        <v>616.9</v>
      </c>
      <c r="G36" s="20">
        <f>601+0.1+1.1</f>
        <v>602.20000000000005</v>
      </c>
      <c r="H36" s="20">
        <v>602.20000000000005</v>
      </c>
      <c r="I36" s="22"/>
      <c r="J36" s="22"/>
      <c r="K36" s="22"/>
      <c r="L36" s="22"/>
      <c r="M36" s="97"/>
      <c r="N36" s="97"/>
      <c r="O36" s="97"/>
      <c r="P36" s="97"/>
      <c r="Q36" s="97"/>
      <c r="R36" s="97"/>
    </row>
    <row r="37" spans="1:18" ht="12.6" customHeight="1" x14ac:dyDescent="0.2">
      <c r="A37" s="14">
        <v>27</v>
      </c>
      <c r="B37" s="18"/>
      <c r="C37" s="31" t="s">
        <v>45</v>
      </c>
      <c r="D37" s="18" t="s">
        <v>46</v>
      </c>
      <c r="E37" s="20">
        <f>25+0.3</f>
        <v>25.3</v>
      </c>
      <c r="F37" s="29">
        <f>25.3-0.1</f>
        <v>25.2</v>
      </c>
      <c r="G37" s="20">
        <f>24.6+0.3</f>
        <v>24.900000000000002</v>
      </c>
      <c r="H37" s="20">
        <v>24.9</v>
      </c>
      <c r="I37" s="22"/>
      <c r="J37" s="22"/>
      <c r="K37" s="22"/>
      <c r="L37" s="22"/>
      <c r="M37" s="97"/>
      <c r="N37" s="97"/>
      <c r="O37" s="97"/>
      <c r="P37" s="97"/>
      <c r="Q37" s="97"/>
      <c r="R37" s="97"/>
    </row>
    <row r="38" spans="1:18" ht="12.6" customHeight="1" x14ac:dyDescent="0.2">
      <c r="A38" s="14">
        <v>28</v>
      </c>
      <c r="B38" s="18"/>
      <c r="C38" s="31" t="s">
        <v>49</v>
      </c>
      <c r="D38" s="18" t="s">
        <v>46</v>
      </c>
      <c r="E38" s="20">
        <f>36.2-1.4</f>
        <v>34.800000000000004</v>
      </c>
      <c r="F38" s="20">
        <v>34.799999999999997</v>
      </c>
      <c r="G38" s="20">
        <f>35.7-1.4</f>
        <v>34.300000000000004</v>
      </c>
      <c r="H38" s="20">
        <v>34.299999999999997</v>
      </c>
      <c r="I38" s="22"/>
      <c r="J38" s="22"/>
      <c r="K38" s="22"/>
      <c r="L38" s="22"/>
      <c r="M38" s="97"/>
      <c r="N38" s="97"/>
      <c r="O38" s="97"/>
      <c r="P38" s="97"/>
      <c r="Q38" s="97"/>
      <c r="R38" s="97"/>
    </row>
    <row r="39" spans="1:18" ht="12.6" customHeight="1" x14ac:dyDescent="0.2">
      <c r="A39" s="14">
        <v>29</v>
      </c>
      <c r="B39" s="18"/>
      <c r="C39" s="31" t="s">
        <v>636</v>
      </c>
      <c r="D39" s="18" t="s">
        <v>488</v>
      </c>
      <c r="E39" s="20">
        <f>+E40+E41+E42+E43</f>
        <v>330</v>
      </c>
      <c r="F39" s="20">
        <f>+F40+F41+F42+F43</f>
        <v>323.89999999999998</v>
      </c>
      <c r="G39" s="20">
        <f>+G40+G41+G42+G43</f>
        <v>322.7</v>
      </c>
      <c r="H39" s="20">
        <f>+H40+H41+H42+H43</f>
        <v>316.8</v>
      </c>
      <c r="I39" s="22"/>
      <c r="J39" s="22"/>
      <c r="K39" s="22"/>
      <c r="L39" s="22"/>
      <c r="M39" s="97"/>
      <c r="N39" s="97"/>
      <c r="O39" s="97"/>
      <c r="P39" s="97"/>
      <c r="Q39" s="97"/>
      <c r="R39" s="97"/>
    </row>
    <row r="40" spans="1:18" ht="24.95" customHeight="1" x14ac:dyDescent="0.2">
      <c r="A40" s="182" t="s">
        <v>637</v>
      </c>
      <c r="B40" s="183"/>
      <c r="C40" s="112" t="s">
        <v>638</v>
      </c>
      <c r="D40" s="18"/>
      <c r="E40" s="20">
        <f>208.2-0.4-50.7</f>
        <v>157.09999999999997</v>
      </c>
      <c r="F40" s="20">
        <v>151</v>
      </c>
      <c r="G40" s="20">
        <f>205.2-0.4-50</f>
        <v>154.79999999999998</v>
      </c>
      <c r="H40" s="29">
        <f>148.8+0.1</f>
        <v>148.9</v>
      </c>
      <c r="I40" s="22"/>
      <c r="J40" s="22"/>
      <c r="K40" s="22"/>
      <c r="L40" s="22"/>
      <c r="M40" s="97"/>
      <c r="N40" s="97"/>
      <c r="O40" s="97"/>
      <c r="P40" s="97"/>
      <c r="Q40" s="97"/>
      <c r="R40" s="97"/>
    </row>
    <row r="41" spans="1:18" ht="12.6" customHeight="1" x14ac:dyDescent="0.2">
      <c r="A41" s="182" t="s">
        <v>639</v>
      </c>
      <c r="B41" s="183"/>
      <c r="C41" s="112" t="s">
        <v>640</v>
      </c>
      <c r="D41" s="18"/>
      <c r="E41" s="20">
        <f>9.4-1.6</f>
        <v>7.8000000000000007</v>
      </c>
      <c r="F41" s="20">
        <v>7.8</v>
      </c>
      <c r="G41" s="20">
        <f>9.3-1.6</f>
        <v>7.7000000000000011</v>
      </c>
      <c r="H41" s="20">
        <v>7.7</v>
      </c>
      <c r="I41" s="22"/>
      <c r="J41" s="22"/>
      <c r="K41" s="22"/>
      <c r="L41" s="22"/>
      <c r="M41" s="97"/>
      <c r="N41" s="97"/>
      <c r="O41" s="97"/>
      <c r="P41" s="97"/>
      <c r="Q41" s="97"/>
      <c r="R41" s="97"/>
    </row>
    <row r="42" spans="1:18" ht="12.6" customHeight="1" x14ac:dyDescent="0.2">
      <c r="A42" s="182" t="s">
        <v>641</v>
      </c>
      <c r="B42" s="183"/>
      <c r="C42" s="112" t="s">
        <v>642</v>
      </c>
      <c r="D42" s="18"/>
      <c r="E42" s="20">
        <f>95.8+2.8</f>
        <v>98.6</v>
      </c>
      <c r="F42" s="20">
        <v>98.6</v>
      </c>
      <c r="G42" s="20">
        <f>93+2.7</f>
        <v>95.7</v>
      </c>
      <c r="H42" s="20">
        <v>95.7</v>
      </c>
      <c r="I42" s="22"/>
      <c r="J42" s="22"/>
      <c r="K42" s="22"/>
      <c r="L42" s="22"/>
      <c r="M42" s="97"/>
      <c r="N42" s="97"/>
      <c r="O42" s="97"/>
      <c r="P42" s="97"/>
      <c r="Q42" s="97"/>
      <c r="R42" s="97"/>
    </row>
    <row r="43" spans="1:18" ht="12.6" customHeight="1" x14ac:dyDescent="0.2">
      <c r="A43" s="182" t="s">
        <v>643</v>
      </c>
      <c r="B43" s="184"/>
      <c r="C43" s="112" t="s">
        <v>644</v>
      </c>
      <c r="D43" s="18"/>
      <c r="E43" s="20">
        <f>70.6-4.1</f>
        <v>66.5</v>
      </c>
      <c r="F43" s="20">
        <v>66.5</v>
      </c>
      <c r="G43" s="20">
        <f>68.5-4</f>
        <v>64.5</v>
      </c>
      <c r="H43" s="20">
        <v>64.5</v>
      </c>
      <c r="I43" s="22"/>
      <c r="J43" s="22"/>
      <c r="K43" s="22"/>
      <c r="L43" s="22"/>
      <c r="M43" s="97"/>
      <c r="N43" s="97"/>
      <c r="O43" s="97"/>
      <c r="P43" s="97"/>
      <c r="Q43" s="97"/>
      <c r="R43" s="97"/>
    </row>
    <row r="44" spans="1:18" ht="12.6" customHeight="1" x14ac:dyDescent="0.2">
      <c r="A44" s="14">
        <v>30</v>
      </c>
      <c r="B44" s="18"/>
      <c r="C44" s="185" t="s">
        <v>52</v>
      </c>
      <c r="D44" s="18" t="s">
        <v>16</v>
      </c>
      <c r="E44" s="20">
        <f>129.2+2.4+1.1</f>
        <v>132.69999999999999</v>
      </c>
      <c r="F44" s="20">
        <v>132.69999999999999</v>
      </c>
      <c r="G44" s="20">
        <f>125.4+2.3+1.1-1.1</f>
        <v>127.70000000000002</v>
      </c>
      <c r="H44" s="20">
        <v>127.7</v>
      </c>
      <c r="I44" s="22"/>
      <c r="J44" s="22"/>
      <c r="K44" s="22"/>
      <c r="L44" s="22"/>
      <c r="M44" s="97"/>
      <c r="N44" s="97"/>
      <c r="O44" s="97"/>
      <c r="P44" s="97"/>
      <c r="Q44" s="97"/>
      <c r="R44" s="97"/>
    </row>
    <row r="45" spans="1:18" ht="12.6" customHeight="1" x14ac:dyDescent="0.2">
      <c r="A45" s="14">
        <v>31</v>
      </c>
      <c r="B45" s="18"/>
      <c r="C45" s="185" t="s">
        <v>645</v>
      </c>
      <c r="D45" s="18" t="s">
        <v>16</v>
      </c>
      <c r="E45" s="20">
        <f>93.1-0.8</f>
        <v>92.3</v>
      </c>
      <c r="F45" s="20">
        <v>92.3</v>
      </c>
      <c r="G45" s="20">
        <f>90.2-0.7-1.5</f>
        <v>88</v>
      </c>
      <c r="H45" s="20">
        <v>88</v>
      </c>
      <c r="I45" s="22"/>
      <c r="J45" s="22"/>
      <c r="K45" s="22"/>
      <c r="L45" s="22"/>
      <c r="M45" s="97"/>
      <c r="N45" s="97"/>
      <c r="O45" s="97"/>
      <c r="P45" s="97"/>
      <c r="Q45" s="97"/>
      <c r="R45" s="97"/>
    </row>
    <row r="46" spans="1:18" ht="25.5" x14ac:dyDescent="0.2">
      <c r="A46" s="14">
        <v>32</v>
      </c>
      <c r="B46" s="25" t="s">
        <v>646</v>
      </c>
      <c r="C46" s="178" t="s">
        <v>647</v>
      </c>
      <c r="D46" s="183"/>
      <c r="E46" s="164">
        <f>+E47</f>
        <v>558.70000000000005</v>
      </c>
      <c r="F46" s="164">
        <f>+F47</f>
        <v>558.70000000000005</v>
      </c>
      <c r="G46" s="164">
        <f>+G47</f>
        <v>470.9</v>
      </c>
      <c r="H46" s="164">
        <f>+H47</f>
        <v>470.9</v>
      </c>
      <c r="I46" s="22"/>
      <c r="J46" s="22"/>
      <c r="K46" s="97"/>
      <c r="L46" s="97"/>
      <c r="M46" s="97"/>
      <c r="N46" s="97"/>
      <c r="O46" s="97"/>
      <c r="P46" s="97"/>
      <c r="Q46" s="97"/>
      <c r="R46" s="97"/>
    </row>
    <row r="47" spans="1:18" ht="12.6" customHeight="1" x14ac:dyDescent="0.2">
      <c r="A47" s="14">
        <v>33</v>
      </c>
      <c r="B47" s="18"/>
      <c r="C47" s="31" t="s">
        <v>44</v>
      </c>
      <c r="D47" s="33" t="s">
        <v>34</v>
      </c>
      <c r="E47" s="20">
        <v>558.70000000000005</v>
      </c>
      <c r="F47" s="20">
        <v>558.70000000000005</v>
      </c>
      <c r="G47" s="20">
        <v>470.9</v>
      </c>
      <c r="H47" s="20">
        <v>470.9</v>
      </c>
      <c r="I47" s="22"/>
      <c r="J47" s="22"/>
      <c r="K47" s="22"/>
      <c r="L47" s="22"/>
      <c r="M47" s="97"/>
      <c r="N47" s="97"/>
      <c r="O47" s="97"/>
      <c r="P47" s="97"/>
      <c r="Q47" s="97"/>
      <c r="R47" s="97"/>
    </row>
    <row r="48" spans="1:18" ht="18" customHeight="1" x14ac:dyDescent="0.2">
      <c r="A48" s="14">
        <v>34</v>
      </c>
      <c r="B48" s="12" t="s">
        <v>212</v>
      </c>
      <c r="C48" s="52" t="s">
        <v>213</v>
      </c>
      <c r="D48" s="65"/>
      <c r="E48" s="110">
        <f>E50</f>
        <v>54.1</v>
      </c>
      <c r="F48" s="110">
        <f>F50</f>
        <v>52.9</v>
      </c>
      <c r="G48" s="110">
        <f>G50</f>
        <v>53.300000000000004</v>
      </c>
      <c r="H48" s="110">
        <f>H50</f>
        <v>52.1</v>
      </c>
      <c r="I48" s="22"/>
      <c r="J48" s="22"/>
      <c r="K48" s="97"/>
      <c r="L48" s="97"/>
      <c r="M48" s="97"/>
      <c r="N48" s="97"/>
      <c r="O48" s="97"/>
      <c r="P48" s="97"/>
      <c r="Q48" s="97"/>
      <c r="R48" s="97"/>
    </row>
    <row r="49" spans="1:18" ht="12.6" customHeight="1" x14ac:dyDescent="0.2">
      <c r="A49" s="14">
        <v>35</v>
      </c>
      <c r="B49" s="25" t="s">
        <v>648</v>
      </c>
      <c r="C49" s="178" t="s">
        <v>634</v>
      </c>
      <c r="D49" s="65"/>
      <c r="E49" s="158">
        <f>+E50</f>
        <v>54.1</v>
      </c>
      <c r="F49" s="158">
        <f>+F50</f>
        <v>52.9</v>
      </c>
      <c r="G49" s="158">
        <f>+G50</f>
        <v>53.300000000000004</v>
      </c>
      <c r="H49" s="158">
        <f>+H50</f>
        <v>52.1</v>
      </c>
      <c r="I49" s="22"/>
      <c r="J49" s="22"/>
      <c r="K49" s="97"/>
      <c r="L49" s="97"/>
      <c r="M49" s="97"/>
      <c r="N49" s="97"/>
      <c r="O49" s="97"/>
      <c r="P49" s="97"/>
      <c r="Q49" s="97"/>
      <c r="R49" s="97"/>
    </row>
    <row r="50" spans="1:18" ht="12.6" customHeight="1" x14ac:dyDescent="0.2">
      <c r="A50" s="14">
        <v>36</v>
      </c>
      <c r="B50" s="49"/>
      <c r="C50" s="31" t="s">
        <v>214</v>
      </c>
      <c r="D50" s="18" t="s">
        <v>46</v>
      </c>
      <c r="E50" s="20">
        <f>52.9+1.2</f>
        <v>54.1</v>
      </c>
      <c r="F50" s="20">
        <v>52.9</v>
      </c>
      <c r="G50" s="20">
        <f>52.1+1.2</f>
        <v>53.300000000000004</v>
      </c>
      <c r="H50" s="20">
        <v>52.1</v>
      </c>
      <c r="I50" s="22"/>
      <c r="J50" s="22"/>
      <c r="K50" s="22"/>
      <c r="L50" s="22"/>
      <c r="M50" s="97"/>
      <c r="N50" s="97"/>
      <c r="O50" s="97"/>
      <c r="P50" s="97"/>
      <c r="Q50" s="97"/>
      <c r="R50" s="97"/>
    </row>
    <row r="51" spans="1:18" ht="12.75" customHeight="1" x14ac:dyDescent="0.2">
      <c r="A51" s="14">
        <v>37</v>
      </c>
      <c r="B51" s="12"/>
      <c r="C51" s="129" t="s">
        <v>481</v>
      </c>
      <c r="D51" s="18"/>
      <c r="E51" s="53">
        <f>+E11+E48</f>
        <v>17570.599999999995</v>
      </c>
      <c r="F51" s="53">
        <f>+F11+F48</f>
        <v>17563.100000000002</v>
      </c>
      <c r="G51" s="53">
        <f>+G11+G48</f>
        <v>16630.3</v>
      </c>
      <c r="H51" s="53">
        <f>+H11+H48</f>
        <v>16623.199999999997</v>
      </c>
      <c r="I51" s="131"/>
      <c r="J51" s="131"/>
      <c r="K51" s="97"/>
      <c r="L51" s="97"/>
      <c r="M51" s="97"/>
      <c r="N51" s="97"/>
      <c r="O51" s="97"/>
      <c r="P51" s="97"/>
      <c r="Q51" s="97"/>
      <c r="R51" s="97"/>
    </row>
    <row r="52" spans="1:18" ht="12.75" customHeight="1" x14ac:dyDescent="0.2">
      <c r="A52" s="1"/>
      <c r="B52" s="186"/>
      <c r="C52" s="130"/>
      <c r="D52" s="5"/>
      <c r="E52" s="187"/>
      <c r="F52" s="187"/>
      <c r="G52" s="187"/>
      <c r="H52" s="131"/>
      <c r="I52" s="131"/>
      <c r="J52" s="131"/>
      <c r="K52" s="97"/>
      <c r="L52" s="97"/>
      <c r="M52" s="97"/>
      <c r="N52" s="97"/>
      <c r="O52" s="97"/>
      <c r="P52" s="97"/>
      <c r="Q52" s="97"/>
      <c r="R52" s="97"/>
    </row>
    <row r="53" spans="1:18" x14ac:dyDescent="0.2">
      <c r="C53" s="171" t="s">
        <v>649</v>
      </c>
      <c r="D53" s="5"/>
      <c r="E53" s="118"/>
      <c r="F53" s="118"/>
      <c r="G53" s="118"/>
      <c r="H53" s="118"/>
      <c r="I53" s="118"/>
      <c r="J53" s="118"/>
    </row>
    <row r="54" spans="1:18" x14ac:dyDescent="0.2">
      <c r="E54" s="118"/>
      <c r="F54" s="118"/>
      <c r="G54" s="118"/>
      <c r="H54" s="118"/>
      <c r="I54" s="118"/>
      <c r="J54" s="118"/>
    </row>
    <row r="55" spans="1:18" x14ac:dyDescent="0.2">
      <c r="E55" s="104"/>
      <c r="F55" s="104"/>
      <c r="G55" s="104"/>
      <c r="H55" s="104"/>
      <c r="I55" s="104"/>
      <c r="J55" s="104"/>
    </row>
    <row r="56" spans="1:18" x14ac:dyDescent="0.2">
      <c r="E56" s="104"/>
      <c r="F56" s="104"/>
      <c r="G56" s="104"/>
      <c r="H56" s="104"/>
      <c r="I56" s="104"/>
      <c r="J56" s="104"/>
    </row>
    <row r="57" spans="1:18" x14ac:dyDescent="0.2">
      <c r="E57" s="104"/>
      <c r="F57" s="104"/>
      <c r="G57" s="104"/>
      <c r="H57" s="104"/>
      <c r="I57" s="104"/>
      <c r="J57" s="104"/>
    </row>
    <row r="58" spans="1:18" x14ac:dyDescent="0.2">
      <c r="E58" s="104"/>
      <c r="F58" s="104"/>
      <c r="G58" s="104"/>
      <c r="H58" s="104"/>
      <c r="I58" s="104"/>
      <c r="J58" s="104"/>
      <c r="K58" s="104"/>
      <c r="L58" s="104"/>
      <c r="M58" s="104"/>
      <c r="N58" s="104"/>
    </row>
    <row r="59" spans="1:18" x14ac:dyDescent="0.2">
      <c r="C59" s="6"/>
      <c r="E59" s="118"/>
      <c r="F59" s="118"/>
      <c r="G59" s="118"/>
      <c r="H59" s="118"/>
      <c r="I59" s="118"/>
      <c r="J59" s="118"/>
    </row>
    <row r="60" spans="1:18" x14ac:dyDescent="0.2">
      <c r="E60" s="6"/>
      <c r="F60" s="6"/>
      <c r="G60" s="6"/>
      <c r="H60" s="6"/>
      <c r="I60" s="6"/>
      <c r="J60" s="6"/>
    </row>
    <row r="61" spans="1:18" x14ac:dyDescent="0.2">
      <c r="C61" s="154"/>
      <c r="E61" s="104"/>
      <c r="F61" s="104"/>
      <c r="G61" s="104"/>
      <c r="H61" s="104"/>
      <c r="I61" s="104"/>
      <c r="J61" s="104"/>
    </row>
    <row r="62" spans="1:18" x14ac:dyDescent="0.2">
      <c r="E62" s="104"/>
      <c r="F62" s="104"/>
      <c r="G62" s="104"/>
      <c r="H62" s="104"/>
      <c r="I62" s="104"/>
      <c r="J62" s="104"/>
    </row>
    <row r="63" spans="1:18" x14ac:dyDescent="0.2">
      <c r="E63" s="6"/>
      <c r="F63" s="6"/>
      <c r="G63" s="6"/>
      <c r="H63" s="6"/>
      <c r="I63" s="6"/>
      <c r="J63" s="6"/>
    </row>
    <row r="64" spans="1:18" x14ac:dyDescent="0.2">
      <c r="E64" s="104"/>
      <c r="F64" s="104"/>
      <c r="G64" s="104"/>
      <c r="H64" s="104"/>
      <c r="I64" s="104"/>
      <c r="J64" s="104"/>
    </row>
    <row r="65" spans="5:10" x14ac:dyDescent="0.2">
      <c r="E65" s="6"/>
      <c r="F65" s="6"/>
      <c r="G65" s="6"/>
      <c r="H65" s="6"/>
      <c r="I65" s="6"/>
      <c r="J65" s="6"/>
    </row>
    <row r="66" spans="5:10" x14ac:dyDescent="0.2">
      <c r="E66" s="6"/>
      <c r="F66" s="6"/>
      <c r="G66" s="6"/>
      <c r="H66" s="6"/>
      <c r="I66" s="6"/>
      <c r="J66" s="6"/>
    </row>
  </sheetData>
  <mergeCells count="11">
    <mergeCell ref="G8:H8"/>
    <mergeCell ref="A8:A9"/>
    <mergeCell ref="B8:B9"/>
    <mergeCell ref="C8:C9"/>
    <mergeCell ref="D8:D9"/>
    <mergeCell ref="E8:F8"/>
    <mergeCell ref="E3:H3"/>
    <mergeCell ref="C2:H2"/>
    <mergeCell ref="C1:H1"/>
    <mergeCell ref="G7:H7"/>
    <mergeCell ref="A5:G5"/>
  </mergeCells>
  <pageMargins left="1.1023622047244095"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39A28-FB30-42FC-ABAD-A0B0DC90A932}">
  <dimension ref="A1:M202"/>
  <sheetViews>
    <sheetView workbookViewId="0">
      <selection activeCell="L80" sqref="L80"/>
    </sheetView>
  </sheetViews>
  <sheetFormatPr defaultRowHeight="12.75" x14ac:dyDescent="0.2"/>
  <cols>
    <col min="1" max="1" width="4.7109375" style="6" customWidth="1"/>
    <col min="2" max="2" width="7" style="5" customWidth="1"/>
    <col min="3" max="3" width="48.140625" style="171" customWidth="1"/>
    <col min="4" max="4" width="10.5703125" style="2" customWidth="1"/>
    <col min="5" max="6" width="10.42578125" style="1" customWidth="1"/>
    <col min="7" max="7" width="11.28515625" style="1" customWidth="1"/>
    <col min="8" max="9" width="9.140625" style="97"/>
    <col min="10" max="256" width="9.140625" style="4"/>
    <col min="257" max="257" width="4.7109375" style="4" customWidth="1"/>
    <col min="258" max="258" width="7" style="4" customWidth="1"/>
    <col min="259" max="259" width="48.140625" style="4" customWidth="1"/>
    <col min="260" max="260" width="10.5703125" style="4" customWidth="1"/>
    <col min="261" max="262" width="10.42578125" style="4" customWidth="1"/>
    <col min="263" max="263" width="11.28515625" style="4" customWidth="1"/>
    <col min="264" max="512" width="9.140625" style="4"/>
    <col min="513" max="513" width="4.7109375" style="4" customWidth="1"/>
    <col min="514" max="514" width="7" style="4" customWidth="1"/>
    <col min="515" max="515" width="48.140625" style="4" customWidth="1"/>
    <col min="516" max="516" width="10.5703125" style="4" customWidth="1"/>
    <col min="517" max="518" width="10.42578125" style="4" customWidth="1"/>
    <col min="519" max="519" width="11.28515625" style="4" customWidth="1"/>
    <col min="520" max="768" width="9.140625" style="4"/>
    <col min="769" max="769" width="4.7109375" style="4" customWidth="1"/>
    <col min="770" max="770" width="7" style="4" customWidth="1"/>
    <col min="771" max="771" width="48.140625" style="4" customWidth="1"/>
    <col min="772" max="772" width="10.5703125" style="4" customWidth="1"/>
    <col min="773" max="774" width="10.42578125" style="4" customWidth="1"/>
    <col min="775" max="775" width="11.28515625" style="4" customWidth="1"/>
    <col min="776" max="1024" width="9.140625" style="4"/>
    <col min="1025" max="1025" width="4.7109375" style="4" customWidth="1"/>
    <col min="1026" max="1026" width="7" style="4" customWidth="1"/>
    <col min="1027" max="1027" width="48.140625" style="4" customWidth="1"/>
    <col min="1028" max="1028" width="10.5703125" style="4" customWidth="1"/>
    <col min="1029" max="1030" width="10.42578125" style="4" customWidth="1"/>
    <col min="1031" max="1031" width="11.28515625" style="4" customWidth="1"/>
    <col min="1032" max="1280" width="9.140625" style="4"/>
    <col min="1281" max="1281" width="4.7109375" style="4" customWidth="1"/>
    <col min="1282" max="1282" width="7" style="4" customWidth="1"/>
    <col min="1283" max="1283" width="48.140625" style="4" customWidth="1"/>
    <col min="1284" max="1284" width="10.5703125" style="4" customWidth="1"/>
    <col min="1285" max="1286" width="10.42578125" style="4" customWidth="1"/>
    <col min="1287" max="1287" width="11.28515625" style="4" customWidth="1"/>
    <col min="1288" max="1536" width="9.140625" style="4"/>
    <col min="1537" max="1537" width="4.7109375" style="4" customWidth="1"/>
    <col min="1538" max="1538" width="7" style="4" customWidth="1"/>
    <col min="1539" max="1539" width="48.140625" style="4" customWidth="1"/>
    <col min="1540" max="1540" width="10.5703125" style="4" customWidth="1"/>
    <col min="1541" max="1542" width="10.42578125" style="4" customWidth="1"/>
    <col min="1543" max="1543" width="11.28515625" style="4" customWidth="1"/>
    <col min="1544" max="1792" width="9.140625" style="4"/>
    <col min="1793" max="1793" width="4.7109375" style="4" customWidth="1"/>
    <col min="1794" max="1794" width="7" style="4" customWidth="1"/>
    <col min="1795" max="1795" width="48.140625" style="4" customWidth="1"/>
    <col min="1796" max="1796" width="10.5703125" style="4" customWidth="1"/>
    <col min="1797" max="1798" width="10.42578125" style="4" customWidth="1"/>
    <col min="1799" max="1799" width="11.28515625" style="4" customWidth="1"/>
    <col min="1800" max="2048" width="9.140625" style="4"/>
    <col min="2049" max="2049" width="4.7109375" style="4" customWidth="1"/>
    <col min="2050" max="2050" width="7" style="4" customWidth="1"/>
    <col min="2051" max="2051" width="48.140625" style="4" customWidth="1"/>
    <col min="2052" max="2052" width="10.5703125" style="4" customWidth="1"/>
    <col min="2053" max="2054" width="10.42578125" style="4" customWidth="1"/>
    <col min="2055" max="2055" width="11.28515625" style="4" customWidth="1"/>
    <col min="2056" max="2304" width="9.140625" style="4"/>
    <col min="2305" max="2305" width="4.7109375" style="4" customWidth="1"/>
    <col min="2306" max="2306" width="7" style="4" customWidth="1"/>
    <col min="2307" max="2307" width="48.140625" style="4" customWidth="1"/>
    <col min="2308" max="2308" width="10.5703125" style="4" customWidth="1"/>
    <col min="2309" max="2310" width="10.42578125" style="4" customWidth="1"/>
    <col min="2311" max="2311" width="11.28515625" style="4" customWidth="1"/>
    <col min="2312" max="2560" width="9.140625" style="4"/>
    <col min="2561" max="2561" width="4.7109375" style="4" customWidth="1"/>
    <col min="2562" max="2562" width="7" style="4" customWidth="1"/>
    <col min="2563" max="2563" width="48.140625" style="4" customWidth="1"/>
    <col min="2564" max="2564" width="10.5703125" style="4" customWidth="1"/>
    <col min="2565" max="2566" width="10.42578125" style="4" customWidth="1"/>
    <col min="2567" max="2567" width="11.28515625" style="4" customWidth="1"/>
    <col min="2568" max="2816" width="9.140625" style="4"/>
    <col min="2817" max="2817" width="4.7109375" style="4" customWidth="1"/>
    <col min="2818" max="2818" width="7" style="4" customWidth="1"/>
    <col min="2819" max="2819" width="48.140625" style="4" customWidth="1"/>
    <col min="2820" max="2820" width="10.5703125" style="4" customWidth="1"/>
    <col min="2821" max="2822" width="10.42578125" style="4" customWidth="1"/>
    <col min="2823" max="2823" width="11.28515625" style="4" customWidth="1"/>
    <col min="2824" max="3072" width="9.140625" style="4"/>
    <col min="3073" max="3073" width="4.7109375" style="4" customWidth="1"/>
    <col min="3074" max="3074" width="7" style="4" customWidth="1"/>
    <col min="3075" max="3075" width="48.140625" style="4" customWidth="1"/>
    <col min="3076" max="3076" width="10.5703125" style="4" customWidth="1"/>
    <col min="3077" max="3078" width="10.42578125" style="4" customWidth="1"/>
    <col min="3079" max="3079" width="11.28515625" style="4" customWidth="1"/>
    <col min="3080" max="3328" width="9.140625" style="4"/>
    <col min="3329" max="3329" width="4.7109375" style="4" customWidth="1"/>
    <col min="3330" max="3330" width="7" style="4" customWidth="1"/>
    <col min="3331" max="3331" width="48.140625" style="4" customWidth="1"/>
    <col min="3332" max="3332" width="10.5703125" style="4" customWidth="1"/>
    <col min="3333" max="3334" width="10.42578125" style="4" customWidth="1"/>
    <col min="3335" max="3335" width="11.28515625" style="4" customWidth="1"/>
    <col min="3336" max="3584" width="9.140625" style="4"/>
    <col min="3585" max="3585" width="4.7109375" style="4" customWidth="1"/>
    <col min="3586" max="3586" width="7" style="4" customWidth="1"/>
    <col min="3587" max="3587" width="48.140625" style="4" customWidth="1"/>
    <col min="3588" max="3588" width="10.5703125" style="4" customWidth="1"/>
    <col min="3589" max="3590" width="10.42578125" style="4" customWidth="1"/>
    <col min="3591" max="3591" width="11.28515625" style="4" customWidth="1"/>
    <col min="3592" max="3840" width="9.140625" style="4"/>
    <col min="3841" max="3841" width="4.7109375" style="4" customWidth="1"/>
    <col min="3842" max="3842" width="7" style="4" customWidth="1"/>
    <col min="3843" max="3843" width="48.140625" style="4" customWidth="1"/>
    <col min="3844" max="3844" width="10.5703125" style="4" customWidth="1"/>
    <col min="3845" max="3846" width="10.42578125" style="4" customWidth="1"/>
    <col min="3847" max="3847" width="11.28515625" style="4" customWidth="1"/>
    <col min="3848" max="4096" width="9.140625" style="4"/>
    <col min="4097" max="4097" width="4.7109375" style="4" customWidth="1"/>
    <col min="4098" max="4098" width="7" style="4" customWidth="1"/>
    <col min="4099" max="4099" width="48.140625" style="4" customWidth="1"/>
    <col min="4100" max="4100" width="10.5703125" style="4" customWidth="1"/>
    <col min="4101" max="4102" width="10.42578125" style="4" customWidth="1"/>
    <col min="4103" max="4103" width="11.28515625" style="4" customWidth="1"/>
    <col min="4104" max="4352" width="9.140625" style="4"/>
    <col min="4353" max="4353" width="4.7109375" style="4" customWidth="1"/>
    <col min="4354" max="4354" width="7" style="4" customWidth="1"/>
    <col min="4355" max="4355" width="48.140625" style="4" customWidth="1"/>
    <col min="4356" max="4356" width="10.5703125" style="4" customWidth="1"/>
    <col min="4357" max="4358" width="10.42578125" style="4" customWidth="1"/>
    <col min="4359" max="4359" width="11.28515625" style="4" customWidth="1"/>
    <col min="4360" max="4608" width="9.140625" style="4"/>
    <col min="4609" max="4609" width="4.7109375" style="4" customWidth="1"/>
    <col min="4610" max="4610" width="7" style="4" customWidth="1"/>
    <col min="4611" max="4611" width="48.140625" style="4" customWidth="1"/>
    <col min="4612" max="4612" width="10.5703125" style="4" customWidth="1"/>
    <col min="4613" max="4614" width="10.42578125" style="4" customWidth="1"/>
    <col min="4615" max="4615" width="11.28515625" style="4" customWidth="1"/>
    <col min="4616" max="4864" width="9.140625" style="4"/>
    <col min="4865" max="4865" width="4.7109375" style="4" customWidth="1"/>
    <col min="4866" max="4866" width="7" style="4" customWidth="1"/>
    <col min="4867" max="4867" width="48.140625" style="4" customWidth="1"/>
    <col min="4868" max="4868" width="10.5703125" style="4" customWidth="1"/>
    <col min="4869" max="4870" width="10.42578125" style="4" customWidth="1"/>
    <col min="4871" max="4871" width="11.28515625" style="4" customWidth="1"/>
    <col min="4872" max="5120" width="9.140625" style="4"/>
    <col min="5121" max="5121" width="4.7109375" style="4" customWidth="1"/>
    <col min="5122" max="5122" width="7" style="4" customWidth="1"/>
    <col min="5123" max="5123" width="48.140625" style="4" customWidth="1"/>
    <col min="5124" max="5124" width="10.5703125" style="4" customWidth="1"/>
    <col min="5125" max="5126" width="10.42578125" style="4" customWidth="1"/>
    <col min="5127" max="5127" width="11.28515625" style="4" customWidth="1"/>
    <col min="5128" max="5376" width="9.140625" style="4"/>
    <col min="5377" max="5377" width="4.7109375" style="4" customWidth="1"/>
    <col min="5378" max="5378" width="7" style="4" customWidth="1"/>
    <col min="5379" max="5379" width="48.140625" style="4" customWidth="1"/>
    <col min="5380" max="5380" width="10.5703125" style="4" customWidth="1"/>
    <col min="5381" max="5382" width="10.42578125" style="4" customWidth="1"/>
    <col min="5383" max="5383" width="11.28515625" style="4" customWidth="1"/>
    <col min="5384" max="5632" width="9.140625" style="4"/>
    <col min="5633" max="5633" width="4.7109375" style="4" customWidth="1"/>
    <col min="5634" max="5634" width="7" style="4" customWidth="1"/>
    <col min="5635" max="5635" width="48.140625" style="4" customWidth="1"/>
    <col min="5636" max="5636" width="10.5703125" style="4" customWidth="1"/>
    <col min="5637" max="5638" width="10.42578125" style="4" customWidth="1"/>
    <col min="5639" max="5639" width="11.28515625" style="4" customWidth="1"/>
    <col min="5640" max="5888" width="9.140625" style="4"/>
    <col min="5889" max="5889" width="4.7109375" style="4" customWidth="1"/>
    <col min="5890" max="5890" width="7" style="4" customWidth="1"/>
    <col min="5891" max="5891" width="48.140625" style="4" customWidth="1"/>
    <col min="5892" max="5892" width="10.5703125" style="4" customWidth="1"/>
    <col min="5893" max="5894" width="10.42578125" style="4" customWidth="1"/>
    <col min="5895" max="5895" width="11.28515625" style="4" customWidth="1"/>
    <col min="5896" max="6144" width="9.140625" style="4"/>
    <col min="6145" max="6145" width="4.7109375" style="4" customWidth="1"/>
    <col min="6146" max="6146" width="7" style="4" customWidth="1"/>
    <col min="6147" max="6147" width="48.140625" style="4" customWidth="1"/>
    <col min="6148" max="6148" width="10.5703125" style="4" customWidth="1"/>
    <col min="6149" max="6150" width="10.42578125" style="4" customWidth="1"/>
    <col min="6151" max="6151" width="11.28515625" style="4" customWidth="1"/>
    <col min="6152" max="6400" width="9.140625" style="4"/>
    <col min="6401" max="6401" width="4.7109375" style="4" customWidth="1"/>
    <col min="6402" max="6402" width="7" style="4" customWidth="1"/>
    <col min="6403" max="6403" width="48.140625" style="4" customWidth="1"/>
    <col min="6404" max="6404" width="10.5703125" style="4" customWidth="1"/>
    <col min="6405" max="6406" width="10.42578125" style="4" customWidth="1"/>
    <col min="6407" max="6407" width="11.28515625" style="4" customWidth="1"/>
    <col min="6408" max="6656" width="9.140625" style="4"/>
    <col min="6657" max="6657" width="4.7109375" style="4" customWidth="1"/>
    <col min="6658" max="6658" width="7" style="4" customWidth="1"/>
    <col min="6659" max="6659" width="48.140625" style="4" customWidth="1"/>
    <col min="6660" max="6660" width="10.5703125" style="4" customWidth="1"/>
    <col min="6661" max="6662" width="10.42578125" style="4" customWidth="1"/>
    <col min="6663" max="6663" width="11.28515625" style="4" customWidth="1"/>
    <col min="6664" max="6912" width="9.140625" style="4"/>
    <col min="6913" max="6913" width="4.7109375" style="4" customWidth="1"/>
    <col min="6914" max="6914" width="7" style="4" customWidth="1"/>
    <col min="6915" max="6915" width="48.140625" style="4" customWidth="1"/>
    <col min="6916" max="6916" width="10.5703125" style="4" customWidth="1"/>
    <col min="6917" max="6918" width="10.42578125" style="4" customWidth="1"/>
    <col min="6919" max="6919" width="11.28515625" style="4" customWidth="1"/>
    <col min="6920" max="7168" width="9.140625" style="4"/>
    <col min="7169" max="7169" width="4.7109375" style="4" customWidth="1"/>
    <col min="7170" max="7170" width="7" style="4" customWidth="1"/>
    <col min="7171" max="7171" width="48.140625" style="4" customWidth="1"/>
    <col min="7172" max="7172" width="10.5703125" style="4" customWidth="1"/>
    <col min="7173" max="7174" width="10.42578125" style="4" customWidth="1"/>
    <col min="7175" max="7175" width="11.28515625" style="4" customWidth="1"/>
    <col min="7176" max="7424" width="9.140625" style="4"/>
    <col min="7425" max="7425" width="4.7109375" style="4" customWidth="1"/>
    <col min="7426" max="7426" width="7" style="4" customWidth="1"/>
    <col min="7427" max="7427" width="48.140625" style="4" customWidth="1"/>
    <col min="7428" max="7428" width="10.5703125" style="4" customWidth="1"/>
    <col min="7429" max="7430" width="10.42578125" style="4" customWidth="1"/>
    <col min="7431" max="7431" width="11.28515625" style="4" customWidth="1"/>
    <col min="7432" max="7680" width="9.140625" style="4"/>
    <col min="7681" max="7681" width="4.7109375" style="4" customWidth="1"/>
    <col min="7682" max="7682" width="7" style="4" customWidth="1"/>
    <col min="7683" max="7683" width="48.140625" style="4" customWidth="1"/>
    <col min="7684" max="7684" width="10.5703125" style="4" customWidth="1"/>
    <col min="7685" max="7686" width="10.42578125" style="4" customWidth="1"/>
    <col min="7687" max="7687" width="11.28515625" style="4" customWidth="1"/>
    <col min="7688" max="7936" width="9.140625" style="4"/>
    <col min="7937" max="7937" width="4.7109375" style="4" customWidth="1"/>
    <col min="7938" max="7938" width="7" style="4" customWidth="1"/>
    <col min="7939" max="7939" width="48.140625" style="4" customWidth="1"/>
    <col min="7940" max="7940" width="10.5703125" style="4" customWidth="1"/>
    <col min="7941" max="7942" width="10.42578125" style="4" customWidth="1"/>
    <col min="7943" max="7943" width="11.28515625" style="4" customWidth="1"/>
    <col min="7944" max="8192" width="9.140625" style="4"/>
    <col min="8193" max="8193" width="4.7109375" style="4" customWidth="1"/>
    <col min="8194" max="8194" width="7" style="4" customWidth="1"/>
    <col min="8195" max="8195" width="48.140625" style="4" customWidth="1"/>
    <col min="8196" max="8196" width="10.5703125" style="4" customWidth="1"/>
    <col min="8197" max="8198" width="10.42578125" style="4" customWidth="1"/>
    <col min="8199" max="8199" width="11.28515625" style="4" customWidth="1"/>
    <col min="8200" max="8448" width="9.140625" style="4"/>
    <col min="8449" max="8449" width="4.7109375" style="4" customWidth="1"/>
    <col min="8450" max="8450" width="7" style="4" customWidth="1"/>
    <col min="8451" max="8451" width="48.140625" style="4" customWidth="1"/>
    <col min="8452" max="8452" width="10.5703125" style="4" customWidth="1"/>
    <col min="8453" max="8454" width="10.42578125" style="4" customWidth="1"/>
    <col min="8455" max="8455" width="11.28515625" style="4" customWidth="1"/>
    <col min="8456" max="8704" width="9.140625" style="4"/>
    <col min="8705" max="8705" width="4.7109375" style="4" customWidth="1"/>
    <col min="8706" max="8706" width="7" style="4" customWidth="1"/>
    <col min="8707" max="8707" width="48.140625" style="4" customWidth="1"/>
    <col min="8708" max="8708" width="10.5703125" style="4" customWidth="1"/>
    <col min="8709" max="8710" width="10.42578125" style="4" customWidth="1"/>
    <col min="8711" max="8711" width="11.28515625" style="4" customWidth="1"/>
    <col min="8712" max="8960" width="9.140625" style="4"/>
    <col min="8961" max="8961" width="4.7109375" style="4" customWidth="1"/>
    <col min="8962" max="8962" width="7" style="4" customWidth="1"/>
    <col min="8963" max="8963" width="48.140625" style="4" customWidth="1"/>
    <col min="8964" max="8964" width="10.5703125" style="4" customWidth="1"/>
    <col min="8965" max="8966" width="10.42578125" style="4" customWidth="1"/>
    <col min="8967" max="8967" width="11.28515625" style="4" customWidth="1"/>
    <col min="8968" max="9216" width="9.140625" style="4"/>
    <col min="9217" max="9217" width="4.7109375" style="4" customWidth="1"/>
    <col min="9218" max="9218" width="7" style="4" customWidth="1"/>
    <col min="9219" max="9219" width="48.140625" style="4" customWidth="1"/>
    <col min="9220" max="9220" width="10.5703125" style="4" customWidth="1"/>
    <col min="9221" max="9222" width="10.42578125" style="4" customWidth="1"/>
    <col min="9223" max="9223" width="11.28515625" style="4" customWidth="1"/>
    <col min="9224" max="9472" width="9.140625" style="4"/>
    <col min="9473" max="9473" width="4.7109375" style="4" customWidth="1"/>
    <col min="9474" max="9474" width="7" style="4" customWidth="1"/>
    <col min="9475" max="9475" width="48.140625" style="4" customWidth="1"/>
    <col min="9476" max="9476" width="10.5703125" style="4" customWidth="1"/>
    <col min="9477" max="9478" width="10.42578125" style="4" customWidth="1"/>
    <col min="9479" max="9479" width="11.28515625" style="4" customWidth="1"/>
    <col min="9480" max="9728" width="9.140625" style="4"/>
    <col min="9729" max="9729" width="4.7109375" style="4" customWidth="1"/>
    <col min="9730" max="9730" width="7" style="4" customWidth="1"/>
    <col min="9731" max="9731" width="48.140625" style="4" customWidth="1"/>
    <col min="9732" max="9732" width="10.5703125" style="4" customWidth="1"/>
    <col min="9733" max="9734" width="10.42578125" style="4" customWidth="1"/>
    <col min="9735" max="9735" width="11.28515625" style="4" customWidth="1"/>
    <col min="9736" max="9984" width="9.140625" style="4"/>
    <col min="9985" max="9985" width="4.7109375" style="4" customWidth="1"/>
    <col min="9986" max="9986" width="7" style="4" customWidth="1"/>
    <col min="9987" max="9987" width="48.140625" style="4" customWidth="1"/>
    <col min="9988" max="9988" width="10.5703125" style="4" customWidth="1"/>
    <col min="9989" max="9990" width="10.42578125" style="4" customWidth="1"/>
    <col min="9991" max="9991" width="11.28515625" style="4" customWidth="1"/>
    <col min="9992" max="10240" width="9.140625" style="4"/>
    <col min="10241" max="10241" width="4.7109375" style="4" customWidth="1"/>
    <col min="10242" max="10242" width="7" style="4" customWidth="1"/>
    <col min="10243" max="10243" width="48.140625" style="4" customWidth="1"/>
    <col min="10244" max="10244" width="10.5703125" style="4" customWidth="1"/>
    <col min="10245" max="10246" width="10.42578125" style="4" customWidth="1"/>
    <col min="10247" max="10247" width="11.28515625" style="4" customWidth="1"/>
    <col min="10248" max="10496" width="9.140625" style="4"/>
    <col min="10497" max="10497" width="4.7109375" style="4" customWidth="1"/>
    <col min="10498" max="10498" width="7" style="4" customWidth="1"/>
    <col min="10499" max="10499" width="48.140625" style="4" customWidth="1"/>
    <col min="10500" max="10500" width="10.5703125" style="4" customWidth="1"/>
    <col min="10501" max="10502" width="10.42578125" style="4" customWidth="1"/>
    <col min="10503" max="10503" width="11.28515625" style="4" customWidth="1"/>
    <col min="10504" max="10752" width="9.140625" style="4"/>
    <col min="10753" max="10753" width="4.7109375" style="4" customWidth="1"/>
    <col min="10754" max="10754" width="7" style="4" customWidth="1"/>
    <col min="10755" max="10755" width="48.140625" style="4" customWidth="1"/>
    <col min="10756" max="10756" width="10.5703125" style="4" customWidth="1"/>
    <col min="10757" max="10758" width="10.42578125" style="4" customWidth="1"/>
    <col min="10759" max="10759" width="11.28515625" style="4" customWidth="1"/>
    <col min="10760" max="11008" width="9.140625" style="4"/>
    <col min="11009" max="11009" width="4.7109375" style="4" customWidth="1"/>
    <col min="11010" max="11010" width="7" style="4" customWidth="1"/>
    <col min="11011" max="11011" width="48.140625" style="4" customWidth="1"/>
    <col min="11012" max="11012" width="10.5703125" style="4" customWidth="1"/>
    <col min="11013" max="11014" width="10.42578125" style="4" customWidth="1"/>
    <col min="11015" max="11015" width="11.28515625" style="4" customWidth="1"/>
    <col min="11016" max="11264" width="9.140625" style="4"/>
    <col min="11265" max="11265" width="4.7109375" style="4" customWidth="1"/>
    <col min="11266" max="11266" width="7" style="4" customWidth="1"/>
    <col min="11267" max="11267" width="48.140625" style="4" customWidth="1"/>
    <col min="11268" max="11268" width="10.5703125" style="4" customWidth="1"/>
    <col min="11269" max="11270" width="10.42578125" style="4" customWidth="1"/>
    <col min="11271" max="11271" width="11.28515625" style="4" customWidth="1"/>
    <col min="11272" max="11520" width="9.140625" style="4"/>
    <col min="11521" max="11521" width="4.7109375" style="4" customWidth="1"/>
    <col min="11522" max="11522" width="7" style="4" customWidth="1"/>
    <col min="11523" max="11523" width="48.140625" style="4" customWidth="1"/>
    <col min="11524" max="11524" width="10.5703125" style="4" customWidth="1"/>
    <col min="11525" max="11526" width="10.42578125" style="4" customWidth="1"/>
    <col min="11527" max="11527" width="11.28515625" style="4" customWidth="1"/>
    <col min="11528" max="11776" width="9.140625" style="4"/>
    <col min="11777" max="11777" width="4.7109375" style="4" customWidth="1"/>
    <col min="11778" max="11778" width="7" style="4" customWidth="1"/>
    <col min="11779" max="11779" width="48.140625" style="4" customWidth="1"/>
    <col min="11780" max="11780" width="10.5703125" style="4" customWidth="1"/>
    <col min="11781" max="11782" width="10.42578125" style="4" customWidth="1"/>
    <col min="11783" max="11783" width="11.28515625" style="4" customWidth="1"/>
    <col min="11784" max="12032" width="9.140625" style="4"/>
    <col min="12033" max="12033" width="4.7109375" style="4" customWidth="1"/>
    <col min="12034" max="12034" width="7" style="4" customWidth="1"/>
    <col min="12035" max="12035" width="48.140625" style="4" customWidth="1"/>
    <col min="12036" max="12036" width="10.5703125" style="4" customWidth="1"/>
    <col min="12037" max="12038" width="10.42578125" style="4" customWidth="1"/>
    <col min="12039" max="12039" width="11.28515625" style="4" customWidth="1"/>
    <col min="12040" max="12288" width="9.140625" style="4"/>
    <col min="12289" max="12289" width="4.7109375" style="4" customWidth="1"/>
    <col min="12290" max="12290" width="7" style="4" customWidth="1"/>
    <col min="12291" max="12291" width="48.140625" style="4" customWidth="1"/>
    <col min="12292" max="12292" width="10.5703125" style="4" customWidth="1"/>
    <col min="12293" max="12294" width="10.42578125" style="4" customWidth="1"/>
    <col min="12295" max="12295" width="11.28515625" style="4" customWidth="1"/>
    <col min="12296" max="12544" width="9.140625" style="4"/>
    <col min="12545" max="12545" width="4.7109375" style="4" customWidth="1"/>
    <col min="12546" max="12546" width="7" style="4" customWidth="1"/>
    <col min="12547" max="12547" width="48.140625" style="4" customWidth="1"/>
    <col min="12548" max="12548" width="10.5703125" style="4" customWidth="1"/>
    <col min="12549" max="12550" width="10.42578125" style="4" customWidth="1"/>
    <col min="12551" max="12551" width="11.28515625" style="4" customWidth="1"/>
    <col min="12552" max="12800" width="9.140625" style="4"/>
    <col min="12801" max="12801" width="4.7109375" style="4" customWidth="1"/>
    <col min="12802" max="12802" width="7" style="4" customWidth="1"/>
    <col min="12803" max="12803" width="48.140625" style="4" customWidth="1"/>
    <col min="12804" max="12804" width="10.5703125" style="4" customWidth="1"/>
    <col min="12805" max="12806" width="10.42578125" style="4" customWidth="1"/>
    <col min="12807" max="12807" width="11.28515625" style="4" customWidth="1"/>
    <col min="12808" max="13056" width="9.140625" style="4"/>
    <col min="13057" max="13057" width="4.7109375" style="4" customWidth="1"/>
    <col min="13058" max="13058" width="7" style="4" customWidth="1"/>
    <col min="13059" max="13059" width="48.140625" style="4" customWidth="1"/>
    <col min="13060" max="13060" width="10.5703125" style="4" customWidth="1"/>
    <col min="13061" max="13062" width="10.42578125" style="4" customWidth="1"/>
    <col min="13063" max="13063" width="11.28515625" style="4" customWidth="1"/>
    <col min="13064" max="13312" width="9.140625" style="4"/>
    <col min="13313" max="13313" width="4.7109375" style="4" customWidth="1"/>
    <col min="13314" max="13314" width="7" style="4" customWidth="1"/>
    <col min="13315" max="13315" width="48.140625" style="4" customWidth="1"/>
    <col min="13316" max="13316" width="10.5703125" style="4" customWidth="1"/>
    <col min="13317" max="13318" width="10.42578125" style="4" customWidth="1"/>
    <col min="13319" max="13319" width="11.28515625" style="4" customWidth="1"/>
    <col min="13320" max="13568" width="9.140625" style="4"/>
    <col min="13569" max="13569" width="4.7109375" style="4" customWidth="1"/>
    <col min="13570" max="13570" width="7" style="4" customWidth="1"/>
    <col min="13571" max="13571" width="48.140625" style="4" customWidth="1"/>
    <col min="13572" max="13572" width="10.5703125" style="4" customWidth="1"/>
    <col min="13573" max="13574" width="10.42578125" style="4" customWidth="1"/>
    <col min="13575" max="13575" width="11.28515625" style="4" customWidth="1"/>
    <col min="13576" max="13824" width="9.140625" style="4"/>
    <col min="13825" max="13825" width="4.7109375" style="4" customWidth="1"/>
    <col min="13826" max="13826" width="7" style="4" customWidth="1"/>
    <col min="13827" max="13827" width="48.140625" style="4" customWidth="1"/>
    <col min="13828" max="13828" width="10.5703125" style="4" customWidth="1"/>
    <col min="13829" max="13830" width="10.42578125" style="4" customWidth="1"/>
    <col min="13831" max="13831" width="11.28515625" style="4" customWidth="1"/>
    <col min="13832" max="14080" width="9.140625" style="4"/>
    <col min="14081" max="14081" width="4.7109375" style="4" customWidth="1"/>
    <col min="14082" max="14082" width="7" style="4" customWidth="1"/>
    <col min="14083" max="14083" width="48.140625" style="4" customWidth="1"/>
    <col min="14084" max="14084" width="10.5703125" style="4" customWidth="1"/>
    <col min="14085" max="14086" width="10.42578125" style="4" customWidth="1"/>
    <col min="14087" max="14087" width="11.28515625" style="4" customWidth="1"/>
    <col min="14088" max="14336" width="9.140625" style="4"/>
    <col min="14337" max="14337" width="4.7109375" style="4" customWidth="1"/>
    <col min="14338" max="14338" width="7" style="4" customWidth="1"/>
    <col min="14339" max="14339" width="48.140625" style="4" customWidth="1"/>
    <col min="14340" max="14340" width="10.5703125" style="4" customWidth="1"/>
    <col min="14341" max="14342" width="10.42578125" style="4" customWidth="1"/>
    <col min="14343" max="14343" width="11.28515625" style="4" customWidth="1"/>
    <col min="14344" max="14592" width="9.140625" style="4"/>
    <col min="14593" max="14593" width="4.7109375" style="4" customWidth="1"/>
    <col min="14594" max="14594" width="7" style="4" customWidth="1"/>
    <col min="14595" max="14595" width="48.140625" style="4" customWidth="1"/>
    <col min="14596" max="14596" width="10.5703125" style="4" customWidth="1"/>
    <col min="14597" max="14598" width="10.42578125" style="4" customWidth="1"/>
    <col min="14599" max="14599" width="11.28515625" style="4" customWidth="1"/>
    <col min="14600" max="14848" width="9.140625" style="4"/>
    <col min="14849" max="14849" width="4.7109375" style="4" customWidth="1"/>
    <col min="14850" max="14850" width="7" style="4" customWidth="1"/>
    <col min="14851" max="14851" width="48.140625" style="4" customWidth="1"/>
    <col min="14852" max="14852" width="10.5703125" style="4" customWidth="1"/>
    <col min="14853" max="14854" width="10.42578125" style="4" customWidth="1"/>
    <col min="14855" max="14855" width="11.28515625" style="4" customWidth="1"/>
    <col min="14856" max="15104" width="9.140625" style="4"/>
    <col min="15105" max="15105" width="4.7109375" style="4" customWidth="1"/>
    <col min="15106" max="15106" width="7" style="4" customWidth="1"/>
    <col min="15107" max="15107" width="48.140625" style="4" customWidth="1"/>
    <col min="15108" max="15108" width="10.5703125" style="4" customWidth="1"/>
    <col min="15109" max="15110" width="10.42578125" style="4" customWidth="1"/>
    <col min="15111" max="15111" width="11.28515625" style="4" customWidth="1"/>
    <col min="15112" max="15360" width="9.140625" style="4"/>
    <col min="15361" max="15361" width="4.7109375" style="4" customWidth="1"/>
    <col min="15362" max="15362" width="7" style="4" customWidth="1"/>
    <col min="15363" max="15363" width="48.140625" style="4" customWidth="1"/>
    <col min="15364" max="15364" width="10.5703125" style="4" customWidth="1"/>
    <col min="15365" max="15366" width="10.42578125" style="4" customWidth="1"/>
    <col min="15367" max="15367" width="11.28515625" style="4" customWidth="1"/>
    <col min="15368" max="15616" width="9.140625" style="4"/>
    <col min="15617" max="15617" width="4.7109375" style="4" customWidth="1"/>
    <col min="15618" max="15618" width="7" style="4" customWidth="1"/>
    <col min="15619" max="15619" width="48.140625" style="4" customWidth="1"/>
    <col min="15620" max="15620" width="10.5703125" style="4" customWidth="1"/>
    <col min="15621" max="15622" width="10.42578125" style="4" customWidth="1"/>
    <col min="15623" max="15623" width="11.28515625" style="4" customWidth="1"/>
    <col min="15624" max="15872" width="9.140625" style="4"/>
    <col min="15873" max="15873" width="4.7109375" style="4" customWidth="1"/>
    <col min="15874" max="15874" width="7" style="4" customWidth="1"/>
    <col min="15875" max="15875" width="48.140625" style="4" customWidth="1"/>
    <col min="15876" max="15876" width="10.5703125" style="4" customWidth="1"/>
    <col min="15877" max="15878" width="10.42578125" style="4" customWidth="1"/>
    <col min="15879" max="15879" width="11.28515625" style="4" customWidth="1"/>
    <col min="15880" max="16128" width="9.140625" style="4"/>
    <col min="16129" max="16129" width="4.7109375" style="4" customWidth="1"/>
    <col min="16130" max="16130" width="7" style="4" customWidth="1"/>
    <col min="16131" max="16131" width="48.140625" style="4" customWidth="1"/>
    <col min="16132" max="16132" width="10.5703125" style="4" customWidth="1"/>
    <col min="16133" max="16134" width="10.42578125" style="4" customWidth="1"/>
    <col min="16135" max="16135" width="11.28515625" style="4" customWidth="1"/>
    <col min="16136" max="16384" width="9.140625" style="4"/>
  </cols>
  <sheetData>
    <row r="1" spans="1:10" ht="15.75" x14ac:dyDescent="0.25">
      <c r="C1" s="264" t="s">
        <v>650</v>
      </c>
      <c r="D1" s="264"/>
      <c r="E1" s="264"/>
      <c r="F1" s="264"/>
      <c r="G1" s="264"/>
      <c r="H1" s="264"/>
    </row>
    <row r="2" spans="1:10" ht="15" customHeight="1" x14ac:dyDescent="0.25">
      <c r="C2" s="264" t="s">
        <v>721</v>
      </c>
      <c r="D2" s="264"/>
      <c r="E2" s="264"/>
      <c r="F2" s="264"/>
      <c r="G2" s="264"/>
      <c r="H2" s="264"/>
    </row>
    <row r="3" spans="1:10" ht="15.75" x14ac:dyDescent="0.25">
      <c r="C3" s="153"/>
      <c r="D3" s="153"/>
      <c r="E3" s="263" t="s">
        <v>566</v>
      </c>
      <c r="F3" s="263"/>
      <c r="G3" s="263"/>
      <c r="H3" s="263"/>
    </row>
    <row r="4" spans="1:10" ht="15.75" x14ac:dyDescent="0.2">
      <c r="E4" s="7"/>
      <c r="F4" s="7"/>
      <c r="G4" s="7"/>
    </row>
    <row r="5" spans="1:10" ht="35.25" customHeight="1" x14ac:dyDescent="0.2">
      <c r="A5" s="273" t="s">
        <v>652</v>
      </c>
      <c r="B5" s="273"/>
      <c r="C5" s="273"/>
      <c r="D5" s="273"/>
      <c r="E5" s="273"/>
      <c r="F5" s="273"/>
      <c r="G5" s="273"/>
    </row>
    <row r="6" spans="1:10" ht="14.25" customHeight="1" x14ac:dyDescent="0.2">
      <c r="A6" s="109"/>
      <c r="B6" s="109"/>
      <c r="C6" s="109"/>
      <c r="D6" s="109"/>
      <c r="E6" s="109"/>
      <c r="F6" s="109"/>
      <c r="G6" s="109"/>
    </row>
    <row r="7" spans="1:10" x14ac:dyDescent="0.2">
      <c r="A7" s="109"/>
      <c r="B7" s="109"/>
      <c r="C7" s="109"/>
      <c r="D7" s="109"/>
      <c r="E7" s="109"/>
      <c r="F7" s="109"/>
      <c r="G7" s="279" t="s">
        <v>3</v>
      </c>
      <c r="H7" s="279"/>
    </row>
    <row r="8" spans="1:10" ht="25.5" customHeight="1" x14ac:dyDescent="0.2">
      <c r="A8" s="266" t="s">
        <v>4</v>
      </c>
      <c r="B8" s="268" t="s">
        <v>5</v>
      </c>
      <c r="C8" s="266" t="s">
        <v>6</v>
      </c>
      <c r="D8" s="268" t="s">
        <v>7</v>
      </c>
      <c r="E8" s="270" t="s">
        <v>8</v>
      </c>
      <c r="F8" s="271"/>
      <c r="G8" s="270" t="s">
        <v>9</v>
      </c>
      <c r="H8" s="271"/>
    </row>
    <row r="9" spans="1:10" ht="15" customHeight="1" x14ac:dyDescent="0.2">
      <c r="A9" s="267"/>
      <c r="B9" s="269"/>
      <c r="C9" s="267"/>
      <c r="D9" s="269"/>
      <c r="E9" s="10" t="s">
        <v>10</v>
      </c>
      <c r="F9" s="10" t="s">
        <v>11</v>
      </c>
      <c r="G9" s="10" t="s">
        <v>10</v>
      </c>
      <c r="H9" s="188" t="s">
        <v>11</v>
      </c>
    </row>
    <row r="10" spans="1:10" s="120" customFormat="1" ht="12.75" customHeight="1" x14ac:dyDescent="0.2">
      <c r="A10" s="11">
        <v>1</v>
      </c>
      <c r="B10" s="12" t="s">
        <v>12</v>
      </c>
      <c r="C10" s="10">
        <v>3</v>
      </c>
      <c r="D10" s="13">
        <v>4</v>
      </c>
      <c r="E10" s="10">
        <v>5</v>
      </c>
      <c r="F10" s="10">
        <v>6</v>
      </c>
      <c r="G10" s="10">
        <v>7</v>
      </c>
      <c r="H10" s="189">
        <v>8</v>
      </c>
      <c r="I10" s="163"/>
    </row>
    <row r="11" spans="1:10" s="120" customFormat="1" ht="18" customHeight="1" x14ac:dyDescent="0.2">
      <c r="A11" s="14">
        <v>1</v>
      </c>
      <c r="B11" s="12" t="s">
        <v>13</v>
      </c>
      <c r="C11" s="15" t="s">
        <v>14</v>
      </c>
      <c r="D11" s="10"/>
      <c r="E11" s="16">
        <f>+E12+E15+E30+E87+E53+E55+E78+E80+E83</f>
        <v>1680.8</v>
      </c>
      <c r="F11" s="16">
        <f>+F12+F15+F30+F87+F53+F55+F78+F80+F83</f>
        <v>1635.9</v>
      </c>
      <c r="G11" s="16">
        <f>+G12+G15+G30+G87+G53+G55+G78+G80+G83</f>
        <v>358.39999999999992</v>
      </c>
      <c r="H11" s="16">
        <f>+H12+H15+H30+H87+H53+H55+H78+H80+H83</f>
        <v>334.79999999999995</v>
      </c>
      <c r="I11" s="163"/>
    </row>
    <row r="12" spans="1:10" ht="14.45" customHeight="1" x14ac:dyDescent="0.2">
      <c r="A12" s="14">
        <v>2</v>
      </c>
      <c r="B12" s="25" t="s">
        <v>633</v>
      </c>
      <c r="C12" s="178" t="s">
        <v>653</v>
      </c>
      <c r="D12" s="49"/>
      <c r="E12" s="164">
        <f>+E13+E14</f>
        <v>270.90000000000003</v>
      </c>
      <c r="F12" s="164">
        <f>+F13+F14</f>
        <v>264.20000000000005</v>
      </c>
      <c r="G12" s="164">
        <f>+G13+G14</f>
        <v>8</v>
      </c>
      <c r="H12" s="164">
        <f>+H13+H14</f>
        <v>8</v>
      </c>
    </row>
    <row r="13" spans="1:10" ht="12.6" customHeight="1" x14ac:dyDescent="0.2">
      <c r="A13" s="14">
        <v>3</v>
      </c>
      <c r="B13" s="18"/>
      <c r="C13" s="139" t="s">
        <v>487</v>
      </c>
      <c r="D13" s="25" t="s">
        <v>654</v>
      </c>
      <c r="E13" s="20">
        <v>262.8</v>
      </c>
      <c r="F13" s="20">
        <v>256.10000000000002</v>
      </c>
      <c r="G13" s="20"/>
      <c r="H13" s="23"/>
    </row>
    <row r="14" spans="1:10" ht="12.6" customHeight="1" x14ac:dyDescent="0.2">
      <c r="A14" s="14">
        <v>4</v>
      </c>
      <c r="B14" s="18"/>
      <c r="C14" s="66" t="s">
        <v>655</v>
      </c>
      <c r="D14" s="39" t="s">
        <v>656</v>
      </c>
      <c r="E14" s="29">
        <v>8.1</v>
      </c>
      <c r="F14" s="29">
        <v>8.1</v>
      </c>
      <c r="G14" s="29">
        <v>8</v>
      </c>
      <c r="H14" s="23">
        <v>8</v>
      </c>
    </row>
    <row r="15" spans="1:10" ht="51" x14ac:dyDescent="0.2">
      <c r="A15" s="14">
        <v>5</v>
      </c>
      <c r="B15" s="25" t="s">
        <v>646</v>
      </c>
      <c r="C15" s="178" t="s">
        <v>657</v>
      </c>
      <c r="D15" s="49"/>
      <c r="E15" s="164">
        <f>SUM(E16:E29)</f>
        <v>31.199999999999996</v>
      </c>
      <c r="F15" s="164">
        <f>SUM(F16:F29)</f>
        <v>31.199999999999996</v>
      </c>
      <c r="G15" s="164">
        <f>SUM(G16:G29)</f>
        <v>31.199999999999996</v>
      </c>
      <c r="H15" s="164">
        <f>SUM(H16:H29)</f>
        <v>30.999999999999996</v>
      </c>
      <c r="J15" s="6"/>
    </row>
    <row r="16" spans="1:10" ht="12.6" customHeight="1" x14ac:dyDescent="0.2">
      <c r="A16" s="14">
        <v>6</v>
      </c>
      <c r="B16" s="18"/>
      <c r="C16" s="19" t="s">
        <v>27</v>
      </c>
      <c r="D16" s="18" t="s">
        <v>26</v>
      </c>
      <c r="E16" s="20">
        <v>2.4</v>
      </c>
      <c r="F16" s="20">
        <v>2.4</v>
      </c>
      <c r="G16" s="20">
        <v>2.4</v>
      </c>
      <c r="H16" s="23">
        <v>2.4</v>
      </c>
    </row>
    <row r="17" spans="1:10" ht="12.6" customHeight="1" x14ac:dyDescent="0.2">
      <c r="A17" s="14">
        <v>7</v>
      </c>
      <c r="B17" s="18"/>
      <c r="C17" s="24" t="s">
        <v>29</v>
      </c>
      <c r="D17" s="18" t="s">
        <v>26</v>
      </c>
      <c r="E17" s="20">
        <v>2.4</v>
      </c>
      <c r="F17" s="20">
        <v>2.4</v>
      </c>
      <c r="G17" s="20">
        <v>2.4</v>
      </c>
      <c r="H17" s="23">
        <v>2.4</v>
      </c>
    </row>
    <row r="18" spans="1:10" ht="12.6" customHeight="1" x14ac:dyDescent="0.2">
      <c r="A18" s="14">
        <v>8</v>
      </c>
      <c r="B18" s="18"/>
      <c r="C18" s="24" t="s">
        <v>30</v>
      </c>
      <c r="D18" s="18" t="s">
        <v>26</v>
      </c>
      <c r="E18" s="20">
        <v>2.4</v>
      </c>
      <c r="F18" s="20">
        <v>2.4</v>
      </c>
      <c r="G18" s="20">
        <v>2.4</v>
      </c>
      <c r="H18" s="23">
        <v>2.4</v>
      </c>
    </row>
    <row r="19" spans="1:10" ht="12.6" customHeight="1" x14ac:dyDescent="0.2">
      <c r="A19" s="14">
        <v>9</v>
      </c>
      <c r="B19" s="18"/>
      <c r="C19" s="24" t="s">
        <v>31</v>
      </c>
      <c r="D19" s="18" t="s">
        <v>26</v>
      </c>
      <c r="E19" s="20">
        <v>2.4</v>
      </c>
      <c r="F19" s="20">
        <v>2.4</v>
      </c>
      <c r="G19" s="20">
        <v>2.4</v>
      </c>
      <c r="H19" s="23">
        <v>2.4</v>
      </c>
    </row>
    <row r="20" spans="1:10" ht="12.6" customHeight="1" x14ac:dyDescent="0.2">
      <c r="A20" s="14">
        <v>10</v>
      </c>
      <c r="B20" s="18"/>
      <c r="C20" s="19" t="s">
        <v>32</v>
      </c>
      <c r="D20" s="18" t="s">
        <v>26</v>
      </c>
      <c r="E20" s="20">
        <v>2.4</v>
      </c>
      <c r="F20" s="20">
        <v>2.4</v>
      </c>
      <c r="G20" s="20">
        <v>2.4</v>
      </c>
      <c r="H20" s="34">
        <f>2.4-0.1</f>
        <v>2.2999999999999998</v>
      </c>
    </row>
    <row r="21" spans="1:10" ht="12.6" customHeight="1" x14ac:dyDescent="0.2">
      <c r="A21" s="14">
        <v>11</v>
      </c>
      <c r="B21" s="18"/>
      <c r="C21" s="24" t="s">
        <v>33</v>
      </c>
      <c r="D21" s="18" t="s">
        <v>34</v>
      </c>
      <c r="E21" s="20">
        <v>2.4</v>
      </c>
      <c r="F21" s="20">
        <v>2.4</v>
      </c>
      <c r="G21" s="20">
        <v>2.4</v>
      </c>
      <c r="H21" s="23">
        <v>2.4</v>
      </c>
    </row>
    <row r="22" spans="1:10" ht="12.6" customHeight="1" x14ac:dyDescent="0.2">
      <c r="A22" s="14">
        <v>12</v>
      </c>
      <c r="B22" s="18"/>
      <c r="C22" s="19" t="s">
        <v>35</v>
      </c>
      <c r="D22" s="25" t="s">
        <v>485</v>
      </c>
      <c r="E22" s="20">
        <v>2.4</v>
      </c>
      <c r="F22" s="20">
        <v>2.4</v>
      </c>
      <c r="G22" s="20">
        <v>2.4</v>
      </c>
      <c r="H22" s="23">
        <v>2.4</v>
      </c>
    </row>
    <row r="23" spans="1:10" ht="12.6" customHeight="1" x14ac:dyDescent="0.2">
      <c r="A23" s="14">
        <v>13</v>
      </c>
      <c r="B23" s="18"/>
      <c r="C23" s="24" t="s">
        <v>36</v>
      </c>
      <c r="D23" s="25" t="s">
        <v>485</v>
      </c>
      <c r="E23" s="20">
        <v>2.4</v>
      </c>
      <c r="F23" s="20">
        <v>2.4</v>
      </c>
      <c r="G23" s="20">
        <v>2.4</v>
      </c>
      <c r="H23" s="23">
        <v>2.4</v>
      </c>
    </row>
    <row r="24" spans="1:10" ht="12.6" customHeight="1" x14ac:dyDescent="0.2">
      <c r="A24" s="14">
        <v>14</v>
      </c>
      <c r="B24" s="18"/>
      <c r="C24" s="24" t="s">
        <v>38</v>
      </c>
      <c r="D24" s="18" t="s">
        <v>34</v>
      </c>
      <c r="E24" s="20">
        <v>1.8</v>
      </c>
      <c r="F24" s="20">
        <v>1.8</v>
      </c>
      <c r="G24" s="20">
        <v>1.8</v>
      </c>
      <c r="H24" s="23">
        <v>1.8</v>
      </c>
    </row>
    <row r="25" spans="1:10" ht="12.6" customHeight="1" x14ac:dyDescent="0.2">
      <c r="A25" s="14">
        <v>15</v>
      </c>
      <c r="B25" s="18"/>
      <c r="C25" s="24" t="s">
        <v>40</v>
      </c>
      <c r="D25" s="18" t="s">
        <v>34</v>
      </c>
      <c r="E25" s="20">
        <v>1.8</v>
      </c>
      <c r="F25" s="20">
        <v>1.8</v>
      </c>
      <c r="G25" s="20">
        <v>1.8</v>
      </c>
      <c r="H25" s="23">
        <v>1.8</v>
      </c>
    </row>
    <row r="26" spans="1:10" ht="25.5" x14ac:dyDescent="0.2">
      <c r="A26" s="14">
        <v>16</v>
      </c>
      <c r="B26" s="18"/>
      <c r="C26" s="24" t="s">
        <v>42</v>
      </c>
      <c r="D26" s="25" t="s">
        <v>635</v>
      </c>
      <c r="E26" s="20">
        <v>2.4</v>
      </c>
      <c r="F26" s="20">
        <v>2.4</v>
      </c>
      <c r="G26" s="20">
        <v>2.4</v>
      </c>
      <c r="H26" s="27">
        <f>2.4-0.1</f>
        <v>2.2999999999999998</v>
      </c>
      <c r="I26" s="104"/>
      <c r="J26" s="6"/>
    </row>
    <row r="27" spans="1:10" x14ac:dyDescent="0.2">
      <c r="A27" s="14">
        <v>17</v>
      </c>
      <c r="B27" s="18"/>
      <c r="C27" s="19" t="s">
        <v>45</v>
      </c>
      <c r="D27" s="18" t="s">
        <v>46</v>
      </c>
      <c r="E27" s="20">
        <v>1.2</v>
      </c>
      <c r="F27" s="20">
        <v>1.2</v>
      </c>
      <c r="G27" s="20">
        <v>1.2</v>
      </c>
      <c r="H27" s="23">
        <v>1.2</v>
      </c>
    </row>
    <row r="28" spans="1:10" x14ac:dyDescent="0.2">
      <c r="A28" s="14">
        <v>18</v>
      </c>
      <c r="B28" s="18"/>
      <c r="C28" s="19" t="s">
        <v>47</v>
      </c>
      <c r="D28" s="18" t="s">
        <v>46</v>
      </c>
      <c r="E28" s="20">
        <v>2.4</v>
      </c>
      <c r="F28" s="20">
        <v>2.4</v>
      </c>
      <c r="G28" s="20">
        <v>2.4</v>
      </c>
      <c r="H28" s="23">
        <v>2.4</v>
      </c>
    </row>
    <row r="29" spans="1:10" x14ac:dyDescent="0.2">
      <c r="A29" s="14">
        <v>19</v>
      </c>
      <c r="B29" s="18"/>
      <c r="C29" s="19" t="s">
        <v>49</v>
      </c>
      <c r="D29" s="18" t="s">
        <v>46</v>
      </c>
      <c r="E29" s="20">
        <v>2.4</v>
      </c>
      <c r="F29" s="20">
        <v>2.4</v>
      </c>
      <c r="G29" s="20">
        <v>2.4</v>
      </c>
      <c r="H29" s="23">
        <v>2.4</v>
      </c>
    </row>
    <row r="30" spans="1:10" ht="38.25" x14ac:dyDescent="0.2">
      <c r="A30" s="14">
        <v>20</v>
      </c>
      <c r="B30" s="18" t="s">
        <v>658</v>
      </c>
      <c r="C30" s="190" t="s">
        <v>659</v>
      </c>
      <c r="D30" s="25"/>
      <c r="E30" s="164">
        <f>SUM(E31:E52)</f>
        <v>208.99999999999997</v>
      </c>
      <c r="F30" s="164">
        <f>SUM(F31:F52)</f>
        <v>208.99999999999997</v>
      </c>
      <c r="G30" s="164">
        <f>SUM(G31:G52)</f>
        <v>205.99999999999997</v>
      </c>
      <c r="H30" s="164">
        <f>SUM(H31:H52)</f>
        <v>205.99999999999997</v>
      </c>
    </row>
    <row r="31" spans="1:10" x14ac:dyDescent="0.2">
      <c r="A31" s="14">
        <v>21</v>
      </c>
      <c r="B31" s="18"/>
      <c r="C31" s="19" t="s">
        <v>15</v>
      </c>
      <c r="D31" s="18" t="s">
        <v>16</v>
      </c>
      <c r="E31" s="20">
        <v>20.100000000000001</v>
      </c>
      <c r="F31" s="20">
        <v>20.100000000000001</v>
      </c>
      <c r="G31" s="20">
        <v>19.8</v>
      </c>
      <c r="H31" s="23">
        <v>19.8</v>
      </c>
    </row>
    <row r="32" spans="1:10" x14ac:dyDescent="0.2">
      <c r="A32" s="14">
        <v>22</v>
      </c>
      <c r="B32" s="18"/>
      <c r="C32" s="19" t="s">
        <v>17</v>
      </c>
      <c r="D32" s="18" t="s">
        <v>16</v>
      </c>
      <c r="E32" s="20">
        <v>17.899999999999999</v>
      </c>
      <c r="F32" s="20">
        <v>17.899999999999999</v>
      </c>
      <c r="G32" s="20">
        <v>17.600000000000001</v>
      </c>
      <c r="H32" s="23">
        <v>17.600000000000001</v>
      </c>
    </row>
    <row r="33" spans="1:8" x14ac:dyDescent="0.2">
      <c r="A33" s="14">
        <v>23</v>
      </c>
      <c r="B33" s="18"/>
      <c r="C33" s="19" t="s">
        <v>18</v>
      </c>
      <c r="D33" s="18" t="s">
        <v>16</v>
      </c>
      <c r="E33" s="20">
        <v>13.4</v>
      </c>
      <c r="F33" s="20">
        <v>13.4</v>
      </c>
      <c r="G33" s="20">
        <v>13.2</v>
      </c>
      <c r="H33" s="23">
        <v>13.2</v>
      </c>
    </row>
    <row r="34" spans="1:8" x14ac:dyDescent="0.2">
      <c r="A34" s="14">
        <v>24</v>
      </c>
      <c r="B34" s="18"/>
      <c r="C34" s="19" t="s">
        <v>19</v>
      </c>
      <c r="D34" s="18" t="s">
        <v>16</v>
      </c>
      <c r="E34" s="20">
        <v>9.1999999999999993</v>
      </c>
      <c r="F34" s="20">
        <v>9.1999999999999993</v>
      </c>
      <c r="G34" s="20">
        <v>9.1</v>
      </c>
      <c r="H34" s="23">
        <v>9.1</v>
      </c>
    </row>
    <row r="35" spans="1:8" x14ac:dyDescent="0.2">
      <c r="A35" s="14">
        <v>25</v>
      </c>
      <c r="B35" s="18"/>
      <c r="C35" s="19" t="s">
        <v>20</v>
      </c>
      <c r="D35" s="18" t="s">
        <v>16</v>
      </c>
      <c r="E35" s="20">
        <v>14.5</v>
      </c>
      <c r="F35" s="20">
        <v>14.5</v>
      </c>
      <c r="G35" s="20">
        <v>14.3</v>
      </c>
      <c r="H35" s="23">
        <v>14.3</v>
      </c>
    </row>
    <row r="36" spans="1:8" x14ac:dyDescent="0.2">
      <c r="A36" s="14">
        <v>26</v>
      </c>
      <c r="B36" s="18"/>
      <c r="C36" s="19" t="s">
        <v>21</v>
      </c>
      <c r="D36" s="18" t="s">
        <v>16</v>
      </c>
      <c r="E36" s="20">
        <v>24.8</v>
      </c>
      <c r="F36" s="20">
        <v>24.8</v>
      </c>
      <c r="G36" s="20">
        <v>24.5</v>
      </c>
      <c r="H36" s="34">
        <f>24.5</f>
        <v>24.5</v>
      </c>
    </row>
    <row r="37" spans="1:8" x14ac:dyDescent="0.2">
      <c r="A37" s="14">
        <v>27</v>
      </c>
      <c r="B37" s="18"/>
      <c r="C37" s="19" t="s">
        <v>22</v>
      </c>
      <c r="D37" s="18" t="s">
        <v>16</v>
      </c>
      <c r="E37" s="20">
        <v>17.7</v>
      </c>
      <c r="F37" s="20">
        <v>17.7</v>
      </c>
      <c r="G37" s="20">
        <v>17.399999999999999</v>
      </c>
      <c r="H37" s="23">
        <v>17.399999999999999</v>
      </c>
    </row>
    <row r="38" spans="1:8" x14ac:dyDescent="0.2">
      <c r="A38" s="14">
        <v>28</v>
      </c>
      <c r="B38" s="18"/>
      <c r="C38" s="24" t="s">
        <v>23</v>
      </c>
      <c r="D38" s="18" t="s">
        <v>24</v>
      </c>
      <c r="E38" s="20">
        <v>20.9</v>
      </c>
      <c r="F38" s="20">
        <v>20.9</v>
      </c>
      <c r="G38" s="20">
        <v>20.6</v>
      </c>
      <c r="H38" s="23">
        <v>20.6</v>
      </c>
    </row>
    <row r="39" spans="1:8" x14ac:dyDescent="0.2">
      <c r="A39" s="14">
        <v>29</v>
      </c>
      <c r="B39" s="18"/>
      <c r="C39" s="24" t="s">
        <v>29</v>
      </c>
      <c r="D39" s="18" t="s">
        <v>26</v>
      </c>
      <c r="E39" s="20">
        <v>11.3</v>
      </c>
      <c r="F39" s="20">
        <v>11.3</v>
      </c>
      <c r="G39" s="20">
        <v>11.1</v>
      </c>
      <c r="H39" s="23">
        <v>11.1</v>
      </c>
    </row>
    <row r="40" spans="1:8" x14ac:dyDescent="0.2">
      <c r="A40" s="14">
        <v>30</v>
      </c>
      <c r="B40" s="18"/>
      <c r="C40" s="24" t="s">
        <v>30</v>
      </c>
      <c r="D40" s="18" t="s">
        <v>26</v>
      </c>
      <c r="E40" s="20">
        <v>3.2</v>
      </c>
      <c r="F40" s="20">
        <v>3.2</v>
      </c>
      <c r="G40" s="20">
        <v>3.2</v>
      </c>
      <c r="H40" s="23">
        <v>3.2</v>
      </c>
    </row>
    <row r="41" spans="1:8" x14ac:dyDescent="0.2">
      <c r="A41" s="14">
        <v>31</v>
      </c>
      <c r="B41" s="18"/>
      <c r="C41" s="24" t="s">
        <v>31</v>
      </c>
      <c r="D41" s="18" t="s">
        <v>26</v>
      </c>
      <c r="E41" s="20">
        <v>11.2</v>
      </c>
      <c r="F41" s="20">
        <v>11.2</v>
      </c>
      <c r="G41" s="20">
        <v>11</v>
      </c>
      <c r="H41" s="23">
        <v>11</v>
      </c>
    </row>
    <row r="42" spans="1:8" x14ac:dyDescent="0.2">
      <c r="A42" s="14">
        <v>32</v>
      </c>
      <c r="B42" s="18"/>
      <c r="C42" s="19" t="s">
        <v>32</v>
      </c>
      <c r="D42" s="18" t="s">
        <v>26</v>
      </c>
      <c r="E42" s="20">
        <f>3.1+0.8</f>
        <v>3.9000000000000004</v>
      </c>
      <c r="F42" s="20">
        <v>3.9</v>
      </c>
      <c r="G42" s="20">
        <f>3.1+0.8</f>
        <v>3.9000000000000004</v>
      </c>
      <c r="H42" s="34">
        <f>3.8+0.1</f>
        <v>3.9</v>
      </c>
    </row>
    <row r="43" spans="1:8" ht="16.5" customHeight="1" x14ac:dyDescent="0.2">
      <c r="A43" s="14">
        <v>33</v>
      </c>
      <c r="B43" s="18"/>
      <c r="C43" s="24" t="s">
        <v>33</v>
      </c>
      <c r="D43" s="18" t="s">
        <v>34</v>
      </c>
      <c r="E43" s="20">
        <v>4.3</v>
      </c>
      <c r="F43" s="20">
        <v>4.3</v>
      </c>
      <c r="G43" s="20">
        <v>4.2</v>
      </c>
      <c r="H43" s="19">
        <v>4.2</v>
      </c>
    </row>
    <row r="44" spans="1:8" x14ac:dyDescent="0.2">
      <c r="A44" s="14">
        <v>34</v>
      </c>
      <c r="B44" s="18"/>
      <c r="C44" s="19" t="s">
        <v>35</v>
      </c>
      <c r="D44" s="18" t="s">
        <v>34</v>
      </c>
      <c r="E44" s="20">
        <v>7.4</v>
      </c>
      <c r="F44" s="20">
        <v>7.4</v>
      </c>
      <c r="G44" s="20">
        <v>7.3</v>
      </c>
      <c r="H44" s="23">
        <v>7.3</v>
      </c>
    </row>
    <row r="45" spans="1:8" x14ac:dyDescent="0.2">
      <c r="A45" s="14">
        <v>35</v>
      </c>
      <c r="B45" s="18"/>
      <c r="C45" s="24" t="s">
        <v>36</v>
      </c>
      <c r="D45" s="18" t="s">
        <v>34</v>
      </c>
      <c r="E45" s="20">
        <v>4.2</v>
      </c>
      <c r="F45" s="20">
        <v>4.2</v>
      </c>
      <c r="G45" s="20">
        <v>4.0999999999999996</v>
      </c>
      <c r="H45" s="23">
        <v>4.0999999999999996</v>
      </c>
    </row>
    <row r="46" spans="1:8" x14ac:dyDescent="0.2">
      <c r="A46" s="14">
        <v>36</v>
      </c>
      <c r="B46" s="18"/>
      <c r="C46" s="24" t="s">
        <v>37</v>
      </c>
      <c r="D46" s="18" t="s">
        <v>34</v>
      </c>
      <c r="E46" s="20">
        <v>0.7</v>
      </c>
      <c r="F46" s="20">
        <v>0.7</v>
      </c>
      <c r="G46" s="20">
        <v>0.7</v>
      </c>
      <c r="H46" s="23">
        <v>0.7</v>
      </c>
    </row>
    <row r="47" spans="1:8" x14ac:dyDescent="0.2">
      <c r="A47" s="14">
        <v>37</v>
      </c>
      <c r="B47" s="18"/>
      <c r="C47" s="24" t="s">
        <v>38</v>
      </c>
      <c r="D47" s="18" t="s">
        <v>34</v>
      </c>
      <c r="E47" s="20">
        <v>18.2</v>
      </c>
      <c r="F47" s="20">
        <v>18.2</v>
      </c>
      <c r="G47" s="20">
        <v>17.899999999999999</v>
      </c>
      <c r="H47" s="23">
        <v>17.899999999999999</v>
      </c>
    </row>
    <row r="48" spans="1:8" x14ac:dyDescent="0.2">
      <c r="A48" s="14">
        <v>38</v>
      </c>
      <c r="B48" s="18"/>
      <c r="C48" s="24" t="s">
        <v>39</v>
      </c>
      <c r="D48" s="18" t="s">
        <v>34</v>
      </c>
      <c r="E48" s="20">
        <v>1.4</v>
      </c>
      <c r="F48" s="20">
        <v>1.4</v>
      </c>
      <c r="G48" s="20">
        <v>1.4</v>
      </c>
      <c r="H48" s="23">
        <v>1.4</v>
      </c>
    </row>
    <row r="49" spans="1:13" x14ac:dyDescent="0.2">
      <c r="A49" s="14">
        <v>39</v>
      </c>
      <c r="B49" s="18"/>
      <c r="C49" s="24" t="s">
        <v>40</v>
      </c>
      <c r="D49" s="18" t="s">
        <v>34</v>
      </c>
      <c r="E49" s="20">
        <v>2.2000000000000002</v>
      </c>
      <c r="F49" s="20">
        <v>2.2000000000000002</v>
      </c>
      <c r="G49" s="20">
        <v>2.2000000000000002</v>
      </c>
      <c r="H49" s="23">
        <v>2.2000000000000002</v>
      </c>
    </row>
    <row r="50" spans="1:13" x14ac:dyDescent="0.2">
      <c r="A50" s="14">
        <v>40</v>
      </c>
      <c r="B50" s="18"/>
      <c r="C50" s="24" t="s">
        <v>41</v>
      </c>
      <c r="D50" s="18" t="s">
        <v>34</v>
      </c>
      <c r="E50" s="20">
        <f>0.8-0.8</f>
        <v>0</v>
      </c>
      <c r="F50" s="20">
        <v>0</v>
      </c>
      <c r="G50" s="20">
        <f>0.8-0.8</f>
        <v>0</v>
      </c>
      <c r="H50" s="23">
        <v>0</v>
      </c>
    </row>
    <row r="51" spans="1:13" x14ac:dyDescent="0.2">
      <c r="A51" s="14">
        <v>41</v>
      </c>
      <c r="B51" s="18"/>
      <c r="C51" s="35" t="s">
        <v>52</v>
      </c>
      <c r="D51" s="18" t="s">
        <v>16</v>
      </c>
      <c r="E51" s="20">
        <v>1.9</v>
      </c>
      <c r="F51" s="20">
        <v>1.9</v>
      </c>
      <c r="G51" s="20">
        <v>1.9</v>
      </c>
      <c r="H51" s="23">
        <v>1.9</v>
      </c>
      <c r="M51" s="9"/>
    </row>
    <row r="52" spans="1:13" x14ac:dyDescent="0.2">
      <c r="A52" s="14">
        <v>42</v>
      </c>
      <c r="B52" s="18"/>
      <c r="C52" s="35" t="s">
        <v>53</v>
      </c>
      <c r="D52" s="18" t="s">
        <v>16</v>
      </c>
      <c r="E52" s="20">
        <v>0.6</v>
      </c>
      <c r="F52" s="20">
        <v>0.6</v>
      </c>
      <c r="G52" s="20">
        <v>0.6</v>
      </c>
      <c r="H52" s="23">
        <v>0.6</v>
      </c>
    </row>
    <row r="53" spans="1:13" ht="38.25" x14ac:dyDescent="0.2">
      <c r="A53" s="14">
        <v>43</v>
      </c>
      <c r="B53" s="18" t="s">
        <v>660</v>
      </c>
      <c r="C53" s="58" t="s">
        <v>661</v>
      </c>
      <c r="D53" s="25"/>
      <c r="E53" s="164">
        <f>+E54</f>
        <v>3.2</v>
      </c>
      <c r="F53" s="164">
        <f>+F54</f>
        <v>3.2</v>
      </c>
      <c r="G53" s="164">
        <f>+G54</f>
        <v>0</v>
      </c>
      <c r="H53" s="164">
        <f>+H54</f>
        <v>0</v>
      </c>
    </row>
    <row r="54" spans="1:13" x14ac:dyDescent="0.2">
      <c r="A54" s="14">
        <v>44</v>
      </c>
      <c r="B54" s="18"/>
      <c r="C54" s="19" t="s">
        <v>21</v>
      </c>
      <c r="D54" s="18" t="s">
        <v>16</v>
      </c>
      <c r="E54" s="20">
        <v>3.2</v>
      </c>
      <c r="F54" s="20">
        <v>3.2</v>
      </c>
      <c r="G54" s="20"/>
      <c r="H54" s="23"/>
    </row>
    <row r="55" spans="1:13" ht="38.25" x14ac:dyDescent="0.2">
      <c r="A55" s="14">
        <v>45</v>
      </c>
      <c r="B55" s="18" t="s">
        <v>662</v>
      </c>
      <c r="C55" s="58" t="s">
        <v>663</v>
      </c>
      <c r="D55" s="18"/>
      <c r="E55" s="164">
        <f>SUM(E56:E77)</f>
        <v>122.70000000000002</v>
      </c>
      <c r="F55" s="164">
        <f>SUM(F56:F77)</f>
        <v>90.200000000000017</v>
      </c>
      <c r="G55" s="164">
        <f>SUM(G56:G77)</f>
        <v>106.29999999999998</v>
      </c>
      <c r="H55" s="164">
        <f>SUM(H56:H77)</f>
        <v>88.499999999999986</v>
      </c>
    </row>
    <row r="56" spans="1:13" x14ac:dyDescent="0.2">
      <c r="A56" s="14">
        <v>46</v>
      </c>
      <c r="B56" s="18"/>
      <c r="C56" s="27" t="s">
        <v>15</v>
      </c>
      <c r="D56" s="28" t="s">
        <v>16</v>
      </c>
      <c r="E56" s="29">
        <f>0.4+0.5+0.5+2.2+1+1.9+1.8</f>
        <v>8.3000000000000007</v>
      </c>
      <c r="F56" s="29">
        <v>4.5</v>
      </c>
      <c r="G56" s="29">
        <f>0.4+0.5+0.4+2.2+1</f>
        <v>4.5</v>
      </c>
      <c r="H56" s="191">
        <v>4.5</v>
      </c>
      <c r="I56" s="168"/>
    </row>
    <row r="57" spans="1:13" x14ac:dyDescent="0.2">
      <c r="A57" s="14">
        <v>47</v>
      </c>
      <c r="B57" s="18"/>
      <c r="C57" s="27" t="s">
        <v>17</v>
      </c>
      <c r="D57" s="28" t="s">
        <v>16</v>
      </c>
      <c r="E57" s="29">
        <f>0.2+0.4+0.9+0.4+0.6+0.6</f>
        <v>3.1</v>
      </c>
      <c r="F57" s="29">
        <v>1.9</v>
      </c>
      <c r="G57" s="29">
        <f>0.2+0.4+0.9+0.4</f>
        <v>1.9</v>
      </c>
      <c r="H57" s="191">
        <v>1.8</v>
      </c>
      <c r="I57" s="168"/>
    </row>
    <row r="58" spans="1:13" x14ac:dyDescent="0.2">
      <c r="A58" s="14">
        <v>48</v>
      </c>
      <c r="B58" s="18"/>
      <c r="C58" s="27" t="s">
        <v>18</v>
      </c>
      <c r="D58" s="28" t="s">
        <v>16</v>
      </c>
      <c r="E58" s="29">
        <f>0.1+0.1+0.7+1.5+0.4+0.6+0.6</f>
        <v>4</v>
      </c>
      <c r="F58" s="29">
        <f>2.9-0.1</f>
        <v>2.8</v>
      </c>
      <c r="G58" s="29">
        <f>0.1+0.1+0.7+1.5+0.4</f>
        <v>2.8</v>
      </c>
      <c r="H58" s="191">
        <v>2.8</v>
      </c>
      <c r="I58" s="168"/>
    </row>
    <row r="59" spans="1:13" x14ac:dyDescent="0.2">
      <c r="A59" s="14">
        <v>49</v>
      </c>
      <c r="B59" s="18"/>
      <c r="C59" s="27" t="s">
        <v>20</v>
      </c>
      <c r="D59" s="28" t="s">
        <v>16</v>
      </c>
      <c r="E59" s="29">
        <f>0.1+0.3+0.1+0.5+0.4</f>
        <v>1.4</v>
      </c>
      <c r="F59" s="29">
        <v>0.5</v>
      </c>
      <c r="G59" s="29">
        <f>0.1+0.3+0.1</f>
        <v>0.5</v>
      </c>
      <c r="H59" s="191">
        <v>0.5</v>
      </c>
      <c r="I59" s="168"/>
    </row>
    <row r="60" spans="1:13" x14ac:dyDescent="0.2">
      <c r="A60" s="14">
        <v>50</v>
      </c>
      <c r="B60" s="18"/>
      <c r="C60" s="27" t="s">
        <v>21</v>
      </c>
      <c r="D60" s="28" t="s">
        <v>16</v>
      </c>
      <c r="E60" s="29">
        <f>0.1+0.2+0.4+0.8+0.5+0.6+1</f>
        <v>3.6</v>
      </c>
      <c r="F60" s="29">
        <v>2.2999999999999998</v>
      </c>
      <c r="G60" s="29">
        <f>0.1+0.2+0.4+0.8+0.5+0.3</f>
        <v>2.2999999999999998</v>
      </c>
      <c r="H60" s="191">
        <v>2.2999999999999998</v>
      </c>
      <c r="I60" s="168"/>
    </row>
    <row r="61" spans="1:13" x14ac:dyDescent="0.2">
      <c r="A61" s="14">
        <v>51</v>
      </c>
      <c r="B61" s="18"/>
      <c r="C61" s="27" t="s">
        <v>22</v>
      </c>
      <c r="D61" s="28" t="s">
        <v>16</v>
      </c>
      <c r="E61" s="29">
        <f>0.1+0.2+0.4+0.7+0.2+0.5+0.7</f>
        <v>2.8</v>
      </c>
      <c r="F61" s="29">
        <v>1.6</v>
      </c>
      <c r="G61" s="29">
        <f>0.1+0.2+0.4+0.7+0.2</f>
        <v>1.5999999999999999</v>
      </c>
      <c r="H61" s="191">
        <v>1.6</v>
      </c>
      <c r="I61" s="168"/>
    </row>
    <row r="62" spans="1:13" x14ac:dyDescent="0.2">
      <c r="A62" s="14">
        <v>52</v>
      </c>
      <c r="B62" s="18"/>
      <c r="C62" s="72" t="s">
        <v>23</v>
      </c>
      <c r="D62" s="28" t="s">
        <v>24</v>
      </c>
      <c r="E62" s="29">
        <f>0.3+0.2</f>
        <v>0.5</v>
      </c>
      <c r="F62" s="29">
        <v>0.5</v>
      </c>
      <c r="G62" s="29">
        <f>0.3+0.2</f>
        <v>0.5</v>
      </c>
      <c r="H62" s="191">
        <v>0.5</v>
      </c>
      <c r="I62" s="168"/>
    </row>
    <row r="63" spans="1:13" x14ac:dyDescent="0.2">
      <c r="A63" s="14">
        <v>53</v>
      </c>
      <c r="B63" s="18"/>
      <c r="C63" s="27" t="s">
        <v>25</v>
      </c>
      <c r="D63" s="28" t="s">
        <v>26</v>
      </c>
      <c r="E63" s="29">
        <f>1.8+2+3.8+3+0.3+1</f>
        <v>11.9</v>
      </c>
      <c r="F63" s="29">
        <v>8.9</v>
      </c>
      <c r="G63" s="29">
        <f>1.7+1.9+3.9+3+0.3+1</f>
        <v>11.8</v>
      </c>
      <c r="H63" s="191">
        <v>8.8000000000000007</v>
      </c>
      <c r="I63" s="168"/>
    </row>
    <row r="64" spans="1:13" ht="25.5" x14ac:dyDescent="0.2">
      <c r="A64" s="14">
        <v>54</v>
      </c>
      <c r="B64" s="18"/>
      <c r="C64" s="27" t="s">
        <v>27</v>
      </c>
      <c r="D64" s="39" t="s">
        <v>28</v>
      </c>
      <c r="E64" s="29">
        <f>0.2+0.3+0.3</f>
        <v>0.8</v>
      </c>
      <c r="F64" s="29">
        <v>0.2</v>
      </c>
      <c r="G64" s="29">
        <f>0.2+0.3+0.3</f>
        <v>0.8</v>
      </c>
      <c r="H64" s="192">
        <v>0.2</v>
      </c>
      <c r="I64" s="168"/>
    </row>
    <row r="65" spans="1:9" x14ac:dyDescent="0.2">
      <c r="A65" s="14">
        <v>55</v>
      </c>
      <c r="B65" s="18"/>
      <c r="C65" s="72" t="s">
        <v>29</v>
      </c>
      <c r="D65" s="28" t="s">
        <v>26</v>
      </c>
      <c r="E65" s="29">
        <f>0.9+0.9+2.9+2.5+0.1+0.2+0.1</f>
        <v>7.6</v>
      </c>
      <c r="F65" s="29">
        <v>3.5</v>
      </c>
      <c r="G65" s="29">
        <f>0.9+0.9+2.8+2.5+0.1</f>
        <v>7.1999999999999993</v>
      </c>
      <c r="H65" s="191">
        <v>3.5</v>
      </c>
      <c r="I65" s="168"/>
    </row>
    <row r="66" spans="1:9" x14ac:dyDescent="0.2">
      <c r="A66" s="14">
        <v>56</v>
      </c>
      <c r="B66" s="18"/>
      <c r="C66" s="72" t="s">
        <v>30</v>
      </c>
      <c r="D66" s="28" t="s">
        <v>26</v>
      </c>
      <c r="E66" s="29">
        <f>0.5+1.1+0.8+0.2+0.1</f>
        <v>2.7000000000000006</v>
      </c>
      <c r="F66" s="29">
        <v>1.6</v>
      </c>
      <c r="G66" s="29">
        <f>0.5+1.1+0.8</f>
        <v>2.4000000000000004</v>
      </c>
      <c r="H66" s="191">
        <v>1.6</v>
      </c>
      <c r="I66" s="168"/>
    </row>
    <row r="67" spans="1:9" x14ac:dyDescent="0.2">
      <c r="A67" s="14">
        <v>57</v>
      </c>
      <c r="B67" s="18"/>
      <c r="C67" s="72" t="s">
        <v>31</v>
      </c>
      <c r="D67" s="28" t="s">
        <v>26</v>
      </c>
      <c r="E67" s="29">
        <f>0.4+0.6+1+1+0.3+0.3+0.3</f>
        <v>3.8999999999999995</v>
      </c>
      <c r="F67" s="29">
        <v>2.6</v>
      </c>
      <c r="G67" s="29">
        <f>0.4+0.6+1+1+0.2</f>
        <v>3.2</v>
      </c>
      <c r="H67" s="191">
        <v>2.5</v>
      </c>
      <c r="I67" s="168"/>
    </row>
    <row r="68" spans="1:9" x14ac:dyDescent="0.2">
      <c r="A68" s="14">
        <v>58</v>
      </c>
      <c r="B68" s="18"/>
      <c r="C68" s="27" t="s">
        <v>32</v>
      </c>
      <c r="D68" s="28" t="s">
        <v>26</v>
      </c>
      <c r="E68" s="29">
        <f>0.5+0.5+1.1+0.9+1.3+0.5+0.8</f>
        <v>5.6</v>
      </c>
      <c r="F68" s="29">
        <f>3.7-0.1</f>
        <v>3.6</v>
      </c>
      <c r="G68" s="29">
        <f>0.5+0.5+1.1+0.8+1.3+0.3+0.5</f>
        <v>5</v>
      </c>
      <c r="H68" s="191">
        <v>3.1</v>
      </c>
      <c r="I68" s="168"/>
    </row>
    <row r="69" spans="1:9" ht="16.5" customHeight="1" x14ac:dyDescent="0.2">
      <c r="A69" s="14">
        <v>59</v>
      </c>
      <c r="B69" s="18"/>
      <c r="C69" s="72" t="s">
        <v>33</v>
      </c>
      <c r="D69" s="28" t="s">
        <v>34</v>
      </c>
      <c r="E69" s="29">
        <f>0.9+2+4.9+3.9+0.8+1.1</f>
        <v>13.600000000000001</v>
      </c>
      <c r="F69" s="29">
        <v>10.1</v>
      </c>
      <c r="G69" s="29">
        <f>0.9+1.9+4.8+3.9+0.8+1</f>
        <v>13.3</v>
      </c>
      <c r="H69" s="191">
        <v>9.9</v>
      </c>
      <c r="I69" s="168"/>
    </row>
    <row r="70" spans="1:9" x14ac:dyDescent="0.2">
      <c r="A70" s="14">
        <v>60</v>
      </c>
      <c r="B70" s="18"/>
      <c r="C70" s="27" t="s">
        <v>35</v>
      </c>
      <c r="D70" s="28" t="s">
        <v>34</v>
      </c>
      <c r="E70" s="29">
        <f>0.2+0.5+2.5+1.9+0.5+1.6</f>
        <v>7.1999999999999993</v>
      </c>
      <c r="F70" s="29">
        <f>7.3-0.1</f>
        <v>7.2</v>
      </c>
      <c r="G70" s="29">
        <f>0.2+0.5+2.4+1.9+0.5+1.6</f>
        <v>7.1</v>
      </c>
      <c r="H70" s="191">
        <v>7.1</v>
      </c>
      <c r="I70" s="168"/>
    </row>
    <row r="71" spans="1:9" x14ac:dyDescent="0.2">
      <c r="A71" s="14">
        <v>61</v>
      </c>
      <c r="B71" s="18"/>
      <c r="C71" s="72" t="s">
        <v>36</v>
      </c>
      <c r="D71" s="28" t="s">
        <v>34</v>
      </c>
      <c r="E71" s="29">
        <f>2.4+3.1+6.8+5.2+0.3+0.6+0.5</f>
        <v>18.900000000000002</v>
      </c>
      <c r="F71" s="29">
        <f>17.8</f>
        <v>17.8</v>
      </c>
      <c r="G71" s="29">
        <f>2.3+3.1+6.8+5+0.3</f>
        <v>17.5</v>
      </c>
      <c r="H71" s="191">
        <v>17.5</v>
      </c>
      <c r="I71" s="168"/>
    </row>
    <row r="72" spans="1:9" x14ac:dyDescent="0.2">
      <c r="A72" s="14">
        <v>62</v>
      </c>
      <c r="B72" s="18"/>
      <c r="C72" s="72" t="s">
        <v>38</v>
      </c>
      <c r="D72" s="28" t="s">
        <v>34</v>
      </c>
      <c r="E72" s="29">
        <f>1.8+2.7+4.3+3.9+0.6+1+0.9</f>
        <v>15.200000000000001</v>
      </c>
      <c r="F72" s="29">
        <v>10.4</v>
      </c>
      <c r="G72" s="29">
        <f>1.8+2.7+4.2+3.8+0.6</f>
        <v>13.1</v>
      </c>
      <c r="H72" s="191">
        <v>10.3</v>
      </c>
      <c r="I72" s="168"/>
    </row>
    <row r="73" spans="1:9" x14ac:dyDescent="0.2">
      <c r="A73" s="14">
        <v>63</v>
      </c>
      <c r="B73" s="18"/>
      <c r="C73" s="72" t="s">
        <v>39</v>
      </c>
      <c r="D73" s="28" t="s">
        <v>34</v>
      </c>
      <c r="E73" s="29">
        <f>0.2+0.3+0.3</f>
        <v>0.8</v>
      </c>
      <c r="F73" s="29">
        <v>0.8</v>
      </c>
      <c r="G73" s="29">
        <f>0.2+0.3+0.3</f>
        <v>0.8</v>
      </c>
      <c r="H73" s="191">
        <v>0.8</v>
      </c>
      <c r="I73" s="168"/>
    </row>
    <row r="74" spans="1:9" x14ac:dyDescent="0.2">
      <c r="A74" s="14">
        <v>64</v>
      </c>
      <c r="B74" s="18"/>
      <c r="C74" s="72" t="s">
        <v>40</v>
      </c>
      <c r="D74" s="28" t="s">
        <v>34</v>
      </c>
      <c r="E74" s="29">
        <f>1.7+1.7+1.6+0.8</f>
        <v>5.8</v>
      </c>
      <c r="F74" s="29">
        <v>5</v>
      </c>
      <c r="G74" s="29">
        <f>1.7+1.7+0.5+1.8</f>
        <v>5.7</v>
      </c>
      <c r="H74" s="191">
        <v>4.9000000000000004</v>
      </c>
      <c r="I74" s="168"/>
    </row>
    <row r="75" spans="1:9" x14ac:dyDescent="0.2">
      <c r="A75" s="14">
        <v>65</v>
      </c>
      <c r="B75" s="18"/>
      <c r="C75" s="72" t="s">
        <v>41</v>
      </c>
      <c r="D75" s="28" t="s">
        <v>34</v>
      </c>
      <c r="E75" s="29">
        <f>0.8+1.6</f>
        <v>2.4000000000000004</v>
      </c>
      <c r="F75" s="29">
        <v>2.4</v>
      </c>
      <c r="G75" s="29">
        <f>0.8+1.5</f>
        <v>2.2999999999999998</v>
      </c>
      <c r="H75" s="191">
        <v>2.2999999999999998</v>
      </c>
      <c r="I75" s="168"/>
    </row>
    <row r="76" spans="1:9" x14ac:dyDescent="0.2">
      <c r="A76" s="14">
        <v>66</v>
      </c>
      <c r="B76" s="18"/>
      <c r="C76" s="193" t="s">
        <v>52</v>
      </c>
      <c r="D76" s="28" t="s">
        <v>16</v>
      </c>
      <c r="E76" s="29">
        <f>0.1+0.1+0.5+0.2+0.3+0.3</f>
        <v>1.5</v>
      </c>
      <c r="F76" s="29">
        <v>0.9</v>
      </c>
      <c r="G76" s="29">
        <f>0.1+0.1+0.5+0.2</f>
        <v>0.89999999999999991</v>
      </c>
      <c r="H76" s="191">
        <v>0.9</v>
      </c>
      <c r="I76" s="168"/>
    </row>
    <row r="77" spans="1:9" x14ac:dyDescent="0.2">
      <c r="A77" s="14">
        <v>67</v>
      </c>
      <c r="B77" s="18"/>
      <c r="C77" s="193" t="s">
        <v>53</v>
      </c>
      <c r="D77" s="28" t="s">
        <v>16</v>
      </c>
      <c r="E77" s="29">
        <f>0.2+0.2+0.3+0.1+0.3</f>
        <v>1.0999999999999999</v>
      </c>
      <c r="F77" s="29">
        <v>1.1000000000000001</v>
      </c>
      <c r="G77" s="29">
        <f>0.2+0.2+0.3+0.1+0.3</f>
        <v>1.0999999999999999</v>
      </c>
      <c r="H77" s="191">
        <v>1.1000000000000001</v>
      </c>
      <c r="I77" s="168"/>
    </row>
    <row r="78" spans="1:9" ht="45" customHeight="1" x14ac:dyDescent="0.2">
      <c r="A78" s="14">
        <v>68</v>
      </c>
      <c r="B78" s="18" t="s">
        <v>664</v>
      </c>
      <c r="C78" s="58" t="s">
        <v>665</v>
      </c>
      <c r="D78" s="18"/>
      <c r="E78" s="164">
        <f>+E79</f>
        <v>7</v>
      </c>
      <c r="F78" s="164">
        <f>+F79</f>
        <v>1.3</v>
      </c>
      <c r="G78" s="164">
        <f>+G79</f>
        <v>6.9</v>
      </c>
      <c r="H78" s="164">
        <f>+H79</f>
        <v>1.3</v>
      </c>
    </row>
    <row r="79" spans="1:9" x14ac:dyDescent="0.2">
      <c r="A79" s="14">
        <v>69</v>
      </c>
      <c r="B79" s="18"/>
      <c r="C79" s="19" t="s">
        <v>47</v>
      </c>
      <c r="D79" s="18" t="s">
        <v>46</v>
      </c>
      <c r="E79" s="20">
        <v>7</v>
      </c>
      <c r="F79" s="20">
        <v>1.3</v>
      </c>
      <c r="G79" s="20">
        <v>6.9</v>
      </c>
      <c r="H79" s="23">
        <v>1.3</v>
      </c>
    </row>
    <row r="80" spans="1:9" ht="38.25" x14ac:dyDescent="0.2">
      <c r="A80" s="14">
        <v>70</v>
      </c>
      <c r="B80" s="18" t="s">
        <v>666</v>
      </c>
      <c r="C80" s="58" t="s">
        <v>667</v>
      </c>
      <c r="D80" s="18"/>
      <c r="E80" s="164">
        <f>SUM(E81:E82)</f>
        <v>43</v>
      </c>
      <c r="F80" s="223">
        <f>SUM(F81:F82)</f>
        <v>43</v>
      </c>
      <c r="G80" s="164">
        <f>SUM(G81:G82)</f>
        <v>0</v>
      </c>
      <c r="H80" s="164">
        <f>SUM(H81:H82)</f>
        <v>0</v>
      </c>
    </row>
    <row r="81" spans="1:9" x14ac:dyDescent="0.2">
      <c r="A81" s="14">
        <v>71</v>
      </c>
      <c r="B81" s="18"/>
      <c r="C81" s="24" t="s">
        <v>31</v>
      </c>
      <c r="D81" s="18" t="s">
        <v>26</v>
      </c>
      <c r="E81" s="20">
        <v>6.4</v>
      </c>
      <c r="F81" s="29">
        <f>6.4</f>
        <v>6.4</v>
      </c>
      <c r="G81" s="20">
        <f>6.3-6.3</f>
        <v>0</v>
      </c>
      <c r="H81" s="20">
        <f>6.3-6.3</f>
        <v>0</v>
      </c>
    </row>
    <row r="82" spans="1:9" x14ac:dyDescent="0.2">
      <c r="A82" s="14">
        <v>72</v>
      </c>
      <c r="B82" s="18"/>
      <c r="C82" s="24" t="s">
        <v>41</v>
      </c>
      <c r="D82" s="18" t="s">
        <v>34</v>
      </c>
      <c r="E82" s="20">
        <v>36.6</v>
      </c>
      <c r="F82" s="20">
        <v>36.6</v>
      </c>
      <c r="G82" s="20">
        <f>36.1-36.1</f>
        <v>0</v>
      </c>
      <c r="H82" s="20">
        <f>36.1-36.1</f>
        <v>0</v>
      </c>
    </row>
    <row r="83" spans="1:9" ht="25.5" x14ac:dyDescent="0.2">
      <c r="A83" s="14">
        <v>73</v>
      </c>
      <c r="B83" s="18" t="s">
        <v>668</v>
      </c>
      <c r="C83" s="58" t="s">
        <v>669</v>
      </c>
      <c r="D83" s="18"/>
      <c r="E83" s="164">
        <f>+E84+E85+E86</f>
        <v>138.80000000000001</v>
      </c>
      <c r="F83" s="164">
        <f>+F84+F85+F86</f>
        <v>138.80000000000001</v>
      </c>
      <c r="G83" s="164">
        <f>+G84+G85+G86</f>
        <v>0</v>
      </c>
      <c r="H83" s="164">
        <f>+H84+H85+H86</f>
        <v>0</v>
      </c>
    </row>
    <row r="84" spans="1:9" x14ac:dyDescent="0.2">
      <c r="A84" s="14">
        <v>74</v>
      </c>
      <c r="B84" s="18"/>
      <c r="C84" s="24" t="s">
        <v>31</v>
      </c>
      <c r="D84" s="18" t="s">
        <v>26</v>
      </c>
      <c r="E84" s="20">
        <v>14</v>
      </c>
      <c r="F84" s="20">
        <v>14</v>
      </c>
      <c r="G84" s="20"/>
      <c r="H84" s="23"/>
    </row>
    <row r="85" spans="1:9" x14ac:dyDescent="0.2">
      <c r="A85" s="14">
        <v>75</v>
      </c>
      <c r="B85" s="18"/>
      <c r="C85" s="19" t="s">
        <v>32</v>
      </c>
      <c r="D85" s="18" t="s">
        <v>26</v>
      </c>
      <c r="E85" s="20">
        <f>37.8+25</f>
        <v>62.8</v>
      </c>
      <c r="F85" s="20">
        <v>62.8</v>
      </c>
      <c r="G85" s="20"/>
      <c r="H85" s="23"/>
    </row>
    <row r="86" spans="1:9" x14ac:dyDescent="0.2">
      <c r="A86" s="14">
        <v>76</v>
      </c>
      <c r="B86" s="18"/>
      <c r="C86" s="24" t="s">
        <v>36</v>
      </c>
      <c r="D86" s="18" t="s">
        <v>34</v>
      </c>
      <c r="E86" s="20">
        <v>62</v>
      </c>
      <c r="F86" s="20">
        <v>62</v>
      </c>
      <c r="G86" s="20"/>
      <c r="H86" s="23"/>
    </row>
    <row r="87" spans="1:9" ht="25.5" x14ac:dyDescent="0.2">
      <c r="A87" s="14">
        <v>77</v>
      </c>
      <c r="B87" s="18" t="s">
        <v>670</v>
      </c>
      <c r="C87" s="178" t="s">
        <v>671</v>
      </c>
      <c r="D87" s="49"/>
      <c r="E87" s="164">
        <f t="shared" ref="E87:H88" si="0">+E88</f>
        <v>855</v>
      </c>
      <c r="F87" s="164">
        <f t="shared" si="0"/>
        <v>855</v>
      </c>
      <c r="G87" s="164">
        <f t="shared" si="0"/>
        <v>0</v>
      </c>
      <c r="H87" s="164">
        <f t="shared" si="0"/>
        <v>0</v>
      </c>
    </row>
    <row r="88" spans="1:9" s="225" customFormat="1" x14ac:dyDescent="0.2">
      <c r="A88" s="224">
        <v>78</v>
      </c>
      <c r="B88" s="28"/>
      <c r="C88" s="72" t="s">
        <v>655</v>
      </c>
      <c r="D88" s="28"/>
      <c r="E88" s="29">
        <f t="shared" si="0"/>
        <v>855</v>
      </c>
      <c r="F88" s="29">
        <f t="shared" si="0"/>
        <v>855</v>
      </c>
      <c r="G88" s="29">
        <f t="shared" si="0"/>
        <v>0</v>
      </c>
      <c r="H88" s="29">
        <f t="shared" si="0"/>
        <v>0</v>
      </c>
      <c r="I88" s="168"/>
    </row>
    <row r="89" spans="1:9" ht="25.5" x14ac:dyDescent="0.2">
      <c r="A89" s="14">
        <v>79</v>
      </c>
      <c r="B89" s="18"/>
      <c r="C89" s="139" t="s">
        <v>89</v>
      </c>
      <c r="D89" s="18" t="s">
        <v>26</v>
      </c>
      <c r="E89" s="20">
        <f>474+381</f>
        <v>855</v>
      </c>
      <c r="F89" s="20">
        <v>855</v>
      </c>
      <c r="G89" s="20"/>
      <c r="H89" s="23"/>
    </row>
    <row r="90" spans="1:9" x14ac:dyDescent="0.2">
      <c r="A90" s="14">
        <v>80</v>
      </c>
      <c r="B90" s="13" t="s">
        <v>92</v>
      </c>
      <c r="C90" s="15" t="s">
        <v>93</v>
      </c>
      <c r="D90" s="45"/>
      <c r="E90" s="53">
        <f t="shared" ref="E90:H91" si="1">+E91</f>
        <v>50</v>
      </c>
      <c r="F90" s="53">
        <f t="shared" si="1"/>
        <v>50</v>
      </c>
      <c r="G90" s="53">
        <f t="shared" si="1"/>
        <v>0</v>
      </c>
      <c r="H90" s="53">
        <f t="shared" si="1"/>
        <v>0</v>
      </c>
    </row>
    <row r="91" spans="1:9" ht="38.25" x14ac:dyDescent="0.2">
      <c r="A91" s="14">
        <v>81</v>
      </c>
      <c r="B91" s="18" t="s">
        <v>568</v>
      </c>
      <c r="C91" s="178" t="s">
        <v>672</v>
      </c>
      <c r="D91" s="18"/>
      <c r="E91" s="164">
        <f t="shared" si="1"/>
        <v>50</v>
      </c>
      <c r="F91" s="164">
        <f t="shared" si="1"/>
        <v>50</v>
      </c>
      <c r="G91" s="164">
        <f t="shared" si="1"/>
        <v>0</v>
      </c>
      <c r="H91" s="164">
        <f t="shared" si="1"/>
        <v>0</v>
      </c>
    </row>
    <row r="92" spans="1:9" x14ac:dyDescent="0.2">
      <c r="A92" s="14">
        <v>82</v>
      </c>
      <c r="B92" s="18"/>
      <c r="C92" s="48" t="s">
        <v>489</v>
      </c>
      <c r="D92" s="25" t="s">
        <v>490</v>
      </c>
      <c r="E92" s="20">
        <v>50</v>
      </c>
      <c r="F92" s="20">
        <v>50</v>
      </c>
      <c r="G92" s="20"/>
      <c r="H92" s="23"/>
    </row>
    <row r="93" spans="1:9" ht="18" customHeight="1" x14ac:dyDescent="0.2">
      <c r="A93" s="14">
        <v>83</v>
      </c>
      <c r="B93" s="12" t="s">
        <v>144</v>
      </c>
      <c r="C93" s="52" t="s">
        <v>145</v>
      </c>
      <c r="D93" s="25"/>
      <c r="E93" s="53">
        <f>+E94+E99+E101+E115+E117+E134+E138+E140+E145+E147+E149+E103+E137+E151+E153</f>
        <v>1570.6000000000001</v>
      </c>
      <c r="F93" s="53">
        <f>+F94+F99+F101+F115+F117+F134+F138+F140+F145+F147+F149+F103+F137+F151+F153</f>
        <v>1561.9000000000003</v>
      </c>
      <c r="G93" s="53">
        <f>+G94+G99+G101+G115+G117+G134+G138+G140+G145+G147+G149+G103+G137+G151+G153</f>
        <v>177.70000000000007</v>
      </c>
      <c r="H93" s="53">
        <f>+H94+H99+H101+H115+H117+H134+H138+H140+H145+H147+H149+H103+H137+H151+H153</f>
        <v>177.30000000000004</v>
      </c>
    </row>
    <row r="94" spans="1:9" ht="51" x14ac:dyDescent="0.2">
      <c r="A94" s="14">
        <v>84</v>
      </c>
      <c r="B94" s="18" t="s">
        <v>574</v>
      </c>
      <c r="C94" s="178" t="s">
        <v>657</v>
      </c>
      <c r="D94" s="25"/>
      <c r="E94" s="164">
        <f>+E95+E96+E97+E98</f>
        <v>11.5</v>
      </c>
      <c r="F94" s="164">
        <f>+F95+F96+F97+F98</f>
        <v>11.5</v>
      </c>
      <c r="G94" s="164">
        <f>+G95+G96+G97+G98</f>
        <v>11.399999999999999</v>
      </c>
      <c r="H94" s="164">
        <f>+H95+H96+H97+H98</f>
        <v>11.399999999999999</v>
      </c>
    </row>
    <row r="95" spans="1:9" ht="12.6" customHeight="1" x14ac:dyDescent="0.2">
      <c r="A95" s="14">
        <v>85</v>
      </c>
      <c r="B95" s="18"/>
      <c r="C95" s="73" t="s">
        <v>146</v>
      </c>
      <c r="D95" s="194" t="s">
        <v>673</v>
      </c>
      <c r="E95" s="20">
        <v>2.4</v>
      </c>
      <c r="F95" s="20">
        <v>2.4</v>
      </c>
      <c r="G95" s="20">
        <v>2.4</v>
      </c>
      <c r="H95" s="23">
        <v>2.4</v>
      </c>
    </row>
    <row r="96" spans="1:9" ht="12.6" customHeight="1" x14ac:dyDescent="0.2">
      <c r="A96" s="14">
        <v>86</v>
      </c>
      <c r="B96" s="18"/>
      <c r="C96" s="46" t="s">
        <v>153</v>
      </c>
      <c r="D96" s="25" t="s">
        <v>154</v>
      </c>
      <c r="E96" s="20">
        <v>2.4</v>
      </c>
      <c r="F96" s="20">
        <v>2.4</v>
      </c>
      <c r="G96" s="20">
        <v>2.4</v>
      </c>
      <c r="H96" s="23">
        <v>2.4</v>
      </c>
    </row>
    <row r="97" spans="1:12" ht="12.6" customHeight="1" x14ac:dyDescent="0.2">
      <c r="A97" s="14">
        <v>87</v>
      </c>
      <c r="B97" s="18"/>
      <c r="C97" s="35" t="s">
        <v>52</v>
      </c>
      <c r="D97" s="25" t="s">
        <v>152</v>
      </c>
      <c r="E97" s="20">
        <v>2.4</v>
      </c>
      <c r="F97" s="20">
        <v>2.4</v>
      </c>
      <c r="G97" s="20">
        <v>2.4</v>
      </c>
      <c r="H97" s="23">
        <v>2.4</v>
      </c>
    </row>
    <row r="98" spans="1:12" ht="12.6" customHeight="1" x14ac:dyDescent="0.2">
      <c r="A98" s="14">
        <v>88</v>
      </c>
      <c r="B98" s="18"/>
      <c r="C98" s="35" t="s">
        <v>53</v>
      </c>
      <c r="D98" s="65" t="s">
        <v>151</v>
      </c>
      <c r="E98" s="20">
        <v>4.3</v>
      </c>
      <c r="F98" s="20">
        <v>4.3</v>
      </c>
      <c r="G98" s="20">
        <v>4.2</v>
      </c>
      <c r="H98" s="23">
        <v>4.2</v>
      </c>
    </row>
    <row r="99" spans="1:12" ht="25.5" x14ac:dyDescent="0.2">
      <c r="A99" s="14">
        <v>89</v>
      </c>
      <c r="B99" s="18" t="s">
        <v>577</v>
      </c>
      <c r="C99" s="178" t="s">
        <v>674</v>
      </c>
      <c r="D99" s="25"/>
      <c r="E99" s="164">
        <f>+E100</f>
        <v>150.89999999999998</v>
      </c>
      <c r="F99" s="164">
        <f>+F100</f>
        <v>150.9</v>
      </c>
      <c r="G99" s="164">
        <f>+G100</f>
        <v>4.3000000000000007</v>
      </c>
      <c r="H99" s="164">
        <f>+H100</f>
        <v>4.3</v>
      </c>
    </row>
    <row r="100" spans="1:12" x14ac:dyDescent="0.2">
      <c r="A100" s="14">
        <v>90</v>
      </c>
      <c r="B100" s="18"/>
      <c r="C100" s="166" t="s">
        <v>56</v>
      </c>
      <c r="D100" s="39" t="s">
        <v>154</v>
      </c>
      <c r="E100" s="29">
        <f>134.6+15.6+0.7</f>
        <v>150.89999999999998</v>
      </c>
      <c r="F100" s="29">
        <v>150.9</v>
      </c>
      <c r="G100" s="29">
        <f>1.7+2.7-0.1</f>
        <v>4.3000000000000007</v>
      </c>
      <c r="H100" s="34">
        <v>4.3</v>
      </c>
    </row>
    <row r="101" spans="1:12" ht="51" x14ac:dyDescent="0.2">
      <c r="A101" s="14">
        <v>91</v>
      </c>
      <c r="B101" s="18" t="s">
        <v>579</v>
      </c>
      <c r="C101" s="190" t="s">
        <v>675</v>
      </c>
      <c r="D101" s="25"/>
      <c r="E101" s="164">
        <f>+E102</f>
        <v>371.2</v>
      </c>
      <c r="F101" s="164">
        <f>+F102</f>
        <v>371.2</v>
      </c>
      <c r="G101" s="164">
        <f>+G102</f>
        <v>0</v>
      </c>
      <c r="H101" s="164">
        <f>+H102</f>
        <v>0</v>
      </c>
    </row>
    <row r="102" spans="1:12" x14ac:dyDescent="0.2">
      <c r="A102" s="14">
        <v>92</v>
      </c>
      <c r="B102" s="18"/>
      <c r="C102" s="72" t="s">
        <v>655</v>
      </c>
      <c r="D102" s="39" t="s">
        <v>676</v>
      </c>
      <c r="E102" s="29">
        <v>371.2</v>
      </c>
      <c r="F102" s="29">
        <v>371.2</v>
      </c>
      <c r="G102" s="29"/>
      <c r="H102" s="23"/>
    </row>
    <row r="103" spans="1:12" ht="51.75" customHeight="1" x14ac:dyDescent="0.2">
      <c r="A103" s="14">
        <v>93</v>
      </c>
      <c r="B103" s="18" t="s">
        <v>581</v>
      </c>
      <c r="C103" s="58" t="s">
        <v>677</v>
      </c>
      <c r="D103" s="25"/>
      <c r="E103" s="164">
        <f>SUM(E104:E114)</f>
        <v>436.30000000000007</v>
      </c>
      <c r="F103" s="164">
        <f>SUM(F104:F114)</f>
        <v>436.30000000000007</v>
      </c>
      <c r="G103" s="164">
        <f>SUM(G104:G114)</f>
        <v>0</v>
      </c>
      <c r="H103" s="164">
        <f>SUM(H104:H114)</f>
        <v>0</v>
      </c>
    </row>
    <row r="104" spans="1:12" ht="38.25" x14ac:dyDescent="0.2">
      <c r="A104" s="14">
        <v>94</v>
      </c>
      <c r="B104" s="18"/>
      <c r="C104" s="24" t="s">
        <v>199</v>
      </c>
      <c r="D104" s="25" t="s">
        <v>678</v>
      </c>
      <c r="E104" s="20">
        <f>192.9+39.3</f>
        <v>232.2</v>
      </c>
      <c r="F104" s="20">
        <v>232.2</v>
      </c>
      <c r="G104" s="20"/>
      <c r="H104" s="23"/>
      <c r="L104" s="6"/>
    </row>
    <row r="105" spans="1:12" ht="38.25" x14ac:dyDescent="0.2">
      <c r="A105" s="14">
        <v>95</v>
      </c>
      <c r="B105" s="18"/>
      <c r="C105" s="24" t="s">
        <v>201</v>
      </c>
      <c r="D105" s="25" t="s">
        <v>678</v>
      </c>
      <c r="E105" s="20">
        <f>51.1+0.2-8</f>
        <v>43.300000000000004</v>
      </c>
      <c r="F105" s="20">
        <v>43.3</v>
      </c>
      <c r="G105" s="20"/>
      <c r="H105" s="23"/>
    </row>
    <row r="106" spans="1:12" ht="38.25" x14ac:dyDescent="0.2">
      <c r="A106" s="14">
        <v>96</v>
      </c>
      <c r="B106" s="18"/>
      <c r="C106" s="24" t="s">
        <v>203</v>
      </c>
      <c r="D106" s="25" t="s">
        <v>678</v>
      </c>
      <c r="E106" s="20">
        <v>22.6</v>
      </c>
      <c r="F106" s="20">
        <v>22.6</v>
      </c>
      <c r="G106" s="20"/>
      <c r="H106" s="23"/>
    </row>
    <row r="107" spans="1:12" ht="38.25" x14ac:dyDescent="0.2">
      <c r="A107" s="14">
        <v>97</v>
      </c>
      <c r="B107" s="18"/>
      <c r="C107" s="24" t="s">
        <v>204</v>
      </c>
      <c r="D107" s="25" t="s">
        <v>678</v>
      </c>
      <c r="E107" s="20">
        <f>15.5-5</f>
        <v>10.5</v>
      </c>
      <c r="F107" s="20">
        <v>10.5</v>
      </c>
      <c r="G107" s="20"/>
      <c r="H107" s="23"/>
    </row>
    <row r="108" spans="1:12" ht="38.25" x14ac:dyDescent="0.2">
      <c r="A108" s="14">
        <v>98</v>
      </c>
      <c r="B108" s="18"/>
      <c r="C108" s="24" t="s">
        <v>205</v>
      </c>
      <c r="D108" s="25" t="s">
        <v>678</v>
      </c>
      <c r="E108" s="20">
        <f>27-11.3</f>
        <v>15.7</v>
      </c>
      <c r="F108" s="20">
        <v>15.7</v>
      </c>
      <c r="G108" s="20"/>
      <c r="H108" s="23"/>
    </row>
    <row r="109" spans="1:12" ht="38.25" x14ac:dyDescent="0.2">
      <c r="A109" s="14">
        <v>99</v>
      </c>
      <c r="B109" s="18"/>
      <c r="C109" s="24" t="s">
        <v>206</v>
      </c>
      <c r="D109" s="25" t="s">
        <v>678</v>
      </c>
      <c r="E109" s="20">
        <f>27.6-15</f>
        <v>12.600000000000001</v>
      </c>
      <c r="F109" s="20">
        <v>12.6</v>
      </c>
      <c r="G109" s="20"/>
      <c r="H109" s="23"/>
    </row>
    <row r="110" spans="1:12" ht="38.25" x14ac:dyDescent="0.2">
      <c r="A110" s="14">
        <v>100</v>
      </c>
      <c r="B110" s="18"/>
      <c r="C110" s="73" t="s">
        <v>207</v>
      </c>
      <c r="D110" s="25" t="s">
        <v>678</v>
      </c>
      <c r="E110" s="20">
        <f>19.1+1</f>
        <v>20.100000000000001</v>
      </c>
      <c r="F110" s="20">
        <v>20.100000000000001</v>
      </c>
      <c r="G110" s="20"/>
      <c r="H110" s="23"/>
    </row>
    <row r="111" spans="1:12" ht="38.25" x14ac:dyDescent="0.2">
      <c r="A111" s="14">
        <v>101</v>
      </c>
      <c r="B111" s="18"/>
      <c r="C111" s="24" t="s">
        <v>208</v>
      </c>
      <c r="D111" s="25" t="s">
        <v>678</v>
      </c>
      <c r="E111" s="20">
        <f>25.1-6</f>
        <v>19.100000000000001</v>
      </c>
      <c r="F111" s="20">
        <v>19.100000000000001</v>
      </c>
      <c r="G111" s="20"/>
      <c r="H111" s="23"/>
    </row>
    <row r="112" spans="1:12" ht="38.25" x14ac:dyDescent="0.2">
      <c r="A112" s="14">
        <v>102</v>
      </c>
      <c r="B112" s="18"/>
      <c r="C112" s="24" t="s">
        <v>209</v>
      </c>
      <c r="D112" s="25" t="s">
        <v>678</v>
      </c>
      <c r="E112" s="20">
        <f>22-1</f>
        <v>21</v>
      </c>
      <c r="F112" s="20">
        <v>21</v>
      </c>
      <c r="G112" s="20"/>
      <c r="H112" s="23"/>
    </row>
    <row r="113" spans="1:9" ht="38.25" x14ac:dyDescent="0.2">
      <c r="A113" s="14">
        <v>103</v>
      </c>
      <c r="B113" s="18"/>
      <c r="C113" s="24" t="s">
        <v>210</v>
      </c>
      <c r="D113" s="25" t="s">
        <v>678</v>
      </c>
      <c r="E113" s="20">
        <f>15.2+4</f>
        <v>19.2</v>
      </c>
      <c r="F113" s="20">
        <v>19.2</v>
      </c>
      <c r="G113" s="20"/>
      <c r="H113" s="23"/>
    </row>
    <row r="114" spans="1:9" ht="38.25" x14ac:dyDescent="0.2">
      <c r="A114" s="14">
        <v>104</v>
      </c>
      <c r="B114" s="18"/>
      <c r="C114" s="24" t="s">
        <v>211</v>
      </c>
      <c r="D114" s="25" t="s">
        <v>678</v>
      </c>
      <c r="E114" s="20">
        <f>18+2</f>
        <v>20</v>
      </c>
      <c r="F114" s="20">
        <v>20</v>
      </c>
      <c r="G114" s="20"/>
      <c r="H114" s="23"/>
    </row>
    <row r="115" spans="1:9" ht="25.5" x14ac:dyDescent="0.2">
      <c r="A115" s="14">
        <v>105</v>
      </c>
      <c r="B115" s="18" t="s">
        <v>584</v>
      </c>
      <c r="C115" s="58" t="s">
        <v>679</v>
      </c>
      <c r="D115" s="195"/>
      <c r="E115" s="164">
        <f>+E116</f>
        <v>6.2000000000000171</v>
      </c>
      <c r="F115" s="164">
        <f>+F116</f>
        <v>3.5</v>
      </c>
      <c r="G115" s="164">
        <f>+G116</f>
        <v>0.10000000000000009</v>
      </c>
      <c r="H115" s="164">
        <f>+H116</f>
        <v>0.1</v>
      </c>
    </row>
    <row r="116" spans="1:9" x14ac:dyDescent="0.2">
      <c r="A116" s="14">
        <v>106</v>
      </c>
      <c r="B116" s="18"/>
      <c r="C116" s="72" t="s">
        <v>56</v>
      </c>
      <c r="D116" s="39" t="s">
        <v>676</v>
      </c>
      <c r="E116" s="29">
        <f>150.4-144.2</f>
        <v>6.2000000000000171</v>
      </c>
      <c r="F116" s="29">
        <v>3.5</v>
      </c>
      <c r="G116" s="29">
        <f>2.9-0.4-2.4</f>
        <v>0.10000000000000009</v>
      </c>
      <c r="H116" s="23">
        <v>0.1</v>
      </c>
    </row>
    <row r="117" spans="1:9" ht="38.25" x14ac:dyDescent="0.2">
      <c r="A117" s="14">
        <v>107</v>
      </c>
      <c r="B117" s="18" t="s">
        <v>586</v>
      </c>
      <c r="C117" s="58" t="s">
        <v>680</v>
      </c>
      <c r="D117" s="195"/>
      <c r="E117" s="164">
        <f>SUM(E118:E133)</f>
        <v>135.40000000000003</v>
      </c>
      <c r="F117" s="164">
        <f>SUM(F118:F133)</f>
        <v>135.30000000000004</v>
      </c>
      <c r="G117" s="164">
        <f>SUM(G118:G133)</f>
        <v>133.60000000000005</v>
      </c>
      <c r="H117" s="164">
        <f>SUM(H118:H133)</f>
        <v>133.50000000000003</v>
      </c>
      <c r="I117" s="168"/>
    </row>
    <row r="118" spans="1:9" ht="38.25" x14ac:dyDescent="0.2">
      <c r="A118" s="14">
        <v>108</v>
      </c>
      <c r="B118" s="18"/>
      <c r="C118" s="19" t="s">
        <v>146</v>
      </c>
      <c r="D118" s="25" t="s">
        <v>147</v>
      </c>
      <c r="E118" s="20">
        <v>53.2</v>
      </c>
      <c r="F118" s="29">
        <f>53.2-0.1</f>
        <v>53.1</v>
      </c>
      <c r="G118" s="20">
        <v>52.4</v>
      </c>
      <c r="H118" s="19">
        <v>52.4</v>
      </c>
    </row>
    <row r="119" spans="1:9" x14ac:dyDescent="0.2">
      <c r="A119" s="14">
        <v>109</v>
      </c>
      <c r="B119" s="18"/>
      <c r="C119" s="63" t="s">
        <v>150</v>
      </c>
      <c r="D119" s="25" t="s">
        <v>151</v>
      </c>
      <c r="E119" s="20">
        <v>2.9</v>
      </c>
      <c r="F119" s="20">
        <v>2.9</v>
      </c>
      <c r="G119" s="20">
        <v>2.9</v>
      </c>
      <c r="H119" s="34">
        <f>2.9-0.1</f>
        <v>2.8</v>
      </c>
    </row>
    <row r="120" spans="1:9" x14ac:dyDescent="0.2">
      <c r="A120" s="14">
        <v>110</v>
      </c>
      <c r="B120" s="18"/>
      <c r="C120" s="35" t="s">
        <v>52</v>
      </c>
      <c r="D120" s="25" t="s">
        <v>152</v>
      </c>
      <c r="E120" s="20">
        <v>11.6</v>
      </c>
      <c r="F120" s="20">
        <v>11.6</v>
      </c>
      <c r="G120" s="20">
        <v>11.4</v>
      </c>
      <c r="H120" s="23">
        <v>11.4</v>
      </c>
    </row>
    <row r="121" spans="1:9" x14ac:dyDescent="0.2">
      <c r="A121" s="14">
        <v>111</v>
      </c>
      <c r="B121" s="18"/>
      <c r="C121" s="35" t="s">
        <v>53</v>
      </c>
      <c r="D121" s="25" t="s">
        <v>151</v>
      </c>
      <c r="E121" s="20">
        <v>8.1999999999999993</v>
      </c>
      <c r="F121" s="20">
        <v>8.1999999999999993</v>
      </c>
      <c r="G121" s="20">
        <v>8.1</v>
      </c>
      <c r="H121" s="23">
        <v>8.1</v>
      </c>
    </row>
    <row r="122" spans="1:9" x14ac:dyDescent="0.2">
      <c r="A122" s="14">
        <v>112</v>
      </c>
      <c r="B122" s="18"/>
      <c r="C122" s="19" t="s">
        <v>153</v>
      </c>
      <c r="D122" s="25" t="s">
        <v>154</v>
      </c>
      <c r="E122" s="20">
        <v>46.3</v>
      </c>
      <c r="F122" s="20">
        <v>46.3</v>
      </c>
      <c r="G122" s="20">
        <v>45.6</v>
      </c>
      <c r="H122" s="23">
        <v>45.6</v>
      </c>
    </row>
    <row r="123" spans="1:9" ht="38.25" x14ac:dyDescent="0.2">
      <c r="A123" s="14">
        <v>113</v>
      </c>
      <c r="B123" s="18"/>
      <c r="C123" s="24" t="s">
        <v>199</v>
      </c>
      <c r="D123" s="25" t="s">
        <v>200</v>
      </c>
      <c r="E123" s="20">
        <v>2.1</v>
      </c>
      <c r="F123" s="20">
        <v>2.1</v>
      </c>
      <c r="G123" s="20">
        <v>2.1</v>
      </c>
      <c r="H123" s="19">
        <v>2.1</v>
      </c>
    </row>
    <row r="124" spans="1:9" ht="38.25" x14ac:dyDescent="0.2">
      <c r="A124" s="14">
        <v>114</v>
      </c>
      <c r="B124" s="18"/>
      <c r="C124" s="24" t="s">
        <v>201</v>
      </c>
      <c r="D124" s="25" t="s">
        <v>202</v>
      </c>
      <c r="E124" s="20">
        <v>2</v>
      </c>
      <c r="F124" s="20">
        <v>2</v>
      </c>
      <c r="G124" s="20">
        <v>2</v>
      </c>
      <c r="H124" s="19">
        <v>2</v>
      </c>
    </row>
    <row r="125" spans="1:9" ht="38.25" x14ac:dyDescent="0.2">
      <c r="A125" s="14">
        <v>115</v>
      </c>
      <c r="B125" s="18"/>
      <c r="C125" s="24" t="s">
        <v>203</v>
      </c>
      <c r="D125" s="25" t="s">
        <v>200</v>
      </c>
      <c r="E125" s="20">
        <v>0.9</v>
      </c>
      <c r="F125" s="20">
        <v>0.9</v>
      </c>
      <c r="G125" s="20">
        <v>0.9</v>
      </c>
      <c r="H125" s="19">
        <v>0.9</v>
      </c>
    </row>
    <row r="126" spans="1:9" ht="38.25" x14ac:dyDescent="0.2">
      <c r="A126" s="14">
        <v>116</v>
      </c>
      <c r="B126" s="18"/>
      <c r="C126" s="24" t="s">
        <v>204</v>
      </c>
      <c r="D126" s="25" t="s">
        <v>200</v>
      </c>
      <c r="E126" s="20">
        <v>0.9</v>
      </c>
      <c r="F126" s="20">
        <v>0.9</v>
      </c>
      <c r="G126" s="20">
        <v>0.9</v>
      </c>
      <c r="H126" s="19">
        <v>0.9</v>
      </c>
    </row>
    <row r="127" spans="1:9" ht="38.25" x14ac:dyDescent="0.2">
      <c r="A127" s="14">
        <v>117</v>
      </c>
      <c r="B127" s="18"/>
      <c r="C127" s="24" t="s">
        <v>205</v>
      </c>
      <c r="D127" s="25" t="s">
        <v>200</v>
      </c>
      <c r="E127" s="20">
        <v>1.4</v>
      </c>
      <c r="F127" s="20">
        <v>1.4</v>
      </c>
      <c r="G127" s="20">
        <v>1.4</v>
      </c>
      <c r="H127" s="19">
        <v>1.4</v>
      </c>
    </row>
    <row r="128" spans="1:9" ht="38.25" x14ac:dyDescent="0.2">
      <c r="A128" s="14">
        <v>118</v>
      </c>
      <c r="B128" s="18"/>
      <c r="C128" s="24" t="s">
        <v>206</v>
      </c>
      <c r="D128" s="25" t="s">
        <v>200</v>
      </c>
      <c r="E128" s="20">
        <v>0.9</v>
      </c>
      <c r="F128" s="20">
        <v>0.9</v>
      </c>
      <c r="G128" s="20">
        <v>0.9</v>
      </c>
      <c r="H128" s="141">
        <v>0.9</v>
      </c>
    </row>
    <row r="129" spans="1:9" ht="38.25" x14ac:dyDescent="0.2">
      <c r="A129" s="14">
        <v>119</v>
      </c>
      <c r="B129" s="18"/>
      <c r="C129" s="73" t="s">
        <v>207</v>
      </c>
      <c r="D129" s="25" t="s">
        <v>200</v>
      </c>
      <c r="E129" s="20">
        <v>0.9</v>
      </c>
      <c r="F129" s="20">
        <v>0.9</v>
      </c>
      <c r="G129" s="20">
        <v>0.9</v>
      </c>
      <c r="H129" s="19">
        <v>0.9</v>
      </c>
    </row>
    <row r="130" spans="1:9" ht="38.25" x14ac:dyDescent="0.2">
      <c r="A130" s="14">
        <v>120</v>
      </c>
      <c r="B130" s="18"/>
      <c r="C130" s="24" t="s">
        <v>208</v>
      </c>
      <c r="D130" s="25" t="s">
        <v>200</v>
      </c>
      <c r="E130" s="20">
        <v>0.9</v>
      </c>
      <c r="F130" s="20">
        <v>0.9</v>
      </c>
      <c r="G130" s="20">
        <v>0.9</v>
      </c>
      <c r="H130" s="19">
        <v>0.9</v>
      </c>
    </row>
    <row r="131" spans="1:9" ht="38.25" x14ac:dyDescent="0.2">
      <c r="A131" s="14">
        <v>121</v>
      </c>
      <c r="B131" s="18"/>
      <c r="C131" s="24" t="s">
        <v>209</v>
      </c>
      <c r="D131" s="25" t="s">
        <v>200</v>
      </c>
      <c r="E131" s="20">
        <v>0.9</v>
      </c>
      <c r="F131" s="20">
        <v>0.9</v>
      </c>
      <c r="G131" s="20">
        <v>0.9</v>
      </c>
      <c r="H131" s="141">
        <v>0.9</v>
      </c>
      <c r="I131" s="196"/>
    </row>
    <row r="132" spans="1:9" ht="38.25" x14ac:dyDescent="0.2">
      <c r="A132" s="14">
        <v>122</v>
      </c>
      <c r="B132" s="18"/>
      <c r="C132" s="24" t="s">
        <v>210</v>
      </c>
      <c r="D132" s="25" t="s">
        <v>200</v>
      </c>
      <c r="E132" s="20">
        <v>0.9</v>
      </c>
      <c r="F132" s="20">
        <v>0.9</v>
      </c>
      <c r="G132" s="20">
        <v>0.9</v>
      </c>
      <c r="H132" s="141">
        <v>0.9</v>
      </c>
      <c r="I132" s="196"/>
    </row>
    <row r="133" spans="1:9" ht="38.25" x14ac:dyDescent="0.2">
      <c r="A133" s="14">
        <v>123</v>
      </c>
      <c r="B133" s="18"/>
      <c r="C133" s="24" t="s">
        <v>211</v>
      </c>
      <c r="D133" s="25" t="s">
        <v>200</v>
      </c>
      <c r="E133" s="20">
        <v>1.4</v>
      </c>
      <c r="F133" s="20">
        <v>1.4</v>
      </c>
      <c r="G133" s="20">
        <v>1.4</v>
      </c>
      <c r="H133" s="19">
        <v>1.4</v>
      </c>
    </row>
    <row r="134" spans="1:9" ht="25.5" x14ac:dyDescent="0.2">
      <c r="A134" s="14">
        <v>124</v>
      </c>
      <c r="B134" s="18" t="s">
        <v>681</v>
      </c>
      <c r="C134" s="58" t="s">
        <v>682</v>
      </c>
      <c r="D134" s="195"/>
      <c r="E134" s="164">
        <f>+E135</f>
        <v>23.1</v>
      </c>
      <c r="F134" s="164">
        <f>+F135</f>
        <v>23.1</v>
      </c>
      <c r="G134" s="164">
        <f>+G135</f>
        <v>0.9</v>
      </c>
      <c r="H134" s="164">
        <f>+H135</f>
        <v>0.9</v>
      </c>
    </row>
    <row r="135" spans="1:9" x14ac:dyDescent="0.2">
      <c r="A135" s="14">
        <v>125</v>
      </c>
      <c r="B135" s="18"/>
      <c r="C135" s="72" t="s">
        <v>655</v>
      </c>
      <c r="D135" s="39" t="s">
        <v>676</v>
      </c>
      <c r="E135" s="29">
        <f>24.8+2.2-3.9</f>
        <v>23.1</v>
      </c>
      <c r="F135" s="29">
        <v>23.1</v>
      </c>
      <c r="G135" s="29">
        <f>1-0.1</f>
        <v>0.9</v>
      </c>
      <c r="H135" s="23">
        <v>0.9</v>
      </c>
    </row>
    <row r="136" spans="1:9" ht="25.5" x14ac:dyDescent="0.2">
      <c r="A136" s="14">
        <v>126</v>
      </c>
      <c r="B136" s="18" t="s">
        <v>683</v>
      </c>
      <c r="C136" s="58" t="s">
        <v>684</v>
      </c>
      <c r="E136" s="164">
        <f>+E137</f>
        <v>0.1</v>
      </c>
      <c r="F136" s="164">
        <f>+F137</f>
        <v>0.1</v>
      </c>
      <c r="G136" s="164">
        <f>+G137</f>
        <v>0</v>
      </c>
      <c r="H136" s="164">
        <f>+H137</f>
        <v>0</v>
      </c>
    </row>
    <row r="137" spans="1:9" x14ac:dyDescent="0.2">
      <c r="A137" s="14">
        <v>127</v>
      </c>
      <c r="B137" s="18"/>
      <c r="C137" s="72" t="s">
        <v>655</v>
      </c>
      <c r="D137" s="39" t="s">
        <v>676</v>
      </c>
      <c r="E137" s="29">
        <v>0.1</v>
      </c>
      <c r="F137" s="29">
        <v>0.1</v>
      </c>
      <c r="G137" s="29"/>
      <c r="H137" s="23"/>
    </row>
    <row r="138" spans="1:9" ht="38.25" x14ac:dyDescent="0.2">
      <c r="A138" s="14">
        <v>128</v>
      </c>
      <c r="B138" s="18" t="s">
        <v>685</v>
      </c>
      <c r="C138" s="58" t="s">
        <v>686</v>
      </c>
      <c r="D138" s="195"/>
      <c r="E138" s="164">
        <f>+E139</f>
        <v>84.1</v>
      </c>
      <c r="F138" s="164">
        <f>+F139</f>
        <v>83.4</v>
      </c>
      <c r="G138" s="164">
        <f>+G139</f>
        <v>3.4</v>
      </c>
      <c r="H138" s="164">
        <f>+H139</f>
        <v>3.2</v>
      </c>
    </row>
    <row r="139" spans="1:9" x14ac:dyDescent="0.2">
      <c r="A139" s="14">
        <v>129</v>
      </c>
      <c r="B139" s="18"/>
      <c r="C139" s="166" t="s">
        <v>56</v>
      </c>
      <c r="D139" s="39" t="s">
        <v>676</v>
      </c>
      <c r="E139" s="29">
        <v>84.1</v>
      </c>
      <c r="F139" s="29">
        <v>83.4</v>
      </c>
      <c r="G139" s="29">
        <f>4-0.6</f>
        <v>3.4</v>
      </c>
      <c r="H139" s="23">
        <v>3.2</v>
      </c>
    </row>
    <row r="140" spans="1:9" ht="25.5" x14ac:dyDescent="0.2">
      <c r="A140" s="14">
        <v>130</v>
      </c>
      <c r="B140" s="18" t="s">
        <v>687</v>
      </c>
      <c r="C140" s="178" t="s">
        <v>688</v>
      </c>
      <c r="D140" s="195"/>
      <c r="E140" s="164">
        <f>SUM(E141:E144)</f>
        <v>21.3</v>
      </c>
      <c r="F140" s="164">
        <f>SUM(F141:F144)</f>
        <v>21.3</v>
      </c>
      <c r="G140" s="164">
        <f>SUM(G141:G144)</f>
        <v>21</v>
      </c>
      <c r="H140" s="164">
        <f>SUM(H141:H144)</f>
        <v>21</v>
      </c>
    </row>
    <row r="141" spans="1:9" ht="38.25" x14ac:dyDescent="0.2">
      <c r="A141" s="14">
        <v>131</v>
      </c>
      <c r="B141" s="18"/>
      <c r="C141" s="73" t="s">
        <v>146</v>
      </c>
      <c r="D141" s="25" t="s">
        <v>147</v>
      </c>
      <c r="E141" s="20">
        <v>12.5</v>
      </c>
      <c r="F141" s="20">
        <v>12.4</v>
      </c>
      <c r="G141" s="20">
        <v>12.3</v>
      </c>
      <c r="H141" s="19">
        <v>12.3</v>
      </c>
    </row>
    <row r="142" spans="1:9" x14ac:dyDescent="0.2">
      <c r="A142" s="14">
        <v>132</v>
      </c>
      <c r="B142" s="18"/>
      <c r="C142" s="46" t="s">
        <v>150</v>
      </c>
      <c r="D142" s="64" t="s">
        <v>151</v>
      </c>
      <c r="E142" s="20">
        <v>4.2</v>
      </c>
      <c r="F142" s="20">
        <v>4.2</v>
      </c>
      <c r="G142" s="20">
        <v>4.0999999999999996</v>
      </c>
      <c r="H142" s="23">
        <v>4.0999999999999996</v>
      </c>
    </row>
    <row r="143" spans="1:9" x14ac:dyDescent="0.2">
      <c r="A143" s="14">
        <v>133</v>
      </c>
      <c r="B143" s="18"/>
      <c r="C143" s="35" t="s">
        <v>52</v>
      </c>
      <c r="D143" s="25" t="s">
        <v>152</v>
      </c>
      <c r="E143" s="20">
        <v>1.8</v>
      </c>
      <c r="F143" s="29">
        <v>1.9</v>
      </c>
      <c r="G143" s="20">
        <v>1.8</v>
      </c>
      <c r="H143" s="23">
        <v>1.8</v>
      </c>
    </row>
    <row r="144" spans="1:9" x14ac:dyDescent="0.2">
      <c r="A144" s="14">
        <v>134</v>
      </c>
      <c r="B144" s="18"/>
      <c r="C144" s="46" t="s">
        <v>153</v>
      </c>
      <c r="D144" s="25" t="s">
        <v>154</v>
      </c>
      <c r="E144" s="20">
        <v>2.8</v>
      </c>
      <c r="F144" s="20">
        <v>2.8</v>
      </c>
      <c r="G144" s="20">
        <v>2.8</v>
      </c>
      <c r="H144" s="23">
        <v>2.8</v>
      </c>
    </row>
    <row r="145" spans="1:11" ht="38.25" x14ac:dyDescent="0.2">
      <c r="A145" s="14">
        <v>135</v>
      </c>
      <c r="B145" s="18" t="s">
        <v>689</v>
      </c>
      <c r="C145" s="167" t="s">
        <v>690</v>
      </c>
      <c r="D145" s="25"/>
      <c r="E145" s="164">
        <f>+E146</f>
        <v>140.4</v>
      </c>
      <c r="F145" s="164">
        <f>+F146</f>
        <v>140.4</v>
      </c>
      <c r="G145" s="164">
        <f>+G146</f>
        <v>2.8</v>
      </c>
      <c r="H145" s="164">
        <f>+H146</f>
        <v>2.8</v>
      </c>
    </row>
    <row r="146" spans="1:11" x14ac:dyDescent="0.2">
      <c r="A146" s="14">
        <v>136</v>
      </c>
      <c r="B146" s="18"/>
      <c r="C146" s="72" t="s">
        <v>655</v>
      </c>
      <c r="D146" s="39" t="s">
        <v>676</v>
      </c>
      <c r="E146" s="29">
        <f>3.7+22.6+22.6+23.2+15.8+19.9+17.8+14.8</f>
        <v>140.4</v>
      </c>
      <c r="F146" s="29">
        <v>140.4</v>
      </c>
      <c r="G146" s="29">
        <f>0.1+0.4+0.4+0.5+0.3+0.4+0.4+0.3</f>
        <v>2.8</v>
      </c>
      <c r="H146" s="34">
        <f>2.8</f>
        <v>2.8</v>
      </c>
      <c r="I146" s="197"/>
    </row>
    <row r="147" spans="1:11" ht="76.5" x14ac:dyDescent="0.2">
      <c r="A147" s="14">
        <v>137</v>
      </c>
      <c r="B147" s="18" t="s">
        <v>691</v>
      </c>
      <c r="C147" s="58" t="s">
        <v>692</v>
      </c>
      <c r="D147" s="25"/>
      <c r="E147" s="164">
        <f>+E148</f>
        <v>96.8</v>
      </c>
      <c r="F147" s="164">
        <f>+F148</f>
        <v>96.8</v>
      </c>
      <c r="G147" s="164">
        <f>+G148</f>
        <v>0</v>
      </c>
      <c r="H147" s="164">
        <f>+H148</f>
        <v>0</v>
      </c>
    </row>
    <row r="148" spans="1:11" x14ac:dyDescent="0.2">
      <c r="A148" s="14">
        <v>138</v>
      </c>
      <c r="B148" s="18"/>
      <c r="C148" s="72" t="s">
        <v>655</v>
      </c>
      <c r="D148" s="39" t="s">
        <v>159</v>
      </c>
      <c r="E148" s="29">
        <f>20.7+26.9+49.2</f>
        <v>96.8</v>
      </c>
      <c r="F148" s="29">
        <v>96.8</v>
      </c>
      <c r="G148" s="29"/>
      <c r="H148" s="198"/>
    </row>
    <row r="149" spans="1:11" ht="63.75" x14ac:dyDescent="0.2">
      <c r="A149" s="14">
        <v>139</v>
      </c>
      <c r="B149" s="18" t="s">
        <v>693</v>
      </c>
      <c r="C149" s="58" t="s">
        <v>694</v>
      </c>
      <c r="D149" s="25"/>
      <c r="E149" s="164">
        <f>+E150</f>
        <v>7.1</v>
      </c>
      <c r="F149" s="164">
        <f>+F150</f>
        <v>7</v>
      </c>
      <c r="G149" s="164">
        <f>+G150</f>
        <v>0.2</v>
      </c>
      <c r="H149" s="164">
        <f>+H150</f>
        <v>0.1</v>
      </c>
    </row>
    <row r="150" spans="1:11" x14ac:dyDescent="0.2">
      <c r="A150" s="14">
        <v>140</v>
      </c>
      <c r="B150" s="18"/>
      <c r="C150" s="72" t="s">
        <v>655</v>
      </c>
      <c r="D150" s="39" t="s">
        <v>159</v>
      </c>
      <c r="E150" s="29">
        <f>3.3+0.6+3.2</f>
        <v>7.1</v>
      </c>
      <c r="F150" s="29">
        <v>7</v>
      </c>
      <c r="G150" s="29">
        <f>0.1+0.1</f>
        <v>0.2</v>
      </c>
      <c r="H150" s="23">
        <v>0.1</v>
      </c>
      <c r="I150" s="197"/>
    </row>
    <row r="151" spans="1:11" ht="25.5" x14ac:dyDescent="0.2">
      <c r="A151" s="14">
        <v>141</v>
      </c>
      <c r="B151" s="18" t="s">
        <v>695</v>
      </c>
      <c r="C151" s="58" t="s">
        <v>696</v>
      </c>
      <c r="D151" s="25"/>
      <c r="E151" s="164">
        <f>+E152</f>
        <v>85.3</v>
      </c>
      <c r="F151" s="164">
        <f>+F152</f>
        <v>80.2</v>
      </c>
      <c r="G151" s="164">
        <f>+G152</f>
        <v>0</v>
      </c>
      <c r="H151" s="164">
        <f>+H152</f>
        <v>0</v>
      </c>
      <c r="J151" s="197"/>
      <c r="K151" s="197"/>
    </row>
    <row r="152" spans="1:11" x14ac:dyDescent="0.2">
      <c r="A152" s="14">
        <v>142</v>
      </c>
      <c r="B152" s="18"/>
      <c r="C152" s="72" t="s">
        <v>655</v>
      </c>
      <c r="D152" s="39" t="s">
        <v>178</v>
      </c>
      <c r="E152" s="29">
        <v>85.3</v>
      </c>
      <c r="F152" s="29">
        <v>80.2</v>
      </c>
      <c r="G152" s="29"/>
      <c r="H152" s="34"/>
      <c r="J152" s="197"/>
      <c r="K152" s="197"/>
    </row>
    <row r="153" spans="1:11" ht="38.25" x14ac:dyDescent="0.2">
      <c r="A153" s="14">
        <v>143</v>
      </c>
      <c r="B153" s="18" t="s">
        <v>697</v>
      </c>
      <c r="C153" s="58" t="s">
        <v>698</v>
      </c>
      <c r="D153" s="25"/>
      <c r="E153" s="164">
        <f>+E154</f>
        <v>0.9</v>
      </c>
      <c r="F153" s="164">
        <f>+F154</f>
        <v>0.9</v>
      </c>
      <c r="G153" s="164">
        <f>+G154</f>
        <v>0</v>
      </c>
      <c r="H153" s="164">
        <f>+H154</f>
        <v>0</v>
      </c>
      <c r="J153" s="197"/>
      <c r="K153" s="197"/>
    </row>
    <row r="154" spans="1:11" x14ac:dyDescent="0.2">
      <c r="A154" s="14">
        <v>144</v>
      </c>
      <c r="B154" s="18"/>
      <c r="C154" s="72" t="s">
        <v>655</v>
      </c>
      <c r="D154" s="39" t="s">
        <v>676</v>
      </c>
      <c r="E154" s="29">
        <v>0.9</v>
      </c>
      <c r="F154" s="29">
        <v>0.9</v>
      </c>
      <c r="G154" s="29"/>
      <c r="H154" s="34"/>
      <c r="J154" s="197"/>
      <c r="K154" s="197"/>
    </row>
    <row r="155" spans="1:11" x14ac:dyDescent="0.2">
      <c r="A155" s="14">
        <v>145</v>
      </c>
      <c r="B155" s="12" t="s">
        <v>212</v>
      </c>
      <c r="C155" s="52" t="s">
        <v>213</v>
      </c>
      <c r="D155" s="49"/>
      <c r="E155" s="53">
        <f t="shared" ref="E155:H156" si="2">+E156</f>
        <v>2.4</v>
      </c>
      <c r="F155" s="53">
        <f t="shared" si="2"/>
        <v>2.4</v>
      </c>
      <c r="G155" s="53">
        <f t="shared" si="2"/>
        <v>2.4</v>
      </c>
      <c r="H155" s="53">
        <f t="shared" si="2"/>
        <v>2.4</v>
      </c>
    </row>
    <row r="156" spans="1:11" ht="51" x14ac:dyDescent="0.2">
      <c r="A156" s="14">
        <v>146</v>
      </c>
      <c r="B156" s="18" t="s">
        <v>648</v>
      </c>
      <c r="C156" s="178" t="s">
        <v>657</v>
      </c>
      <c r="D156" s="49"/>
      <c r="E156" s="164">
        <f t="shared" si="2"/>
        <v>2.4</v>
      </c>
      <c r="F156" s="164">
        <f t="shared" si="2"/>
        <v>2.4</v>
      </c>
      <c r="G156" s="164">
        <f t="shared" si="2"/>
        <v>2.4</v>
      </c>
      <c r="H156" s="164">
        <f t="shared" si="2"/>
        <v>2.4</v>
      </c>
    </row>
    <row r="157" spans="1:11" x14ac:dyDescent="0.2">
      <c r="A157" s="14">
        <v>147</v>
      </c>
      <c r="B157" s="18"/>
      <c r="C157" s="19" t="s">
        <v>214</v>
      </c>
      <c r="D157" s="18" t="s">
        <v>215</v>
      </c>
      <c r="E157" s="20">
        <v>2.4</v>
      </c>
      <c r="F157" s="20">
        <v>2.4</v>
      </c>
      <c r="G157" s="20">
        <v>2.4</v>
      </c>
      <c r="H157" s="23">
        <v>2.4</v>
      </c>
    </row>
    <row r="158" spans="1:11" x14ac:dyDescent="0.2">
      <c r="A158" s="14">
        <v>148</v>
      </c>
      <c r="B158" s="12" t="s">
        <v>239</v>
      </c>
      <c r="C158" s="52" t="s">
        <v>240</v>
      </c>
      <c r="D158" s="49"/>
      <c r="E158" s="199">
        <f>+E159+E161+E165+E168</f>
        <v>805.19999999999993</v>
      </c>
      <c r="F158" s="199">
        <f>+F159+F161+F165+F168</f>
        <v>804.69999999999993</v>
      </c>
      <c r="G158" s="199">
        <f>+G159+G161+G165+G168</f>
        <v>17.3</v>
      </c>
      <c r="H158" s="199">
        <f>+H159+H161+H165+H168</f>
        <v>17.3</v>
      </c>
    </row>
    <row r="159" spans="1:11" ht="25.5" x14ac:dyDescent="0.2">
      <c r="A159" s="14">
        <v>149</v>
      </c>
      <c r="B159" s="18" t="s">
        <v>699</v>
      </c>
      <c r="C159" s="178" t="s">
        <v>700</v>
      </c>
      <c r="D159" s="49"/>
      <c r="E159" s="164">
        <f>+E160</f>
        <v>55.5</v>
      </c>
      <c r="F159" s="164">
        <f>+F160</f>
        <v>55.5</v>
      </c>
      <c r="G159" s="164">
        <f>+G160</f>
        <v>0</v>
      </c>
      <c r="H159" s="164">
        <f>+H160</f>
        <v>0</v>
      </c>
    </row>
    <row r="160" spans="1:11" ht="25.5" x14ac:dyDescent="0.2">
      <c r="A160" s="14">
        <v>150</v>
      </c>
      <c r="B160" s="18"/>
      <c r="C160" s="24" t="s">
        <v>248</v>
      </c>
      <c r="D160" s="18" t="s">
        <v>249</v>
      </c>
      <c r="E160" s="20">
        <v>55.5</v>
      </c>
      <c r="F160" s="20">
        <v>55.5</v>
      </c>
      <c r="G160" s="20"/>
      <c r="H160" s="23"/>
    </row>
    <row r="161" spans="1:13" ht="51" x14ac:dyDescent="0.2">
      <c r="A161" s="14">
        <v>151</v>
      </c>
      <c r="B161" s="18" t="s">
        <v>701</v>
      </c>
      <c r="C161" s="178" t="s">
        <v>657</v>
      </c>
      <c r="D161" s="49"/>
      <c r="E161" s="164">
        <f>SUM(E162:E164)</f>
        <v>16.899999999999999</v>
      </c>
      <c r="F161" s="164">
        <f>SUM(F162:F164)</f>
        <v>16.899999999999999</v>
      </c>
      <c r="G161" s="164">
        <f>SUM(G162:G164)</f>
        <v>16.7</v>
      </c>
      <c r="H161" s="164">
        <f>SUM(H162:H164)</f>
        <v>16.7</v>
      </c>
    </row>
    <row r="162" spans="1:13" x14ac:dyDescent="0.2">
      <c r="A162" s="14">
        <v>152</v>
      </c>
      <c r="B162" s="18"/>
      <c r="C162" s="19" t="s">
        <v>241</v>
      </c>
      <c r="D162" s="18" t="s">
        <v>242</v>
      </c>
      <c r="E162" s="20">
        <v>4.9000000000000004</v>
      </c>
      <c r="F162" s="20">
        <v>4.9000000000000004</v>
      </c>
      <c r="G162" s="20">
        <v>4.8</v>
      </c>
      <c r="H162" s="23">
        <v>4.8</v>
      </c>
    </row>
    <row r="163" spans="1:13" ht="25.5" x14ac:dyDescent="0.2">
      <c r="A163" s="14">
        <v>153</v>
      </c>
      <c r="B163" s="18"/>
      <c r="C163" s="24" t="s">
        <v>248</v>
      </c>
      <c r="D163" s="18" t="s">
        <v>249</v>
      </c>
      <c r="E163" s="20">
        <v>9.6</v>
      </c>
      <c r="F163" s="20">
        <v>9.6</v>
      </c>
      <c r="G163" s="20">
        <v>9.5</v>
      </c>
      <c r="H163" s="19">
        <v>9.5</v>
      </c>
    </row>
    <row r="164" spans="1:13" x14ac:dyDescent="0.2">
      <c r="A164" s="14">
        <v>154</v>
      </c>
      <c r="B164" s="18"/>
      <c r="C164" s="63" t="s">
        <v>250</v>
      </c>
      <c r="D164" s="18" t="s">
        <v>251</v>
      </c>
      <c r="E164" s="20">
        <v>2.4</v>
      </c>
      <c r="F164" s="20">
        <v>2.4</v>
      </c>
      <c r="G164" s="20">
        <v>2.4</v>
      </c>
      <c r="H164" s="23">
        <v>2.4</v>
      </c>
    </row>
    <row r="165" spans="1:13" ht="25.5" x14ac:dyDescent="0.2">
      <c r="A165" s="14">
        <v>155</v>
      </c>
      <c r="B165" s="18" t="s">
        <v>702</v>
      </c>
      <c r="C165" s="178" t="s">
        <v>671</v>
      </c>
      <c r="D165" s="49"/>
      <c r="E165" s="164">
        <f t="shared" ref="E165:H166" si="3">+E166</f>
        <v>700</v>
      </c>
      <c r="F165" s="164">
        <f t="shared" si="3"/>
        <v>700</v>
      </c>
      <c r="G165" s="164">
        <f t="shared" si="3"/>
        <v>0</v>
      </c>
      <c r="H165" s="164">
        <f t="shared" si="3"/>
        <v>0</v>
      </c>
    </row>
    <row r="166" spans="1:13" x14ac:dyDescent="0.2">
      <c r="A166" s="14">
        <v>156</v>
      </c>
      <c r="B166" s="18"/>
      <c r="C166" s="24" t="s">
        <v>56</v>
      </c>
      <c r="D166" s="49"/>
      <c r="E166" s="20">
        <f t="shared" si="3"/>
        <v>700</v>
      </c>
      <c r="F166" s="20">
        <f t="shared" si="3"/>
        <v>700</v>
      </c>
      <c r="G166" s="20">
        <f t="shared" si="3"/>
        <v>0</v>
      </c>
      <c r="H166" s="20">
        <f t="shared" si="3"/>
        <v>0</v>
      </c>
    </row>
    <row r="167" spans="1:13" ht="25.5" x14ac:dyDescent="0.2">
      <c r="A167" s="14">
        <v>157</v>
      </c>
      <c r="B167" s="18"/>
      <c r="C167" s="139" t="s">
        <v>277</v>
      </c>
      <c r="D167" s="49" t="s">
        <v>242</v>
      </c>
      <c r="E167" s="20">
        <f>550+150</f>
        <v>700</v>
      </c>
      <c r="F167" s="20">
        <v>700</v>
      </c>
      <c r="G167" s="20"/>
      <c r="H167" s="23"/>
    </row>
    <row r="168" spans="1:13" ht="25.5" x14ac:dyDescent="0.2">
      <c r="A168" s="14">
        <v>158</v>
      </c>
      <c r="B168" s="18" t="s">
        <v>703</v>
      </c>
      <c r="C168" s="178" t="s">
        <v>704</v>
      </c>
      <c r="D168" s="21"/>
      <c r="E168" s="164">
        <f>+E169</f>
        <v>32.799999999999997</v>
      </c>
      <c r="F168" s="164">
        <f>+F169</f>
        <v>32.299999999999997</v>
      </c>
      <c r="G168" s="164">
        <f>+G169</f>
        <v>0.6</v>
      </c>
      <c r="H168" s="164">
        <f>+H169</f>
        <v>0.6</v>
      </c>
    </row>
    <row r="169" spans="1:13" x14ac:dyDescent="0.2">
      <c r="A169" s="14">
        <v>159</v>
      </c>
      <c r="B169" s="18"/>
      <c r="C169" s="72" t="s">
        <v>56</v>
      </c>
      <c r="D169" s="30" t="s">
        <v>705</v>
      </c>
      <c r="E169" s="29">
        <v>32.799999999999997</v>
      </c>
      <c r="F169" s="29">
        <f>32.4-0.1</f>
        <v>32.299999999999997</v>
      </c>
      <c r="G169" s="29">
        <v>0.6</v>
      </c>
      <c r="H169" s="34">
        <v>0.6</v>
      </c>
    </row>
    <row r="170" spans="1:13" ht="25.5" x14ac:dyDescent="0.2">
      <c r="A170" s="14">
        <v>160</v>
      </c>
      <c r="B170" s="12" t="s">
        <v>320</v>
      </c>
      <c r="C170" s="81" t="s">
        <v>321</v>
      </c>
      <c r="D170" s="18"/>
      <c r="E170" s="53">
        <f t="shared" ref="E170:H171" si="4">+E171</f>
        <v>3008.3</v>
      </c>
      <c r="F170" s="53">
        <f t="shared" si="4"/>
        <v>3002.8</v>
      </c>
      <c r="G170" s="53">
        <f t="shared" si="4"/>
        <v>0</v>
      </c>
      <c r="H170" s="53">
        <f t="shared" si="4"/>
        <v>0</v>
      </c>
    </row>
    <row r="171" spans="1:13" ht="25.5" x14ac:dyDescent="0.2">
      <c r="A171" s="14">
        <v>161</v>
      </c>
      <c r="B171" s="18" t="s">
        <v>706</v>
      </c>
      <c r="C171" s="58" t="s">
        <v>707</v>
      </c>
      <c r="D171" s="18"/>
      <c r="E171" s="164">
        <f t="shared" si="4"/>
        <v>3008.3</v>
      </c>
      <c r="F171" s="164">
        <f t="shared" si="4"/>
        <v>3002.8</v>
      </c>
      <c r="G171" s="164">
        <f t="shared" si="4"/>
        <v>0</v>
      </c>
      <c r="H171" s="164">
        <f t="shared" si="4"/>
        <v>0</v>
      </c>
    </row>
    <row r="172" spans="1:13" x14ac:dyDescent="0.2">
      <c r="A172" s="14">
        <v>162</v>
      </c>
      <c r="B172" s="12"/>
      <c r="C172" s="24" t="s">
        <v>56</v>
      </c>
      <c r="D172" s="18" t="s">
        <v>384</v>
      </c>
      <c r="E172" s="20">
        <v>3008.3</v>
      </c>
      <c r="F172" s="20">
        <v>3002.8</v>
      </c>
      <c r="G172" s="20"/>
      <c r="H172" s="23"/>
    </row>
    <row r="173" spans="1:13" x14ac:dyDescent="0.2">
      <c r="A173" s="14">
        <v>163</v>
      </c>
      <c r="B173" s="12" t="s">
        <v>403</v>
      </c>
      <c r="C173" s="52" t="s">
        <v>404</v>
      </c>
      <c r="D173" s="18"/>
      <c r="E173" s="53">
        <f>+E174+E176</f>
        <v>10.1</v>
      </c>
      <c r="F173" s="53">
        <f>+F174+F176</f>
        <v>8.1999999999999993</v>
      </c>
      <c r="G173" s="53">
        <f>+G174+G176</f>
        <v>0</v>
      </c>
      <c r="H173" s="53">
        <f>+H174+H176</f>
        <v>0</v>
      </c>
    </row>
    <row r="174" spans="1:13" ht="25.5" x14ac:dyDescent="0.2">
      <c r="A174" s="14">
        <v>164</v>
      </c>
      <c r="B174" s="18" t="s">
        <v>708</v>
      </c>
      <c r="C174" s="58" t="s">
        <v>709</v>
      </c>
      <c r="D174" s="18"/>
      <c r="E174" s="164">
        <f>+E175</f>
        <v>8.1999999999999993</v>
      </c>
      <c r="F174" s="164">
        <f>+F175</f>
        <v>8.1999999999999993</v>
      </c>
      <c r="G174" s="164">
        <f>+G175</f>
        <v>0</v>
      </c>
      <c r="H174" s="164">
        <f>+H175</f>
        <v>0</v>
      </c>
    </row>
    <row r="175" spans="1:13" x14ac:dyDescent="0.2">
      <c r="A175" s="14">
        <v>165</v>
      </c>
      <c r="B175" s="18"/>
      <c r="C175" s="122" t="s">
        <v>56</v>
      </c>
      <c r="D175" s="18" t="s">
        <v>408</v>
      </c>
      <c r="E175" s="20">
        <v>8.1999999999999993</v>
      </c>
      <c r="F175" s="20">
        <v>8.1999999999999993</v>
      </c>
      <c r="G175" s="20"/>
      <c r="H175" s="23"/>
    </row>
    <row r="176" spans="1:13" ht="25.5" x14ac:dyDescent="0.2">
      <c r="A176" s="14">
        <v>166</v>
      </c>
      <c r="B176" s="18" t="s">
        <v>710</v>
      </c>
      <c r="C176" s="190" t="s">
        <v>711</v>
      </c>
      <c r="D176" s="25"/>
      <c r="E176" s="164">
        <f>+E177</f>
        <v>1.9</v>
      </c>
      <c r="F176" s="164">
        <f>+F177</f>
        <v>0</v>
      </c>
      <c r="G176" s="164">
        <f>+G177</f>
        <v>0</v>
      </c>
      <c r="H176" s="164">
        <f>+H177</f>
        <v>0</v>
      </c>
      <c r="M176" s="97"/>
    </row>
    <row r="177" spans="1:13" x14ac:dyDescent="0.2">
      <c r="A177" s="14">
        <v>167</v>
      </c>
      <c r="B177" s="18"/>
      <c r="C177" s="122" t="s">
        <v>56</v>
      </c>
      <c r="D177" s="25" t="s">
        <v>406</v>
      </c>
      <c r="E177" s="20">
        <v>1.9</v>
      </c>
      <c r="F177" s="20">
        <v>0</v>
      </c>
      <c r="G177" s="20"/>
      <c r="H177" s="23"/>
      <c r="M177" s="97"/>
    </row>
    <row r="178" spans="1:13" x14ac:dyDescent="0.2">
      <c r="A178" s="14">
        <v>168</v>
      </c>
      <c r="B178" s="12" t="s">
        <v>440</v>
      </c>
      <c r="C178" s="52" t="s">
        <v>441</v>
      </c>
      <c r="D178" s="25"/>
      <c r="E178" s="53">
        <f t="shared" ref="E178:H179" si="5">+E179</f>
        <v>47.5</v>
      </c>
      <c r="F178" s="53">
        <f t="shared" si="5"/>
        <v>42.3</v>
      </c>
      <c r="G178" s="53">
        <f t="shared" si="5"/>
        <v>0</v>
      </c>
      <c r="H178" s="53">
        <f t="shared" si="5"/>
        <v>0</v>
      </c>
    </row>
    <row r="179" spans="1:13" ht="63.75" x14ac:dyDescent="0.2">
      <c r="A179" s="14">
        <v>169</v>
      </c>
      <c r="B179" s="18" t="s">
        <v>537</v>
      </c>
      <c r="C179" s="190" t="s">
        <v>712</v>
      </c>
      <c r="D179" s="25"/>
      <c r="E179" s="164">
        <f t="shared" si="5"/>
        <v>47.5</v>
      </c>
      <c r="F179" s="164">
        <f t="shared" si="5"/>
        <v>42.3</v>
      </c>
      <c r="G179" s="164">
        <f t="shared" si="5"/>
        <v>0</v>
      </c>
      <c r="H179" s="164">
        <f t="shared" si="5"/>
        <v>0</v>
      </c>
    </row>
    <row r="180" spans="1:13" x14ac:dyDescent="0.2">
      <c r="A180" s="14">
        <v>170</v>
      </c>
      <c r="B180" s="18"/>
      <c r="C180" s="122" t="s">
        <v>56</v>
      </c>
      <c r="D180" s="18" t="s">
        <v>713</v>
      </c>
      <c r="E180" s="20">
        <f>27.3+20.2</f>
        <v>47.5</v>
      </c>
      <c r="F180" s="20">
        <v>42.3</v>
      </c>
      <c r="G180" s="20"/>
      <c r="H180" s="23"/>
    </row>
    <row r="181" spans="1:13" x14ac:dyDescent="0.2">
      <c r="A181" s="14">
        <v>171</v>
      </c>
      <c r="B181" s="12" t="s">
        <v>449</v>
      </c>
      <c r="C181" s="52" t="s">
        <v>450</v>
      </c>
      <c r="D181" s="18"/>
      <c r="E181" s="53">
        <f>+E182+E184</f>
        <v>32.1</v>
      </c>
      <c r="F181" s="53">
        <f>+F182+F184</f>
        <v>31.900000000000002</v>
      </c>
      <c r="G181" s="53">
        <f>+G182+G184</f>
        <v>0</v>
      </c>
      <c r="H181" s="53">
        <f>+H182+H184</f>
        <v>0</v>
      </c>
    </row>
    <row r="182" spans="1:13" ht="44.25" customHeight="1" x14ac:dyDescent="0.2">
      <c r="A182" s="14">
        <v>172</v>
      </c>
      <c r="B182" s="18" t="s">
        <v>596</v>
      </c>
      <c r="C182" s="178" t="s">
        <v>714</v>
      </c>
      <c r="D182" s="200"/>
      <c r="E182" s="164">
        <f>+E183</f>
        <v>22.3</v>
      </c>
      <c r="F182" s="164">
        <f>+F183</f>
        <v>22.1</v>
      </c>
      <c r="G182" s="164">
        <f>+G183</f>
        <v>0</v>
      </c>
      <c r="H182" s="164">
        <f>+H183</f>
        <v>0</v>
      </c>
    </row>
    <row r="183" spans="1:13" x14ac:dyDescent="0.2">
      <c r="A183" s="14">
        <v>173</v>
      </c>
      <c r="B183" s="18"/>
      <c r="C183" s="226" t="s">
        <v>56</v>
      </c>
      <c r="D183" s="165" t="s">
        <v>459</v>
      </c>
      <c r="E183" s="29">
        <v>22.3</v>
      </c>
      <c r="F183" s="29">
        <v>22.1</v>
      </c>
      <c r="G183" s="29"/>
      <c r="H183" s="34"/>
    </row>
    <row r="184" spans="1:13" ht="51" x14ac:dyDescent="0.2">
      <c r="A184" s="14">
        <v>174</v>
      </c>
      <c r="B184" s="18" t="s">
        <v>598</v>
      </c>
      <c r="C184" s="178" t="s">
        <v>715</v>
      </c>
      <c r="D184" s="49"/>
      <c r="E184" s="164">
        <f>+E185</f>
        <v>9.8000000000000007</v>
      </c>
      <c r="F184" s="164">
        <f>+F185</f>
        <v>9.8000000000000007</v>
      </c>
      <c r="G184" s="164">
        <f>+G185</f>
        <v>0</v>
      </c>
      <c r="H184" s="164">
        <f>+H185</f>
        <v>0</v>
      </c>
    </row>
    <row r="185" spans="1:13" x14ac:dyDescent="0.2">
      <c r="A185" s="14">
        <v>175</v>
      </c>
      <c r="B185" s="18"/>
      <c r="C185" s="226" t="s">
        <v>56</v>
      </c>
      <c r="D185" s="165">
        <v>10</v>
      </c>
      <c r="E185" s="29">
        <f>6.1+3.7</f>
        <v>9.8000000000000007</v>
      </c>
      <c r="F185" s="29">
        <v>9.8000000000000007</v>
      </c>
      <c r="G185" s="29"/>
      <c r="H185" s="34"/>
    </row>
    <row r="186" spans="1:13" x14ac:dyDescent="0.2">
      <c r="A186" s="14">
        <v>176</v>
      </c>
      <c r="B186" s="12"/>
      <c r="C186" s="117" t="s">
        <v>481</v>
      </c>
      <c r="D186" s="18"/>
      <c r="E186" s="53">
        <f>+E11++E90+E93+E155+E158+E170+E173+E181+E178</f>
        <v>7207.0000000000009</v>
      </c>
      <c r="F186" s="53">
        <f>+F11++F90+F93+F155+F158+F170+F173+F181+F178</f>
        <v>7140.1</v>
      </c>
      <c r="G186" s="53">
        <f>+G11++G90+G93+G155+G158+G170+G173+G181+G178</f>
        <v>555.79999999999995</v>
      </c>
      <c r="H186" s="53">
        <f>+H11++H90+H93+H155+H158+H170+H173+H181+H178</f>
        <v>531.79999999999995</v>
      </c>
    </row>
    <row r="187" spans="1:13" x14ac:dyDescent="0.2">
      <c r="C187" s="171" t="s">
        <v>649</v>
      </c>
      <c r="D187" s="5"/>
      <c r="E187" s="118"/>
      <c r="F187" s="118"/>
      <c r="G187" s="118"/>
    </row>
    <row r="188" spans="1:13" ht="13.5" customHeight="1" x14ac:dyDescent="0.2">
      <c r="C188" s="201"/>
      <c r="E188" s="118"/>
      <c r="F188" s="22"/>
      <c r="G188" s="118"/>
    </row>
    <row r="189" spans="1:13" x14ac:dyDescent="0.2">
      <c r="C189" s="201"/>
      <c r="D189" s="4"/>
      <c r="E189" s="118"/>
      <c r="F189" s="118"/>
      <c r="G189" s="118"/>
    </row>
    <row r="190" spans="1:13" x14ac:dyDescent="0.2">
      <c r="D190" s="1"/>
      <c r="E190" s="22"/>
      <c r="F190" s="22"/>
      <c r="G190" s="22"/>
    </row>
    <row r="191" spans="1:13" x14ac:dyDescent="0.2">
      <c r="C191" s="202"/>
      <c r="E191" s="22"/>
      <c r="F191" s="22"/>
      <c r="G191" s="22"/>
    </row>
    <row r="192" spans="1:13" x14ac:dyDescent="0.2">
      <c r="C192" s="203"/>
      <c r="E192" s="22"/>
      <c r="F192" s="22"/>
      <c r="G192" s="22"/>
    </row>
    <row r="193" spans="3:10" x14ac:dyDescent="0.2">
      <c r="C193" s="204"/>
    </row>
    <row r="194" spans="3:10" x14ac:dyDescent="0.2">
      <c r="C194" s="202"/>
    </row>
    <row r="195" spans="3:10" x14ac:dyDescent="0.2">
      <c r="C195" s="205"/>
      <c r="E195" s="22"/>
      <c r="F195" s="22"/>
    </row>
    <row r="199" spans="3:10" x14ac:dyDescent="0.2">
      <c r="E199" s="22"/>
      <c r="F199" s="22"/>
      <c r="J199" s="54"/>
    </row>
    <row r="200" spans="3:10" x14ac:dyDescent="0.2">
      <c r="E200" s="22"/>
      <c r="F200" s="22"/>
    </row>
    <row r="202" spans="3:10" x14ac:dyDescent="0.2">
      <c r="E202" s="22"/>
      <c r="F202" s="22"/>
    </row>
  </sheetData>
  <mergeCells count="11">
    <mergeCell ref="G8:H8"/>
    <mergeCell ref="A8:A9"/>
    <mergeCell ref="B8:B9"/>
    <mergeCell ref="C8:C9"/>
    <mergeCell ref="D8:D9"/>
    <mergeCell ref="E8:F8"/>
    <mergeCell ref="E3:H3"/>
    <mergeCell ref="C2:H2"/>
    <mergeCell ref="C1:H1"/>
    <mergeCell ref="G7:H7"/>
    <mergeCell ref="A5:G5"/>
  </mergeCells>
  <pageMargins left="0.9055118110236221" right="0.70866141732283472" top="0.55118110236220474" bottom="0.55118110236220474"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F97C5-7470-44FF-8E69-47B41F54466D}">
  <dimension ref="A1:R55"/>
  <sheetViews>
    <sheetView workbookViewId="0">
      <selection activeCell="O12" sqref="O12"/>
    </sheetView>
  </sheetViews>
  <sheetFormatPr defaultRowHeight="12.75" x14ac:dyDescent="0.2"/>
  <cols>
    <col min="1" max="1" width="4.7109375" style="1" customWidth="1"/>
    <col min="2" max="2" width="6.7109375" style="5" customWidth="1"/>
    <col min="3" max="3" width="53.7109375" style="171" customWidth="1"/>
    <col min="4" max="4" width="10.28515625" style="2" bestFit="1" customWidth="1"/>
    <col min="5" max="6" width="11" style="1" customWidth="1"/>
    <col min="7" max="7" width="11.28515625" style="1" customWidth="1"/>
    <col min="8" max="9" width="9.28515625" style="4" customWidth="1"/>
    <col min="10" max="256" width="9.140625" style="4"/>
    <col min="257" max="257" width="4.7109375" style="4" customWidth="1"/>
    <col min="258" max="258" width="6.7109375" style="4" customWidth="1"/>
    <col min="259" max="259" width="53.7109375" style="4" customWidth="1"/>
    <col min="260" max="260" width="10.28515625" style="4" bestFit="1" customWidth="1"/>
    <col min="261" max="262" width="11" style="4" customWidth="1"/>
    <col min="263" max="263" width="11.28515625" style="4" customWidth="1"/>
    <col min="264" max="265" width="9.28515625" style="4" customWidth="1"/>
    <col min="266" max="512" width="9.140625" style="4"/>
    <col min="513" max="513" width="4.7109375" style="4" customWidth="1"/>
    <col min="514" max="514" width="6.7109375" style="4" customWidth="1"/>
    <col min="515" max="515" width="53.7109375" style="4" customWidth="1"/>
    <col min="516" max="516" width="10.28515625" style="4" bestFit="1" customWidth="1"/>
    <col min="517" max="518" width="11" style="4" customWidth="1"/>
    <col min="519" max="519" width="11.28515625" style="4" customWidth="1"/>
    <col min="520" max="521" width="9.28515625" style="4" customWidth="1"/>
    <col min="522" max="768" width="9.140625" style="4"/>
    <col min="769" max="769" width="4.7109375" style="4" customWidth="1"/>
    <col min="770" max="770" width="6.7109375" style="4" customWidth="1"/>
    <col min="771" max="771" width="53.7109375" style="4" customWidth="1"/>
    <col min="772" max="772" width="10.28515625" style="4" bestFit="1" customWidth="1"/>
    <col min="773" max="774" width="11" style="4" customWidth="1"/>
    <col min="775" max="775" width="11.28515625" style="4" customWidth="1"/>
    <col min="776" max="777" width="9.28515625" style="4" customWidth="1"/>
    <col min="778" max="1024" width="9.140625" style="4"/>
    <col min="1025" max="1025" width="4.7109375" style="4" customWidth="1"/>
    <col min="1026" max="1026" width="6.7109375" style="4" customWidth="1"/>
    <col min="1027" max="1027" width="53.7109375" style="4" customWidth="1"/>
    <col min="1028" max="1028" width="10.28515625" style="4" bestFit="1" customWidth="1"/>
    <col min="1029" max="1030" width="11" style="4" customWidth="1"/>
    <col min="1031" max="1031" width="11.28515625" style="4" customWidth="1"/>
    <col min="1032" max="1033" width="9.28515625" style="4" customWidth="1"/>
    <col min="1034" max="1280" width="9.140625" style="4"/>
    <col min="1281" max="1281" width="4.7109375" style="4" customWidth="1"/>
    <col min="1282" max="1282" width="6.7109375" style="4" customWidth="1"/>
    <col min="1283" max="1283" width="53.7109375" style="4" customWidth="1"/>
    <col min="1284" max="1284" width="10.28515625" style="4" bestFit="1" customWidth="1"/>
    <col min="1285" max="1286" width="11" style="4" customWidth="1"/>
    <col min="1287" max="1287" width="11.28515625" style="4" customWidth="1"/>
    <col min="1288" max="1289" width="9.28515625" style="4" customWidth="1"/>
    <col min="1290" max="1536" width="9.140625" style="4"/>
    <col min="1537" max="1537" width="4.7109375" style="4" customWidth="1"/>
    <col min="1538" max="1538" width="6.7109375" style="4" customWidth="1"/>
    <col min="1539" max="1539" width="53.7109375" style="4" customWidth="1"/>
    <col min="1540" max="1540" width="10.28515625" style="4" bestFit="1" customWidth="1"/>
    <col min="1541" max="1542" width="11" style="4" customWidth="1"/>
    <col min="1543" max="1543" width="11.28515625" style="4" customWidth="1"/>
    <col min="1544" max="1545" width="9.28515625" style="4" customWidth="1"/>
    <col min="1546" max="1792" width="9.140625" style="4"/>
    <col min="1793" max="1793" width="4.7109375" style="4" customWidth="1"/>
    <col min="1794" max="1794" width="6.7109375" style="4" customWidth="1"/>
    <col min="1795" max="1795" width="53.7109375" style="4" customWidth="1"/>
    <col min="1796" max="1796" width="10.28515625" style="4" bestFit="1" customWidth="1"/>
    <col min="1797" max="1798" width="11" style="4" customWidth="1"/>
    <col min="1799" max="1799" width="11.28515625" style="4" customWidth="1"/>
    <col min="1800" max="1801" width="9.28515625" style="4" customWidth="1"/>
    <col min="1802" max="2048" width="9.140625" style="4"/>
    <col min="2049" max="2049" width="4.7109375" style="4" customWidth="1"/>
    <col min="2050" max="2050" width="6.7109375" style="4" customWidth="1"/>
    <col min="2051" max="2051" width="53.7109375" style="4" customWidth="1"/>
    <col min="2052" max="2052" width="10.28515625" style="4" bestFit="1" customWidth="1"/>
    <col min="2053" max="2054" width="11" style="4" customWidth="1"/>
    <col min="2055" max="2055" width="11.28515625" style="4" customWidth="1"/>
    <col min="2056" max="2057" width="9.28515625" style="4" customWidth="1"/>
    <col min="2058" max="2304" width="9.140625" style="4"/>
    <col min="2305" max="2305" width="4.7109375" style="4" customWidth="1"/>
    <col min="2306" max="2306" width="6.7109375" style="4" customWidth="1"/>
    <col min="2307" max="2307" width="53.7109375" style="4" customWidth="1"/>
    <col min="2308" max="2308" width="10.28515625" style="4" bestFit="1" customWidth="1"/>
    <col min="2309" max="2310" width="11" style="4" customWidth="1"/>
    <col min="2311" max="2311" width="11.28515625" style="4" customWidth="1"/>
    <col min="2312" max="2313" width="9.28515625" style="4" customWidth="1"/>
    <col min="2314" max="2560" width="9.140625" style="4"/>
    <col min="2561" max="2561" width="4.7109375" style="4" customWidth="1"/>
    <col min="2562" max="2562" width="6.7109375" style="4" customWidth="1"/>
    <col min="2563" max="2563" width="53.7109375" style="4" customWidth="1"/>
    <col min="2564" max="2564" width="10.28515625" style="4" bestFit="1" customWidth="1"/>
    <col min="2565" max="2566" width="11" style="4" customWidth="1"/>
    <col min="2567" max="2567" width="11.28515625" style="4" customWidth="1"/>
    <col min="2568" max="2569" width="9.28515625" style="4" customWidth="1"/>
    <col min="2570" max="2816" width="9.140625" style="4"/>
    <col min="2817" max="2817" width="4.7109375" style="4" customWidth="1"/>
    <col min="2818" max="2818" width="6.7109375" style="4" customWidth="1"/>
    <col min="2819" max="2819" width="53.7109375" style="4" customWidth="1"/>
    <col min="2820" max="2820" width="10.28515625" style="4" bestFit="1" customWidth="1"/>
    <col min="2821" max="2822" width="11" style="4" customWidth="1"/>
    <col min="2823" max="2823" width="11.28515625" style="4" customWidth="1"/>
    <col min="2824" max="2825" width="9.28515625" style="4" customWidth="1"/>
    <col min="2826" max="3072" width="9.140625" style="4"/>
    <col min="3073" max="3073" width="4.7109375" style="4" customWidth="1"/>
    <col min="3074" max="3074" width="6.7109375" style="4" customWidth="1"/>
    <col min="3075" max="3075" width="53.7109375" style="4" customWidth="1"/>
    <col min="3076" max="3076" width="10.28515625" style="4" bestFit="1" customWidth="1"/>
    <col min="3077" max="3078" width="11" style="4" customWidth="1"/>
    <col min="3079" max="3079" width="11.28515625" style="4" customWidth="1"/>
    <col min="3080" max="3081" width="9.28515625" style="4" customWidth="1"/>
    <col min="3082" max="3328" width="9.140625" style="4"/>
    <col min="3329" max="3329" width="4.7109375" style="4" customWidth="1"/>
    <col min="3330" max="3330" width="6.7109375" style="4" customWidth="1"/>
    <col min="3331" max="3331" width="53.7109375" style="4" customWidth="1"/>
    <col min="3332" max="3332" width="10.28515625" style="4" bestFit="1" customWidth="1"/>
    <col min="3333" max="3334" width="11" style="4" customWidth="1"/>
    <col min="3335" max="3335" width="11.28515625" style="4" customWidth="1"/>
    <col min="3336" max="3337" width="9.28515625" style="4" customWidth="1"/>
    <col min="3338" max="3584" width="9.140625" style="4"/>
    <col min="3585" max="3585" width="4.7109375" style="4" customWidth="1"/>
    <col min="3586" max="3586" width="6.7109375" style="4" customWidth="1"/>
    <col min="3587" max="3587" width="53.7109375" style="4" customWidth="1"/>
    <col min="3588" max="3588" width="10.28515625" style="4" bestFit="1" customWidth="1"/>
    <col min="3589" max="3590" width="11" style="4" customWidth="1"/>
    <col min="3591" max="3591" width="11.28515625" style="4" customWidth="1"/>
    <col min="3592" max="3593" width="9.28515625" style="4" customWidth="1"/>
    <col min="3594" max="3840" width="9.140625" style="4"/>
    <col min="3841" max="3841" width="4.7109375" style="4" customWidth="1"/>
    <col min="3842" max="3842" width="6.7109375" style="4" customWidth="1"/>
    <col min="3843" max="3843" width="53.7109375" style="4" customWidth="1"/>
    <col min="3844" max="3844" width="10.28515625" style="4" bestFit="1" customWidth="1"/>
    <col min="3845" max="3846" width="11" style="4" customWidth="1"/>
    <col min="3847" max="3847" width="11.28515625" style="4" customWidth="1"/>
    <col min="3848" max="3849" width="9.28515625" style="4" customWidth="1"/>
    <col min="3850" max="4096" width="9.140625" style="4"/>
    <col min="4097" max="4097" width="4.7109375" style="4" customWidth="1"/>
    <col min="4098" max="4098" width="6.7109375" style="4" customWidth="1"/>
    <col min="4099" max="4099" width="53.7109375" style="4" customWidth="1"/>
    <col min="4100" max="4100" width="10.28515625" style="4" bestFit="1" customWidth="1"/>
    <col min="4101" max="4102" width="11" style="4" customWidth="1"/>
    <col min="4103" max="4103" width="11.28515625" style="4" customWidth="1"/>
    <col min="4104" max="4105" width="9.28515625" style="4" customWidth="1"/>
    <col min="4106" max="4352" width="9.140625" style="4"/>
    <col min="4353" max="4353" width="4.7109375" style="4" customWidth="1"/>
    <col min="4354" max="4354" width="6.7109375" style="4" customWidth="1"/>
    <col min="4355" max="4355" width="53.7109375" style="4" customWidth="1"/>
    <col min="4356" max="4356" width="10.28515625" style="4" bestFit="1" customWidth="1"/>
    <col min="4357" max="4358" width="11" style="4" customWidth="1"/>
    <col min="4359" max="4359" width="11.28515625" style="4" customWidth="1"/>
    <col min="4360" max="4361" width="9.28515625" style="4" customWidth="1"/>
    <col min="4362" max="4608" width="9.140625" style="4"/>
    <col min="4609" max="4609" width="4.7109375" style="4" customWidth="1"/>
    <col min="4610" max="4610" width="6.7109375" style="4" customWidth="1"/>
    <col min="4611" max="4611" width="53.7109375" style="4" customWidth="1"/>
    <col min="4612" max="4612" width="10.28515625" style="4" bestFit="1" customWidth="1"/>
    <col min="4613" max="4614" width="11" style="4" customWidth="1"/>
    <col min="4615" max="4615" width="11.28515625" style="4" customWidth="1"/>
    <col min="4616" max="4617" width="9.28515625" style="4" customWidth="1"/>
    <col min="4618" max="4864" width="9.140625" style="4"/>
    <col min="4865" max="4865" width="4.7109375" style="4" customWidth="1"/>
    <col min="4866" max="4866" width="6.7109375" style="4" customWidth="1"/>
    <col min="4867" max="4867" width="53.7109375" style="4" customWidth="1"/>
    <col min="4868" max="4868" width="10.28515625" style="4" bestFit="1" customWidth="1"/>
    <col min="4869" max="4870" width="11" style="4" customWidth="1"/>
    <col min="4871" max="4871" width="11.28515625" style="4" customWidth="1"/>
    <col min="4872" max="4873" width="9.28515625" style="4" customWidth="1"/>
    <col min="4874" max="5120" width="9.140625" style="4"/>
    <col min="5121" max="5121" width="4.7109375" style="4" customWidth="1"/>
    <col min="5122" max="5122" width="6.7109375" style="4" customWidth="1"/>
    <col min="5123" max="5123" width="53.7109375" style="4" customWidth="1"/>
    <col min="5124" max="5124" width="10.28515625" style="4" bestFit="1" customWidth="1"/>
    <col min="5125" max="5126" width="11" style="4" customWidth="1"/>
    <col min="5127" max="5127" width="11.28515625" style="4" customWidth="1"/>
    <col min="5128" max="5129" width="9.28515625" style="4" customWidth="1"/>
    <col min="5130" max="5376" width="9.140625" style="4"/>
    <col min="5377" max="5377" width="4.7109375" style="4" customWidth="1"/>
    <col min="5378" max="5378" width="6.7109375" style="4" customWidth="1"/>
    <col min="5379" max="5379" width="53.7109375" style="4" customWidth="1"/>
    <col min="5380" max="5380" width="10.28515625" style="4" bestFit="1" customWidth="1"/>
    <col min="5381" max="5382" width="11" style="4" customWidth="1"/>
    <col min="5383" max="5383" width="11.28515625" style="4" customWidth="1"/>
    <col min="5384" max="5385" width="9.28515625" style="4" customWidth="1"/>
    <col min="5386" max="5632" width="9.140625" style="4"/>
    <col min="5633" max="5633" width="4.7109375" style="4" customWidth="1"/>
    <col min="5634" max="5634" width="6.7109375" style="4" customWidth="1"/>
    <col min="5635" max="5635" width="53.7109375" style="4" customWidth="1"/>
    <col min="5636" max="5636" width="10.28515625" style="4" bestFit="1" customWidth="1"/>
    <col min="5637" max="5638" width="11" style="4" customWidth="1"/>
    <col min="5639" max="5639" width="11.28515625" style="4" customWidth="1"/>
    <col min="5640" max="5641" width="9.28515625" style="4" customWidth="1"/>
    <col min="5642" max="5888" width="9.140625" style="4"/>
    <col min="5889" max="5889" width="4.7109375" style="4" customWidth="1"/>
    <col min="5890" max="5890" width="6.7109375" style="4" customWidth="1"/>
    <col min="5891" max="5891" width="53.7109375" style="4" customWidth="1"/>
    <col min="5892" max="5892" width="10.28515625" style="4" bestFit="1" customWidth="1"/>
    <col min="5893" max="5894" width="11" style="4" customWidth="1"/>
    <col min="5895" max="5895" width="11.28515625" style="4" customWidth="1"/>
    <col min="5896" max="5897" width="9.28515625" style="4" customWidth="1"/>
    <col min="5898" max="6144" width="9.140625" style="4"/>
    <col min="6145" max="6145" width="4.7109375" style="4" customWidth="1"/>
    <col min="6146" max="6146" width="6.7109375" style="4" customWidth="1"/>
    <col min="6147" max="6147" width="53.7109375" style="4" customWidth="1"/>
    <col min="6148" max="6148" width="10.28515625" style="4" bestFit="1" customWidth="1"/>
    <col min="6149" max="6150" width="11" style="4" customWidth="1"/>
    <col min="6151" max="6151" width="11.28515625" style="4" customWidth="1"/>
    <col min="6152" max="6153" width="9.28515625" style="4" customWidth="1"/>
    <col min="6154" max="6400" width="9.140625" style="4"/>
    <col min="6401" max="6401" width="4.7109375" style="4" customWidth="1"/>
    <col min="6402" max="6402" width="6.7109375" style="4" customWidth="1"/>
    <col min="6403" max="6403" width="53.7109375" style="4" customWidth="1"/>
    <col min="6404" max="6404" width="10.28515625" style="4" bestFit="1" customWidth="1"/>
    <col min="6405" max="6406" width="11" style="4" customWidth="1"/>
    <col min="6407" max="6407" width="11.28515625" style="4" customWidth="1"/>
    <col min="6408" max="6409" width="9.28515625" style="4" customWidth="1"/>
    <col min="6410" max="6656" width="9.140625" style="4"/>
    <col min="6657" max="6657" width="4.7109375" style="4" customWidth="1"/>
    <col min="6658" max="6658" width="6.7109375" style="4" customWidth="1"/>
    <col min="6659" max="6659" width="53.7109375" style="4" customWidth="1"/>
    <col min="6660" max="6660" width="10.28515625" style="4" bestFit="1" customWidth="1"/>
    <col min="6661" max="6662" width="11" style="4" customWidth="1"/>
    <col min="6663" max="6663" width="11.28515625" style="4" customWidth="1"/>
    <col min="6664" max="6665" width="9.28515625" style="4" customWidth="1"/>
    <col min="6666" max="6912" width="9.140625" style="4"/>
    <col min="6913" max="6913" width="4.7109375" style="4" customWidth="1"/>
    <col min="6914" max="6914" width="6.7109375" style="4" customWidth="1"/>
    <col min="6915" max="6915" width="53.7109375" style="4" customWidth="1"/>
    <col min="6916" max="6916" width="10.28515625" style="4" bestFit="1" customWidth="1"/>
    <col min="6917" max="6918" width="11" style="4" customWidth="1"/>
    <col min="6919" max="6919" width="11.28515625" style="4" customWidth="1"/>
    <col min="6920" max="6921" width="9.28515625" style="4" customWidth="1"/>
    <col min="6922" max="7168" width="9.140625" style="4"/>
    <col min="7169" max="7169" width="4.7109375" style="4" customWidth="1"/>
    <col min="7170" max="7170" width="6.7109375" style="4" customWidth="1"/>
    <col min="7171" max="7171" width="53.7109375" style="4" customWidth="1"/>
    <col min="7172" max="7172" width="10.28515625" style="4" bestFit="1" customWidth="1"/>
    <col min="7173" max="7174" width="11" style="4" customWidth="1"/>
    <col min="7175" max="7175" width="11.28515625" style="4" customWidth="1"/>
    <col min="7176" max="7177" width="9.28515625" style="4" customWidth="1"/>
    <col min="7178" max="7424" width="9.140625" style="4"/>
    <col min="7425" max="7425" width="4.7109375" style="4" customWidth="1"/>
    <col min="7426" max="7426" width="6.7109375" style="4" customWidth="1"/>
    <col min="7427" max="7427" width="53.7109375" style="4" customWidth="1"/>
    <col min="7428" max="7428" width="10.28515625" style="4" bestFit="1" customWidth="1"/>
    <col min="7429" max="7430" width="11" style="4" customWidth="1"/>
    <col min="7431" max="7431" width="11.28515625" style="4" customWidth="1"/>
    <col min="7432" max="7433" width="9.28515625" style="4" customWidth="1"/>
    <col min="7434" max="7680" width="9.140625" style="4"/>
    <col min="7681" max="7681" width="4.7109375" style="4" customWidth="1"/>
    <col min="7682" max="7682" width="6.7109375" style="4" customWidth="1"/>
    <col min="7683" max="7683" width="53.7109375" style="4" customWidth="1"/>
    <col min="7684" max="7684" width="10.28515625" style="4" bestFit="1" customWidth="1"/>
    <col min="7685" max="7686" width="11" style="4" customWidth="1"/>
    <col min="7687" max="7687" width="11.28515625" style="4" customWidth="1"/>
    <col min="7688" max="7689" width="9.28515625" style="4" customWidth="1"/>
    <col min="7690" max="7936" width="9.140625" style="4"/>
    <col min="7937" max="7937" width="4.7109375" style="4" customWidth="1"/>
    <col min="7938" max="7938" width="6.7109375" style="4" customWidth="1"/>
    <col min="7939" max="7939" width="53.7109375" style="4" customWidth="1"/>
    <col min="7940" max="7940" width="10.28515625" style="4" bestFit="1" customWidth="1"/>
    <col min="7941" max="7942" width="11" style="4" customWidth="1"/>
    <col min="7943" max="7943" width="11.28515625" style="4" customWidth="1"/>
    <col min="7944" max="7945" width="9.28515625" style="4" customWidth="1"/>
    <col min="7946" max="8192" width="9.140625" style="4"/>
    <col min="8193" max="8193" width="4.7109375" style="4" customWidth="1"/>
    <col min="8194" max="8194" width="6.7109375" style="4" customWidth="1"/>
    <col min="8195" max="8195" width="53.7109375" style="4" customWidth="1"/>
    <col min="8196" max="8196" width="10.28515625" style="4" bestFit="1" customWidth="1"/>
    <col min="8197" max="8198" width="11" style="4" customWidth="1"/>
    <col min="8199" max="8199" width="11.28515625" style="4" customWidth="1"/>
    <col min="8200" max="8201" width="9.28515625" style="4" customWidth="1"/>
    <col min="8202" max="8448" width="9.140625" style="4"/>
    <col min="8449" max="8449" width="4.7109375" style="4" customWidth="1"/>
    <col min="8450" max="8450" width="6.7109375" style="4" customWidth="1"/>
    <col min="8451" max="8451" width="53.7109375" style="4" customWidth="1"/>
    <col min="8452" max="8452" width="10.28515625" style="4" bestFit="1" customWidth="1"/>
    <col min="8453" max="8454" width="11" style="4" customWidth="1"/>
    <col min="8455" max="8455" width="11.28515625" style="4" customWidth="1"/>
    <col min="8456" max="8457" width="9.28515625" style="4" customWidth="1"/>
    <col min="8458" max="8704" width="9.140625" style="4"/>
    <col min="8705" max="8705" width="4.7109375" style="4" customWidth="1"/>
    <col min="8706" max="8706" width="6.7109375" style="4" customWidth="1"/>
    <col min="8707" max="8707" width="53.7109375" style="4" customWidth="1"/>
    <col min="8708" max="8708" width="10.28515625" style="4" bestFit="1" customWidth="1"/>
    <col min="8709" max="8710" width="11" style="4" customWidth="1"/>
    <col min="8711" max="8711" width="11.28515625" style="4" customWidth="1"/>
    <col min="8712" max="8713" width="9.28515625" style="4" customWidth="1"/>
    <col min="8714" max="8960" width="9.140625" style="4"/>
    <col min="8961" max="8961" width="4.7109375" style="4" customWidth="1"/>
    <col min="8962" max="8962" width="6.7109375" style="4" customWidth="1"/>
    <col min="8963" max="8963" width="53.7109375" style="4" customWidth="1"/>
    <col min="8964" max="8964" width="10.28515625" style="4" bestFit="1" customWidth="1"/>
    <col min="8965" max="8966" width="11" style="4" customWidth="1"/>
    <col min="8967" max="8967" width="11.28515625" style="4" customWidth="1"/>
    <col min="8968" max="8969" width="9.28515625" style="4" customWidth="1"/>
    <col min="8970" max="9216" width="9.140625" style="4"/>
    <col min="9217" max="9217" width="4.7109375" style="4" customWidth="1"/>
    <col min="9218" max="9218" width="6.7109375" style="4" customWidth="1"/>
    <col min="9219" max="9219" width="53.7109375" style="4" customWidth="1"/>
    <col min="9220" max="9220" width="10.28515625" style="4" bestFit="1" customWidth="1"/>
    <col min="9221" max="9222" width="11" style="4" customWidth="1"/>
    <col min="9223" max="9223" width="11.28515625" style="4" customWidth="1"/>
    <col min="9224" max="9225" width="9.28515625" style="4" customWidth="1"/>
    <col min="9226" max="9472" width="9.140625" style="4"/>
    <col min="9473" max="9473" width="4.7109375" style="4" customWidth="1"/>
    <col min="9474" max="9474" width="6.7109375" style="4" customWidth="1"/>
    <col min="9475" max="9475" width="53.7109375" style="4" customWidth="1"/>
    <col min="9476" max="9476" width="10.28515625" style="4" bestFit="1" customWidth="1"/>
    <col min="9477" max="9478" width="11" style="4" customWidth="1"/>
    <col min="9479" max="9479" width="11.28515625" style="4" customWidth="1"/>
    <col min="9480" max="9481" width="9.28515625" style="4" customWidth="1"/>
    <col min="9482" max="9728" width="9.140625" style="4"/>
    <col min="9729" max="9729" width="4.7109375" style="4" customWidth="1"/>
    <col min="9730" max="9730" width="6.7109375" style="4" customWidth="1"/>
    <col min="9731" max="9731" width="53.7109375" style="4" customWidth="1"/>
    <col min="9732" max="9732" width="10.28515625" style="4" bestFit="1" customWidth="1"/>
    <col min="9733" max="9734" width="11" style="4" customWidth="1"/>
    <col min="9735" max="9735" width="11.28515625" style="4" customWidth="1"/>
    <col min="9736" max="9737" width="9.28515625" style="4" customWidth="1"/>
    <col min="9738" max="9984" width="9.140625" style="4"/>
    <col min="9985" max="9985" width="4.7109375" style="4" customWidth="1"/>
    <col min="9986" max="9986" width="6.7109375" style="4" customWidth="1"/>
    <col min="9987" max="9987" width="53.7109375" style="4" customWidth="1"/>
    <col min="9988" max="9988" width="10.28515625" style="4" bestFit="1" customWidth="1"/>
    <col min="9989" max="9990" width="11" style="4" customWidth="1"/>
    <col min="9991" max="9991" width="11.28515625" style="4" customWidth="1"/>
    <col min="9992" max="9993" width="9.28515625" style="4" customWidth="1"/>
    <col min="9994" max="10240" width="9.140625" style="4"/>
    <col min="10241" max="10241" width="4.7109375" style="4" customWidth="1"/>
    <col min="10242" max="10242" width="6.7109375" style="4" customWidth="1"/>
    <col min="10243" max="10243" width="53.7109375" style="4" customWidth="1"/>
    <col min="10244" max="10244" width="10.28515625" style="4" bestFit="1" customWidth="1"/>
    <col min="10245" max="10246" width="11" style="4" customWidth="1"/>
    <col min="10247" max="10247" width="11.28515625" style="4" customWidth="1"/>
    <col min="10248" max="10249" width="9.28515625" style="4" customWidth="1"/>
    <col min="10250" max="10496" width="9.140625" style="4"/>
    <col min="10497" max="10497" width="4.7109375" style="4" customWidth="1"/>
    <col min="10498" max="10498" width="6.7109375" style="4" customWidth="1"/>
    <col min="10499" max="10499" width="53.7109375" style="4" customWidth="1"/>
    <col min="10500" max="10500" width="10.28515625" style="4" bestFit="1" customWidth="1"/>
    <col min="10501" max="10502" width="11" style="4" customWidth="1"/>
    <col min="10503" max="10503" width="11.28515625" style="4" customWidth="1"/>
    <col min="10504" max="10505" width="9.28515625" style="4" customWidth="1"/>
    <col min="10506" max="10752" width="9.140625" style="4"/>
    <col min="10753" max="10753" width="4.7109375" style="4" customWidth="1"/>
    <col min="10754" max="10754" width="6.7109375" style="4" customWidth="1"/>
    <col min="10755" max="10755" width="53.7109375" style="4" customWidth="1"/>
    <col min="10756" max="10756" width="10.28515625" style="4" bestFit="1" customWidth="1"/>
    <col min="10757" max="10758" width="11" style="4" customWidth="1"/>
    <col min="10759" max="10759" width="11.28515625" style="4" customWidth="1"/>
    <col min="10760" max="10761" width="9.28515625" style="4" customWidth="1"/>
    <col min="10762" max="11008" width="9.140625" style="4"/>
    <col min="11009" max="11009" width="4.7109375" style="4" customWidth="1"/>
    <col min="11010" max="11010" width="6.7109375" style="4" customWidth="1"/>
    <col min="11011" max="11011" width="53.7109375" style="4" customWidth="1"/>
    <col min="11012" max="11012" width="10.28515625" style="4" bestFit="1" customWidth="1"/>
    <col min="11013" max="11014" width="11" style="4" customWidth="1"/>
    <col min="11015" max="11015" width="11.28515625" style="4" customWidth="1"/>
    <col min="11016" max="11017" width="9.28515625" style="4" customWidth="1"/>
    <col min="11018" max="11264" width="9.140625" style="4"/>
    <col min="11265" max="11265" width="4.7109375" style="4" customWidth="1"/>
    <col min="11266" max="11266" width="6.7109375" style="4" customWidth="1"/>
    <col min="11267" max="11267" width="53.7109375" style="4" customWidth="1"/>
    <col min="11268" max="11268" width="10.28515625" style="4" bestFit="1" customWidth="1"/>
    <col min="11269" max="11270" width="11" style="4" customWidth="1"/>
    <col min="11271" max="11271" width="11.28515625" style="4" customWidth="1"/>
    <col min="11272" max="11273" width="9.28515625" style="4" customWidth="1"/>
    <col min="11274" max="11520" width="9.140625" style="4"/>
    <col min="11521" max="11521" width="4.7109375" style="4" customWidth="1"/>
    <col min="11522" max="11522" width="6.7109375" style="4" customWidth="1"/>
    <col min="11523" max="11523" width="53.7109375" style="4" customWidth="1"/>
    <col min="11524" max="11524" width="10.28515625" style="4" bestFit="1" customWidth="1"/>
    <col min="11525" max="11526" width="11" style="4" customWidth="1"/>
    <col min="11527" max="11527" width="11.28515625" style="4" customWidth="1"/>
    <col min="11528" max="11529" width="9.28515625" style="4" customWidth="1"/>
    <col min="11530" max="11776" width="9.140625" style="4"/>
    <col min="11777" max="11777" width="4.7109375" style="4" customWidth="1"/>
    <col min="11778" max="11778" width="6.7109375" style="4" customWidth="1"/>
    <col min="11779" max="11779" width="53.7109375" style="4" customWidth="1"/>
    <col min="11780" max="11780" width="10.28515625" style="4" bestFit="1" customWidth="1"/>
    <col min="11781" max="11782" width="11" style="4" customWidth="1"/>
    <col min="11783" max="11783" width="11.28515625" style="4" customWidth="1"/>
    <col min="11784" max="11785" width="9.28515625" style="4" customWidth="1"/>
    <col min="11786" max="12032" width="9.140625" style="4"/>
    <col min="12033" max="12033" width="4.7109375" style="4" customWidth="1"/>
    <col min="12034" max="12034" width="6.7109375" style="4" customWidth="1"/>
    <col min="12035" max="12035" width="53.7109375" style="4" customWidth="1"/>
    <col min="12036" max="12036" width="10.28515625" style="4" bestFit="1" customWidth="1"/>
    <col min="12037" max="12038" width="11" style="4" customWidth="1"/>
    <col min="12039" max="12039" width="11.28515625" style="4" customWidth="1"/>
    <col min="12040" max="12041" width="9.28515625" style="4" customWidth="1"/>
    <col min="12042" max="12288" width="9.140625" style="4"/>
    <col min="12289" max="12289" width="4.7109375" style="4" customWidth="1"/>
    <col min="12290" max="12290" width="6.7109375" style="4" customWidth="1"/>
    <col min="12291" max="12291" width="53.7109375" style="4" customWidth="1"/>
    <col min="12292" max="12292" width="10.28515625" style="4" bestFit="1" customWidth="1"/>
    <col min="12293" max="12294" width="11" style="4" customWidth="1"/>
    <col min="12295" max="12295" width="11.28515625" style="4" customWidth="1"/>
    <col min="12296" max="12297" width="9.28515625" style="4" customWidth="1"/>
    <col min="12298" max="12544" width="9.140625" style="4"/>
    <col min="12545" max="12545" width="4.7109375" style="4" customWidth="1"/>
    <col min="12546" max="12546" width="6.7109375" style="4" customWidth="1"/>
    <col min="12547" max="12547" width="53.7109375" style="4" customWidth="1"/>
    <col min="12548" max="12548" width="10.28515625" style="4" bestFit="1" customWidth="1"/>
    <col min="12549" max="12550" width="11" style="4" customWidth="1"/>
    <col min="12551" max="12551" width="11.28515625" style="4" customWidth="1"/>
    <col min="12552" max="12553" width="9.28515625" style="4" customWidth="1"/>
    <col min="12554" max="12800" width="9.140625" style="4"/>
    <col min="12801" max="12801" width="4.7109375" style="4" customWidth="1"/>
    <col min="12802" max="12802" width="6.7109375" style="4" customWidth="1"/>
    <col min="12803" max="12803" width="53.7109375" style="4" customWidth="1"/>
    <col min="12804" max="12804" width="10.28515625" style="4" bestFit="1" customWidth="1"/>
    <col min="12805" max="12806" width="11" style="4" customWidth="1"/>
    <col min="12807" max="12807" width="11.28515625" style="4" customWidth="1"/>
    <col min="12808" max="12809" width="9.28515625" style="4" customWidth="1"/>
    <col min="12810" max="13056" width="9.140625" style="4"/>
    <col min="13057" max="13057" width="4.7109375" style="4" customWidth="1"/>
    <col min="13058" max="13058" width="6.7109375" style="4" customWidth="1"/>
    <col min="13059" max="13059" width="53.7109375" style="4" customWidth="1"/>
    <col min="13060" max="13060" width="10.28515625" style="4" bestFit="1" customWidth="1"/>
    <col min="13061" max="13062" width="11" style="4" customWidth="1"/>
    <col min="13063" max="13063" width="11.28515625" style="4" customWidth="1"/>
    <col min="13064" max="13065" width="9.28515625" style="4" customWidth="1"/>
    <col min="13066" max="13312" width="9.140625" style="4"/>
    <col min="13313" max="13313" width="4.7109375" style="4" customWidth="1"/>
    <col min="13314" max="13314" width="6.7109375" style="4" customWidth="1"/>
    <col min="13315" max="13315" width="53.7109375" style="4" customWidth="1"/>
    <col min="13316" max="13316" width="10.28515625" style="4" bestFit="1" customWidth="1"/>
    <col min="13317" max="13318" width="11" style="4" customWidth="1"/>
    <col min="13319" max="13319" width="11.28515625" style="4" customWidth="1"/>
    <col min="13320" max="13321" width="9.28515625" style="4" customWidth="1"/>
    <col min="13322" max="13568" width="9.140625" style="4"/>
    <col min="13569" max="13569" width="4.7109375" style="4" customWidth="1"/>
    <col min="13570" max="13570" width="6.7109375" style="4" customWidth="1"/>
    <col min="13571" max="13571" width="53.7109375" style="4" customWidth="1"/>
    <col min="13572" max="13572" width="10.28515625" style="4" bestFit="1" customWidth="1"/>
    <col min="13573" max="13574" width="11" style="4" customWidth="1"/>
    <col min="13575" max="13575" width="11.28515625" style="4" customWidth="1"/>
    <col min="13576" max="13577" width="9.28515625" style="4" customWidth="1"/>
    <col min="13578" max="13824" width="9.140625" style="4"/>
    <col min="13825" max="13825" width="4.7109375" style="4" customWidth="1"/>
    <col min="13826" max="13826" width="6.7109375" style="4" customWidth="1"/>
    <col min="13827" max="13827" width="53.7109375" style="4" customWidth="1"/>
    <col min="13828" max="13828" width="10.28515625" style="4" bestFit="1" customWidth="1"/>
    <col min="13829" max="13830" width="11" style="4" customWidth="1"/>
    <col min="13831" max="13831" width="11.28515625" style="4" customWidth="1"/>
    <col min="13832" max="13833" width="9.28515625" style="4" customWidth="1"/>
    <col min="13834" max="14080" width="9.140625" style="4"/>
    <col min="14081" max="14081" width="4.7109375" style="4" customWidth="1"/>
    <col min="14082" max="14082" width="6.7109375" style="4" customWidth="1"/>
    <col min="14083" max="14083" width="53.7109375" style="4" customWidth="1"/>
    <col min="14084" max="14084" width="10.28515625" style="4" bestFit="1" customWidth="1"/>
    <col min="14085" max="14086" width="11" style="4" customWidth="1"/>
    <col min="14087" max="14087" width="11.28515625" style="4" customWidth="1"/>
    <col min="14088" max="14089" width="9.28515625" style="4" customWidth="1"/>
    <col min="14090" max="14336" width="9.140625" style="4"/>
    <col min="14337" max="14337" width="4.7109375" style="4" customWidth="1"/>
    <col min="14338" max="14338" width="6.7109375" style="4" customWidth="1"/>
    <col min="14339" max="14339" width="53.7109375" style="4" customWidth="1"/>
    <col min="14340" max="14340" width="10.28515625" style="4" bestFit="1" customWidth="1"/>
    <col min="14341" max="14342" width="11" style="4" customWidth="1"/>
    <col min="14343" max="14343" width="11.28515625" style="4" customWidth="1"/>
    <col min="14344" max="14345" width="9.28515625" style="4" customWidth="1"/>
    <col min="14346" max="14592" width="9.140625" style="4"/>
    <col min="14593" max="14593" width="4.7109375" style="4" customWidth="1"/>
    <col min="14594" max="14594" width="6.7109375" style="4" customWidth="1"/>
    <col min="14595" max="14595" width="53.7109375" style="4" customWidth="1"/>
    <col min="14596" max="14596" width="10.28515625" style="4" bestFit="1" customWidth="1"/>
    <col min="14597" max="14598" width="11" style="4" customWidth="1"/>
    <col min="14599" max="14599" width="11.28515625" style="4" customWidth="1"/>
    <col min="14600" max="14601" width="9.28515625" style="4" customWidth="1"/>
    <col min="14602" max="14848" width="9.140625" style="4"/>
    <col min="14849" max="14849" width="4.7109375" style="4" customWidth="1"/>
    <col min="14850" max="14850" width="6.7109375" style="4" customWidth="1"/>
    <col min="14851" max="14851" width="53.7109375" style="4" customWidth="1"/>
    <col min="14852" max="14852" width="10.28515625" style="4" bestFit="1" customWidth="1"/>
    <col min="14853" max="14854" width="11" style="4" customWidth="1"/>
    <col min="14855" max="14855" width="11.28515625" style="4" customWidth="1"/>
    <col min="14856" max="14857" width="9.28515625" style="4" customWidth="1"/>
    <col min="14858" max="15104" width="9.140625" style="4"/>
    <col min="15105" max="15105" width="4.7109375" style="4" customWidth="1"/>
    <col min="15106" max="15106" width="6.7109375" style="4" customWidth="1"/>
    <col min="15107" max="15107" width="53.7109375" style="4" customWidth="1"/>
    <col min="15108" max="15108" width="10.28515625" style="4" bestFit="1" customWidth="1"/>
    <col min="15109" max="15110" width="11" style="4" customWidth="1"/>
    <col min="15111" max="15111" width="11.28515625" style="4" customWidth="1"/>
    <col min="15112" max="15113" width="9.28515625" style="4" customWidth="1"/>
    <col min="15114" max="15360" width="9.140625" style="4"/>
    <col min="15361" max="15361" width="4.7109375" style="4" customWidth="1"/>
    <col min="15362" max="15362" width="6.7109375" style="4" customWidth="1"/>
    <col min="15363" max="15363" width="53.7109375" style="4" customWidth="1"/>
    <col min="15364" max="15364" width="10.28515625" style="4" bestFit="1" customWidth="1"/>
    <col min="15365" max="15366" width="11" style="4" customWidth="1"/>
    <col min="15367" max="15367" width="11.28515625" style="4" customWidth="1"/>
    <col min="15368" max="15369" width="9.28515625" style="4" customWidth="1"/>
    <col min="15370" max="15616" width="9.140625" style="4"/>
    <col min="15617" max="15617" width="4.7109375" style="4" customWidth="1"/>
    <col min="15618" max="15618" width="6.7109375" style="4" customWidth="1"/>
    <col min="15619" max="15619" width="53.7109375" style="4" customWidth="1"/>
    <col min="15620" max="15620" width="10.28515625" style="4" bestFit="1" customWidth="1"/>
    <col min="15621" max="15622" width="11" style="4" customWidth="1"/>
    <col min="15623" max="15623" width="11.28515625" style="4" customWidth="1"/>
    <col min="15624" max="15625" width="9.28515625" style="4" customWidth="1"/>
    <col min="15626" max="15872" width="9.140625" style="4"/>
    <col min="15873" max="15873" width="4.7109375" style="4" customWidth="1"/>
    <col min="15874" max="15874" width="6.7109375" style="4" customWidth="1"/>
    <col min="15875" max="15875" width="53.7109375" style="4" customWidth="1"/>
    <col min="15876" max="15876" width="10.28515625" style="4" bestFit="1" customWidth="1"/>
    <col min="15877" max="15878" width="11" style="4" customWidth="1"/>
    <col min="15879" max="15879" width="11.28515625" style="4" customWidth="1"/>
    <col min="15880" max="15881" width="9.28515625" style="4" customWidth="1"/>
    <col min="15882" max="16128" width="9.140625" style="4"/>
    <col min="16129" max="16129" width="4.7109375" style="4" customWidth="1"/>
    <col min="16130" max="16130" width="6.7109375" style="4" customWidth="1"/>
    <col min="16131" max="16131" width="53.7109375" style="4" customWidth="1"/>
    <col min="16132" max="16132" width="10.28515625" style="4" bestFit="1" customWidth="1"/>
    <col min="16133" max="16134" width="11" style="4" customWidth="1"/>
    <col min="16135" max="16135" width="11.28515625" style="4" customWidth="1"/>
    <col min="16136" max="16137" width="9.28515625" style="4" customWidth="1"/>
    <col min="16138" max="16384" width="9.140625" style="4"/>
  </cols>
  <sheetData>
    <row r="1" spans="1:16" ht="15.75" x14ac:dyDescent="0.25">
      <c r="C1" s="264" t="s">
        <v>716</v>
      </c>
      <c r="D1" s="264"/>
      <c r="E1" s="264"/>
      <c r="F1" s="264"/>
      <c r="G1" s="264"/>
      <c r="H1" s="264"/>
    </row>
    <row r="2" spans="1:16" ht="15.75" x14ac:dyDescent="0.25">
      <c r="C2" s="264" t="s">
        <v>720</v>
      </c>
      <c r="D2" s="264"/>
      <c r="E2" s="264"/>
      <c r="F2" s="264"/>
      <c r="G2" s="264"/>
      <c r="H2" s="264"/>
    </row>
    <row r="3" spans="1:16" ht="15.75" x14ac:dyDescent="0.25">
      <c r="C3" s="153"/>
      <c r="D3" s="153"/>
      <c r="E3" s="263" t="s">
        <v>631</v>
      </c>
      <c r="F3" s="263"/>
      <c r="G3" s="263"/>
      <c r="H3" s="263"/>
    </row>
    <row r="4" spans="1:16" ht="15.75" x14ac:dyDescent="0.2">
      <c r="E4" s="7"/>
      <c r="F4" s="7"/>
      <c r="G4" s="7"/>
    </row>
    <row r="5" spans="1:16" ht="31.5" customHeight="1" x14ac:dyDescent="0.2">
      <c r="A5" s="273" t="s">
        <v>717</v>
      </c>
      <c r="B5" s="273"/>
      <c r="C5" s="273"/>
      <c r="D5" s="273"/>
      <c r="E5" s="273"/>
      <c r="F5" s="273"/>
      <c r="G5" s="273"/>
    </row>
    <row r="6" spans="1:16" x14ac:dyDescent="0.2">
      <c r="A6" s="109"/>
      <c r="B6" s="109"/>
      <c r="C6" s="109"/>
      <c r="D6" s="109"/>
      <c r="E6" s="109"/>
      <c r="F6" s="109"/>
      <c r="G6" s="109"/>
    </row>
    <row r="7" spans="1:16" x14ac:dyDescent="0.2">
      <c r="A7" s="176"/>
      <c r="B7" s="173"/>
      <c r="C7" s="174"/>
      <c r="D7" s="175"/>
      <c r="E7" s="176"/>
      <c r="F7" s="176"/>
      <c r="G7" s="280" t="s">
        <v>3</v>
      </c>
      <c r="H7" s="280"/>
    </row>
    <row r="8" spans="1:16" ht="27" customHeight="1" x14ac:dyDescent="0.2">
      <c r="A8" s="266" t="s">
        <v>4</v>
      </c>
      <c r="B8" s="268" t="s">
        <v>5</v>
      </c>
      <c r="C8" s="266" t="s">
        <v>6</v>
      </c>
      <c r="D8" s="268" t="s">
        <v>7</v>
      </c>
      <c r="E8" s="270" t="s">
        <v>8</v>
      </c>
      <c r="F8" s="271"/>
      <c r="G8" s="270" t="s">
        <v>9</v>
      </c>
      <c r="H8" s="271"/>
      <c r="I8" s="97"/>
      <c r="P8" s="120"/>
    </row>
    <row r="9" spans="1:16" ht="21" customHeight="1" x14ac:dyDescent="0.2">
      <c r="A9" s="267"/>
      <c r="B9" s="269"/>
      <c r="C9" s="267"/>
      <c r="D9" s="269"/>
      <c r="E9" s="10" t="s">
        <v>10</v>
      </c>
      <c r="F9" s="10" t="s">
        <v>11</v>
      </c>
      <c r="G9" s="10" t="s">
        <v>10</v>
      </c>
      <c r="H9" s="188" t="s">
        <v>11</v>
      </c>
      <c r="I9" s="97"/>
      <c r="P9" s="120"/>
    </row>
    <row r="10" spans="1:16" s="120" customFormat="1" ht="12.75" customHeight="1" x14ac:dyDescent="0.2">
      <c r="A10" s="11">
        <v>1</v>
      </c>
      <c r="B10" s="12" t="s">
        <v>12</v>
      </c>
      <c r="C10" s="10">
        <v>3</v>
      </c>
      <c r="D10" s="13">
        <v>4</v>
      </c>
      <c r="E10" s="10">
        <v>5</v>
      </c>
      <c r="F10" s="10">
        <v>6</v>
      </c>
      <c r="G10" s="10">
        <v>7</v>
      </c>
      <c r="H10" s="206">
        <v>8</v>
      </c>
      <c r="I10" s="97"/>
    </row>
    <row r="11" spans="1:16" s="120" customFormat="1" ht="18" customHeight="1" x14ac:dyDescent="0.2">
      <c r="A11" s="14">
        <v>1</v>
      </c>
      <c r="B11" s="12" t="s">
        <v>13</v>
      </c>
      <c r="C11" s="15" t="s">
        <v>14</v>
      </c>
      <c r="D11" s="10"/>
      <c r="E11" s="16">
        <f>+E16+E12</f>
        <v>6.1</v>
      </c>
      <c r="F11" s="16">
        <f>+F16+F12</f>
        <v>6</v>
      </c>
      <c r="G11" s="16">
        <f>+G16+G12</f>
        <v>0.5</v>
      </c>
      <c r="H11" s="16">
        <f>+H16+H12</f>
        <v>0.5</v>
      </c>
      <c r="I11" s="97"/>
      <c r="J11" s="207"/>
      <c r="K11" s="180"/>
      <c r="L11" s="180"/>
      <c r="M11" s="180"/>
    </row>
    <row r="12" spans="1:16" s="120" customFormat="1" ht="25.5" x14ac:dyDescent="0.2">
      <c r="A12" s="132" t="s">
        <v>12</v>
      </c>
      <c r="B12" s="18"/>
      <c r="C12" s="47" t="s">
        <v>510</v>
      </c>
      <c r="D12" s="18"/>
      <c r="E12" s="42">
        <f>+E13+E14+E15</f>
        <v>1</v>
      </c>
      <c r="F12" s="42">
        <f>+F13+F14+F15</f>
        <v>1</v>
      </c>
      <c r="G12" s="42">
        <f>+G13+G14+G15</f>
        <v>0.5</v>
      </c>
      <c r="H12" s="42">
        <f>+H13+H14+H15</f>
        <v>0.5</v>
      </c>
      <c r="I12" s="97"/>
      <c r="J12" s="207"/>
      <c r="K12" s="180"/>
      <c r="L12" s="180"/>
      <c r="M12" s="180"/>
      <c r="N12" s="2"/>
    </row>
    <row r="13" spans="1:16" s="120" customFormat="1" ht="13.9" customHeight="1" x14ac:dyDescent="0.2">
      <c r="A13" s="132" t="s">
        <v>511</v>
      </c>
      <c r="B13" s="18"/>
      <c r="C13" s="134" t="s">
        <v>512</v>
      </c>
      <c r="D13" s="18" t="s">
        <v>26</v>
      </c>
      <c r="E13" s="229">
        <v>0.3</v>
      </c>
      <c r="F13" s="229">
        <v>0.3</v>
      </c>
      <c r="G13" s="229">
        <v>0.2</v>
      </c>
      <c r="H13" s="230">
        <v>0.2</v>
      </c>
      <c r="I13" s="97"/>
      <c r="J13" s="207"/>
      <c r="K13" s="180"/>
      <c r="L13" s="180"/>
      <c r="M13" s="180"/>
    </row>
    <row r="14" spans="1:16" s="120" customFormat="1" ht="13.9" customHeight="1" x14ac:dyDescent="0.2">
      <c r="A14" s="132" t="s">
        <v>513</v>
      </c>
      <c r="B14" s="18"/>
      <c r="C14" s="134" t="s">
        <v>514</v>
      </c>
      <c r="D14" s="65" t="s">
        <v>46</v>
      </c>
      <c r="E14" s="229">
        <v>0.5</v>
      </c>
      <c r="F14" s="229">
        <v>0.5</v>
      </c>
      <c r="G14" s="229">
        <v>0.1</v>
      </c>
      <c r="H14" s="230">
        <v>0.1</v>
      </c>
      <c r="I14" s="97"/>
      <c r="J14" s="207"/>
      <c r="K14" s="180"/>
      <c r="L14" s="180"/>
      <c r="M14" s="180"/>
    </row>
    <row r="15" spans="1:16" s="120" customFormat="1" ht="13.9" customHeight="1" x14ac:dyDescent="0.2">
      <c r="A15" s="132" t="s">
        <v>515</v>
      </c>
      <c r="B15" s="18"/>
      <c r="C15" s="134" t="s">
        <v>516</v>
      </c>
      <c r="D15" s="65" t="s">
        <v>517</v>
      </c>
      <c r="E15" s="229">
        <v>0.2</v>
      </c>
      <c r="F15" s="229">
        <v>0.2</v>
      </c>
      <c r="G15" s="229">
        <v>0.2</v>
      </c>
      <c r="H15" s="230">
        <v>0.2</v>
      </c>
      <c r="I15" s="97"/>
      <c r="J15" s="207"/>
      <c r="K15" s="180"/>
      <c r="L15" s="180"/>
      <c r="M15" s="180"/>
    </row>
    <row r="16" spans="1:16" s="120" customFormat="1" ht="12.75" customHeight="1" x14ac:dyDescent="0.2">
      <c r="A16" s="14">
        <v>3</v>
      </c>
      <c r="B16" s="13"/>
      <c r="C16" s="73" t="s">
        <v>431</v>
      </c>
      <c r="D16" s="10"/>
      <c r="E16" s="133">
        <f>+E17</f>
        <v>5.0999999999999996</v>
      </c>
      <c r="F16" s="133">
        <f>+F17</f>
        <v>5</v>
      </c>
      <c r="G16" s="133">
        <f>+G17</f>
        <v>0</v>
      </c>
      <c r="H16" s="23">
        <v>0</v>
      </c>
      <c r="I16" s="97"/>
      <c r="J16" s="207"/>
      <c r="K16" s="180"/>
      <c r="L16" s="180"/>
      <c r="M16" s="180"/>
    </row>
    <row r="17" spans="1:18" s="120" customFormat="1" ht="29.45" customHeight="1" x14ac:dyDescent="0.2">
      <c r="A17" s="14" t="s">
        <v>518</v>
      </c>
      <c r="B17" s="13"/>
      <c r="C17" s="139" t="s">
        <v>70</v>
      </c>
      <c r="D17" s="18" t="s">
        <v>34</v>
      </c>
      <c r="E17" s="42">
        <f>3+2.1</f>
        <v>5.0999999999999996</v>
      </c>
      <c r="F17" s="42">
        <v>5</v>
      </c>
      <c r="G17" s="20"/>
      <c r="H17" s="23"/>
      <c r="I17" s="97"/>
      <c r="J17" s="207"/>
      <c r="K17" s="180"/>
      <c r="L17" s="180"/>
      <c r="M17" s="180"/>
    </row>
    <row r="18" spans="1:18" s="120" customFormat="1" ht="18" customHeight="1" x14ac:dyDescent="0.2">
      <c r="A18" s="14">
        <v>4</v>
      </c>
      <c r="B18" s="12" t="s">
        <v>92</v>
      </c>
      <c r="C18" s="52" t="s">
        <v>93</v>
      </c>
      <c r="D18" s="18"/>
      <c r="E18" s="138">
        <f>+E21+E19</f>
        <v>30.2</v>
      </c>
      <c r="F18" s="138">
        <f>+F21+F19</f>
        <v>25.4</v>
      </c>
      <c r="G18" s="138">
        <f>+G21+G19</f>
        <v>0.4</v>
      </c>
      <c r="H18" s="138">
        <f>+H21+H19</f>
        <v>0.4</v>
      </c>
      <c r="I18" s="97"/>
      <c r="J18" s="207"/>
      <c r="K18" s="180"/>
      <c r="L18" s="180"/>
      <c r="M18" s="180"/>
    </row>
    <row r="19" spans="1:18" s="120" customFormat="1" ht="18" customHeight="1" x14ac:dyDescent="0.2">
      <c r="A19" s="132" t="s">
        <v>525</v>
      </c>
      <c r="B19" s="12"/>
      <c r="C19" s="24" t="s">
        <v>94</v>
      </c>
      <c r="D19" s="18"/>
      <c r="E19" s="14">
        <f>+E20</f>
        <v>26.2</v>
      </c>
      <c r="F19" s="14">
        <f>+F20</f>
        <v>22.5</v>
      </c>
      <c r="G19" s="14">
        <f>+G20</f>
        <v>0.4</v>
      </c>
      <c r="H19" s="14">
        <f>+H20</f>
        <v>0.4</v>
      </c>
      <c r="I19" s="97"/>
      <c r="J19" s="207"/>
      <c r="K19" s="180"/>
      <c r="L19" s="180"/>
      <c r="M19" s="180"/>
    </row>
    <row r="20" spans="1:18" s="120" customFormat="1" ht="25.5" x14ac:dyDescent="0.2">
      <c r="A20" s="132" t="s">
        <v>526</v>
      </c>
      <c r="B20" s="12"/>
      <c r="C20" s="134" t="s">
        <v>527</v>
      </c>
      <c r="D20" s="18" t="s">
        <v>490</v>
      </c>
      <c r="E20" s="227">
        <v>26.2</v>
      </c>
      <c r="F20" s="227">
        <v>22.5</v>
      </c>
      <c r="G20" s="227">
        <v>0.4</v>
      </c>
      <c r="H20" s="228">
        <v>0.4</v>
      </c>
      <c r="I20" s="97"/>
      <c r="J20" s="207"/>
      <c r="K20" s="180"/>
      <c r="L20" s="180"/>
      <c r="M20" s="180"/>
    </row>
    <row r="21" spans="1:18" s="120" customFormat="1" ht="12.6" customHeight="1" x14ac:dyDescent="0.2">
      <c r="A21" s="14">
        <v>6</v>
      </c>
      <c r="B21" s="12"/>
      <c r="C21" s="73" t="s">
        <v>431</v>
      </c>
      <c r="D21" s="18"/>
      <c r="E21" s="42">
        <f>+E22</f>
        <v>4</v>
      </c>
      <c r="F21" s="42">
        <f>+F22</f>
        <v>2.9</v>
      </c>
      <c r="G21" s="42">
        <f>+G22</f>
        <v>0</v>
      </c>
      <c r="H21" s="42">
        <f>+H22</f>
        <v>0</v>
      </c>
      <c r="I21" s="97"/>
      <c r="J21" s="207"/>
      <c r="K21" s="180"/>
      <c r="L21" s="180"/>
      <c r="M21" s="180"/>
    </row>
    <row r="22" spans="1:18" s="120" customFormat="1" ht="32.450000000000003" customHeight="1" x14ac:dyDescent="0.2">
      <c r="A22" s="14" t="s">
        <v>529</v>
      </c>
      <c r="B22" s="12"/>
      <c r="C22" s="139" t="s">
        <v>530</v>
      </c>
      <c r="D22" s="25" t="s">
        <v>531</v>
      </c>
      <c r="E22" s="42">
        <v>4</v>
      </c>
      <c r="F22" s="42">
        <v>2.9</v>
      </c>
      <c r="G22" s="42"/>
      <c r="H22" s="23"/>
      <c r="I22" s="97"/>
      <c r="J22" s="207"/>
      <c r="K22" s="180"/>
      <c r="L22" s="180"/>
      <c r="M22" s="180"/>
    </row>
    <row r="23" spans="1:18" s="120" customFormat="1" ht="18" customHeight="1" x14ac:dyDescent="0.2">
      <c r="A23" s="14">
        <v>7</v>
      </c>
      <c r="B23" s="12" t="s">
        <v>239</v>
      </c>
      <c r="C23" s="52" t="s">
        <v>240</v>
      </c>
      <c r="D23" s="18"/>
      <c r="E23" s="138">
        <f>+E26++E24</f>
        <v>5.6000000000000005</v>
      </c>
      <c r="F23" s="138">
        <f>+F26++F24</f>
        <v>5.1000000000000005</v>
      </c>
      <c r="G23" s="138">
        <f>+G26++G24</f>
        <v>0</v>
      </c>
      <c r="H23" s="138">
        <f>+H26++H24</f>
        <v>0</v>
      </c>
      <c r="I23" s="97"/>
      <c r="J23" s="207"/>
      <c r="K23" s="180"/>
      <c r="L23" s="180"/>
      <c r="M23" s="180"/>
      <c r="R23" s="208"/>
    </row>
    <row r="24" spans="1:18" s="120" customFormat="1" ht="18" customHeight="1" x14ac:dyDescent="0.2">
      <c r="A24" s="14">
        <v>8</v>
      </c>
      <c r="B24" s="12"/>
      <c r="C24" s="145" t="s">
        <v>544</v>
      </c>
      <c r="D24" s="10"/>
      <c r="E24" s="42">
        <f>+E25</f>
        <v>0.2</v>
      </c>
      <c r="F24" s="42">
        <f>+F25</f>
        <v>0.2</v>
      </c>
      <c r="G24" s="42">
        <f>+G25</f>
        <v>0</v>
      </c>
      <c r="H24" s="42">
        <f>+H25</f>
        <v>0</v>
      </c>
      <c r="I24" s="97"/>
      <c r="J24" s="207"/>
      <c r="K24" s="180"/>
      <c r="L24" s="180"/>
      <c r="M24" s="180"/>
      <c r="R24" s="208"/>
    </row>
    <row r="25" spans="1:18" s="120" customFormat="1" ht="18" customHeight="1" x14ac:dyDescent="0.2">
      <c r="A25" s="14" t="s">
        <v>533</v>
      </c>
      <c r="B25" s="12"/>
      <c r="C25" s="146" t="s">
        <v>546</v>
      </c>
      <c r="D25" s="25" t="s">
        <v>242</v>
      </c>
      <c r="E25" s="229">
        <v>0.2</v>
      </c>
      <c r="F25" s="229">
        <v>0.2</v>
      </c>
      <c r="G25" s="42"/>
      <c r="H25" s="23"/>
      <c r="I25" s="97"/>
      <c r="J25" s="207"/>
      <c r="K25" s="180"/>
      <c r="L25" s="180"/>
      <c r="M25" s="180"/>
      <c r="R25" s="208"/>
    </row>
    <row r="26" spans="1:18" s="120" customFormat="1" ht="15.75" customHeight="1" x14ac:dyDescent="0.2">
      <c r="A26" s="14">
        <v>9</v>
      </c>
      <c r="B26" s="13"/>
      <c r="C26" s="73" t="s">
        <v>431</v>
      </c>
      <c r="D26" s="18"/>
      <c r="E26" s="42">
        <f>+E27</f>
        <v>5.4</v>
      </c>
      <c r="F26" s="42">
        <f>+F27</f>
        <v>4.9000000000000004</v>
      </c>
      <c r="G26" s="42">
        <f>+G27</f>
        <v>0</v>
      </c>
      <c r="H26" s="42">
        <f>+H27</f>
        <v>0</v>
      </c>
      <c r="I26" s="209"/>
      <c r="J26" s="207"/>
      <c r="K26" s="180"/>
      <c r="L26" s="180"/>
      <c r="M26" s="180"/>
    </row>
    <row r="27" spans="1:18" s="120" customFormat="1" ht="25.5" x14ac:dyDescent="0.2">
      <c r="A27" s="14" t="s">
        <v>535</v>
      </c>
      <c r="B27" s="13"/>
      <c r="C27" s="73" t="s">
        <v>273</v>
      </c>
      <c r="D27" s="18" t="s">
        <v>242</v>
      </c>
      <c r="E27" s="42">
        <v>5.4</v>
      </c>
      <c r="F27" s="42">
        <v>4.9000000000000004</v>
      </c>
      <c r="G27" s="20"/>
      <c r="H27" s="23"/>
      <c r="I27" s="97"/>
      <c r="J27" s="207"/>
      <c r="K27" s="180"/>
      <c r="L27" s="180"/>
      <c r="M27" s="180"/>
    </row>
    <row r="28" spans="1:18" ht="18" customHeight="1" x14ac:dyDescent="0.2">
      <c r="A28" s="14">
        <v>10</v>
      </c>
      <c r="B28" s="12" t="s">
        <v>320</v>
      </c>
      <c r="C28" s="85" t="s">
        <v>321</v>
      </c>
      <c r="D28" s="18"/>
      <c r="E28" s="53">
        <f>+E29</f>
        <v>37.299999999999997</v>
      </c>
      <c r="F28" s="53">
        <f>+F29</f>
        <v>35.9</v>
      </c>
      <c r="G28" s="53">
        <f>+G29</f>
        <v>0</v>
      </c>
      <c r="H28" s="53">
        <f>+H29</f>
        <v>0</v>
      </c>
      <c r="I28" s="97"/>
      <c r="J28" s="207"/>
      <c r="K28" s="180"/>
      <c r="L28" s="180"/>
      <c r="M28" s="180"/>
    </row>
    <row r="29" spans="1:18" x14ac:dyDescent="0.2">
      <c r="A29" s="14">
        <v>11</v>
      </c>
      <c r="B29" s="18"/>
      <c r="C29" s="136" t="s">
        <v>431</v>
      </c>
      <c r="D29" s="18"/>
      <c r="E29" s="51">
        <f>+E30+E31</f>
        <v>37.299999999999997</v>
      </c>
      <c r="F29" s="51">
        <f>+F30+F31</f>
        <v>35.9</v>
      </c>
      <c r="G29" s="51">
        <f>+G30</f>
        <v>0</v>
      </c>
      <c r="H29" s="51">
        <f>+H30</f>
        <v>0</v>
      </c>
      <c r="I29" s="97"/>
      <c r="J29" s="207"/>
      <c r="K29" s="180"/>
      <c r="L29" s="180"/>
      <c r="M29" s="180"/>
    </row>
    <row r="30" spans="1:18" x14ac:dyDescent="0.2">
      <c r="A30" s="14" t="s">
        <v>596</v>
      </c>
      <c r="B30" s="12"/>
      <c r="C30" s="24" t="s">
        <v>557</v>
      </c>
      <c r="D30" s="25" t="s">
        <v>558</v>
      </c>
      <c r="E30" s="51">
        <f>24+1.3</f>
        <v>25.3</v>
      </c>
      <c r="F30" s="51">
        <v>23.9</v>
      </c>
      <c r="G30" s="51"/>
      <c r="H30" s="23"/>
      <c r="I30" s="97"/>
      <c r="J30" s="207"/>
      <c r="K30" s="180"/>
      <c r="L30" s="180"/>
      <c r="M30" s="180"/>
    </row>
    <row r="31" spans="1:18" x14ac:dyDescent="0.2">
      <c r="A31" s="14" t="s">
        <v>598</v>
      </c>
      <c r="B31" s="12"/>
      <c r="C31" s="24" t="s">
        <v>561</v>
      </c>
      <c r="D31" s="25" t="s">
        <v>384</v>
      </c>
      <c r="E31" s="51">
        <v>12</v>
      </c>
      <c r="F31" s="51">
        <v>12</v>
      </c>
      <c r="G31" s="51"/>
      <c r="H31" s="23"/>
      <c r="I31" s="97"/>
      <c r="J31" s="207"/>
      <c r="K31" s="180"/>
      <c r="L31" s="180"/>
      <c r="M31" s="180"/>
    </row>
    <row r="32" spans="1:18" ht="12.75" customHeight="1" x14ac:dyDescent="0.2">
      <c r="A32" s="14">
        <v>12</v>
      </c>
      <c r="B32" s="12"/>
      <c r="C32" s="117" t="s">
        <v>481</v>
      </c>
      <c r="D32" s="18"/>
      <c r="E32" s="53">
        <f>+E11+E18+E23+E28</f>
        <v>79.199999999999989</v>
      </c>
      <c r="F32" s="53">
        <f>+F11+F18+F23+F28</f>
        <v>72.400000000000006</v>
      </c>
      <c r="G32" s="53">
        <f>+G11+G18+G23+G28</f>
        <v>0.9</v>
      </c>
      <c r="H32" s="210">
        <f>+H11+H18+H23+H28</f>
        <v>0.9</v>
      </c>
      <c r="I32" s="97"/>
      <c r="J32" s="97"/>
      <c r="K32" s="97"/>
      <c r="L32" s="97"/>
      <c r="M32" s="97"/>
    </row>
    <row r="33" spans="1:12" x14ac:dyDescent="0.2">
      <c r="A33" s="154"/>
      <c r="C33" s="171" t="s">
        <v>649</v>
      </c>
      <c r="D33" s="5"/>
      <c r="E33" s="118"/>
      <c r="F33" s="118"/>
      <c r="G33" s="118"/>
    </row>
    <row r="34" spans="1:12" x14ac:dyDescent="0.2">
      <c r="C34" s="211"/>
      <c r="D34" s="5"/>
      <c r="E34" s="118"/>
      <c r="F34" s="118"/>
      <c r="G34" s="118"/>
    </row>
    <row r="35" spans="1:12" x14ac:dyDescent="0.2">
      <c r="C35" s="1"/>
      <c r="E35" s="118"/>
      <c r="F35" s="118"/>
      <c r="G35" s="118"/>
      <c r="L35" s="97"/>
    </row>
    <row r="36" spans="1:12" x14ac:dyDescent="0.2">
      <c r="C36" s="1"/>
      <c r="E36" s="118"/>
      <c r="F36" s="118"/>
      <c r="G36" s="118"/>
      <c r="L36" s="97"/>
    </row>
    <row r="37" spans="1:12" x14ac:dyDescent="0.2">
      <c r="C37" s="1"/>
      <c r="E37" s="104"/>
      <c r="F37" s="104"/>
      <c r="G37" s="104"/>
    </row>
    <row r="38" spans="1:12" x14ac:dyDescent="0.2">
      <c r="C38" s="154"/>
      <c r="E38" s="104"/>
      <c r="F38" s="104"/>
      <c r="G38" s="104"/>
    </row>
    <row r="39" spans="1:12" x14ac:dyDescent="0.2">
      <c r="C39" s="1"/>
      <c r="E39" s="104"/>
      <c r="F39" s="104"/>
      <c r="G39" s="104"/>
    </row>
    <row r="40" spans="1:12" x14ac:dyDescent="0.2">
      <c r="C40" s="212"/>
      <c r="E40" s="104"/>
      <c r="F40" s="104"/>
      <c r="G40" s="104"/>
      <c r="H40" s="97"/>
    </row>
    <row r="41" spans="1:12" x14ac:dyDescent="0.2">
      <c r="C41" s="154"/>
      <c r="E41" s="104"/>
      <c r="F41" s="104"/>
      <c r="G41" s="104"/>
    </row>
    <row r="42" spans="1:12" x14ac:dyDescent="0.2">
      <c r="C42" s="154"/>
      <c r="E42" s="118"/>
      <c r="F42" s="118"/>
      <c r="G42" s="118"/>
    </row>
    <row r="43" spans="1:12" x14ac:dyDescent="0.2">
      <c r="C43" s="154"/>
      <c r="E43" s="104"/>
      <c r="F43" s="104"/>
      <c r="G43" s="104"/>
    </row>
    <row r="44" spans="1:12" x14ac:dyDescent="0.2">
      <c r="E44" s="104"/>
      <c r="F44" s="104"/>
      <c r="G44" s="104"/>
    </row>
    <row r="45" spans="1:12" x14ac:dyDescent="0.2">
      <c r="E45" s="104"/>
      <c r="F45" s="104"/>
      <c r="G45" s="104"/>
    </row>
    <row r="46" spans="1:12" x14ac:dyDescent="0.2">
      <c r="C46" s="154"/>
      <c r="E46" s="104"/>
      <c r="F46" s="104"/>
      <c r="G46" s="104"/>
    </row>
    <row r="47" spans="1:12" x14ac:dyDescent="0.2">
      <c r="C47" s="154"/>
      <c r="E47" s="104"/>
      <c r="F47" s="104"/>
      <c r="G47" s="104"/>
    </row>
    <row r="48" spans="1:12" x14ac:dyDescent="0.2">
      <c r="C48" s="154"/>
      <c r="E48" s="6"/>
      <c r="F48" s="6"/>
      <c r="G48" s="6"/>
    </row>
    <row r="49" spans="3:7" x14ac:dyDescent="0.2">
      <c r="C49" s="154"/>
      <c r="E49" s="6"/>
      <c r="F49" s="6"/>
      <c r="G49" s="6"/>
    </row>
    <row r="50" spans="3:7" x14ac:dyDescent="0.2">
      <c r="C50" s="150"/>
      <c r="D50" s="98"/>
    </row>
    <row r="51" spans="3:7" x14ac:dyDescent="0.2">
      <c r="C51" s="151"/>
      <c r="D51" s="98"/>
    </row>
    <row r="52" spans="3:7" x14ac:dyDescent="0.2">
      <c r="C52" s="154"/>
    </row>
    <row r="53" spans="3:7" x14ac:dyDescent="0.2">
      <c r="C53" s="205"/>
      <c r="D53" s="1"/>
    </row>
    <row r="54" spans="3:7" x14ac:dyDescent="0.2">
      <c r="D54" s="1"/>
    </row>
    <row r="55" spans="3:7" x14ac:dyDescent="0.2">
      <c r="C55" s="154"/>
      <c r="D55" s="79"/>
    </row>
  </sheetData>
  <mergeCells count="11">
    <mergeCell ref="E3:H3"/>
    <mergeCell ref="C2:H2"/>
    <mergeCell ref="C1:H1"/>
    <mergeCell ref="A5:G5"/>
    <mergeCell ref="A8:A9"/>
    <mergeCell ref="B8:B9"/>
    <mergeCell ref="C8:C9"/>
    <mergeCell ref="D8:D9"/>
    <mergeCell ref="E8:F8"/>
    <mergeCell ref="G8:H8"/>
    <mergeCell ref="G7:H7"/>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10</vt:i4>
      </vt:variant>
    </vt:vector>
  </HeadingPairs>
  <TitlesOfParts>
    <vt:vector size="10" baseType="lpstr">
      <vt:lpstr>1 priedas</vt:lpstr>
      <vt:lpstr>2 priedas</vt:lpstr>
      <vt:lpstr>3 priedas</vt:lpstr>
      <vt:lpstr>4 priedas</vt:lpstr>
      <vt:lpstr>5 priedas</vt:lpstr>
      <vt:lpstr>6 priedas</vt:lpstr>
      <vt:lpstr>7 priedas</vt:lpstr>
      <vt:lpstr>8 priedas</vt:lpstr>
      <vt:lpstr>9 priedas</vt:lpstr>
      <vt:lpstr>10 priedas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Vartotojas</dc:creator>
  <cp:lastModifiedBy>Jolanta Sakavičienė</cp:lastModifiedBy>
  <cp:lastPrinted>2023-06-14T13:24:13Z</cp:lastPrinted>
  <dcterms:created xsi:type="dcterms:W3CDTF">2023-06-08T05:59:47Z</dcterms:created>
  <dcterms:modified xsi:type="dcterms:W3CDTF">2023-09-15T10:26:21Z</dcterms:modified>
</cp:coreProperties>
</file>