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6.xml" ContentType="application/vnd.ms-excel.person+xml"/>
  <Override PartName="/xl/persons/person18.xml" ContentType="application/vnd.ms-excel.person+xml"/>
  <Override PartName="/xl/persons/person34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20.xml" ContentType="application/vnd.ms-excel.person+xml"/>
  <Override PartName="/xl/persons/person25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3.xml" ContentType="application/vnd.ms-excel.person+xml"/>
  <Override PartName="/xl/persons/person11.xml" ContentType="application/vnd.ms-excel.person+xml"/>
  <Override PartName="/xl/persons/person16.xml" ContentType="application/vnd.ms-excel.person+xml"/>
  <Override PartName="/xl/persons/person26.xml" ContentType="application/vnd.ms-excel.person+xml"/>
  <Override PartName="/xl/persons/person7.xml" ContentType="application/vnd.ms-excel.person+xml"/>
  <Override PartName="/xl/persons/person35.xml" ContentType="application/vnd.ms-excel.person+xml"/>
  <Override PartName="/xl/persons/person21.xml" ContentType="application/vnd.ms-excel.person+xml"/>
  <Override PartName="/xl/persons/person33.xml" ContentType="application/vnd.ms-excel.person+xml"/>
  <Override PartName="/xl/persons/person19.xml" ContentType="application/vnd.ms-excel.person+xml"/>
  <Override PartName="/xl/persons/person2.xml" ContentType="application/vnd.ms-excel.person+xml"/>
  <Override PartName="/xl/persons/person10.xml" ContentType="application/vnd.ms-excel.person+xml"/>
  <Override PartName="/xl/persons/person15.xml" ContentType="application/vnd.ms-excel.person+xml"/>
  <Override PartName="/xl/persons/person23.xml" ContentType="application/vnd.ms-excel.person+xml"/>
  <Override PartName="/xl/persons/person31.xml" ContentType="application/vnd.ms-excel.person+xml"/>
  <Override PartName="/xl/persons/person1.xml" ContentType="application/vnd.ms-excel.person+xml"/>
  <Override PartName="/xl/persons/person5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.xml" ContentType="application/vnd.ms-excel.person+xml"/>
  <Override PartName="/xl/persons/person8.xml" ContentType="application/vnd.ms-excel.person+xml"/>
  <Override PartName="/xl/persons/person22.xml" ContentType="application/vnd.ms-excel.person+xml"/>
  <Override PartName="/xl/persons/person30.xml" ContentType="application/vnd.ms-excel.person+xml"/>
  <Override PartName="/xl/persons/person29.xml" ContentType="application/vnd.ms-excel.person+xml"/>
  <Override PartName="/xl/persons/person24.xml" ContentType="application/vnd.ms-excel.person+xml"/>
  <Override PartName="/xl/persons/person17.xml" ContentType="application/vnd.ms-excel.person+xml"/>
  <Override PartName="/xl/persons/person12.xml" ContentType="application/vnd.ms-excel.person+xml"/>
  <Override PartName="/xl/persons/person9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edainiusav-my.sharepoint.com/personal/jolanta_sakaviciene_kedainiai_lt/Documents/Dokumentai/seni dokumentai/2023 m sprendimai/2023-10-27 Tarybos posedis/Biudžetas/Projekto lyginamasis variantas/"/>
    </mc:Choice>
  </mc:AlternateContent>
  <xr:revisionPtr revIDLastSave="2" documentId="13_ncr:1_{0EF6E51D-5A03-469B-8431-384B82634E1F}" xr6:coauthVersionLast="47" xr6:coauthVersionMax="47" xr10:uidLastSave="{6CA97D44-450B-4201-B35E-2F64F4F8B805}"/>
  <bookViews>
    <workbookView xWindow="-120" yWindow="-120" windowWidth="29040" windowHeight="15840" tabRatio="897" xr2:uid="{00000000-000D-0000-FFFF-FFFF00000000}"/>
  </bookViews>
  <sheets>
    <sheet name="1 pr" sheetId="75" r:id="rId1"/>
    <sheet name="3 pr" sheetId="76" r:id="rId2"/>
    <sheet name="9 pr" sheetId="68" r:id="rId3"/>
    <sheet name="10 pr" sheetId="79" r:id="rId4"/>
  </sheets>
  <definedNames>
    <definedName name="_xlnm.Print_Area" localSheetId="0">'1 pr'!$A$1:$C$129</definedName>
    <definedName name="_xlnm.Print_Area" localSheetId="3">'10 pr'!$A$1:$F$143</definedName>
    <definedName name="_xlnm.Print_Area" localSheetId="1">'3 pr'!$A$1:$F$320</definedName>
    <definedName name="_xlnm.Print_Area" localSheetId="2">'9 pr'!$A$1:$F$92</definedName>
    <definedName name="_xlnm.Print_Titles" localSheetId="0">'1 pr'!$6:$6</definedName>
    <definedName name="_xlnm.Print_Titles" localSheetId="3">'10 pr'!$8:$8</definedName>
    <definedName name="_xlnm.Print_Titles" localSheetId="1">'3 pr'!$8:$8</definedName>
    <definedName name="_xlnm.Print_Titles" localSheetId="2">'9 pr'!$8:$8</definedName>
  </definedNames>
  <calcPr calcId="181029"/>
  <fileRecoveryPr autoRecover="0"/>
</workbook>
</file>

<file path=xl/calcChain.xml><?xml version="1.0" encoding="utf-8"?>
<calcChain xmlns="http://schemas.openxmlformats.org/spreadsheetml/2006/main">
  <c r="C8" i="75" l="1"/>
  <c r="E14" i="68" l="1"/>
  <c r="C63" i="75" l="1"/>
  <c r="F50" i="68"/>
  <c r="E50" i="68"/>
  <c r="E36" i="68"/>
  <c r="F36" i="68"/>
  <c r="C15" i="75"/>
  <c r="E224" i="76"/>
  <c r="C77" i="75"/>
  <c r="E133" i="79"/>
  <c r="E98" i="76"/>
  <c r="E41" i="76"/>
  <c r="E218" i="76"/>
  <c r="E237" i="76"/>
  <c r="F115" i="79"/>
  <c r="F112" i="79"/>
  <c r="F110" i="79"/>
  <c r="F108" i="79"/>
  <c r="F106" i="79"/>
  <c r="E115" i="79"/>
  <c r="E37" i="79"/>
  <c r="E45" i="79"/>
  <c r="E41" i="79"/>
  <c r="E43" i="79"/>
  <c r="E39" i="79"/>
  <c r="E35" i="79"/>
  <c r="E231" i="76"/>
  <c r="E252" i="76"/>
  <c r="E95" i="76"/>
  <c r="E100" i="76"/>
  <c r="E43" i="76"/>
  <c r="C50" i="75"/>
  <c r="F105" i="79" l="1"/>
  <c r="F85" i="68"/>
  <c r="E85" i="68"/>
  <c r="F77" i="68"/>
  <c r="E77" i="68"/>
  <c r="F75" i="68"/>
  <c r="E75" i="68"/>
  <c r="F65" i="68"/>
  <c r="E65" i="68"/>
  <c r="F73" i="68"/>
  <c r="E73" i="68"/>
  <c r="F69" i="68"/>
  <c r="E69" i="68"/>
  <c r="F71" i="68"/>
  <c r="E71" i="68"/>
  <c r="F67" i="68"/>
  <c r="E67" i="68"/>
  <c r="F61" i="68"/>
  <c r="E61" i="68"/>
  <c r="F59" i="68"/>
  <c r="E59" i="68"/>
  <c r="F57" i="68"/>
  <c r="E57" i="68"/>
  <c r="F55" i="68"/>
  <c r="E55" i="68"/>
  <c r="F53" i="68"/>
  <c r="E53" i="68"/>
  <c r="F48" i="68"/>
  <c r="E48" i="68"/>
  <c r="F46" i="68"/>
  <c r="E46" i="68"/>
  <c r="F44" i="68"/>
  <c r="E44" i="68"/>
  <c r="F42" i="68"/>
  <c r="E42" i="68"/>
  <c r="F40" i="68"/>
  <c r="E40" i="68"/>
  <c r="F38" i="68"/>
  <c r="E38" i="68"/>
  <c r="F34" i="68"/>
  <c r="E34" i="68"/>
  <c r="F32" i="68"/>
  <c r="E32" i="68"/>
  <c r="F30" i="68"/>
  <c r="E30" i="68"/>
  <c r="F28" i="68"/>
  <c r="E28" i="68"/>
  <c r="F26" i="68"/>
  <c r="E26" i="68"/>
  <c r="F24" i="68"/>
  <c r="E24" i="68"/>
  <c r="F22" i="68"/>
  <c r="E22" i="68"/>
  <c r="F20" i="68"/>
  <c r="E20" i="68"/>
  <c r="F18" i="68"/>
  <c r="E18" i="68"/>
  <c r="F16" i="68"/>
  <c r="E16" i="68"/>
  <c r="F14" i="68"/>
  <c r="F134" i="79"/>
  <c r="E134" i="79"/>
  <c r="E131" i="79"/>
  <c r="F131" i="79"/>
  <c r="F126" i="79"/>
  <c r="E126" i="79"/>
  <c r="F124" i="79"/>
  <c r="E124" i="79"/>
  <c r="F121" i="79"/>
  <c r="E121" i="79"/>
  <c r="F119" i="79"/>
  <c r="E119" i="79"/>
  <c r="E113" i="79"/>
  <c r="E112" i="79" s="1"/>
  <c r="E110" i="79"/>
  <c r="E108" i="79"/>
  <c r="E106" i="79"/>
  <c r="E103" i="79"/>
  <c r="E102" i="79" s="1"/>
  <c r="E101" i="79" s="1"/>
  <c r="F102" i="79"/>
  <c r="F101" i="79" s="1"/>
  <c r="F99" i="79"/>
  <c r="E99" i="79"/>
  <c r="F97" i="79"/>
  <c r="F96" i="79" s="1"/>
  <c r="E97" i="79"/>
  <c r="E96" i="79" s="1"/>
  <c r="F94" i="79"/>
  <c r="E94" i="79"/>
  <c r="F91" i="79"/>
  <c r="F90" i="79" s="1"/>
  <c r="F89" i="79" s="1"/>
  <c r="E91" i="79"/>
  <c r="E90" i="79" s="1"/>
  <c r="E89" i="79" s="1"/>
  <c r="E88" i="79"/>
  <c r="E87" i="79" s="1"/>
  <c r="F87" i="79"/>
  <c r="E86" i="79"/>
  <c r="E85" i="79" s="1"/>
  <c r="F85" i="79"/>
  <c r="E84" i="79"/>
  <c r="E83" i="79" s="1"/>
  <c r="F83" i="79"/>
  <c r="E82" i="79"/>
  <c r="E81" i="79" s="1"/>
  <c r="F81" i="79"/>
  <c r="F75" i="79"/>
  <c r="E75" i="79"/>
  <c r="F73" i="79"/>
  <c r="E73" i="79"/>
  <c r="F68" i="79"/>
  <c r="E68" i="79"/>
  <c r="F66" i="79"/>
  <c r="E66" i="79"/>
  <c r="F64" i="79"/>
  <c r="E64" i="79"/>
  <c r="F63" i="79"/>
  <c r="F61" i="79" s="1"/>
  <c r="E59" i="79"/>
  <c r="E58" i="79" s="1"/>
  <c r="F58" i="79"/>
  <c r="F56" i="79"/>
  <c r="E56" i="79"/>
  <c r="F55" i="79"/>
  <c r="F54" i="79" s="1"/>
  <c r="E55" i="79"/>
  <c r="E54" i="79" s="1"/>
  <c r="F53" i="79"/>
  <c r="F52" i="79" s="1"/>
  <c r="E53" i="79"/>
  <c r="E52" i="79" s="1"/>
  <c r="F50" i="79"/>
  <c r="E50" i="79"/>
  <c r="F49" i="79"/>
  <c r="F48" i="79" s="1"/>
  <c r="E48" i="79"/>
  <c r="F45" i="79"/>
  <c r="F43" i="79"/>
  <c r="F41" i="79"/>
  <c r="F39" i="79"/>
  <c r="F37" i="79"/>
  <c r="F35" i="79"/>
  <c r="E33" i="79"/>
  <c r="F32" i="79"/>
  <c r="E32" i="79"/>
  <c r="F31" i="79"/>
  <c r="E31" i="79"/>
  <c r="F30" i="79"/>
  <c r="E30" i="79"/>
  <c r="F29" i="79"/>
  <c r="E29" i="79"/>
  <c r="F28" i="79"/>
  <c r="E28" i="79"/>
  <c r="F27" i="79"/>
  <c r="E27" i="79"/>
  <c r="F26" i="79"/>
  <c r="E26" i="79"/>
  <c r="F25" i="79"/>
  <c r="E25" i="79"/>
  <c r="E24" i="79"/>
  <c r="F23" i="79"/>
  <c r="E23" i="79"/>
  <c r="F22" i="79"/>
  <c r="E22" i="79"/>
  <c r="F21" i="79"/>
  <c r="E21" i="79"/>
  <c r="F20" i="79"/>
  <c r="E20" i="79"/>
  <c r="F19" i="79"/>
  <c r="E19" i="79"/>
  <c r="F18" i="79"/>
  <c r="E18" i="79"/>
  <c r="F17" i="79"/>
  <c r="E17" i="79"/>
  <c r="F16" i="79"/>
  <c r="E16" i="79"/>
  <c r="F13" i="79"/>
  <c r="F12" i="79" s="1"/>
  <c r="E13" i="79"/>
  <c r="E12" i="79" s="1"/>
  <c r="E11" i="79"/>
  <c r="E10" i="79" s="1"/>
  <c r="F10" i="79"/>
  <c r="F78" i="68"/>
  <c r="E78" i="68"/>
  <c r="F51" i="68"/>
  <c r="E51" i="68"/>
  <c r="F315" i="76"/>
  <c r="E315" i="76"/>
  <c r="F314" i="76"/>
  <c r="E314" i="76"/>
  <c r="F313" i="76"/>
  <c r="E313" i="76"/>
  <c r="F312" i="76"/>
  <c r="E312" i="76"/>
  <c r="F311" i="76"/>
  <c r="E311" i="76"/>
  <c r="F310" i="76"/>
  <c r="E310" i="76"/>
  <c r="F309" i="76"/>
  <c r="E309" i="76"/>
  <c r="F308" i="76"/>
  <c r="E308" i="76"/>
  <c r="F307" i="76"/>
  <c r="E307" i="76"/>
  <c r="F306" i="76"/>
  <c r="E306" i="76"/>
  <c r="F305" i="76"/>
  <c r="E305" i="76"/>
  <c r="E303" i="76"/>
  <c r="E300" i="76"/>
  <c r="F296" i="76"/>
  <c r="F295" i="76" s="1"/>
  <c r="E296" i="76"/>
  <c r="F294" i="76"/>
  <c r="E294" i="76"/>
  <c r="F293" i="76"/>
  <c r="E293" i="76"/>
  <c r="F288" i="76"/>
  <c r="F287" i="76" s="1"/>
  <c r="E288" i="76"/>
  <c r="E287" i="76" s="1"/>
  <c r="F281" i="76"/>
  <c r="F279" i="76" s="1"/>
  <c r="F278" i="76" s="1"/>
  <c r="E281" i="76"/>
  <c r="E279" i="76" s="1"/>
  <c r="E278" i="76" s="1"/>
  <c r="F277" i="76"/>
  <c r="E277" i="76"/>
  <c r="F276" i="76"/>
  <c r="E276" i="76"/>
  <c r="F275" i="76"/>
  <c r="E275" i="76"/>
  <c r="F274" i="76"/>
  <c r="E274" i="76"/>
  <c r="F273" i="76"/>
  <c r="E273" i="76"/>
  <c r="F272" i="76"/>
  <c r="E272" i="76"/>
  <c r="F271" i="76"/>
  <c r="E271" i="76"/>
  <c r="F270" i="76"/>
  <c r="E270" i="76"/>
  <c r="F269" i="76"/>
  <c r="E269" i="76"/>
  <c r="F268" i="76"/>
  <c r="E268" i="76"/>
  <c r="F267" i="76"/>
  <c r="E267" i="76"/>
  <c r="E265" i="76"/>
  <c r="E263" i="76" s="1"/>
  <c r="F263" i="76"/>
  <c r="F255" i="76" s="1"/>
  <c r="E258" i="76"/>
  <c r="E257" i="76"/>
  <c r="E239" i="76"/>
  <c r="E234" i="76"/>
  <c r="E233" i="76"/>
  <c r="E229" i="76"/>
  <c r="E228" i="76"/>
  <c r="E225" i="76"/>
  <c r="E221" i="76"/>
  <c r="E220" i="76"/>
  <c r="F214" i="76"/>
  <c r="F212" i="76" s="1"/>
  <c r="F209" i="76" s="1"/>
  <c r="E210" i="76"/>
  <c r="E204" i="76"/>
  <c r="E202" i="76"/>
  <c r="F201" i="76"/>
  <c r="F196" i="76" s="1"/>
  <c r="F192" i="76" s="1"/>
  <c r="E197" i="76"/>
  <c r="E193" i="76"/>
  <c r="F191" i="76"/>
  <c r="E191" i="76"/>
  <c r="F187" i="76"/>
  <c r="E187" i="76"/>
  <c r="F181" i="76"/>
  <c r="E181" i="76"/>
  <c r="F178" i="76"/>
  <c r="E178" i="76"/>
  <c r="F177" i="76"/>
  <c r="E177" i="76"/>
  <c r="F176" i="76"/>
  <c r="E176" i="76"/>
  <c r="F175" i="76"/>
  <c r="E175" i="76"/>
  <c r="F174" i="76"/>
  <c r="E174" i="76"/>
  <c r="F173" i="76"/>
  <c r="E173" i="76"/>
  <c r="F172" i="76"/>
  <c r="E172" i="76"/>
  <c r="F171" i="76"/>
  <c r="E171" i="76"/>
  <c r="F168" i="76"/>
  <c r="E168" i="76"/>
  <c r="F166" i="76"/>
  <c r="E166" i="76"/>
  <c r="F164" i="76"/>
  <c r="E164" i="76"/>
  <c r="F163" i="76"/>
  <c r="E163" i="76"/>
  <c r="F162" i="76"/>
  <c r="E162" i="76"/>
  <c r="F161" i="76"/>
  <c r="E161" i="76"/>
  <c r="F157" i="76"/>
  <c r="E157" i="76"/>
  <c r="E153" i="76"/>
  <c r="E149" i="76"/>
  <c r="F147" i="76"/>
  <c r="E146" i="76"/>
  <c r="F144" i="76"/>
  <c r="E144" i="76"/>
  <c r="F141" i="76"/>
  <c r="E141" i="76"/>
  <c r="F139" i="76"/>
  <c r="E139" i="76"/>
  <c r="F137" i="76"/>
  <c r="E137" i="76"/>
  <c r="F135" i="76"/>
  <c r="E135" i="76"/>
  <c r="F133" i="76"/>
  <c r="E133" i="76"/>
  <c r="F132" i="76"/>
  <c r="E132" i="76"/>
  <c r="F130" i="76"/>
  <c r="E130" i="76"/>
  <c r="F128" i="76"/>
  <c r="E128" i="76"/>
  <c r="F127" i="76"/>
  <c r="E127" i="76"/>
  <c r="F125" i="76"/>
  <c r="E125" i="76"/>
  <c r="F123" i="76"/>
  <c r="E123" i="76"/>
  <c r="E122" i="76"/>
  <c r="E118" i="76" s="1"/>
  <c r="F118" i="76"/>
  <c r="E109" i="76"/>
  <c r="F103" i="76"/>
  <c r="E103" i="76"/>
  <c r="F101" i="76"/>
  <c r="E101" i="76"/>
  <c r="F100" i="76"/>
  <c r="F98" i="76"/>
  <c r="F96" i="76"/>
  <c r="E96" i="76"/>
  <c r="F93" i="76"/>
  <c r="F87" i="76"/>
  <c r="E87" i="76"/>
  <c r="E86" i="76"/>
  <c r="E82" i="76"/>
  <c r="E81" i="76"/>
  <c r="E75" i="76"/>
  <c r="E71" i="76"/>
  <c r="F67" i="76"/>
  <c r="F65" i="76"/>
  <c r="E65" i="76"/>
  <c r="E63" i="76"/>
  <c r="E62" i="76"/>
  <c r="E61" i="76"/>
  <c r="E57" i="76"/>
  <c r="E56" i="76"/>
  <c r="E54" i="76"/>
  <c r="E52" i="76"/>
  <c r="E51" i="76"/>
  <c r="E50" i="76"/>
  <c r="F49" i="76"/>
  <c r="F44" i="76" s="1"/>
  <c r="E48" i="76"/>
  <c r="F43" i="76"/>
  <c r="F41" i="76"/>
  <c r="F38" i="76"/>
  <c r="E38" i="76"/>
  <c r="F37" i="76"/>
  <c r="E37" i="76"/>
  <c r="F35" i="76"/>
  <c r="E35" i="76"/>
  <c r="F34" i="76"/>
  <c r="E34" i="76"/>
  <c r="F32" i="76"/>
  <c r="E32" i="76"/>
  <c r="F31" i="76"/>
  <c r="E31" i="76"/>
  <c r="F30" i="76"/>
  <c r="E30" i="76"/>
  <c r="F29" i="76"/>
  <c r="E29" i="76"/>
  <c r="F28" i="76"/>
  <c r="E28" i="76"/>
  <c r="F27" i="76"/>
  <c r="E27" i="76"/>
  <c r="F26" i="76"/>
  <c r="E26" i="76"/>
  <c r="F25" i="76"/>
  <c r="E25" i="76"/>
  <c r="F24" i="76"/>
  <c r="E24" i="76"/>
  <c r="F23" i="76"/>
  <c r="E23" i="76"/>
  <c r="F22" i="76"/>
  <c r="E22" i="76"/>
  <c r="F21" i="76"/>
  <c r="E21" i="76"/>
  <c r="F20" i="76"/>
  <c r="E20" i="76"/>
  <c r="F19" i="76"/>
  <c r="E19" i="76"/>
  <c r="F18" i="76"/>
  <c r="E18" i="76"/>
  <c r="F17" i="76"/>
  <c r="E17" i="76"/>
  <c r="F16" i="76"/>
  <c r="E16" i="76"/>
  <c r="F15" i="76"/>
  <c r="E15" i="76"/>
  <c r="F14" i="76"/>
  <c r="E14" i="76"/>
  <c r="F13" i="76"/>
  <c r="E13" i="76"/>
  <c r="F12" i="76"/>
  <c r="E12" i="76"/>
  <c r="F11" i="76"/>
  <c r="E11" i="76"/>
  <c r="F64" i="76" l="1"/>
  <c r="F123" i="79"/>
  <c r="E118" i="79"/>
  <c r="E180" i="76"/>
  <c r="E170" i="76" s="1"/>
  <c r="F254" i="76"/>
  <c r="F102" i="76"/>
  <c r="E147" i="76"/>
  <c r="E49" i="76"/>
  <c r="E44" i="76" s="1"/>
  <c r="E102" i="76"/>
  <c r="E15" i="79"/>
  <c r="F129" i="79"/>
  <c r="E255" i="76"/>
  <c r="E254" i="76" s="1"/>
  <c r="F145" i="76"/>
  <c r="F143" i="76" s="1"/>
  <c r="F15" i="79"/>
  <c r="E93" i="79"/>
  <c r="F47" i="79"/>
  <c r="F33" i="79"/>
  <c r="F93" i="79"/>
  <c r="F118" i="79"/>
  <c r="E123" i="79"/>
  <c r="F63" i="68"/>
  <c r="E63" i="68"/>
  <c r="E67" i="76"/>
  <c r="E64" i="76" s="1"/>
  <c r="E145" i="76"/>
  <c r="E143" i="76" s="1"/>
  <c r="F180" i="76"/>
  <c r="F170" i="76" s="1"/>
  <c r="E212" i="76"/>
  <c r="E295" i="76"/>
  <c r="E292" i="76" s="1"/>
  <c r="E201" i="76"/>
  <c r="E196" i="76" s="1"/>
  <c r="E192" i="76" s="1"/>
  <c r="F292" i="76"/>
  <c r="F137" i="79" l="1"/>
  <c r="C122" i="75" l="1"/>
  <c r="C115" i="75"/>
  <c r="C112" i="75"/>
  <c r="C107" i="75"/>
  <c r="C103" i="75"/>
  <c r="C99" i="75"/>
  <c r="C94" i="75"/>
  <c r="C89" i="75"/>
  <c r="C85" i="75"/>
  <c r="C84" i="75"/>
  <c r="C83" i="75"/>
  <c r="C72" i="75"/>
  <c r="C70" i="75"/>
  <c r="C69" i="75"/>
  <c r="C61" i="75"/>
  <c r="C59" i="75"/>
  <c r="C58" i="75"/>
  <c r="C51" i="75"/>
  <c r="C32" i="75"/>
  <c r="C30" i="75"/>
  <c r="C25" i="75" s="1"/>
  <c r="C24" i="75" s="1"/>
  <c r="C22" i="75"/>
  <c r="C21" i="75"/>
  <c r="C17" i="75"/>
  <c r="C16" i="75" s="1"/>
  <c r="C11" i="75"/>
  <c r="C9" i="75"/>
  <c r="C20" i="75" l="1"/>
  <c r="C93" i="75"/>
  <c r="C19" i="75" l="1"/>
</calcChain>
</file>

<file path=xl/sharedStrings.xml><?xml version="1.0" encoding="utf-8"?>
<sst xmlns="http://schemas.openxmlformats.org/spreadsheetml/2006/main" count="1212" uniqueCount="736">
  <si>
    <t>Eil. Nr.</t>
  </si>
  <si>
    <t>Kėdainių bendruomenės socialinis centras</t>
  </si>
  <si>
    <t>Dotnuvos slaugos namai</t>
  </si>
  <si>
    <t xml:space="preserve">Kėdainių rajono savivaldybės administracija </t>
  </si>
  <si>
    <t>Kėdainių rajono savivaldybės administracijos Dotnuvos seniūnija</t>
  </si>
  <si>
    <t>Kėdainių rajono savivaldybės administracijos Gudžiūnų seniūnija</t>
  </si>
  <si>
    <t>Kėdainių rajono savivaldybės administracijos Krakių seniūnija</t>
  </si>
  <si>
    <t>Kėdainių rajono savivaldybės administracijos Josvainių seniūnija</t>
  </si>
  <si>
    <t>Kėdainių rajono savivaldybės administracijos Kėdainių miesto seniūnija</t>
  </si>
  <si>
    <t>Kėdainių rajono savivaldybės administracijos Pelėdnagių seniūnija</t>
  </si>
  <si>
    <t>Kėdainių rajono savivaldybės administracijos Pernaravos seniūnija</t>
  </si>
  <si>
    <t>Kėdainių rajono savivaldybės administracijos Šėtos seniūnija</t>
  </si>
  <si>
    <t>Kėdainių rajono savivaldybės administracijos Surviliškio seniūnija</t>
  </si>
  <si>
    <t>Kėdainių rajono savivaldybės administracijos Truskavos seniūnija</t>
  </si>
  <si>
    <t>Kėdainių rajono savivaldybės administracijos Vilainių seniūnija</t>
  </si>
  <si>
    <t>Josvainių socialinis ir ugdymo centras</t>
  </si>
  <si>
    <t>Asignavimų valdytojas</t>
  </si>
  <si>
    <t>Iš viso</t>
  </si>
  <si>
    <t>2</t>
  </si>
  <si>
    <t>Šėtos socialinis ir ugdymo  centras</t>
  </si>
  <si>
    <t>Iš viso asignavimų</t>
  </si>
  <si>
    <t>03</t>
  </si>
  <si>
    <t>SOCIALINĖS APSAUGOS PLĖTOJIMAS</t>
  </si>
  <si>
    <t>10.04.01.01</t>
  </si>
  <si>
    <t>11</t>
  </si>
  <si>
    <t>SAVIVALDYBĖS VALDYMO TOBULINIMAS</t>
  </si>
  <si>
    <t>Kėdainių rajono savivaldybės priešgaisrinė tarnyba</t>
  </si>
  <si>
    <t>03.02.01.01</t>
  </si>
  <si>
    <t>iš jų darbo užmokesčiui</t>
  </si>
  <si>
    <t>10.04.01.40</t>
  </si>
  <si>
    <t>09</t>
  </si>
  <si>
    <t xml:space="preserve"> ŽEMĖS ŪKIO PLĖTRA IR MELIORACIJA</t>
  </si>
  <si>
    <t>11.1</t>
  </si>
  <si>
    <t>11.2</t>
  </si>
  <si>
    <t>01.06.01.02</t>
  </si>
  <si>
    <t>04.01.02.01</t>
  </si>
  <si>
    <t>Kėdainių r. Krakių Mikalojaus Katkaus gimnazija</t>
  </si>
  <si>
    <t>Kėdainių r. Dotnuvos pagrindinė mokykla</t>
  </si>
  <si>
    <t>Kėdainių r. Surviliškio Vinco Svirskio pagrindinė mokykla</t>
  </si>
  <si>
    <t>Kėdainių krašto muziejus</t>
  </si>
  <si>
    <t>Kėdainių kultūros centras</t>
  </si>
  <si>
    <t>Krakių kultūros centras</t>
  </si>
  <si>
    <t>Kėdainių šviesioji gimnazija</t>
  </si>
  <si>
    <t>Kėdainių kalbų mokykla</t>
  </si>
  <si>
    <t>Kėdainių muzikos  mokykla</t>
  </si>
  <si>
    <t>Akademijos kultūros centras</t>
  </si>
  <si>
    <t>Josvainių kultūros centras</t>
  </si>
  <si>
    <t>Šėtos kultūros centras</t>
  </si>
  <si>
    <t>Truskavos kultūros centras</t>
  </si>
  <si>
    <t>Kėdainių rajono savivaldybės Mikalojaus Daukšos viešoji biblioteka</t>
  </si>
  <si>
    <t>Kėdainių dailės mokykla</t>
  </si>
  <si>
    <t>Funkcijos kodas</t>
  </si>
  <si>
    <t>01</t>
  </si>
  <si>
    <t>ŠVIETIMAS IR UGDYMAS</t>
  </si>
  <si>
    <t>09.01.01.01</t>
  </si>
  <si>
    <t>09.01.02.01</t>
  </si>
  <si>
    <t>09.02.02.01</t>
  </si>
  <si>
    <t>09.02.01.01</t>
  </si>
  <si>
    <t>09.05.01.01</t>
  </si>
  <si>
    <t>09.08.01.01</t>
  </si>
  <si>
    <t>09.06.01.01</t>
  </si>
  <si>
    <t>02</t>
  </si>
  <si>
    <t>SVEIKATOS APSAUGA</t>
  </si>
  <si>
    <t>07.01.03.01</t>
  </si>
  <si>
    <t>07.03.01.01</t>
  </si>
  <si>
    <t>07.06.01.02</t>
  </si>
  <si>
    <t>10.01.02.02
10.07.01.01
10.09.01.01</t>
  </si>
  <si>
    <t>10.02.01.02</t>
  </si>
  <si>
    <t>10.07.01.01</t>
  </si>
  <si>
    <t>10.06.01.01</t>
  </si>
  <si>
    <t>09.06.01.01
10.01.02.40
10.02.01.40</t>
  </si>
  <si>
    <t>10.01.02.40</t>
  </si>
  <si>
    <t>04</t>
  </si>
  <si>
    <t>08.01.01.03</t>
  </si>
  <si>
    <t>05</t>
  </si>
  <si>
    <t>KULTŪROS VEIKLOS PLĖTRA</t>
  </si>
  <si>
    <t>08.02.01.08</t>
  </si>
  <si>
    <t>08.02.01.01</t>
  </si>
  <si>
    <t>08.02.01.02</t>
  </si>
  <si>
    <t>08.04.01.01</t>
  </si>
  <si>
    <t>07</t>
  </si>
  <si>
    <t>INFRASTRUKTŪROS OBJEKTŲ  PRIEŽIŪRA IR PLĖTRA</t>
  </si>
  <si>
    <t>06.04.01.01</t>
  </si>
  <si>
    <t>04.05.01.02 06.04.01.01</t>
  </si>
  <si>
    <t>06.01.01.01</t>
  </si>
  <si>
    <t>08</t>
  </si>
  <si>
    <t>APLINKOS APSAUGA</t>
  </si>
  <si>
    <t xml:space="preserve">05.01.01.01
06.02.01.01                       </t>
  </si>
  <si>
    <t>05.01.01.01</t>
  </si>
  <si>
    <t xml:space="preserve">05.01.01.01  05.02.01.01
06.03.01.01                       </t>
  </si>
  <si>
    <t xml:space="preserve">05.01.01.01               </t>
  </si>
  <si>
    <t>10</t>
  </si>
  <si>
    <t>PARAMA VERSLUI IR VERSLO PLĖTRA</t>
  </si>
  <si>
    <t>04.01.01.01</t>
  </si>
  <si>
    <t>Kėdainių rajono savivaldybės kontrolės ir audito tarnyba</t>
  </si>
  <si>
    <t xml:space="preserve">Kėdainių rajono savivaldybės administracija  </t>
  </si>
  <si>
    <t>03.01.01.01</t>
  </si>
  <si>
    <t>04.05.01.01</t>
  </si>
  <si>
    <t>01.07.01.01</t>
  </si>
  <si>
    <t xml:space="preserve">10.02.01.02 </t>
  </si>
  <si>
    <t>06</t>
  </si>
  <si>
    <t>KULTŪROS PAVELDO IŠSAUGOJIMAS, TURIZMO SKATINIMAS IR VYSTYMAS</t>
  </si>
  <si>
    <t>04.07.03.01</t>
  </si>
  <si>
    <t>10.01.02.01</t>
  </si>
  <si>
    <t>07.06.01.09</t>
  </si>
  <si>
    <t>01.01.01.09</t>
  </si>
  <si>
    <t>Kėdainių suaugusiųjų ir jaunimo mokymo centras</t>
  </si>
  <si>
    <t>Kėdainių sporto centras</t>
  </si>
  <si>
    <t xml:space="preserve">                                                                                         ___________________________</t>
  </si>
  <si>
    <t xml:space="preserve">10.06.01.01 10.07.01.01
10.09.01.09 </t>
  </si>
  <si>
    <t>3 priedas</t>
  </si>
  <si>
    <t>08.02.01.07</t>
  </si>
  <si>
    <t>Eil.   Nr.</t>
  </si>
  <si>
    <t>09.02.02.01
09.05.01.01</t>
  </si>
  <si>
    <t>Kėdainių Juozo Paukštelio progimnazija</t>
  </si>
  <si>
    <t>01.06.01.04</t>
  </si>
  <si>
    <t>Remontuoti objektus pagal administracijos direktoriaus įsakymus</t>
  </si>
  <si>
    <t>Likviduoti avarinius židinius</t>
  </si>
  <si>
    <t>Remontuoti biudžetinių įstaigų kiemus</t>
  </si>
  <si>
    <t>Remontuoti viešųjų ir biudžetinių įstaigų stogus</t>
  </si>
  <si>
    <t>08.06.01.01</t>
  </si>
  <si>
    <t>07.06.01.06</t>
  </si>
  <si>
    <t>04.09.01.01</t>
  </si>
  <si>
    <t>(tūkst. Eur)</t>
  </si>
  <si>
    <t>01.01.01.02
01.01.01.09
01.03.02.09
01.06.01.02
04.05.06.09 06.06.01.01
06.06.01.09</t>
  </si>
  <si>
    <t>05.03.01.01</t>
  </si>
  <si>
    <t>08.06.01.09</t>
  </si>
  <si>
    <t xml:space="preserve">Kėdainių švietimo pagalbos tarnyba </t>
  </si>
  <si>
    <t>Kėdainių r. Akademijos gimnazija</t>
  </si>
  <si>
    <t>Kėdainių r. Josvainių gimnazija</t>
  </si>
  <si>
    <t>Kėdainių r. Labūnavos pagrindinė mokykla</t>
  </si>
  <si>
    <t>Kėdainių r. Šėtos  gimnazija</t>
  </si>
  <si>
    <t xml:space="preserve">09.08.01.09    </t>
  </si>
  <si>
    <t xml:space="preserve">Rengti infrastruktūros objektų tvarkymo investicinius projektus, paraiškas, kitą techninę dokumentaciją  Europos Sąjungos fondų paramai gauti </t>
  </si>
  <si>
    <t>Įgyvendinti Kėdainių rajono savivaldybės bažnyčių rėmimo programą</t>
  </si>
  <si>
    <t>08.02.01.06
08.06.01.09</t>
  </si>
  <si>
    <t>08.04.01.02</t>
  </si>
  <si>
    <t>05.06.01.01</t>
  </si>
  <si>
    <t>05.02.01.01.</t>
  </si>
  <si>
    <t>Vykdyti savivaldybės viešųjų teritorijų tvarkymą</t>
  </si>
  <si>
    <t>Kėdainių r. Miegėnų pagrindinė mokykla</t>
  </si>
  <si>
    <t>Kėdainių pagalbos šeimai centras</t>
  </si>
  <si>
    <t>09.05.01.01  09.05.01.02 09.05.01.03</t>
  </si>
  <si>
    <t>Atnaujinti Lietuvos sporto universiteto Kėdainių  „Aušros“ progimnaziją, kuriant modernias ir saugias erdves</t>
  </si>
  <si>
    <t xml:space="preserve">Užtikrinti socialinio būsto fondo plėtrą Kėdainiuose </t>
  </si>
  <si>
    <t>Atnaujinti ir plėsti komunalinių atliekų tvarkymo infrastruktūrą Kėdainių rajono savivaldybėje</t>
  </si>
  <si>
    <t>06.03.01.01</t>
  </si>
  <si>
    <t>Rekonstruoti ir plėsti vandentiekio ir buitinių nuotekų infrastruktūrą Šėtos miestelyje, Kunionių kaime bei Kėdainių mieste</t>
  </si>
  <si>
    <t>09.</t>
  </si>
  <si>
    <t>01-10</t>
  </si>
  <si>
    <t>Kėdainių lopšelis-darželis „Pasaka“</t>
  </si>
  <si>
    <t>Kėdainių lopšelis-darželis „Puriena“</t>
  </si>
  <si>
    <t>Kėdainių lopšelis-darželis „Varpelis“</t>
  </si>
  <si>
    <t>Kėdainių lopšelis-darželis „Vyturėlis“</t>
  </si>
  <si>
    <t>Kėdainių lopšelis-darželis „Žilvitis“</t>
  </si>
  <si>
    <t>Kėdainių lopšelis-darželis „Vaikystė“</t>
  </si>
  <si>
    <t>Lietuvos sporto universiteto Kėdainių „Aušros“ progimnazija</t>
  </si>
  <si>
    <t>Kėdainių „Ryto“ progimnazija</t>
  </si>
  <si>
    <t>Kėdainių „Atžalyno“ gimnazija</t>
  </si>
  <si>
    <t>Kėdainių lopšelis-darželis „Aviliukas“</t>
  </si>
  <si>
    <t xml:space="preserve">Kėdainių rajono savivaldybės administracija iš viso: </t>
  </si>
  <si>
    <t>Skatinti  savivaldybės gabius mokinius</t>
  </si>
  <si>
    <t>Kėdainių rajono savivaldybės visuomenės sveikatos biuras iš viso:</t>
  </si>
  <si>
    <t xml:space="preserve">07.04.01.02 </t>
  </si>
  <si>
    <t xml:space="preserve">Vykdyti ambulatorinės akušerinės ir ginekologinės pagalbos kokybės gerinimo Kėdainių rajono savivaldybės moterims 2019-2024 m. programą </t>
  </si>
  <si>
    <t xml:space="preserve">Didinti pirminės asmens sveikatos priežiūros veiklos efektyvumą VšĮ Kėdainių pirminės sveikatos priežiūros centre </t>
  </si>
  <si>
    <t>Aktualizuoti Kėdainių krašto muziejų, padidinant kultūros paveldo aktualumą, lankomumą ir žinomumą (įskaitant ekspozicijų atnaujinimą)</t>
  </si>
  <si>
    <t>Kėdainių rajono savivaldybės administracija iš viso :</t>
  </si>
  <si>
    <t xml:space="preserve">Finansuoti žvyro įsigijimą seniūnijų keliams prižiūrėti </t>
  </si>
  <si>
    <t xml:space="preserve">Finansuoti prevencinę programą „Saugios aplinkos kūrimas ir bendruomenės teisėtvarkos kūrimas" </t>
  </si>
  <si>
    <t>15.1</t>
  </si>
  <si>
    <t>07.02.01.01</t>
  </si>
  <si>
    <t>10.06.01.40 06.01.01.01</t>
  </si>
  <si>
    <t>Gerinti pirminės asmens sveikatos priežiūros paslaugų teikimo prieinamumą tuberkuliozės srityje</t>
  </si>
  <si>
    <t>Kėdainių rajono savivaldybės administracija iš viso:</t>
  </si>
  <si>
    <t>Finansuoti VšĮ Kėdainių turizmo ir verslo informacijos centro turizmo veiklos programą</t>
  </si>
  <si>
    <t>Mokesčiai už valstybinius gamtos išteklius</t>
  </si>
  <si>
    <t>Kėdainių r. Vilainių mokykla-darželis „Obelėlė“</t>
  </si>
  <si>
    <t>Finansuoti vaikų dienos centrų veiklos programas</t>
  </si>
  <si>
    <t>Pritaikyti viešąją aplinką specialiųjų poreikių turintiems gyventojams</t>
  </si>
  <si>
    <t>Užtikrinti rajono nevyriausybinių organizacijų (įskaitant bendruomenines organizacijas) plėtrą, finansuojant projektus socialinio, pilietinio, kultūros paveldo pažinimo, etninės kultūros puoselėjimo, užimtumo bei verslumo srityse</t>
  </si>
  <si>
    <t>Vykdyti atliekų tvarkymo sistemos organizavimo funkciją</t>
  </si>
  <si>
    <t>Likviduoti apleistus (bešeimininkius ar savivaldybei nuosavybės teise priklausančius) pastatus ir kitus aplinką žalojančius objektus</t>
  </si>
  <si>
    <t>Rengti projektus ir remontuoti gyvenviečių lietaus nuotekų-drenažų sistemas</t>
  </si>
  <si>
    <t>Finansuoti VšĮ Kėdainių turizmo ir verslo informacijos centro viešųjų paslaugų verslui  programą</t>
  </si>
  <si>
    <t>Mokėti palūkanas</t>
  </si>
  <si>
    <t xml:space="preserve">SPORTO VEIKLOS PLĖTRA </t>
  </si>
  <si>
    <t>07.06.01.05</t>
  </si>
  <si>
    <t>05.02.01.01 
06.03.01.01</t>
  </si>
  <si>
    <t>05.02.01.01</t>
  </si>
  <si>
    <t>Dalyvauti Kauno regiono plėtros agentūros veikloje</t>
  </si>
  <si>
    <t>Vykdyti endoskopinių paslaugų prieinamumo ir kokybės gerinimo Kėdainių rajono savivaldybėje 2020-2025 m. programą</t>
  </si>
  <si>
    <t>Rekonstruoti Kėdainių miesto nuotekų valyklą</t>
  </si>
  <si>
    <t>Kita tikslinė dotacija mokyklos specialiųjų ugdymosi poreikių turintiems mokiniams</t>
  </si>
  <si>
    <t>Kėdainių r. Miegenų pagrindinė mokykla</t>
  </si>
  <si>
    <t>Kėdainių švietimo pagalbos tarnyba</t>
  </si>
  <si>
    <t xml:space="preserve">                                                                   _____________________________________                                                                                       </t>
  </si>
  <si>
    <t xml:space="preserve">09.02.01.01   </t>
  </si>
  <si>
    <t>09.05.01.03</t>
  </si>
  <si>
    <t>03.1</t>
  </si>
  <si>
    <t>03.2</t>
  </si>
  <si>
    <t>03.3</t>
  </si>
  <si>
    <t>03.4</t>
  </si>
  <si>
    <t>03.5</t>
  </si>
  <si>
    <t>09.1</t>
  </si>
  <si>
    <t>04.02.01.04</t>
  </si>
  <si>
    <t>09.2</t>
  </si>
  <si>
    <t>04.02.01.01</t>
  </si>
  <si>
    <t>Vykdyti aplinkos apsaugos rėmimo specialiąją programą (pridedama 13 priedas)</t>
  </si>
  <si>
    <t>Vykdyti mamografijos paslaugų tęstinumo, kokybės gerinimo Kėdainių rajono savivaldybėje 2020-2025 m. programą</t>
  </si>
  <si>
    <t>Specialioji tikslinė dotacija ugdymo reikmėms finansuoti</t>
  </si>
  <si>
    <t>09.02.01.01
09.02.02.01</t>
  </si>
  <si>
    <t>Kėdainių švietimo pagalbos tarnyba iš viso:</t>
  </si>
  <si>
    <t>Šėtos socialinis ir ugdymo centras</t>
  </si>
  <si>
    <t xml:space="preserve">Finansuoti vaikų vasaros stovyklų ir kitų neformaliojo vaikų švietimo veiklų programas  </t>
  </si>
  <si>
    <t>Teikti vienkartinę išmoką gimus vaikui Lietuvos Respublikos teritorijoje ir gyvenančiam Kėdainių rajono savivaldybėje</t>
  </si>
  <si>
    <t>Sudaryti saugias ugdymo sąlygas įstaigose, vykdančiose ugdymo programas</t>
  </si>
  <si>
    <t>Įrengti vėdinimo  ir kondicionavimo sistemas savivaldybės ugdymo įstaigose</t>
  </si>
  <si>
    <t>Atnaujinti ir (arba) plėsti bendruomeninę fizinio aktyvumo infrastruktūrą  mieste ir rajone, pritaikant ją bendruomenės poreikiams bei laisvalaikiui</t>
  </si>
  <si>
    <t>Finansuoti Kėdainių rajono vietos veiklos grupės teritorijos vietos plėtros 2015-2023 m. strategijos įgyvendinimą</t>
  </si>
  <si>
    <t>Atlikti Paberžės klebonijos ir svirno restauravimo ir remonto darbus</t>
  </si>
  <si>
    <t>Įrengti  valstybinės reikšmės kelių nuorodas į savivaldybės kultūros paveldo objektus</t>
  </si>
  <si>
    <t>Įgyvendinti projektą "Kėdainių gatvių apšvietimo modernizavimas"</t>
  </si>
  <si>
    <t>13.1</t>
  </si>
  <si>
    <t>Kėdainių krašto muziejus iš viso:</t>
  </si>
  <si>
    <t>Grąžinti valstybės biudžeto lėšas (dotaciją)</t>
  </si>
  <si>
    <t>iš jų: užimtumo didinimo programai įgyvendinti</t>
  </si>
  <si>
    <t>01.1</t>
  </si>
  <si>
    <t>01.2</t>
  </si>
  <si>
    <t>iš jų: modernizuoti Kėdainių krašto muziejaus Daugiakultūrio centrą</t>
  </si>
  <si>
    <t>01.08.01.02</t>
  </si>
  <si>
    <t>04.1</t>
  </si>
  <si>
    <t xml:space="preserve">                                                 1 priedas</t>
  </si>
  <si>
    <t xml:space="preserve">             Pajamų pavadinimas</t>
  </si>
  <si>
    <t>Suma (tūkst. Eur)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</si>
  <si>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</si>
  <si>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</si>
  <si>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</si>
  <si>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</si>
  <si>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</si>
  <si>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Dotacija savivaldybėms iš Europos Sąjungos, kitos tarptautinės finansinės paramos ir bendrojo finansavimo lėšų einamiesiems tikslams</t>
  </si>
  <si>
    <t>Dotacija savivaldybėms iš Europos Sąjungos, kitos tarptautinės finansinės paramos ir bendrojo finansavimo lėšų turtui įsigyti</t>
  </si>
  <si>
    <t xml:space="preserve">     dalyvauti rengiant ir vykdant mobilizaciją</t>
  </si>
  <si>
    <t xml:space="preserve">     valstybinės kalbos vartojimo ir taisyklingumo kontrolei</t>
  </si>
  <si>
    <t xml:space="preserve">     socialinėms išmokoms ir kompensacijoms skaičiuoti ir mokėti </t>
  </si>
  <si>
    <t xml:space="preserve">     socialinei paramai mokiniams </t>
  </si>
  <si>
    <t xml:space="preserve">     socialinėms paslaugoms</t>
  </si>
  <si>
    <t xml:space="preserve">     jaunimo teisių apsaugai</t>
  </si>
  <si>
    <t xml:space="preserve">     būsto nuomos ar išperkamosios būsto nuomos mokesčių dalies kompensacijoms</t>
  </si>
  <si>
    <t xml:space="preserve">     civilinės būklės aktams registruoti</t>
  </si>
  <si>
    <t xml:space="preserve">     gyventojų registrui tvarkyti ir duomenims valstybės registrams teikti</t>
  </si>
  <si>
    <t xml:space="preserve">     civilinei saugai</t>
  </si>
  <si>
    <t xml:space="preserve">     priešgaisrinei saugai</t>
  </si>
  <si>
    <t xml:space="preserve">     žemės ūkio funkcijoms atlikti</t>
  </si>
  <si>
    <t xml:space="preserve">     melioracijai</t>
  </si>
  <si>
    <t xml:space="preserve">     savivaldybėms priskirtiems archyviniems dokumentams tvarkyti</t>
  </si>
  <si>
    <t xml:space="preserve">     neveiksnių asmenų būklės peržiūrėjimui</t>
  </si>
  <si>
    <t>Kita tikslinė dotacija, iš jos:</t>
  </si>
  <si>
    <t xml:space="preserve">     mokyklos specialiųjų ugdymosi poreikių turintiems mokiniams</t>
  </si>
  <si>
    <t>Kitos dotacijos, iš jų:</t>
  </si>
  <si>
    <t>Dividendai</t>
  </si>
  <si>
    <t xml:space="preserve">Nuomos mokestis už valstybinę žemę ir valstybinio vidaus  vandenų fondo vandens telkinius  </t>
  </si>
  <si>
    <t>Mokesčiai už medžiojamųjų gyvūnų išteklius</t>
  </si>
  <si>
    <t>Pajamos už prekes ir paslaugas</t>
  </si>
  <si>
    <t>Pajamos už ilgalaikio ir trumpalaikio materialiojo turto nuomą</t>
  </si>
  <si>
    <t xml:space="preserve">Įmokos už išlaikymą švietimo, socialinės apsaugos ir kitose  įstaigose </t>
  </si>
  <si>
    <t>Valstybės rinkliava</t>
  </si>
  <si>
    <t>Vietinė rinkliava</t>
  </si>
  <si>
    <t>Pajamos iš baudų ir konfiskacijos</t>
  </si>
  <si>
    <t>Materialiojo ir nematerialiojo turto realizavimo pajamos</t>
  </si>
  <si>
    <t>FINANSINIŲ ĮSIPAREIGOJIMŲ PRISIĖMIMO (SKOLINIMOSI) PAJAMOS</t>
  </si>
  <si>
    <t xml:space="preserve">Biudžeto apyvartos </t>
  </si>
  <si>
    <t>Prekių ir paslaugų</t>
  </si>
  <si>
    <t>Ilgalaikio ir trumpalaikio materialiojo turto nuomos</t>
  </si>
  <si>
    <t>Įmokų už išlaikymą švietimo, socialinės apsaugos ir kitose įstaigose</t>
  </si>
  <si>
    <t xml:space="preserve">Aplinkos apsaugos rėmimo programos apyvartos </t>
  </si>
  <si>
    <t>Pajamų už vietinę rinkliavą</t>
  </si>
  <si>
    <t>Pajamų už parduotą turtą</t>
  </si>
  <si>
    <t>Dotacija savivaldybėms iš Europos Sąjungos, kitos tarptautinės finansinės paramos ir bendrojo finansavimo lėšų turtui įsigyti iš jų:</t>
  </si>
  <si>
    <t>IŠ VISO (34+35)</t>
  </si>
  <si>
    <t>________________________________________________</t>
  </si>
  <si>
    <t>09.02.01.01
09.02.02.01 
09.05.01.01
09.05.01.02</t>
  </si>
  <si>
    <t>16.1</t>
  </si>
  <si>
    <t>Organizuoti ir vykdyti mokymosi pasiekimų patikrinimus</t>
  </si>
  <si>
    <t>Kėdainių švietimo pagalbos tarnyba (pedagoginė - psichologinė tarnyba)</t>
  </si>
  <si>
    <t xml:space="preserve"> VšĮ Alternatyviojo ugdymo centras</t>
  </si>
  <si>
    <t xml:space="preserve"> VšĮ „Pažinimo taku“</t>
  </si>
  <si>
    <t>Kėdainių „Spindulio“ mokykla</t>
  </si>
  <si>
    <t>Progra- mos kodas</t>
  </si>
  <si>
    <t>9 priedas</t>
  </si>
  <si>
    <t>10 priedas</t>
  </si>
  <si>
    <t>Remontuoti Kėdainių „Ryto“ progimnaziją, kuriant šiuolaikines mokymosi erdves</t>
  </si>
  <si>
    <t>Vykdyti E. sveikatos informacinės sistemos diegimo,  palaikymo ir tobulinimo VšĮ PSPC  ir VšĮ Kėdainių ligoninėje 2022 -2026 m. programą</t>
  </si>
  <si>
    <t>Vykdyti anestezijos paslaugų vaikams ir suaugusiesiems kokybės gerinimo Kėdainių rajono savivaldybėje 2022-2027 m. programą</t>
  </si>
  <si>
    <t>Vykdyti rentgeno paslaugų atnaujinimo, kokybės gerinimo Kėdainių rajono savivaldybėje 2022-2027 m. programą</t>
  </si>
  <si>
    <t>Organizuoti  nemokamą socialiai remtinų vaikų maitinimą ikimokyklinėse įstaigose</t>
  </si>
  <si>
    <t>Kompensuoti nemokamo mokinių maitinimo kainą bendrojo lavinimo mokyklose</t>
  </si>
  <si>
    <t xml:space="preserve">Organizuoti socialinės reabilitacijos paslaugų neįgaliesiems bendruomenėje projektų konkursus </t>
  </si>
  <si>
    <t>Dengti kainų skirtumą gyventojams už šildymą</t>
  </si>
  <si>
    <t>Kompensuoti  karšto ir šalto vandens pardavimo kainą socialiai remtiniems  asmenims</t>
  </si>
  <si>
    <t>Kompensuoti kelionės išlaidas už lengvatinį keleivių vežimą</t>
  </si>
  <si>
    <t xml:space="preserve">Remontuoti savivaldybės ir socialinį būstą </t>
  </si>
  <si>
    <t>Sudaryti sąlygas bendruomeninių organizacijų veiklai</t>
  </si>
  <si>
    <t>Skatinti nevyriausybinių organizacijų, bendruomeninių organizacijų plėtrą rajone</t>
  </si>
  <si>
    <t xml:space="preserve"> </t>
  </si>
  <si>
    <t>Atlikti archeologinius ir kitus tyrinėjimus kultūros paveldo teritorijose, vykdyti paveldo objektams parengtų tvarkybos projektų ekspertizę, parengti sąmatas</t>
  </si>
  <si>
    <t>Teikti finansinę paramą verslą pradedantiems ar sunkumų patiriantiems SVV subjektams Kėdainių rajone per Savivaldybės smulkiojo verslo rėmimo fondą</t>
  </si>
  <si>
    <t xml:space="preserve">Kompensuoti UAB "Kėdbusas" nuostolingus  maršrutus </t>
  </si>
  <si>
    <t xml:space="preserve">Įgyvendinti priemones, finansuojamas iš Savivaldybės mero fondo </t>
  </si>
  <si>
    <t>Rengti specialiuosius, bendruosius, detaliuosius, geodezinius planus bei  topografines nuotraukas</t>
  </si>
  <si>
    <t xml:space="preserve">Atlikti turto inventorizavimą, teisinę registraciją, parengti  dokumentus turto pardavimui  </t>
  </si>
  <si>
    <t xml:space="preserve">Plėsti vandentiekio ir nuotekų tinklus Šlapaberžės kaime </t>
  </si>
  <si>
    <t>Parengti nuotekų tinklų įrengimo Josvainių mstl. P.Cvirkos g. projektą</t>
  </si>
  <si>
    <t>Finansuoti inžinerines paslaugas, darbus ir įrengimus</t>
  </si>
  <si>
    <t>Apmokėti Europos Sąjungos projektų,  kuriems taikomas apmokėjimas kompensavimo būdu, išlaidas</t>
  </si>
  <si>
    <t xml:space="preserve"> MOKESČIAI (2+3+4+8)</t>
  </si>
  <si>
    <t>Gyventojų pajamų mokestis, mokamas už pajamas, gautas iš veiklos, kuria verčiamasi turint verslo liudijimą</t>
  </si>
  <si>
    <t>Turto mokesčiai (5+6+7)</t>
  </si>
  <si>
    <t>Prekių ir paslaugų mokesčiai (9)</t>
  </si>
  <si>
    <t>DOTACIJOS (11+12+16)</t>
  </si>
  <si>
    <t>Dotacija savivaldybėms iš Europos Sąjungos, kitos tarptautinės finansinės paramos ir bendrojo finansavimo lėšų (11.1+11.2 )</t>
  </si>
  <si>
    <t>Speciali tikslinė dotacija (13+14+15), iš jos:</t>
  </si>
  <si>
    <t>Valstybinėms (perduotoms savivaldybėms) funkcijoms atlikti, iš jos: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</si>
  <si>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</si>
  <si>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</si>
  <si>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</si>
  <si>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</si>
  <si>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</si>
  <si>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</si>
  <si>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</si>
  <si>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</si>
  <si>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</si>
  <si>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13.11</t>
  </si>
  <si>
    <t>13.12</t>
  </si>
  <si>
    <t>13.13</t>
  </si>
  <si>
    <t>13.14</t>
  </si>
  <si>
    <t>13.15</t>
  </si>
  <si>
    <t>13.16</t>
  </si>
  <si>
    <t>13.17</t>
  </si>
  <si>
    <t>13.18</t>
  </si>
  <si>
    <t>13.19</t>
  </si>
  <si>
    <t>13.20</t>
  </si>
  <si>
    <t>13.21</t>
  </si>
  <si>
    <t xml:space="preserve">     sveikos gyvensenos plėtojimui ir stiprinimui, visuomenės sveikatos stebėsenai</t>
  </si>
  <si>
    <t>13.22</t>
  </si>
  <si>
    <t>13.23</t>
  </si>
  <si>
    <t>Ugdymo reikmėms finansuoti</t>
  </si>
  <si>
    <t>KITOS PAJAMOS (18+23+27+30+31+32)</t>
  </si>
  <si>
    <t>Turto pajamos (19+20+21+22)</t>
  </si>
  <si>
    <t>Pajamos už prekes ir paslaugas (24+25+26)</t>
  </si>
  <si>
    <t>Rinkliavos (28+29 )</t>
  </si>
  <si>
    <t xml:space="preserve">                                       IŠ VISO PAJAMŲ IR DOTACIJŲ (1+10+17)</t>
  </si>
  <si>
    <t>IŠ VISO (33+34)</t>
  </si>
  <si>
    <t>iš jų: aprūpinti ikimokyklinio ugdymo įstaigų sveikatos kabinetus metodinėmis priemonėmis</t>
  </si>
  <si>
    <t xml:space="preserve">Parengti vandentiekio ir nuotekų tinklų išplėtimo Mantviliškio  kaime techninį projektą </t>
  </si>
  <si>
    <t>04.01.02.09</t>
  </si>
  <si>
    <t xml:space="preserve">Įgyvendinti kultūros paveldo objektų, esančių Kėdainių rajono savivaldybės teritorijoje ir kultūros paveldo statinių, esančių Kėdainių senamiesčio dalyje išsaugojimo darbų finansavimo programą </t>
  </si>
  <si>
    <t>03.6</t>
  </si>
  <si>
    <t xml:space="preserve">Teikti apdovanojimus aukšto meistriškumo sportininkams ir jų treneriams už sporto pasiekimus </t>
  </si>
  <si>
    <t xml:space="preserve">Parengti Senojo Upytės kelio specialųjį planą ("Isos slėnis") </t>
  </si>
  <si>
    <t>Sutvarkyti namų ūkiuose susidariusias asbesto atliekas</t>
  </si>
  <si>
    <t>Vykdyti Kėdainių lopšelio-darželio „Žilvitis“ infrastruktūros modernizavimo projektą</t>
  </si>
  <si>
    <t>10.01.02.01
10.01.02.02
10.06.01.01
10.09.01.01 
10.09.01.09</t>
  </si>
  <si>
    <t>Rekonstruoti/įrengti/modernizuoti Kėdainių miesto ir rajono  gatvių apšvietimą</t>
  </si>
  <si>
    <t xml:space="preserve">2023 METŲ VALSTYBĖS BIUDŽETO SPECIALIOS TIKSLINĖS DOTACIJOS SAVIVALDYBĖS BIUDŽETUI KITI ASIGNAVIMAI </t>
  </si>
  <si>
    <t>2023 METŲ VALSTYBĖS BIUDŽETO SPECIALIOS TIKSLINĖS DOTACIJOS SAVIVALDYBĖS BIUDŽETUI UGDYMO REIKMĖMS FINANSUOTI ASIGNAVIMAI</t>
  </si>
  <si>
    <t>KĖDAINIŲ RAJONO SAVIVALDYBĖS 2023 METŲ BIUDŽETO ASIGNAVIMAI  SAVARANKIŠKOMS FUNKCIJOMS ATLIKTI</t>
  </si>
  <si>
    <t xml:space="preserve">          KĖDAINIŲ RAJONO SAVIVALDYBĖS 2023 METŲ BIUDŽETO PAJAMOS</t>
  </si>
  <si>
    <t>Kėdainių rajono savivaldybės 2023 m. biudžeto asignavimai investicijų projektams ir remonto darbams finansuoti pagal objektus:</t>
  </si>
  <si>
    <t>iš jų: vykdyti socialinės paramos 2023 m. programą</t>
  </si>
  <si>
    <t>28.1</t>
  </si>
  <si>
    <t>28.2</t>
  </si>
  <si>
    <t>28.3</t>
  </si>
  <si>
    <t>28.4</t>
  </si>
  <si>
    <t>28.5</t>
  </si>
  <si>
    <t>Ugdymo finansavimo poreikių skirtumams sumažinti</t>
  </si>
  <si>
    <t xml:space="preserve">Įdiegti saulės elektrinės pagamintos  energijos kaupimo įrenginį Kėdainių r. Šėtos gimnazijoje </t>
  </si>
  <si>
    <t>Didinti Kėdainių lopšelio-darželio „Varpelis“ (Pavasario g. 8, Kėdainiai) pastato energinį efektyvumą, modernizuoti vidaus erdves</t>
  </si>
  <si>
    <t>Didinti Kėdainių lopšelio-darželio „Vyturėlis“ (Josvainių g. 53, Kėdainiai) pastato energinį efektyvumą, modernizuoti vidaus erdves</t>
  </si>
  <si>
    <t xml:space="preserve">Didinti ugdymo prieinamumą atskirtį patiriantiems vaikams </t>
  </si>
  <si>
    <t>Plėtoti įvairialypį švietimą, vykdant visos dienos mokyklos veiklą</t>
  </si>
  <si>
    <t xml:space="preserve">Vykdyti Kėdainių rajono tuberkuliozės prevencijos, ankstyvosios diagnostikos, gydymo ir kontrolės 2023–2027 m. programą </t>
  </si>
  <si>
    <t>Vykdyti pirminės asmens sveikatos priežiūros paslaugų prieinamumo ir kokybės užtikrinimo Kėdainių rajono kaimiškųjų vietovių gyventojams 2017–2025 m. programą</t>
  </si>
  <si>
    <t>Įgyvendinti žemo slenksčio paslaugų kokybės  Kėdainių rajone užtikrinimo 2023-2027 m. programą</t>
  </si>
  <si>
    <t>Stiprinti vaikų, turinčių  autizmo spektro ir kitų raidos sutrikimų, sveikatą, sudaryti galimybes siekti asmeninės pažangos, užtikrinti pilnaverčio socialinio dalyvavimo prielaidas</t>
  </si>
  <si>
    <t xml:space="preserve">Teikti pagalbą į krizines situacijas patekusiems, smurtą artimoje aplinkoje patyrusiems asmenims ir jų šeimų nariams </t>
  </si>
  <si>
    <t>Įgyvendinti savarankiško gyvenimo namų paslaugų senyvo amžiaus asmenims teikimo programą</t>
  </si>
  <si>
    <t xml:space="preserve">Užtikrinti laisvės atėmimo bausmę atlikusių asmenų integraciją į visuomenę </t>
  </si>
  <si>
    <t>Plėsti Kėdainių rajono savivaldybės socialines paslaugas teikiančių įstaigų informacinių technologijų aplinką bei elektronines paslaugas</t>
  </si>
  <si>
    <t>Futbolo komandos Kėdainių „Nevėžis“ klubinio futbolo vystymo programai</t>
  </si>
  <si>
    <t>Bokso sporto šakos vystymo programai</t>
  </si>
  <si>
    <t>Kėdainių rajono vaikų ir jaunimo futbolo plėtros programai</t>
  </si>
  <si>
    <t>3 prieš 3 krepšinio plėtros programai</t>
  </si>
  <si>
    <t>Moterų futbolo komandos Kėdainių „Nevėžis“ programai</t>
  </si>
  <si>
    <t>Finansuoti sporto projektus</t>
  </si>
  <si>
    <t>Rengti techninę dokumentaciją  Kėdainių miesto ir rajono ugdymo įstaigų stadionų /sporto aikštynų atnaujinimui</t>
  </si>
  <si>
    <t xml:space="preserve">Kėdainių krepšinio komandos „Nevėžis-Optibet“ klubinio krepšinio vystymo programai </t>
  </si>
  <si>
    <t>iš jų: dalyvauti Žydų kultūros paveldo kelio asociacijos veikloje ir puoselėti žydų kultūros paveldo atminimą Kėdainiuose</t>
  </si>
  <si>
    <t xml:space="preserve">Įsigyti Janinos Monkutės-Marks pastatą </t>
  </si>
  <si>
    <t xml:space="preserve">Parengti Nekilnojamųjų kultūros vertybių vertinimo medžiagą,  nekilnojamųjų kultūros paveldo objektų, vietovių  individualius apsaugos reglamentus </t>
  </si>
  <si>
    <t>Rengti dokumentaciją, atlikti lankytinų objektų,  kultūros paveldo objektų ar objektų, esančių kultūros paveldo teritorijų prieigose, tvarkybos, atnaujinimo, restauravimo darbus seniūnijose</t>
  </si>
  <si>
    <t>Įrengti, rekonstruoti, išplėsti vandentiekio ir/ar nuotekų tinklus Kėdainių mieste ( Šviesos, g. Pievų g.)</t>
  </si>
  <si>
    <t xml:space="preserve">Įrengti biologinius nuotekų valymo įrenginius </t>
  </si>
  <si>
    <t>Parengti  nuotekų tinklų ir nuotekų valyklos įrengimo  Okainių k. techninį projektą</t>
  </si>
  <si>
    <t>Parengti vandentiekio ir nuotekų tinklų, nuotekų valyklos įrengimo  Langakių k. techninį projektą</t>
  </si>
  <si>
    <t>Sutvarkyti naudotas padangas, kurių turėtojų nustatyti neįmanoma arba kurie neegzistuoja</t>
  </si>
  <si>
    <t>Vykdyti Kėdainių rajono Dotnuvos seniūnijos Kruostos upės Vaidatonių tvenkinio hidrotechnikos statinių rekonstrukciją ir techninės priežiūros paslaugas</t>
  </si>
  <si>
    <t>Dalyvauti projekto „MSNA „Daukšių drenažas“ nariams priklausančių ir valstybinių melioracijos statinių rekonstravimas“ įgyvendinime</t>
  </si>
  <si>
    <t xml:space="preserve">Parengti techninę dokumentaciją ir atlikti Kėdainių miesto hidrotechnikos statinio ant Dotnuvėlės upės remonto darbus </t>
  </si>
  <si>
    <t>Didinti piliečių įtraukimo į biudžeto formavimą galimybes, įgyvendinant dalyvaujamojo biudžeto iniciatyvas</t>
  </si>
  <si>
    <t xml:space="preserve">Kita dotacija kompleksinėms paslaugoms šeimai organizuoti 2023 metais </t>
  </si>
  <si>
    <t>2022 METŲ NEPANAUDOTOS BIUDŽETO PAJAMOS, IŠ JŲ:</t>
  </si>
  <si>
    <t>31.1</t>
  </si>
  <si>
    <t>31.2</t>
  </si>
  <si>
    <t>31.3</t>
  </si>
  <si>
    <t>31.4</t>
  </si>
  <si>
    <t>31.5</t>
  </si>
  <si>
    <t>31.5.1</t>
  </si>
  <si>
    <t>31.5.2</t>
  </si>
  <si>
    <t>31.5.3</t>
  </si>
  <si>
    <t>31.5.4</t>
  </si>
  <si>
    <t>31.5.5</t>
  </si>
  <si>
    <t>31.5.6</t>
  </si>
  <si>
    <t>31.5.7</t>
  </si>
  <si>
    <t>31.5.8</t>
  </si>
  <si>
    <t>31.5.9</t>
  </si>
  <si>
    <t>31.5.10</t>
  </si>
  <si>
    <t>34.1</t>
  </si>
  <si>
    <t>34.2</t>
  </si>
  <si>
    <t>34.3</t>
  </si>
  <si>
    <t>34.4</t>
  </si>
  <si>
    <t>34.5</t>
  </si>
  <si>
    <t>34.6</t>
  </si>
  <si>
    <t>34.7</t>
  </si>
  <si>
    <t>34.8</t>
  </si>
  <si>
    <t>34.9</t>
  </si>
  <si>
    <t>34.10</t>
  </si>
  <si>
    <t>34.11</t>
  </si>
  <si>
    <t>34.12</t>
  </si>
  <si>
    <t>34.13</t>
  </si>
  <si>
    <t>34.14</t>
  </si>
  <si>
    <t>41.1</t>
  </si>
  <si>
    <t>41.2</t>
  </si>
  <si>
    <t>41.3</t>
  </si>
  <si>
    <t>41.4</t>
  </si>
  <si>
    <t>41.5</t>
  </si>
  <si>
    <t>41.6</t>
  </si>
  <si>
    <t>41.7</t>
  </si>
  <si>
    <t>41.8</t>
  </si>
  <si>
    <t>41.9</t>
  </si>
  <si>
    <t>41.10</t>
  </si>
  <si>
    <t>41.11</t>
  </si>
  <si>
    <t>41.12</t>
  </si>
  <si>
    <t>41.13</t>
  </si>
  <si>
    <t>41.14</t>
  </si>
  <si>
    <t>41.15</t>
  </si>
  <si>
    <t>55.1</t>
  </si>
  <si>
    <t>55.2</t>
  </si>
  <si>
    <t>55.3</t>
  </si>
  <si>
    <t>55.4</t>
  </si>
  <si>
    <t>55.5</t>
  </si>
  <si>
    <t>55.6</t>
  </si>
  <si>
    <t>55.6.1</t>
  </si>
  <si>
    <t>55.6.2</t>
  </si>
  <si>
    <t>74.1</t>
  </si>
  <si>
    <t>74.2</t>
  </si>
  <si>
    <t>74.3</t>
  </si>
  <si>
    <t>74.4</t>
  </si>
  <si>
    <t>74.5</t>
  </si>
  <si>
    <t>74.6</t>
  </si>
  <si>
    <t>74.7</t>
  </si>
  <si>
    <t>74.7.1</t>
  </si>
  <si>
    <t>74.7.2</t>
  </si>
  <si>
    <t>78.1</t>
  </si>
  <si>
    <t>Finansuoti sporto šakų programas, iš jų:</t>
  </si>
  <si>
    <t>78.2</t>
  </si>
  <si>
    <t>78.3</t>
  </si>
  <si>
    <t>78.4</t>
  </si>
  <si>
    <t>10.1</t>
  </si>
  <si>
    <t>10.</t>
  </si>
  <si>
    <t xml:space="preserve">01.03.02.09
</t>
  </si>
  <si>
    <t>Vykdyti kompiuterinės tomografijos paslaugų kokybės gerinimo Kėdainių rajono savivaldybėje 2023-2030 m. programą</t>
  </si>
  <si>
    <t xml:space="preserve">     užimtumo didinimo programoms įgyvendinti</t>
  </si>
  <si>
    <t xml:space="preserve">   pirminei valstybės garantuojamai teisinei pagalbai teikti</t>
  </si>
  <si>
    <t xml:space="preserve">     gyvenamosios vietos deklaravimo duomenų ir gyvenamosios vietos nedeklaravusių asmenų apskaitos duomenims tvarkyti</t>
  </si>
  <si>
    <t xml:space="preserve">     erdvinių duomenų rinkiniui tvarkyti</t>
  </si>
  <si>
    <t xml:space="preserve">     duomenų teikimas suteiktos valstybės pagalbos registrui</t>
  </si>
  <si>
    <t xml:space="preserve">     psichosocialinės pagalbos ir savižudžių prevencijos priemonių įgyvendinimui</t>
  </si>
  <si>
    <t xml:space="preserve">     koordinuotai teikiamų paslaugų vaikams nuo gimimo iki 18 metų (turintiems didelių ir labai didelių specialiųjų ugdymosi poreikių − iki 21 metų) ir vaiko atstovams koordinavimui</t>
  </si>
  <si>
    <t>03.7</t>
  </si>
  <si>
    <t xml:space="preserve">04.01.02.01 10.06.01.01 10.07.01.01
10.09.01.09 </t>
  </si>
  <si>
    <t>04.01.02.01 10.06.01.01 10.07.01.01
10.09.01.09</t>
  </si>
  <si>
    <t>iš jų: parengti Kėdainių evangelikų ir reformatų bažnyčios tvarkybos darbų projektą ir atlikti tvarkybos darbus</t>
  </si>
  <si>
    <t xml:space="preserve"> 10.06.01.01 10.07.01.01
10.09.01.09</t>
  </si>
  <si>
    <t>16.2</t>
  </si>
  <si>
    <t>16.3</t>
  </si>
  <si>
    <t xml:space="preserve">      valstybės biudžeto lėšos, skirtos 2023 metais socialinės reabilitacijos paslaugų neįgaliesiems teikimo bendruomenėje organizuoti, teikti ir administruoti</t>
  </si>
  <si>
    <t>Kita dotacija 2023 metais socialinės reabilitacijos paslaugų neįgaliesiems teikimo bendruomenėje organizuoti, teikti ir administruoti</t>
  </si>
  <si>
    <t>Kita dotacija 2023 m. akredituotai vaikų dienos socialinei priežiūrai organizuoti, teikti ir administruot</t>
  </si>
  <si>
    <t>Įgyvendinti mokytojų ir pagalbos mokiniui specialistų  motyvacijos programą</t>
  </si>
  <si>
    <t>Prisidėti prie savivaldybei priklausančio būsto renovacijos savivaldybės biudžeto lėšomis</t>
  </si>
  <si>
    <t>31.5.11</t>
  </si>
  <si>
    <t>Koofinansuoti  ugdymo įstaigų dalyvavimą infrastruktūros gerinimo/modernizavimo projektuose</t>
  </si>
  <si>
    <t>04.05.01.02</t>
  </si>
  <si>
    <t>05.1</t>
  </si>
  <si>
    <t>Kita dotacija savivaldybės viešajai bibliotekai dokumentams 2022 metais įsigyti</t>
  </si>
  <si>
    <t xml:space="preserve">  savivaldybės viešajai bibliotekai dokumentams 2023 m. įsigyti</t>
  </si>
  <si>
    <t xml:space="preserve">     valstybės biudžeto lėšos, skirtos 2023 m. apmokėti būstų nuomai iš fizinių ar juridinių asmenų</t>
  </si>
  <si>
    <t xml:space="preserve">     valstybės biudžeto lėšos, skirtos 2023 m. asmeninei pagalbai teikti ir administruoti</t>
  </si>
  <si>
    <t xml:space="preserve">     valstybės biudžeto lėšos, skirtos vykdyti Nevėžio upės vientisumo atkūrimą, nugriaunant neeksploatuojamus hidroelektrinės statinius ir techninės priežiūros paslaugas </t>
  </si>
  <si>
    <t>16.4</t>
  </si>
  <si>
    <t>16.5</t>
  </si>
  <si>
    <t>16.6</t>
  </si>
  <si>
    <t>16.7</t>
  </si>
  <si>
    <t>08.1</t>
  </si>
  <si>
    <t xml:space="preserve">Kita dotacija  vykdyti Nevėžio upės vientisumo atkūrimą, nugriaunant neeksploatuojamus hidroelektrinės statinius ir techninės priežiūros paslaugas </t>
  </si>
  <si>
    <t>Kita dotacija 2023 metais asmeninei pagalbai teikti ir administruoti</t>
  </si>
  <si>
    <t>Kita dotacija 2023 m. apmokėti būstų nuomai iš fizinių ar juridinių asmenų</t>
  </si>
  <si>
    <t>prioritetinės ir neprioritetinės infrastruktūros įmokos</t>
  </si>
  <si>
    <t>Kitos neišvardytos pajamos, iš jų:</t>
  </si>
  <si>
    <t>Rengti infrastruktūros plėtros  technines dokumentacijas</t>
  </si>
  <si>
    <t>Mokėti išmokas pagal savivaldybės infrastruktūros plėtros sutartis</t>
  </si>
  <si>
    <t>10.2</t>
  </si>
  <si>
    <t>16.8</t>
  </si>
  <si>
    <t xml:space="preserve">  valstybės biudžeto lėšos, skirtos 2023 m. akredituotai vaikų dienos socialinei priežiūrai organizuoti, teikti ir administruoti</t>
  </si>
  <si>
    <t xml:space="preserve">  valstybės biudžeto lėšos kompleksinėms paslaugoms šeimai organizuoti 2023 metais </t>
  </si>
  <si>
    <t xml:space="preserve">    valstybės biudžeto lėšos, skirtos savivaldybės administracijai vienkartinėms išmokoms įsikurti gyvenamojoje vietoje savivaldybės teritorijoje ir (ar) mėnesinėms kompensacijoms atlyginimui švietimo teikėjui už vaiko, ugdymo pagal ikimokyklinio ir priešmokyklinio ugdymo programą išlaidoms</t>
  </si>
  <si>
    <t>Kita dotacija  vienkartinėms išmokoms įsikurti gyvenamojoje vietoje savivaldybės teritorijoje ir (ar) mėnesinėms kompensacijoms atlyginimui švietimo teikėjui už vaiko, ugdymo pagal ikimokyklinio ir priešmokyklinio ugdymo programą išlaidoms</t>
  </si>
  <si>
    <t xml:space="preserve">Teikti ir administruoti asmeninę pagalbą </t>
  </si>
  <si>
    <t>41.16</t>
  </si>
  <si>
    <t>41.16.1</t>
  </si>
  <si>
    <t>41.16.2</t>
  </si>
  <si>
    <t>41.16.3</t>
  </si>
  <si>
    <t>41.16.4</t>
  </si>
  <si>
    <t>Įrengti gamtos ir technologijų mokslų laboratorijas</t>
  </si>
  <si>
    <t>Atnaujinti Kėdainių muzikos mokyklos pastato fasadą, laiptus į rūsį</t>
  </si>
  <si>
    <t>Parengti Akademijos parko tvarkybos  techninį projektą</t>
  </si>
  <si>
    <t>78.5</t>
  </si>
  <si>
    <t>78.5.1</t>
  </si>
  <si>
    <t>78.5.2</t>
  </si>
  <si>
    <t>78.5.3</t>
  </si>
  <si>
    <t>78.5.4</t>
  </si>
  <si>
    <t>78.5.5</t>
  </si>
  <si>
    <t>78.5.6</t>
  </si>
  <si>
    <t>iš jų: vykdyti socialinio - emocinio ugdymo programas</t>
  </si>
  <si>
    <t>31.5.12</t>
  </si>
  <si>
    <t>Kita dotacija už būsto suteikimą užsieniečiams, pasitraukusiems iš Ukrainos dėl Rusijos federacijos karinės agresijos, finansuoti</t>
  </si>
  <si>
    <t>16.9</t>
  </si>
  <si>
    <t xml:space="preserve">     kompensuoti išlaidas už būsto suteikimą užsieniečiams, pasitraukusiems iš Ukrainos dėl Rusijos federacijos karinės agresijos</t>
  </si>
  <si>
    <t xml:space="preserve">    valstybės biudžeto lėšos, skirtos neformaliajam vaikų švietimui </t>
  </si>
  <si>
    <t>16.10</t>
  </si>
  <si>
    <t>Kita dotacija neformaliajam vaikų švietimui</t>
  </si>
  <si>
    <t xml:space="preserve"> 09.05.01.03</t>
  </si>
  <si>
    <t>Kėdainių rajono savivaldybės administracija</t>
  </si>
  <si>
    <t>iš jų: kurti modernias ir šiuolaikines mokymosi erdves Kėdainių kalbų mokykloje</t>
  </si>
  <si>
    <t>Įgyvendinti savarankiško gyvenimo namų paslaugų asmenims su sutrikusiu intelekĮgyvendinti savarankiško gyvenimo namų paslaugų asmenims su sutrikusiu intelektu teikimo programą</t>
  </si>
  <si>
    <t xml:space="preserve">Finansuoti vaikų mokymo plaukti veiklos programą, dalyvaujant projekte „Mokėk plaukti ir saugiau elgtis vandenyje“ </t>
  </si>
  <si>
    <t>Užtikrinti Kėdainių miesto vietos veiklos grupės 2023–2027 m. vietos plėtros strategijos parengimą ir programos "Vietos plėtros strategijos rengimo ir įgyvendinimo programa" įgyvendinimą</t>
  </si>
  <si>
    <t>Parengti bendrojo ir ikimokyklinio ugdymo įstaigų (skyrių) pastatų modernizavimo technines dokumentacijas</t>
  </si>
  <si>
    <t>Įsigyti tekstilės atliekų surinkimo konteinerius</t>
  </si>
  <si>
    <t>Parengti projektus hidrotechninių įrenginių atnaujinimui</t>
  </si>
  <si>
    <t>Vykdyti pacientų eilių valdymo sistemos palaikymo Kėdainių pirminės priežiūros centre 2022-2026 m. programą</t>
  </si>
  <si>
    <t>Vykdyti sveikatos priežiūros specialistų skatinimo dirbti VšĮ Kėdainių ligoninėje 2023-2028 m. programą</t>
  </si>
  <si>
    <t>Vykdyti VšĮ Kėdainių ligoninės sterilizacinės modernizavimo 2023-2028 m. programą</t>
  </si>
  <si>
    <t>Vykdyti tinkamų ir saugių darbo sąlygų užtikrinimo, įrengiant vėdinimo bei kondicionavimo sistemas VšĮ Kėdainių ligoninėje 2023-2028 m. programą "</t>
  </si>
  <si>
    <t xml:space="preserve">Vykdyti tinkamų ir saugių darbo sąlygų užtikrinimo, įrengiant vėdinimo bei kondicionavimo sistemas VšĮ Kėdainių  PSPC 2022-2026 m. programą  </t>
  </si>
  <si>
    <t>34.15</t>
  </si>
  <si>
    <t>34.16</t>
  </si>
  <si>
    <t>34.17</t>
  </si>
  <si>
    <t>34.18</t>
  </si>
  <si>
    <t>34.19</t>
  </si>
  <si>
    <t>34.20</t>
  </si>
  <si>
    <t>34.20.1</t>
  </si>
  <si>
    <t>34.20.2</t>
  </si>
  <si>
    <t>81.1</t>
  </si>
  <si>
    <t>81.1.1</t>
  </si>
  <si>
    <t>81.1.2</t>
  </si>
  <si>
    <t>81.1.3</t>
  </si>
  <si>
    <t>81.1.4</t>
  </si>
  <si>
    <t>81.1.5</t>
  </si>
  <si>
    <t>81.1.6</t>
  </si>
  <si>
    <t>81.1.7</t>
  </si>
  <si>
    <t>81.1.8</t>
  </si>
  <si>
    <t>81.1.9</t>
  </si>
  <si>
    <t>81.1.10</t>
  </si>
  <si>
    <t>81.1.11</t>
  </si>
  <si>
    <t>81.1.12</t>
  </si>
  <si>
    <t>81.1.13</t>
  </si>
  <si>
    <t>81.1.14</t>
  </si>
  <si>
    <t>81.1.15</t>
  </si>
  <si>
    <t>81.1.16</t>
  </si>
  <si>
    <t>81.1.17</t>
  </si>
  <si>
    <t>81.1.18</t>
  </si>
  <si>
    <t>81.1.19</t>
  </si>
  <si>
    <t>81.1.20</t>
  </si>
  <si>
    <t>81.1.21</t>
  </si>
  <si>
    <t>81.1.22</t>
  </si>
  <si>
    <t>81.1.23</t>
  </si>
  <si>
    <t>94.1</t>
  </si>
  <si>
    <t>94.2</t>
  </si>
  <si>
    <t>94.3</t>
  </si>
  <si>
    <t>94.4</t>
  </si>
  <si>
    <t>94.5</t>
  </si>
  <si>
    <t>94.6</t>
  </si>
  <si>
    <t>94.7</t>
  </si>
  <si>
    <t>94.8</t>
  </si>
  <si>
    <t>94.8.1</t>
  </si>
  <si>
    <t>94.8.2</t>
  </si>
  <si>
    <t>94.8.3</t>
  </si>
  <si>
    <t>107.1</t>
  </si>
  <si>
    <t>107.2</t>
  </si>
  <si>
    <t>107.2.1</t>
  </si>
  <si>
    <t>107.2.2</t>
  </si>
  <si>
    <t>107.2.3</t>
  </si>
  <si>
    <t>107.2.4</t>
  </si>
  <si>
    <t>107.2.5</t>
  </si>
  <si>
    <t>109.1</t>
  </si>
  <si>
    <t>109.2</t>
  </si>
  <si>
    <t>109.3</t>
  </si>
  <si>
    <t>113.1</t>
  </si>
  <si>
    <t>113.2</t>
  </si>
  <si>
    <t>113.3</t>
  </si>
  <si>
    <t>113.4</t>
  </si>
  <si>
    <t>113.5</t>
  </si>
  <si>
    <t>113.6</t>
  </si>
  <si>
    <t>113.7</t>
  </si>
  <si>
    <t>113.8</t>
  </si>
  <si>
    <t>113.9</t>
  </si>
  <si>
    <t>Vykdyti trūkstamos kvalifikacijos sveikatos priežiūros specialistų skatinimo VšĮ Kėdainių pirminės priežiūros centre  2023-2026 m. programą</t>
  </si>
  <si>
    <t xml:space="preserve">     valstybės biudžeto lėšos, skirtos savivaldybės administracijai  mokėti 20 proc. bazinės socialinės išmokos (BSĮ) neįgaliesiems</t>
  </si>
  <si>
    <t>Kita dotacija savivaldybės administracijai  mokėti 20 proc. bazinės socialinės išmokos (BSĮ) neįgaliesiems</t>
  </si>
  <si>
    <t xml:space="preserve">      valstybės biudžeto lėšos, skirtos 2023 metais būstams pritaikyti neįgaliesiems</t>
  </si>
  <si>
    <t>Kita dotaacija 2022 metais būstams pritaikyti neįgaliesiems</t>
  </si>
  <si>
    <t>03.8</t>
  </si>
  <si>
    <t>03.9</t>
  </si>
  <si>
    <t xml:space="preserve">      valstybės biudžeto lėšos, skirtos socialinių paslaugų šakos kolektyvinėje sutartyje nustatytiems įsipareigojimams igyvendinti</t>
  </si>
  <si>
    <t xml:space="preserve">       valstybės investicijų 2023 m. programoje numatytoms kapitalo investicijoms</t>
  </si>
  <si>
    <t>03.10</t>
  </si>
  <si>
    <t>Kita dotacija socialinių paslaugų šakos kolektyvinėje sutartyje nustatytiems įsipareigojimams igyvendinti</t>
  </si>
  <si>
    <t xml:space="preserve">Modernizuoti Kėdainių šviesiosios gimnazijos pastatą Kėdainiuose, Didžioji g. 60 </t>
  </si>
  <si>
    <t>Rekonstruoti Kėdainių rajono savivaldybės kultūros centro pastatą Kėdainiuose, J. Basanavičiaus g. 24</t>
  </si>
  <si>
    <t>Kita dotacija valstybės investicijų 2023 m. programoje numatytoms kapitalo investicijoms</t>
  </si>
  <si>
    <t>05.2</t>
  </si>
  <si>
    <t xml:space="preserve">Remontuoti Akademijos kultūros centrą </t>
  </si>
  <si>
    <t xml:space="preserve">      savivaldybės institucijos valdomiems vietinės reikšmės keliams</t>
  </si>
  <si>
    <t>16.11</t>
  </si>
  <si>
    <t>16.12</t>
  </si>
  <si>
    <t>16.13</t>
  </si>
  <si>
    <t>16.14</t>
  </si>
  <si>
    <t>16.15</t>
  </si>
  <si>
    <t xml:space="preserve">       lėšos, skirtos ugdyti ir pavėžėti į mokyklą ir atgal vaikus, atvykusius į Lietuvos Respubliką iš Ukrainos dėl Rusijos federacijos karinių veiksmų Ukrainoje</t>
  </si>
  <si>
    <t>16.16</t>
  </si>
  <si>
    <t>16.17</t>
  </si>
  <si>
    <t xml:space="preserve">     valstybės biudžeto lėšos, skirtos viešosios paskirties rekreacijai ir poilsiui skirtų valstybės miško žemės sklypų priežiūros, apsaugos ir tvarkymo darbams Kėdainių mieste</t>
  </si>
  <si>
    <t>16.18</t>
  </si>
  <si>
    <t>07.1</t>
  </si>
  <si>
    <t>Kita dotacija  savivaldybės institucijos valdomiems vietinės reikšmės keliams</t>
  </si>
  <si>
    <t>Kita dotacija ugdyti ir pavežėti į mokyklą ir atgal vaikus, atvykusius į Lietuvos Respubliką iš Ukrainos dėl Rusijos federacijos karinių veiksmų Ukrainoje</t>
  </si>
  <si>
    <t>01.3</t>
  </si>
  <si>
    <t>Kita dotacija viešosios paskirties rekreacijai ir poilsiui skirtų valstybės miško žemės sklypų priežiūros, apsaugos ir tvarkymo darbams Kėdainių mieste</t>
  </si>
  <si>
    <t>Atnaujinti Kėdainių Juozo Paukštelio progimnazijos sporto aikštyną</t>
  </si>
  <si>
    <t xml:space="preserve">      valstybės biudžeto lėšos, skirtos 2023 metais švietimo įstaigų sporto aikštynų atnaujinimo programos įgyvendinimui</t>
  </si>
  <si>
    <t>01.4</t>
  </si>
  <si>
    <t xml:space="preserve">     valstybės biudžeto lėšos, skirtos užtikrinti 2023 metais Lietuvos Respublikos piniginės socialinės paramos nepasiturintiems gyventojams įstatymo įgyvendinimą </t>
  </si>
  <si>
    <t xml:space="preserve">Kita dotacija užtikrinti 2023 metais Lietuvos Respublikos piniginės socialinės paramos nepasiturintiems gyventojams įstatymo įgyvendinimą </t>
  </si>
  <si>
    <t>Kita dotacija įgyvendinti valstybei nuosavybės taeise priklausančių žemės savininkų ir kitų naudotojų žemėje esančių melioracijos statinių rekonstravimo ir remonto darbus</t>
  </si>
  <si>
    <t xml:space="preserve">     kompensuoti savivaldybės patirtas išlaidas valdant nepaprastąją padėtį dėl užsieniečių, pasitraukusių iš Ukrainos dėl Rusijos federacijos karinių veiksmų Ukrainoje</t>
  </si>
  <si>
    <t xml:space="preserve"> Kita dotacija kompensuoti savivaldybės patirtas išlaidas valdant nepaprastąją padėtį dėl užsieniečių, pasitraukusių iš Ukrainos dėl Rusijos federacijos karinių veiksmų Ukrainoje</t>
  </si>
  <si>
    <t xml:space="preserve">     valstybės biudžeto lėšos, skirtos išlaidoms, susijusioms su savivaldybės mokyklų mokytojų, dirbančių pagal ikimokyklinio, priešmokyklinio, bendrojo ugdymo programas, personalo optimizavimu ir atnaujinimu</t>
  </si>
  <si>
    <t>Kita dotacija savivaldybės mokyklų mokytojų, dirbančių pagal ikimokyklinio, priešmokyklinio, bendrojo ugdymo programas, personalo optimizavimui ir atnaujinimui</t>
  </si>
  <si>
    <t xml:space="preserve">      valstybės biudžeto lėšos, skirtos sutvarkyti naudotas padangas, kurių turėtojų nustatyti neįmanoma arba kurie neegzistuoja     </t>
  </si>
  <si>
    <t>Kita dotacija sutvarkyti naudotas padangas, kurių turėtojų nustatyti neįmanoma arba kurie neegzistuoja</t>
  </si>
  <si>
    <t xml:space="preserve">     valstybės biudžeto lėšos, skirtos sutvarkyti namų ūkiuose susidariusias asbesto atliekas</t>
  </si>
  <si>
    <t>Kita dotacija sutvarkyti namų ūkiuose susidariusias asbesto atliekas</t>
  </si>
  <si>
    <t>08.2</t>
  </si>
  <si>
    <t>08.3</t>
  </si>
  <si>
    <t>Kita dotacija įsigyti tekstilės atliekų surinkimo konteinerius</t>
  </si>
  <si>
    <t>08.4</t>
  </si>
  <si>
    <t>03.11</t>
  </si>
  <si>
    <t>16.19</t>
  </si>
  <si>
    <t>16.20</t>
  </si>
  <si>
    <t>16.21</t>
  </si>
  <si>
    <t>16.22</t>
  </si>
  <si>
    <t>16.23</t>
  </si>
  <si>
    <t>16.24</t>
  </si>
  <si>
    <t>16.25</t>
  </si>
  <si>
    <t xml:space="preserve">     valstybei nuosavybės teise priklausančių žemės savininkų ir kitų naudotojų žemėje esančių melioracijos statinių rekonstravimo ir remonto darbams</t>
  </si>
  <si>
    <t>16.26</t>
  </si>
  <si>
    <t xml:space="preserve">     valstybės biudžeto lėšos, skirtos įsigyti tekstilės atliekų surinkimo konteinerius</t>
  </si>
  <si>
    <t>05.3</t>
  </si>
  <si>
    <t>Kita dotacija stiprinti bendruomenines veiklas savivaldybėje</t>
  </si>
  <si>
    <t>10.09.01.01</t>
  </si>
  <si>
    <t xml:space="preserve">      valstybės biudžeto lėšos, skirtos stiprinti bendruomeninę veiklą savivaldybėje įgyvendinant bandomąjį modelį</t>
  </si>
  <si>
    <t>16.27</t>
  </si>
  <si>
    <t>16.28</t>
  </si>
  <si>
    <t>16.29</t>
  </si>
  <si>
    <t>03.12</t>
  </si>
  <si>
    <t>16.30</t>
  </si>
  <si>
    <t xml:space="preserve">     valstybės biudžeto lėšos, skirtos socialinių paslaugų srities darbuotojų minimaliems pareiginės algos pastoviosios dalies koeficientams didinti</t>
  </si>
  <si>
    <t>Kita dotacija socialinių paslaugų srities darbuotojų minimaliems pareiginės algos pastoviosios dalies koeficientams didinti</t>
  </si>
  <si>
    <t>16.31</t>
  </si>
  <si>
    <t>16.32</t>
  </si>
  <si>
    <t xml:space="preserve">      valstybės biudžeto lėšos, skirtos projektui „Kėdainių miesto viešosios inžinierinės infrastruktūros, svarbios verslui, atnaujinimas ir plėtra“ (LEZ gatvių projektas)</t>
  </si>
  <si>
    <t>Kita dotacija įgyvendinti projektą „Kėdainių miesto viešosios inžinierinės infrastruktūros, svarbios verslui, atnaujinimas ir plėtra“ (LEZ gatvių projektas)</t>
  </si>
  <si>
    <t>Kita dotacija investicinių žemės sklypų, iki kurių ribos ir (ar) kurių ribose įrengiama ir (ar) sutvarkoma infrastruktūra, projektui "Kėdainių miesto viešosios infrastruktūros, svarbios verslui, atnaujinimas ir plėtra" įgyvendinti</t>
  </si>
  <si>
    <t xml:space="preserve">    valstybės biudžeto lėšos, skirtos investicinių žemės sklypų, iki kurių ribos ir (ar) kurių ribose įrengiama ir (ar) sutvarkoma infrastruktūra, projektui „Kėdainių miesto viešosios inžinierinės infrastruktūros, svarbios verslui, atnaujinimas ir plėtra“</t>
  </si>
  <si>
    <t>03.13</t>
  </si>
  <si>
    <t>03.14</t>
  </si>
  <si>
    <t>03.15</t>
  </si>
  <si>
    <t>31.5.13</t>
  </si>
  <si>
    <t>74.7.3</t>
  </si>
  <si>
    <t>55.6.3</t>
  </si>
  <si>
    <t xml:space="preserve">     valstybės biudžeto lėšos, skirtos išlaidoms, patirtoms teikiant socialinę paramą mokiniams pagal Lietuvos Respublikos socialinės paramos mokiniams įstatymą užsieniečiams, pasitraukusiems iš Ukrainos dėl Rusijos federacijos karinių veiksmų Ukrainoje</t>
  </si>
  <si>
    <t xml:space="preserve">     valstybės biudžeto lėšos, skirtos išlaidoms patirtoms teikiant piniginę socialinę paramą vadovaujantis Lietuvos Respublikos piniginės socialinės paramos nepasiturintiems gyventojams įstatymu, užsieniečiams, pasitraukusiems iš Ukrainos dėl Rusijos federacijos karinių veiksmų Ukrainoje</t>
  </si>
  <si>
    <t xml:space="preserve">     valstybės biudžeto lėšos, skirtos išlaidoms patirtoms teikiant paramą būstui išsinuomoti pagal Lietuvos Respublikos paramos būstui įsigyti ar išsinuomoti įstatymą užsieniečiams, pasitraukusiems iš Ukrainos dėl Rusijos federacijos karinių veiksmų Ukrainoje</t>
  </si>
  <si>
    <t xml:space="preserve"> Kita dotacija teikti socialinę paramą mokiniams pagal Lietuvos Respublikos socialinės paramos mokiniams įstatymą užsieniečiams, pasitraukusiems iš Ukrainos dėl Rusijos federacijos karinių veiksmų Ukrainoje</t>
  </si>
  <si>
    <t>Kita dotacija  teikti piniginę socialinę paramą vadovaujantis Lietuvos Respublikos piniginės socialinės paramos nepasiturintiems gyventojams įstatymu, užsieniečiams, pasitraukusiems iš Ukrainos dėl Rusijos federacijos karinių veiksmų Ukrainoje</t>
  </si>
  <si>
    <t>Kita dotacija teikti paramą būstui išsinuomoti pagal Lietuvos Respublikos paramos būstui įsigyti ar išsinuomoti įstatymą užsieniečiams, pasitraukusiems iš Ukrainos dėl Rusijos federacijos karinių veiksmų Ukrainoje</t>
  </si>
  <si>
    <t>16.33</t>
  </si>
  <si>
    <t xml:space="preserve">     valstybės biudžeto lėšos, skirtos savivaldybės administracijai padengti išlaidas patirtas teikiant specialiąsias socialines paslaugas užsieniečiams, pasitraukusiems iš Ukrainos dėl Rusijos federacijos karinių veiksmų Ukrainoje</t>
  </si>
  <si>
    <t>03.16</t>
  </si>
  <si>
    <t>Kita dotacija padengti išlaidas patirtas teikiant specialiąsias socialines paslaugas užsieniečiams, pasitraukusiems iš Ukrainos dėl Rusijos federacijos karinių veiksmų Ukrainoje</t>
  </si>
  <si>
    <t>Kita dotacija 2023 metais švietimo įstaigų sporto aikštynų atnaujinimo programos įgyvendinimui</t>
  </si>
  <si>
    <t>Įgyvendinti priemones, finansuojamas iš Savivaldybės mero rezervo</t>
  </si>
  <si>
    <t>16.34</t>
  </si>
  <si>
    <t xml:space="preserve">     valstybės biudžeto lėšos, skirtos valstybės tarnybos reformai įgyvendinti</t>
  </si>
  <si>
    <t>Kita dotacija valstybės tarnybos reformai įgyvendinti</t>
  </si>
  <si>
    <t>31.5.14</t>
  </si>
  <si>
    <t>16.35</t>
  </si>
  <si>
    <t>08.5</t>
  </si>
  <si>
    <t>Kita dotacija „Sosnovskio barsčio naikinimas Kėdainių rajone“</t>
  </si>
  <si>
    <t xml:space="preserve">      valstybės biudžeto lėšos Sosnovskio barščio naikinimui Kėdainių rajone</t>
  </si>
  <si>
    <t>81</t>
  </si>
  <si>
    <t>Projekto lyginamasis variantas</t>
  </si>
  <si>
    <t xml:space="preserve">                                                                    Projekto lyginamasis variantas</t>
  </si>
  <si>
    <t xml:space="preserve">                                                   Projekto lyginamasis variantas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</si>
</sst>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_-* #,##0.00\ _L_t_-;\-* #,##0.00\ _L_t_-;_-* &quot;-&quot;??\ _L_t_-;_-@_-"/>
    <numFmt numFmtId="167" formatCode="0.0"/>
    <numFmt numFmtId="168" formatCode="#,##0.0"/>
    <numFmt numFmtId="169" formatCode="0.0_ ;\-0.0\ "/>
    <numFmt numFmtId="170" formatCode="#,##0.0_ ;\-#,##0.0\ "/>
    <numFmt numFmtId="171" formatCode="0.0;\-0.0;;"/>
  </numFmts>
  <fonts count="25" x14ac:knownFonts="1">
    <font>
      <sz val="10"/>
      <name val="Arial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sz val="8"/>
      <name val="Arial"/>
      <family val="2"/>
      <charset val="186"/>
    </font>
    <font>
      <sz val="10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0"/>
      <color rgb="FF0070C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b/>
      <strike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b/>
      <sz val="10"/>
      <name val="Arial"/>
      <family val="2"/>
      <charset val="186"/>
    </font>
    <font>
      <i/>
      <strike/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0" fontId="6" fillId="0" borderId="0"/>
    <xf numFmtId="0" fontId="1" fillId="0" borderId="0"/>
    <xf numFmtId="0" fontId="6" fillId="0" borderId="0"/>
    <xf numFmtId="0" fontId="12" fillId="0" borderId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</cellStyleXfs>
  <cellXfs count="279">
    <xf numFmtId="0" fontId="0" fillId="0" borderId="0" xfId="0"/>
    <xf numFmtId="0" fontId="1" fillId="0" borderId="0" xfId="1" applyFont="1" applyAlignment="1">
      <alignment vertical="center"/>
    </xf>
    <xf numFmtId="0" fontId="1" fillId="0" borderId="0" xfId="0" applyFont="1"/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1" fillId="0" borderId="0" xfId="1" applyFont="1"/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68" fontId="2" fillId="0" borderId="1" xfId="0" applyNumberFormat="1" applyFont="1" applyBorder="1"/>
    <xf numFmtId="168" fontId="1" fillId="0" borderId="0" xfId="0" applyNumberFormat="1" applyFont="1"/>
    <xf numFmtId="167" fontId="1" fillId="0" borderId="0" xfId="0" applyNumberFormat="1" applyFont="1"/>
    <xf numFmtId="0" fontId="1" fillId="0" borderId="1" xfId="1" applyFont="1" applyBorder="1" applyAlignment="1">
      <alignment horizontal="right" vertical="center"/>
    </xf>
    <xf numFmtId="168" fontId="2" fillId="0" borderId="1" xfId="0" applyNumberFormat="1" applyFont="1" applyBorder="1" applyAlignment="1">
      <alignment vertical="center"/>
    </xf>
    <xf numFmtId="2" fontId="1" fillId="0" borderId="0" xfId="0" applyNumberFormat="1" applyFont="1"/>
    <xf numFmtId="0" fontId="2" fillId="0" borderId="1" xfId="1" applyFont="1" applyBorder="1" applyAlignment="1">
      <alignment vertical="center" wrapText="1"/>
    </xf>
    <xf numFmtId="18" fontId="1" fillId="0" borderId="0" xfId="0" applyNumberFormat="1" applyFont="1"/>
    <xf numFmtId="167" fontId="2" fillId="0" borderId="0" xfId="0" applyNumberFormat="1" applyFont="1"/>
    <xf numFmtId="0" fontId="1" fillId="0" borderId="1" xfId="1" applyFont="1" applyBorder="1" applyAlignment="1">
      <alignment vertical="center"/>
    </xf>
    <xf numFmtId="168" fontId="1" fillId="0" borderId="1" xfId="0" applyNumberFormat="1" applyFont="1" applyBorder="1" applyAlignment="1">
      <alignment vertical="center"/>
    </xf>
    <xf numFmtId="168" fontId="2" fillId="0" borderId="0" xfId="0" applyNumberFormat="1" applyFont="1"/>
    <xf numFmtId="168" fontId="22" fillId="0" borderId="1" xfId="1" applyNumberFormat="1" applyFont="1" applyBorder="1" applyAlignment="1">
      <alignment horizontal="right"/>
    </xf>
    <xf numFmtId="0" fontId="1" fillId="0" borderId="1" xfId="1" applyFont="1" applyBorder="1" applyAlignment="1">
      <alignment vertical="center" wrapText="1"/>
    </xf>
    <xf numFmtId="167" fontId="13" fillId="0" borderId="0" xfId="0" applyNumberFormat="1" applyFont="1"/>
    <xf numFmtId="1" fontId="1" fillId="0" borderId="0" xfId="0" applyNumberFormat="1" applyFont="1"/>
    <xf numFmtId="16" fontId="1" fillId="0" borderId="1" xfId="1" applyNumberFormat="1" applyFont="1" applyBorder="1" applyAlignment="1">
      <alignment horizontal="right" vertical="center"/>
    </xf>
    <xf numFmtId="168" fontId="13" fillId="0" borderId="0" xfId="0" applyNumberFormat="1" applyFont="1"/>
    <xf numFmtId="0" fontId="13" fillId="0" borderId="0" xfId="0" applyFont="1"/>
    <xf numFmtId="0" fontId="1" fillId="0" borderId="1" xfId="1" applyFont="1" applyBorder="1" applyAlignment="1">
      <alignment horizontal="left" vertical="center" wrapText="1"/>
    </xf>
    <xf numFmtId="168" fontId="15" fillId="0" borderId="1" xfId="0" applyNumberFormat="1" applyFont="1" applyBorder="1" applyAlignment="1">
      <alignment vertical="center"/>
    </xf>
    <xf numFmtId="168" fontId="1" fillId="0" borderId="1" xfId="0" applyNumberFormat="1" applyFont="1" applyBorder="1"/>
    <xf numFmtId="49" fontId="1" fillId="0" borderId="1" xfId="1" applyNumberFormat="1" applyFont="1" applyBorder="1" applyAlignment="1">
      <alignment horizontal="right" vertical="center"/>
    </xf>
    <xf numFmtId="0" fontId="6" fillId="0" borderId="0" xfId="0" applyFont="1"/>
    <xf numFmtId="0" fontId="1" fillId="0" borderId="1" xfId="0" applyFont="1" applyBorder="1" applyAlignment="1">
      <alignment horizontal="justify" vertical="center" wrapText="1"/>
    </xf>
    <xf numFmtId="0" fontId="1" fillId="0" borderId="1" xfId="1" applyFont="1" applyBorder="1" applyAlignment="1">
      <alignment horizontal="justify" vertical="center" wrapText="1"/>
    </xf>
    <xf numFmtId="167" fontId="10" fillId="0" borderId="0" xfId="0" applyNumberFormat="1" applyFont="1"/>
    <xf numFmtId="168" fontId="17" fillId="0" borderId="0" xfId="0" applyNumberFormat="1" applyFont="1" applyAlignment="1">
      <alignment vertical="center"/>
    </xf>
    <xf numFmtId="168" fontId="17" fillId="0" borderId="0" xfId="0" applyNumberFormat="1" applyFont="1"/>
    <xf numFmtId="167" fontId="1" fillId="0" borderId="0" xfId="0" applyNumberFormat="1" applyFont="1" applyAlignment="1">
      <alignment vertical="center" wrapText="1"/>
    </xf>
    <xf numFmtId="168" fontId="2" fillId="0" borderId="1" xfId="1" applyNumberFormat="1" applyFont="1" applyBorder="1" applyAlignment="1">
      <alignment vertical="center"/>
    </xf>
    <xf numFmtId="0" fontId="1" fillId="0" borderId="0" xfId="1" applyFont="1" applyAlignment="1">
      <alignment horizontal="right"/>
    </xf>
    <xf numFmtId="168" fontId="2" fillId="0" borderId="0" xfId="1" applyNumberFormat="1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/>
    <xf numFmtId="168" fontId="16" fillId="0" borderId="0" xfId="0" applyNumberFormat="1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49" fontId="2" fillId="0" borderId="0" xfId="0" applyNumberFormat="1" applyFont="1" applyAlignment="1">
      <alignment horizontal="center" vertical="center" wrapText="1"/>
    </xf>
    <xf numFmtId="0" fontId="1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" fontId="21" fillId="0" borderId="1" xfId="0" applyNumberFormat="1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168" fontId="2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167" fontId="1" fillId="0" borderId="1" xfId="0" applyNumberFormat="1" applyFont="1" applyBorder="1" applyAlignment="1">
      <alignment vertical="center"/>
    </xf>
    <xf numFmtId="168" fontId="1" fillId="0" borderId="1" xfId="0" applyNumberFormat="1" applyFont="1" applyBorder="1" applyAlignment="1">
      <alignment horizontal="right" vertical="center"/>
    </xf>
    <xf numFmtId="167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7" fontId="1" fillId="0" borderId="2" xfId="0" applyNumberFormat="1" applyFont="1" applyBorder="1" applyAlignment="1">
      <alignment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167" fontId="1" fillId="0" borderId="1" xfId="20" applyNumberFormat="1" applyBorder="1" applyAlignment="1">
      <alignment horizontal="left" vertical="center" wrapText="1"/>
    </xf>
    <xf numFmtId="168" fontId="22" fillId="0" borderId="1" xfId="0" applyNumberFormat="1" applyFont="1" applyBorder="1" applyAlignment="1">
      <alignment horizontal="right" vertical="center"/>
    </xf>
    <xf numFmtId="167" fontId="1" fillId="0" borderId="1" xfId="0" applyNumberFormat="1" applyFont="1" applyBorder="1" applyAlignment="1">
      <alignment horizontal="left" vertical="center" wrapText="1"/>
    </xf>
    <xf numFmtId="168" fontId="1" fillId="0" borderId="1" xfId="20" applyNumberFormat="1" applyBorder="1" applyAlignment="1">
      <alignment horizontal="right" vertical="center"/>
    </xf>
    <xf numFmtId="49" fontId="8" fillId="0" borderId="1" xfId="0" applyNumberFormat="1" applyFont="1" applyBorder="1" applyAlignment="1">
      <alignment horizontal="right" vertical="center"/>
    </xf>
    <xf numFmtId="49" fontId="10" fillId="0" borderId="1" xfId="0" applyNumberFormat="1" applyFont="1" applyBorder="1" applyAlignment="1">
      <alignment vertical="center" wrapText="1"/>
    </xf>
    <xf numFmtId="168" fontId="2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168" fontId="2" fillId="0" borderId="1" xfId="0" applyNumberFormat="1" applyFont="1" applyBorder="1" applyAlignment="1">
      <alignment horizontal="center" vertical="center"/>
    </xf>
    <xf numFmtId="167" fontId="5" fillId="0" borderId="1" xfId="0" applyNumberFormat="1" applyFont="1" applyBorder="1" applyAlignment="1">
      <alignment vertical="center" wrapText="1"/>
    </xf>
    <xf numFmtId="0" fontId="1" fillId="0" borderId="1" xfId="18" applyBorder="1" applyAlignment="1">
      <alignment vertical="center" wrapText="1"/>
    </xf>
    <xf numFmtId="0" fontId="1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vertical="center" wrapText="1"/>
    </xf>
    <xf numFmtId="168" fontId="21" fillId="0" borderId="1" xfId="0" applyNumberFormat="1" applyFont="1" applyBorder="1" applyAlignment="1">
      <alignment horizontal="right" vertical="center"/>
    </xf>
    <xf numFmtId="167" fontId="1" fillId="0" borderId="1" xfId="20" applyNumberFormat="1" applyBorder="1" applyAlignment="1">
      <alignment vertical="center"/>
    </xf>
    <xf numFmtId="49" fontId="1" fillId="0" borderId="1" xfId="2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20" applyNumberFormat="1" applyBorder="1" applyAlignment="1">
      <alignment horizontal="center" vertical="center" wrapText="1"/>
    </xf>
    <xf numFmtId="168" fontId="2" fillId="0" borderId="1" xfId="20" applyNumberFormat="1" applyFont="1" applyBorder="1" applyAlignment="1">
      <alignment horizontal="right" vertical="center"/>
    </xf>
    <xf numFmtId="0" fontId="5" fillId="0" borderId="1" xfId="18" applyFont="1" applyBorder="1" applyAlignment="1">
      <alignment vertical="center" wrapText="1"/>
    </xf>
    <xf numFmtId="167" fontId="1" fillId="0" borderId="1" xfId="20" applyNumberFormat="1" applyBorder="1" applyAlignment="1">
      <alignment vertical="center" wrapText="1"/>
    </xf>
    <xf numFmtId="167" fontId="2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left" vertical="center" wrapText="1"/>
    </xf>
    <xf numFmtId="168" fontId="1" fillId="0" borderId="1" xfId="0" applyNumberFormat="1" applyFont="1" applyBorder="1" applyAlignment="1">
      <alignment horizontal="center" vertical="center" wrapText="1"/>
    </xf>
    <xf numFmtId="170" fontId="1" fillId="0" borderId="1" xfId="0" applyNumberFormat="1" applyFont="1" applyBorder="1" applyAlignment="1">
      <alignment horizontal="center" vertical="center" wrapText="1"/>
    </xf>
    <xf numFmtId="17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9" fontId="1" fillId="0" borderId="1" xfId="18" applyNumberFormat="1" applyBorder="1" applyAlignment="1">
      <alignment horizontal="center" vertical="center" wrapText="1"/>
    </xf>
    <xf numFmtId="49" fontId="2" fillId="0" borderId="1" xfId="20" applyNumberFormat="1" applyFont="1" applyBorder="1" applyAlignment="1">
      <alignment horizontal="center" vertical="center" wrapText="1"/>
    </xf>
    <xf numFmtId="168" fontId="1" fillId="0" borderId="0" xfId="0" applyNumberFormat="1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vertical="center" wrapText="1"/>
    </xf>
    <xf numFmtId="168" fontId="2" fillId="0" borderId="0" xfId="0" applyNumberFormat="1" applyFont="1" applyAlignment="1">
      <alignment vertical="center"/>
    </xf>
    <xf numFmtId="0" fontId="19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168" fontId="16" fillId="0" borderId="0" xfId="0" applyNumberFormat="1" applyFont="1" applyAlignment="1">
      <alignment vertical="center"/>
    </xf>
    <xf numFmtId="168" fontId="1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68" fontId="5" fillId="0" borderId="0" xfId="0" applyNumberFormat="1" applyFont="1" applyAlignment="1">
      <alignment horizontal="right" vertical="center"/>
    </xf>
    <xf numFmtId="167" fontId="1" fillId="0" borderId="0" xfId="0" applyNumberFormat="1" applyFont="1" applyAlignment="1">
      <alignment vertical="center"/>
    </xf>
    <xf numFmtId="167" fontId="5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167" fontId="16" fillId="0" borderId="0" xfId="0" applyNumberFormat="1" applyFont="1" applyAlignment="1">
      <alignment vertical="center"/>
    </xf>
    <xf numFmtId="169" fontId="1" fillId="0" borderId="0" xfId="0" applyNumberFormat="1" applyFont="1" applyAlignment="1">
      <alignment vertical="center"/>
    </xf>
    <xf numFmtId="168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49" fontId="1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167" fontId="1" fillId="0" borderId="0" xfId="0" applyNumberFormat="1" applyFont="1" applyAlignment="1">
      <alignment horizontal="center"/>
    </xf>
    <xf numFmtId="168" fontId="24" fillId="0" borderId="1" xfId="0" applyNumberFormat="1" applyFont="1" applyBorder="1" applyAlignment="1">
      <alignment horizontal="center" vertical="center" wrapText="1"/>
    </xf>
    <xf numFmtId="168" fontId="5" fillId="0" borderId="0" xfId="0" applyNumberFormat="1" applyFont="1" applyAlignment="1">
      <alignment horizontal="center" vertical="center" wrapText="1"/>
    </xf>
    <xf numFmtId="168" fontId="22" fillId="0" borderId="1" xfId="0" applyNumberFormat="1" applyFont="1" applyBorder="1" applyAlignment="1">
      <alignment horizontal="right" vertical="center" wrapText="1"/>
    </xf>
    <xf numFmtId="167" fontId="1" fillId="0" borderId="0" xfId="0" applyNumberFormat="1" applyFont="1" applyAlignment="1">
      <alignment horizontal="right"/>
    </xf>
    <xf numFmtId="167" fontId="1" fillId="0" borderId="2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168" fontId="5" fillId="0" borderId="1" xfId="0" applyNumberFormat="1" applyFont="1" applyBorder="1" applyAlignment="1">
      <alignment horizontal="right" vertical="center"/>
    </xf>
    <xf numFmtId="170" fontId="2" fillId="0" borderId="1" xfId="0" applyNumberFormat="1" applyFont="1" applyBorder="1" applyAlignment="1">
      <alignment horizontal="center" vertical="center"/>
    </xf>
    <xf numFmtId="170" fontId="2" fillId="0" borderId="0" xfId="0" applyNumberFormat="1" applyFont="1" applyAlignment="1">
      <alignment horizontal="center" vertical="center"/>
    </xf>
    <xf numFmtId="170" fontId="24" fillId="0" borderId="1" xfId="0" applyNumberFormat="1" applyFont="1" applyBorder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168" fontId="1" fillId="0" borderId="0" xfId="0" applyNumberFormat="1" applyFont="1" applyAlignment="1">
      <alignment horizontal="center" vertical="center"/>
    </xf>
    <xf numFmtId="167" fontId="1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67" fontId="1" fillId="0" borderId="2" xfId="0" applyNumberFormat="1" applyFont="1" applyBorder="1" applyAlignment="1">
      <alignment vertical="center" wrapText="1"/>
    </xf>
    <xf numFmtId="167" fontId="1" fillId="0" borderId="1" xfId="0" applyNumberFormat="1" applyFont="1" applyBorder="1" applyAlignment="1">
      <alignment horizontal="right"/>
    </xf>
    <xf numFmtId="167" fontId="1" fillId="0" borderId="1" xfId="19" applyNumberFormat="1" applyBorder="1" applyAlignment="1">
      <alignment vertical="center" wrapText="1"/>
    </xf>
    <xf numFmtId="167" fontId="5" fillId="0" borderId="1" xfId="19" applyNumberFormat="1" applyFont="1" applyBorder="1" applyAlignment="1">
      <alignment vertical="center" wrapText="1"/>
    </xf>
    <xf numFmtId="167" fontId="5" fillId="0" borderId="1" xfId="0" applyNumberFormat="1" applyFont="1" applyBorder="1" applyAlignment="1">
      <alignment horizontal="center" vertical="center"/>
    </xf>
    <xf numFmtId="167" fontId="22" fillId="0" borderId="1" xfId="0" applyNumberFormat="1" applyFont="1" applyBorder="1" applyAlignment="1">
      <alignment horizontal="right" vertical="center"/>
    </xf>
    <xf numFmtId="169" fontId="1" fillId="0" borderId="1" xfId="0" applyNumberFormat="1" applyFont="1" applyBorder="1" applyAlignment="1">
      <alignment horizontal="right"/>
    </xf>
    <xf numFmtId="49" fontId="1" fillId="0" borderId="1" xfId="0" applyNumberFormat="1" applyFont="1" applyBorder="1" applyAlignment="1">
      <alignment vertical="center"/>
    </xf>
    <xf numFmtId="169" fontId="1" fillId="0" borderId="1" xfId="0" applyNumberFormat="1" applyFont="1" applyBorder="1" applyAlignment="1">
      <alignment horizontal="right" vertical="center"/>
    </xf>
    <xf numFmtId="167" fontId="1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171" fontId="2" fillId="0" borderId="1" xfId="0" applyNumberFormat="1" applyFont="1" applyBorder="1" applyAlignment="1">
      <alignment horizontal="center" vertical="center"/>
    </xf>
    <xf numFmtId="167" fontId="5" fillId="0" borderId="1" xfId="0" applyNumberFormat="1" applyFont="1" applyBorder="1" applyAlignment="1">
      <alignment horizontal="left" vertical="center" wrapText="1"/>
    </xf>
    <xf numFmtId="167" fontId="5" fillId="0" borderId="1" xfId="0" applyNumberFormat="1" applyFont="1" applyBorder="1" applyAlignment="1">
      <alignment horizontal="left" vertical="center"/>
    </xf>
    <xf numFmtId="168" fontId="22" fillId="0" borderId="1" xfId="0" applyNumberFormat="1" applyFont="1" applyBorder="1" applyAlignment="1">
      <alignment horizontal="center" vertical="center"/>
    </xf>
    <xf numFmtId="0" fontId="1" fillId="0" borderId="0" xfId="1" applyFont="1" applyAlignment="1">
      <alignment vertical="center" wrapText="1"/>
    </xf>
    <xf numFmtId="49" fontId="5" fillId="0" borderId="0" xfId="0" applyNumberFormat="1" applyFont="1" applyAlignment="1">
      <alignment horizontal="left" vertical="center" wrapText="1"/>
    </xf>
    <xf numFmtId="167" fontId="5" fillId="0" borderId="0" xfId="0" applyNumberFormat="1" applyFont="1" applyAlignment="1">
      <alignment horizontal="left" vertical="center" wrapText="1"/>
    </xf>
    <xf numFmtId="167" fontId="5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168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1" applyFont="1" applyAlignment="1">
      <alignment horizontal="right"/>
    </xf>
    <xf numFmtId="0" fontId="20" fillId="0" borderId="0" xfId="0" applyFont="1" applyAlignment="1">
      <alignment horizontal="right"/>
    </xf>
    <xf numFmtId="0" fontId="2" fillId="0" borderId="3" xfId="1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" fillId="0" borderId="3" xfId="1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3" xfId="1" applyFont="1" applyBorder="1" applyAlignment="1">
      <alignment vertical="center"/>
    </xf>
    <xf numFmtId="0" fontId="23" fillId="0" borderId="5" xfId="0" applyFont="1" applyBorder="1" applyAlignment="1">
      <alignment vertical="center"/>
    </xf>
    <xf numFmtId="0" fontId="2" fillId="0" borderId="3" xfId="1" applyFont="1" applyBorder="1" applyAlignment="1">
      <alignment vertical="center" wrapText="1"/>
    </xf>
    <xf numFmtId="0" fontId="1" fillId="0" borderId="3" xfId="1" applyFont="1" applyBorder="1" applyAlignment="1">
      <alignment vertical="center" wrapText="1"/>
    </xf>
    <xf numFmtId="49" fontId="1" fillId="0" borderId="3" xfId="1" applyNumberFormat="1" applyFon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5" xfId="0" applyBorder="1" applyAlignment="1">
      <alignment vertical="center" wrapText="1"/>
    </xf>
    <xf numFmtId="0" fontId="1" fillId="0" borderId="3" xfId="1" applyFont="1" applyBorder="1" applyAlignment="1">
      <alignment horizontal="right" vertical="center"/>
    </xf>
    <xf numFmtId="0" fontId="2" fillId="0" borderId="3" xfId="1" applyFont="1" applyBorder="1" applyAlignment="1">
      <alignment horizontal="right" vertical="center" wrapText="1"/>
    </xf>
    <xf numFmtId="0" fontId="2" fillId="0" borderId="3" xfId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2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7" fontId="1" fillId="0" borderId="1" xfId="20" applyNumberFormat="1" applyBorder="1" applyAlignment="1">
      <alignment horizontal="left" vertical="center" wrapText="1"/>
    </xf>
    <xf numFmtId="167" fontId="1" fillId="0" borderId="1" xfId="20" applyNumberFormat="1" applyBorder="1" applyAlignment="1">
      <alignment vertical="center" wrapText="1"/>
    </xf>
    <xf numFmtId="167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9" fontId="1" fillId="0" borderId="1" xfId="0" applyNumberFormat="1" applyFont="1" applyBorder="1" applyAlignment="1">
      <alignment vertical="center" wrapText="1"/>
    </xf>
    <xf numFmtId="167" fontId="1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167" fontId="1" fillId="0" borderId="3" xfId="20" applyNumberForma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" fontId="1" fillId="0" borderId="1" xfId="20" applyNumberFormat="1" applyBorder="1" applyAlignment="1">
      <alignment horizontal="right" vertical="center" wrapText="1"/>
    </xf>
    <xf numFmtId="1" fontId="0" fillId="0" borderId="1" xfId="0" applyNumberFormat="1" applyBorder="1" applyAlignment="1">
      <alignment horizontal="right" vertical="center" wrapText="1"/>
    </xf>
    <xf numFmtId="49" fontId="10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right" vertical="center"/>
    </xf>
    <xf numFmtId="167" fontId="1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right" vertical="center" wrapText="1"/>
    </xf>
    <xf numFmtId="17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167" fontId="1" fillId="0" borderId="3" xfId="0" applyNumberFormat="1" applyFont="1" applyBorder="1" applyAlignment="1">
      <alignment horizontal="left" vertical="center"/>
    </xf>
    <xf numFmtId="167" fontId="1" fillId="0" borderId="5" xfId="0" applyNumberFormat="1" applyFont="1" applyBorder="1" applyAlignment="1">
      <alignment horizontal="left" vertical="center"/>
    </xf>
    <xf numFmtId="167" fontId="1" fillId="0" borderId="3" xfId="0" applyNumberFormat="1" applyFont="1" applyBorder="1" applyAlignment="1">
      <alignment horizontal="left" vertical="center" wrapText="1"/>
    </xf>
    <xf numFmtId="167" fontId="1" fillId="0" borderId="5" xfId="0" applyNumberFormat="1" applyFont="1" applyBorder="1" applyAlignment="1">
      <alignment horizontal="left" vertical="center" wrapText="1"/>
    </xf>
    <xf numFmtId="17" fontId="8" fillId="0" borderId="3" xfId="0" applyNumberFormat="1" applyFont="1" applyBorder="1" applyAlignment="1">
      <alignment horizontal="right" vertical="center"/>
    </xf>
    <xf numFmtId="17" fontId="8" fillId="0" borderId="5" xfId="0" applyNumberFormat="1" applyFont="1" applyBorder="1" applyAlignment="1">
      <alignment horizontal="right" vertical="center"/>
    </xf>
    <xf numFmtId="167" fontId="1" fillId="0" borderId="3" xfId="19" applyNumberFormat="1" applyBorder="1" applyAlignment="1">
      <alignment horizontal="left" vertical="center" wrapText="1"/>
    </xf>
    <xf numFmtId="167" fontId="1" fillId="0" borderId="5" xfId="19" applyNumberFormat="1" applyBorder="1" applyAlignment="1">
      <alignment horizontal="left" vertical="center" wrapText="1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49" fontId="2" fillId="0" borderId="3" xfId="0" applyNumberFormat="1" applyFont="1" applyBorder="1" applyAlignment="1">
      <alignment horizontal="right" vertical="center"/>
    </xf>
    <xf numFmtId="49" fontId="2" fillId="0" borderId="5" xfId="0" applyNumberFormat="1" applyFont="1" applyBorder="1" applyAlignment="1">
      <alignment horizontal="right" vertical="center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7" fontId="5" fillId="0" borderId="3" xfId="0" applyNumberFormat="1" applyFont="1" applyBorder="1" applyAlignment="1">
      <alignment horizontal="left" vertical="center" wrapText="1"/>
    </xf>
    <xf numFmtId="167" fontId="5" fillId="0" borderId="5" xfId="0" applyNumberFormat="1" applyFont="1" applyBorder="1" applyAlignment="1">
      <alignment horizontal="left" vertical="center" wrapText="1"/>
    </xf>
    <xf numFmtId="49" fontId="1" fillId="0" borderId="3" xfId="18" applyNumberFormat="1" applyBorder="1" applyAlignment="1">
      <alignment horizontal="center" vertical="center" wrapText="1"/>
    </xf>
    <xf numFmtId="49" fontId="1" fillId="0" borderId="5" xfId="18" applyNumberForma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5" xfId="0" applyNumberFormat="1" applyFont="1" applyBorder="1" applyAlignment="1">
      <alignment horizontal="left" vertical="center" wrapText="1"/>
    </xf>
    <xf numFmtId="168" fontId="22" fillId="0" borderId="1" xfId="0" applyNumberFormat="1" applyFont="1" applyBorder="1" applyAlignment="1">
      <alignment vertical="center"/>
    </xf>
    <xf numFmtId="4" fontId="22" fillId="0" borderId="1" xfId="0" applyNumberFormat="1" applyFont="1" applyBorder="1" applyAlignment="1">
      <alignment horizontal="center" vertical="center" wrapText="1"/>
    </xf>
    <xf numFmtId="168" fontId="22" fillId="0" borderId="1" xfId="0" applyNumberFormat="1" applyFont="1" applyBorder="1" applyAlignment="1">
      <alignment horizontal="center" vertical="center" wrapText="1"/>
    </xf>
    <xf numFmtId="168" fontId="10" fillId="0" borderId="1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 vertical="center"/>
    </xf>
    <xf numFmtId="168" fontId="22" fillId="0" borderId="1" xfId="0" applyNumberFormat="1" applyFont="1" applyBorder="1" applyAlignment="1">
      <alignment horizontal="center"/>
    </xf>
    <xf numFmtId="168" fontId="10" fillId="0" borderId="1" xfId="0" applyNumberFormat="1" applyFont="1" applyBorder="1" applyAlignment="1">
      <alignment horizontal="right" vertical="center"/>
    </xf>
  </cellXfs>
  <cellStyles count="22">
    <cellStyle name="Įprastas" xfId="0" builtinId="0"/>
    <cellStyle name="Įprastas 2" xfId="1" xr:uid="{00000000-0005-0000-0000-000001000000}"/>
    <cellStyle name="Įprastas 3" xfId="2" xr:uid="{00000000-0005-0000-0000-000002000000}"/>
    <cellStyle name="Įprastas 4" xfId="3" xr:uid="{00000000-0005-0000-0000-000003000000}"/>
    <cellStyle name="Įprastas 5" xfId="4" xr:uid="{00000000-0005-0000-0000-000004000000}"/>
    <cellStyle name="Kablelis 2" xfId="5" xr:uid="{00000000-0005-0000-0000-000005000000}"/>
    <cellStyle name="Kablelis 2 2" xfId="6" xr:uid="{00000000-0005-0000-0000-000006000000}"/>
    <cellStyle name="Kablelis 2 2 2" xfId="7" xr:uid="{00000000-0005-0000-0000-000007000000}"/>
    <cellStyle name="Kablelis 3" xfId="8" xr:uid="{00000000-0005-0000-0000-000008000000}"/>
    <cellStyle name="Kablelis 4" xfId="9" xr:uid="{00000000-0005-0000-0000-000009000000}"/>
    <cellStyle name="Kablelis 4 2" xfId="10" xr:uid="{00000000-0005-0000-0000-00000A000000}"/>
    <cellStyle name="Kablelis 4 3" xfId="11" xr:uid="{00000000-0005-0000-0000-00000B000000}"/>
    <cellStyle name="Kablelis 4 3 2" xfId="12" xr:uid="{00000000-0005-0000-0000-00000C000000}"/>
    <cellStyle name="Kablelis 5" xfId="13" xr:uid="{00000000-0005-0000-0000-00000D000000}"/>
    <cellStyle name="Kablelis 5 2" xfId="14" xr:uid="{00000000-0005-0000-0000-00000E000000}"/>
    <cellStyle name="Normal 2" xfId="15" xr:uid="{00000000-0005-0000-0000-00000F000000}"/>
    <cellStyle name="Normal 3" xfId="16" xr:uid="{00000000-0005-0000-0000-000010000000}"/>
    <cellStyle name="Normal_biudžetas 6" xfId="17" xr:uid="{00000000-0005-0000-0000-000011000000}"/>
    <cellStyle name="Normal_biudžetas 6_2009 m 02 men biudzetas." xfId="18" xr:uid="{00000000-0005-0000-0000-000012000000}"/>
    <cellStyle name="Normal_Sheet1" xfId="19" xr:uid="{00000000-0005-0000-0000-000013000000}"/>
    <cellStyle name="Normal_Sheet1_2009 m 02 men biudzetas." xfId="20" xr:uid="{00000000-0005-0000-0000-000014000000}"/>
    <cellStyle name="Paprastas 2" xfId="21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26" Type="http://schemas.microsoft.com/office/2017/10/relationships/person" Target="persons/person6.xml"/><Relationship Id="rId39" Type="http://schemas.microsoft.com/office/2017/10/relationships/person" Target="persons/person18.xml"/><Relationship Id="rId51" Type="http://schemas.microsoft.com/office/2017/10/relationships/person" Target="persons/person34.xml"/><Relationship Id="rId3" Type="http://schemas.openxmlformats.org/officeDocument/2006/relationships/worksheet" Target="worksheets/sheet3.xml"/><Relationship Id="rId21" Type="http://schemas.microsoft.com/office/2017/10/relationships/person" Target="persons/person0.xml"/><Relationship Id="rId34" Type="http://schemas.microsoft.com/office/2017/10/relationships/person" Target="persons/person13.xml"/><Relationship Id="rId42" Type="http://schemas.microsoft.com/office/2017/10/relationships/person" Target="persons/person20.xml"/><Relationship Id="rId47" Type="http://schemas.microsoft.com/office/2017/10/relationships/person" Target="persons/person25.xml"/><Relationship Id="rId50" Type="http://schemas.microsoft.com/office/2017/10/relationships/person" Target="persons/person28.xml"/><Relationship Id="rId55" Type="http://schemas.microsoft.com/office/2017/10/relationships/person" Target="persons/person32.xml"/><Relationship Id="rId7" Type="http://schemas.openxmlformats.org/officeDocument/2006/relationships/sharedStrings" Target="sharedStrings.xml"/><Relationship Id="rId25" Type="http://schemas.microsoft.com/office/2017/10/relationships/person" Target="persons/person3.xml"/><Relationship Id="rId33" Type="http://schemas.microsoft.com/office/2017/10/relationships/person" Target="persons/person11.xml"/><Relationship Id="rId38" Type="http://schemas.microsoft.com/office/2017/10/relationships/person" Target="persons/person16.xml"/><Relationship Id="rId46" Type="http://schemas.microsoft.com/office/2017/10/relationships/person" Target="persons/person26.xml"/><Relationship Id="rId2" Type="http://schemas.openxmlformats.org/officeDocument/2006/relationships/worksheet" Target="worksheets/sheet2.xml"/><Relationship Id="rId29" Type="http://schemas.microsoft.com/office/2017/10/relationships/person" Target="persons/person7.xml"/><Relationship Id="rId20" Type="http://schemas.microsoft.com/office/2017/10/relationships/person" Target="persons/person35.xml"/><Relationship Id="rId41" Type="http://schemas.microsoft.com/office/2017/10/relationships/person" Target="persons/person21.xml"/><Relationship Id="rId54" Type="http://schemas.microsoft.com/office/2017/10/relationships/person" Target="persons/person3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40" Type="http://schemas.microsoft.com/office/2017/10/relationships/person" Target="persons/person19.xml"/><Relationship Id="rId24" Type="http://schemas.microsoft.com/office/2017/10/relationships/person" Target="persons/person2.xml"/><Relationship Id="rId32" Type="http://schemas.microsoft.com/office/2017/10/relationships/person" Target="persons/person10.xml"/><Relationship Id="rId37" Type="http://schemas.microsoft.com/office/2017/10/relationships/person" Target="persons/person15.xml"/><Relationship Id="rId45" Type="http://schemas.microsoft.com/office/2017/10/relationships/person" Target="persons/person23.xml"/><Relationship Id="rId53" Type="http://schemas.microsoft.com/office/2017/10/relationships/person" Target="persons/person31.xml"/><Relationship Id="rId5" Type="http://schemas.openxmlformats.org/officeDocument/2006/relationships/theme" Target="theme/theme1.xml"/><Relationship Id="rId23" Type="http://schemas.microsoft.com/office/2017/10/relationships/person" Target="persons/person1.xml"/><Relationship Id="rId28" Type="http://schemas.microsoft.com/office/2017/10/relationships/person" Target="persons/person5.xml"/><Relationship Id="rId36" Type="http://schemas.microsoft.com/office/2017/10/relationships/person" Target="persons/person14.xml"/><Relationship Id="rId49" Type="http://schemas.microsoft.com/office/2017/10/relationships/person" Target="persons/person27.xml"/><Relationship Id="rId19" Type="http://schemas.microsoft.com/office/2017/10/relationships/person" Target="persons/person.xml"/><Relationship Id="rId31" Type="http://schemas.microsoft.com/office/2017/10/relationships/person" Target="persons/person8.xml"/><Relationship Id="rId44" Type="http://schemas.microsoft.com/office/2017/10/relationships/person" Target="persons/person22.xml"/><Relationship Id="rId52" Type="http://schemas.microsoft.com/office/2017/10/relationships/person" Target="persons/person30.xml"/><Relationship Id="rId4" Type="http://schemas.openxmlformats.org/officeDocument/2006/relationships/worksheet" Target="worksheets/sheet4.xml"/><Relationship Id="rId48" Type="http://schemas.microsoft.com/office/2017/10/relationships/person" Target="persons/person29.xml"/><Relationship Id="rId43" Type="http://schemas.microsoft.com/office/2017/10/relationships/person" Target="persons/person24.xml"/><Relationship Id="rId35" Type="http://schemas.microsoft.com/office/2017/10/relationships/person" Target="persons/person17.xml"/><Relationship Id="rId27" Type="http://schemas.microsoft.com/office/2017/10/relationships/person" Target="persons/person12.xml"/><Relationship Id="rId30" Type="http://schemas.microsoft.com/office/2017/10/relationships/person" Target="persons/person9.xml"/><Relationship Id="rId22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O154"/>
  <sheetViews>
    <sheetView tabSelected="1" topLeftCell="A88" zoomScaleNormal="100" workbookViewId="0">
      <selection activeCell="C125" sqref="C125"/>
    </sheetView>
  </sheetViews>
  <sheetFormatPr defaultColWidth="9.140625" defaultRowHeight="12.75" x14ac:dyDescent="0.2"/>
  <cols>
    <col min="1" max="1" width="6.28515625" style="9" customWidth="1"/>
    <col min="2" max="2" width="69.28515625" style="2" customWidth="1"/>
    <col min="3" max="3" width="14.5703125" style="2" bestFit="1" customWidth="1"/>
    <col min="4" max="4" width="9.28515625" style="2" customWidth="1"/>
    <col min="5" max="5" width="11.7109375" style="2" bestFit="1" customWidth="1"/>
    <col min="6" max="6" width="15.140625" style="2" customWidth="1"/>
    <col min="7" max="16384" width="9.140625" style="2"/>
  </cols>
  <sheetData>
    <row r="1" spans="1:15" ht="15.75" x14ac:dyDescent="0.25">
      <c r="A1" s="1"/>
      <c r="B1" s="177" t="s">
        <v>733</v>
      </c>
      <c r="C1" s="177"/>
    </row>
    <row r="2" spans="1:15" ht="15.75" x14ac:dyDescent="0.25">
      <c r="A2" s="176" t="s">
        <v>232</v>
      </c>
      <c r="B2" s="176"/>
      <c r="C2" s="176"/>
    </row>
    <row r="3" spans="1:15" ht="15.75" x14ac:dyDescent="0.25">
      <c r="A3" s="4"/>
      <c r="B3" s="3"/>
      <c r="C3" s="3"/>
    </row>
    <row r="4" spans="1:15" x14ac:dyDescent="0.2">
      <c r="A4" s="1"/>
      <c r="B4" s="5" t="s">
        <v>367</v>
      </c>
      <c r="C4" s="6"/>
    </row>
    <row r="5" spans="1:15" x14ac:dyDescent="0.2">
      <c r="A5" s="1"/>
      <c r="B5" s="6"/>
      <c r="C5" s="6"/>
    </row>
    <row r="6" spans="1:15" s="9" customFormat="1" x14ac:dyDescent="0.2">
      <c r="A6" s="7" t="s">
        <v>0</v>
      </c>
      <c r="B6" s="8" t="s">
        <v>233</v>
      </c>
      <c r="C6" s="8" t="s">
        <v>234</v>
      </c>
    </row>
    <row r="7" spans="1:15" s="9" customFormat="1" x14ac:dyDescent="0.2">
      <c r="A7" s="180">
        <v>1</v>
      </c>
      <c r="B7" s="178" t="s">
        <v>315</v>
      </c>
      <c r="C7" s="22">
        <v>45168.7</v>
      </c>
    </row>
    <row r="8" spans="1:15" ht="12.6" customHeight="1" x14ac:dyDescent="0.2">
      <c r="A8" s="181"/>
      <c r="B8" s="179"/>
      <c r="C8" s="10">
        <f>+C9+C10+C11+C16</f>
        <v>45354.9</v>
      </c>
      <c r="D8" s="11"/>
      <c r="E8" s="12"/>
      <c r="F8" s="11"/>
      <c r="G8" s="11"/>
    </row>
    <row r="9" spans="1:15" ht="12.6" customHeight="1" x14ac:dyDescent="0.2">
      <c r="A9" s="13">
        <v>2</v>
      </c>
      <c r="B9" s="7" t="s">
        <v>235</v>
      </c>
      <c r="C9" s="14">
        <f>39669+2701.9</f>
        <v>42370.9</v>
      </c>
      <c r="D9" s="15"/>
      <c r="E9" s="11"/>
      <c r="G9" s="11"/>
    </row>
    <row r="10" spans="1:15" ht="25.5" x14ac:dyDescent="0.2">
      <c r="A10" s="13">
        <v>3</v>
      </c>
      <c r="B10" s="16" t="s">
        <v>316</v>
      </c>
      <c r="C10" s="14">
        <v>50</v>
      </c>
      <c r="D10" s="17"/>
      <c r="E10" s="11"/>
      <c r="F10" s="18"/>
    </row>
    <row r="11" spans="1:15" ht="12.6" customHeight="1" x14ac:dyDescent="0.2">
      <c r="A11" s="13">
        <v>4</v>
      </c>
      <c r="B11" s="7" t="s">
        <v>317</v>
      </c>
      <c r="C11" s="14">
        <f>+C12+C15+C13</f>
        <v>2601.1999999999998</v>
      </c>
      <c r="D11" s="17"/>
      <c r="F11" s="18"/>
      <c r="G11" s="11"/>
    </row>
    <row r="12" spans="1:15" ht="12.6" customHeight="1" x14ac:dyDescent="0.2">
      <c r="A12" s="13">
        <v>5</v>
      </c>
      <c r="B12" s="19" t="s">
        <v>236</v>
      </c>
      <c r="C12" s="20">
        <v>900</v>
      </c>
      <c r="D12" s="12"/>
      <c r="F12" s="21"/>
      <c r="G12" s="11"/>
    </row>
    <row r="13" spans="1:15" ht="12.6" customHeight="1" x14ac:dyDescent="0.2">
      <c r="A13" s="13">
        <v>6</v>
      </c>
      <c r="B13" s="19" t="s">
        <v>237</v>
      </c>
      <c r="C13" s="20">
        <v>15</v>
      </c>
      <c r="D13" s="12"/>
      <c r="F13" s="21"/>
    </row>
    <row r="14" spans="1:15" ht="12.6" customHeight="1" x14ac:dyDescent="0.2">
      <c r="A14" s="180">
        <v>7</v>
      </c>
      <c r="B14" s="180" t="s">
        <v>238</v>
      </c>
      <c r="C14" s="22">
        <v>1500</v>
      </c>
      <c r="D14" s="12"/>
      <c r="F14" s="21"/>
    </row>
    <row r="15" spans="1:15" ht="12.6" customHeight="1" x14ac:dyDescent="0.2">
      <c r="A15" s="181"/>
      <c r="B15" s="182"/>
      <c r="C15" s="14">
        <f>1500+186.2</f>
        <v>1686.2</v>
      </c>
      <c r="D15" s="12"/>
      <c r="F15" s="18"/>
      <c r="O15" s="12"/>
    </row>
    <row r="16" spans="1:15" ht="12.6" customHeight="1" x14ac:dyDescent="0.2">
      <c r="A16" s="13">
        <v>8</v>
      </c>
      <c r="B16" s="7" t="s">
        <v>318</v>
      </c>
      <c r="C16" s="10">
        <f>+C17</f>
        <v>332.8</v>
      </c>
      <c r="D16" s="17"/>
    </row>
    <row r="17" spans="1:8" ht="12.6" customHeight="1" x14ac:dyDescent="0.2">
      <c r="A17" s="13">
        <v>9</v>
      </c>
      <c r="B17" s="19" t="s">
        <v>239</v>
      </c>
      <c r="C17" s="20">
        <f>250+82.8</f>
        <v>332.8</v>
      </c>
    </row>
    <row r="18" spans="1:8" ht="12.6" customHeight="1" x14ac:dyDescent="0.2">
      <c r="A18" s="180">
        <v>10</v>
      </c>
      <c r="B18" s="183" t="s">
        <v>319</v>
      </c>
      <c r="C18" s="22">
        <v>38833</v>
      </c>
    </row>
    <row r="19" spans="1:8" x14ac:dyDescent="0.2">
      <c r="A19" s="181"/>
      <c r="B19" s="184"/>
      <c r="C19" s="10">
        <f>+C24+C54+C20</f>
        <v>39080.1</v>
      </c>
      <c r="D19" s="12"/>
      <c r="F19" s="11"/>
    </row>
    <row r="20" spans="1:8" ht="25.5" x14ac:dyDescent="0.2">
      <c r="A20" s="13">
        <v>11</v>
      </c>
      <c r="B20" s="16" t="s">
        <v>320</v>
      </c>
      <c r="C20" s="10">
        <f>+C21+C22</f>
        <v>1890.8</v>
      </c>
      <c r="D20" s="12"/>
    </row>
    <row r="21" spans="1:8" ht="25.5" x14ac:dyDescent="0.2">
      <c r="A21" s="13" t="s">
        <v>32</v>
      </c>
      <c r="B21" s="23" t="s">
        <v>240</v>
      </c>
      <c r="C21" s="20">
        <f>1941.5-213.2+58.7-46.7</f>
        <v>1740.3</v>
      </c>
      <c r="D21" s="12"/>
      <c r="E21" s="24"/>
      <c r="F21" s="17"/>
      <c r="G21" s="2" t="s">
        <v>304</v>
      </c>
      <c r="H21" s="11"/>
    </row>
    <row r="22" spans="1:8" ht="25.5" x14ac:dyDescent="0.2">
      <c r="A22" s="13" t="s">
        <v>33</v>
      </c>
      <c r="B22" s="23" t="s">
        <v>241</v>
      </c>
      <c r="C22" s="20">
        <f>38.1-0.4+112.8</f>
        <v>150.5</v>
      </c>
      <c r="D22" s="12"/>
      <c r="E22" s="17"/>
      <c r="F22" s="17"/>
      <c r="H22" s="11"/>
    </row>
    <row r="23" spans="1:8" x14ac:dyDescent="0.2">
      <c r="A23" s="180">
        <v>12</v>
      </c>
      <c r="B23" s="185" t="s">
        <v>321</v>
      </c>
      <c r="C23" s="22">
        <v>25319.9</v>
      </c>
      <c r="D23" s="12"/>
      <c r="E23" s="17"/>
      <c r="F23" s="17"/>
      <c r="H23" s="11"/>
    </row>
    <row r="24" spans="1:8" ht="12.6" customHeight="1" x14ac:dyDescent="0.2">
      <c r="A24" s="181">
        <v>12</v>
      </c>
      <c r="B24" s="184"/>
      <c r="C24" s="10">
        <f>+C25+C50+C51</f>
        <v>25528.499999999996</v>
      </c>
      <c r="D24" s="12"/>
      <c r="F24" s="11"/>
    </row>
    <row r="25" spans="1:8" ht="12.6" customHeight="1" x14ac:dyDescent="0.2">
      <c r="A25" s="13">
        <v>13</v>
      </c>
      <c r="B25" s="19" t="s">
        <v>322</v>
      </c>
      <c r="C25" s="20">
        <f>SUM(C26:C48)</f>
        <v>5896.8999999999978</v>
      </c>
      <c r="D25" s="12"/>
      <c r="E25" s="17"/>
      <c r="F25" s="25"/>
    </row>
    <row r="26" spans="1:8" ht="12.6" customHeight="1" x14ac:dyDescent="0.2">
      <c r="A26" s="26" t="s">
        <v>223</v>
      </c>
      <c r="B26" s="19" t="s">
        <v>242</v>
      </c>
      <c r="C26" s="20">
        <v>32.6</v>
      </c>
      <c r="D26" s="12"/>
      <c r="E26" s="17"/>
      <c r="G26" s="12"/>
    </row>
    <row r="27" spans="1:8" ht="12.6" customHeight="1" x14ac:dyDescent="0.2">
      <c r="A27" s="13" t="s">
        <v>323</v>
      </c>
      <c r="B27" s="19" t="s">
        <v>243</v>
      </c>
      <c r="C27" s="20">
        <v>9</v>
      </c>
      <c r="D27" s="12"/>
      <c r="E27" s="17"/>
      <c r="G27" s="12"/>
    </row>
    <row r="28" spans="1:8" ht="12.6" customHeight="1" x14ac:dyDescent="0.2">
      <c r="A28" s="26" t="s">
        <v>324</v>
      </c>
      <c r="B28" s="19" t="s">
        <v>244</v>
      </c>
      <c r="C28" s="20">
        <v>398.5</v>
      </c>
      <c r="E28" s="24"/>
      <c r="F28" s="27"/>
      <c r="G28" s="12"/>
    </row>
    <row r="29" spans="1:8" ht="12.6" customHeight="1" x14ac:dyDescent="0.2">
      <c r="A29" s="13" t="s">
        <v>325</v>
      </c>
      <c r="B29" s="19" t="s">
        <v>245</v>
      </c>
      <c r="C29" s="20">
        <v>947.6</v>
      </c>
      <c r="E29" s="24"/>
    </row>
    <row r="30" spans="1:8" ht="12.6" customHeight="1" x14ac:dyDescent="0.2">
      <c r="A30" s="26" t="s">
        <v>326</v>
      </c>
      <c r="B30" s="19" t="s">
        <v>246</v>
      </c>
      <c r="C30" s="20">
        <f>1658.1+71.9</f>
        <v>1730</v>
      </c>
      <c r="D30" s="12"/>
      <c r="E30" s="12"/>
      <c r="F30" s="28"/>
      <c r="G30" s="12"/>
    </row>
    <row r="31" spans="1:8" x14ac:dyDescent="0.2">
      <c r="A31" s="13" t="s">
        <v>327</v>
      </c>
      <c r="B31" s="19" t="s">
        <v>247</v>
      </c>
      <c r="C31" s="20">
        <v>19.5</v>
      </c>
      <c r="D31" s="12"/>
    </row>
    <row r="32" spans="1:8" x14ac:dyDescent="0.2">
      <c r="A32" s="26" t="s">
        <v>328</v>
      </c>
      <c r="B32" s="23" t="s">
        <v>248</v>
      </c>
      <c r="C32" s="20">
        <f>11.1+2</f>
        <v>13.1</v>
      </c>
      <c r="D32" s="12"/>
      <c r="E32" s="25"/>
    </row>
    <row r="33" spans="1:4" ht="12.6" customHeight="1" x14ac:dyDescent="0.2">
      <c r="A33" s="13" t="s">
        <v>329</v>
      </c>
      <c r="B33" s="29" t="s">
        <v>482</v>
      </c>
      <c r="C33" s="20">
        <v>190.1</v>
      </c>
      <c r="D33" s="12"/>
    </row>
    <row r="34" spans="1:4" ht="12.6" customHeight="1" x14ac:dyDescent="0.2">
      <c r="A34" s="26" t="s">
        <v>330</v>
      </c>
      <c r="B34" s="29" t="s">
        <v>249</v>
      </c>
      <c r="C34" s="20">
        <v>35.5</v>
      </c>
      <c r="D34" s="12"/>
    </row>
    <row r="35" spans="1:4" ht="12.6" customHeight="1" x14ac:dyDescent="0.2">
      <c r="A35" s="13" t="s">
        <v>331</v>
      </c>
      <c r="B35" s="29" t="s">
        <v>483</v>
      </c>
      <c r="C35" s="20">
        <v>12.2</v>
      </c>
      <c r="D35" s="12"/>
    </row>
    <row r="36" spans="1:4" ht="12.6" customHeight="1" x14ac:dyDescent="0.2">
      <c r="A36" s="26" t="s">
        <v>332</v>
      </c>
      <c r="B36" s="29" t="s">
        <v>250</v>
      </c>
      <c r="C36" s="20">
        <v>0.8</v>
      </c>
      <c r="D36" s="12"/>
    </row>
    <row r="37" spans="1:4" ht="12.6" customHeight="1" x14ac:dyDescent="0.2">
      <c r="A37" s="13" t="s">
        <v>333</v>
      </c>
      <c r="B37" s="29" t="s">
        <v>251</v>
      </c>
      <c r="C37" s="20">
        <v>57.8</v>
      </c>
      <c r="D37" s="12"/>
    </row>
    <row r="38" spans="1:4" x14ac:dyDescent="0.2">
      <c r="A38" s="26" t="s">
        <v>334</v>
      </c>
      <c r="B38" s="29" t="s">
        <v>252</v>
      </c>
      <c r="C38" s="20">
        <v>1234.5999999999999</v>
      </c>
      <c r="D38" s="12"/>
    </row>
    <row r="39" spans="1:4" ht="25.5" x14ac:dyDescent="0.2">
      <c r="A39" s="13" t="s">
        <v>335</v>
      </c>
      <c r="B39" s="29" t="s">
        <v>484</v>
      </c>
      <c r="C39" s="20">
        <v>5</v>
      </c>
      <c r="D39" s="12"/>
    </row>
    <row r="40" spans="1:4" ht="12.6" customHeight="1" x14ac:dyDescent="0.2">
      <c r="A40" s="26" t="s">
        <v>336</v>
      </c>
      <c r="B40" s="29" t="s">
        <v>253</v>
      </c>
      <c r="C40" s="20">
        <v>254.8</v>
      </c>
      <c r="D40" s="12"/>
    </row>
    <row r="41" spans="1:4" ht="12.6" customHeight="1" x14ac:dyDescent="0.2">
      <c r="A41" s="13" t="s">
        <v>337</v>
      </c>
      <c r="B41" s="19" t="s">
        <v>254</v>
      </c>
      <c r="C41" s="20">
        <v>360</v>
      </c>
      <c r="D41" s="12"/>
    </row>
    <row r="42" spans="1:4" ht="12.6" customHeight="1" x14ac:dyDescent="0.2">
      <c r="A42" s="26" t="s">
        <v>338</v>
      </c>
      <c r="B42" s="19" t="s">
        <v>485</v>
      </c>
      <c r="C42" s="30">
        <v>19.899999999999999</v>
      </c>
      <c r="D42" s="12"/>
    </row>
    <row r="43" spans="1:4" ht="12.6" customHeight="1" x14ac:dyDescent="0.2">
      <c r="A43" s="26" t="s">
        <v>339</v>
      </c>
      <c r="B43" s="19" t="s">
        <v>255</v>
      </c>
      <c r="C43" s="20">
        <v>47.9</v>
      </c>
      <c r="D43" s="12"/>
    </row>
    <row r="44" spans="1:4" ht="12.6" customHeight="1" x14ac:dyDescent="0.2">
      <c r="A44" s="26" t="s">
        <v>340</v>
      </c>
      <c r="B44" s="23" t="s">
        <v>486</v>
      </c>
      <c r="C44" s="20">
        <v>1.2</v>
      </c>
      <c r="D44" s="12"/>
    </row>
    <row r="45" spans="1:4" x14ac:dyDescent="0.2">
      <c r="A45" s="13" t="s">
        <v>341</v>
      </c>
      <c r="B45" s="23" t="s">
        <v>343</v>
      </c>
      <c r="C45" s="20">
        <v>416.4</v>
      </c>
      <c r="D45" s="12"/>
    </row>
    <row r="46" spans="1:4" ht="15.75" customHeight="1" x14ac:dyDescent="0.2">
      <c r="A46" s="26" t="s">
        <v>342</v>
      </c>
      <c r="B46" s="23" t="s">
        <v>256</v>
      </c>
      <c r="C46" s="20">
        <v>1.8</v>
      </c>
      <c r="D46" s="12"/>
    </row>
    <row r="47" spans="1:4" ht="12.75" customHeight="1" x14ac:dyDescent="0.2">
      <c r="A47" s="13" t="s">
        <v>344</v>
      </c>
      <c r="B47" s="23" t="s">
        <v>487</v>
      </c>
      <c r="C47" s="20">
        <v>88.4</v>
      </c>
      <c r="D47" s="12"/>
    </row>
    <row r="48" spans="1:4" ht="26.25" customHeight="1" x14ac:dyDescent="0.2">
      <c r="A48" s="26" t="s">
        <v>345</v>
      </c>
      <c r="B48" s="23" t="s">
        <v>488</v>
      </c>
      <c r="C48" s="20">
        <v>20.2</v>
      </c>
      <c r="D48" s="12"/>
    </row>
    <row r="49" spans="1:7" ht="14.25" customHeight="1" x14ac:dyDescent="0.2">
      <c r="A49" s="186">
        <v>14</v>
      </c>
      <c r="B49" s="186" t="s">
        <v>346</v>
      </c>
      <c r="C49" s="22">
        <v>18734.599999999999</v>
      </c>
      <c r="D49" s="12"/>
    </row>
    <row r="50" spans="1:7" ht="12.75" customHeight="1" x14ac:dyDescent="0.2">
      <c r="A50" s="182"/>
      <c r="B50" s="182"/>
      <c r="C50" s="14">
        <f>18397.8+336.8+208.6</f>
        <v>18943.199999999997</v>
      </c>
      <c r="D50" s="12"/>
      <c r="E50" s="17"/>
      <c r="F50" s="12"/>
      <c r="G50" s="12"/>
    </row>
    <row r="51" spans="1:7" ht="12.6" customHeight="1" x14ac:dyDescent="0.2">
      <c r="A51" s="13">
        <v>15</v>
      </c>
      <c r="B51" s="19" t="s">
        <v>257</v>
      </c>
      <c r="C51" s="31">
        <f>+C52</f>
        <v>688.4</v>
      </c>
      <c r="D51" s="12"/>
      <c r="E51" s="17"/>
      <c r="F51" s="25"/>
      <c r="G51" s="12"/>
    </row>
    <row r="52" spans="1:7" ht="12.6" customHeight="1" x14ac:dyDescent="0.2">
      <c r="A52" s="32" t="s">
        <v>170</v>
      </c>
      <c r="B52" s="23" t="s">
        <v>258</v>
      </c>
      <c r="C52" s="20">
        <v>688.4</v>
      </c>
      <c r="D52" s="12"/>
      <c r="F52" s="25"/>
      <c r="G52" s="12"/>
    </row>
    <row r="53" spans="1:7" ht="12.6" customHeight="1" x14ac:dyDescent="0.2">
      <c r="A53" s="187">
        <v>16</v>
      </c>
      <c r="B53" s="186" t="s">
        <v>259</v>
      </c>
      <c r="C53" s="22">
        <v>11622.3</v>
      </c>
      <c r="D53" s="12"/>
      <c r="F53" s="25"/>
      <c r="G53" s="12"/>
    </row>
    <row r="54" spans="1:7" ht="12.6" customHeight="1" x14ac:dyDescent="0.2">
      <c r="A54" s="188"/>
      <c r="B54" s="182"/>
      <c r="C54" s="14">
        <v>11660.8</v>
      </c>
      <c r="D54" s="12"/>
      <c r="E54" s="12"/>
      <c r="F54" s="11"/>
    </row>
    <row r="55" spans="1:7" ht="12.6" customHeight="1" x14ac:dyDescent="0.2">
      <c r="A55" s="13" t="s">
        <v>282</v>
      </c>
      <c r="B55" s="19" t="s">
        <v>549</v>
      </c>
      <c r="C55" s="20">
        <v>261.60000000000002</v>
      </c>
      <c r="D55" s="12"/>
      <c r="E55" s="12"/>
    </row>
    <row r="56" spans="1:7" x14ac:dyDescent="0.2">
      <c r="A56" s="13" t="s">
        <v>494</v>
      </c>
      <c r="B56" s="23" t="s">
        <v>525</v>
      </c>
      <c r="C56" s="20">
        <v>24.7</v>
      </c>
      <c r="E56" s="12"/>
    </row>
    <row r="57" spans="1:7" ht="25.5" x14ac:dyDescent="0.2">
      <c r="A57" s="13" t="s">
        <v>495</v>
      </c>
      <c r="B57" s="23" t="s">
        <v>524</v>
      </c>
      <c r="C57" s="20">
        <v>160.69999999999999</v>
      </c>
      <c r="D57" s="12"/>
      <c r="E57" s="12"/>
    </row>
    <row r="58" spans="1:7" ht="25.5" x14ac:dyDescent="0.2">
      <c r="A58" s="13" t="s">
        <v>510</v>
      </c>
      <c r="B58" s="23" t="s">
        <v>496</v>
      </c>
      <c r="C58" s="20">
        <f>102.6-8.9</f>
        <v>93.699999999999989</v>
      </c>
      <c r="D58" s="12"/>
      <c r="E58" s="12"/>
    </row>
    <row r="59" spans="1:7" x14ac:dyDescent="0.2">
      <c r="A59" s="13" t="s">
        <v>511</v>
      </c>
      <c r="B59" s="23" t="s">
        <v>508</v>
      </c>
      <c r="C59" s="20">
        <f>132.8-65.1</f>
        <v>67.700000000000017</v>
      </c>
      <c r="D59" s="12"/>
      <c r="E59" s="12"/>
    </row>
    <row r="60" spans="1:7" ht="25.5" x14ac:dyDescent="0.2">
      <c r="A60" s="13" t="s">
        <v>512</v>
      </c>
      <c r="B60" s="23" t="s">
        <v>507</v>
      </c>
      <c r="C60" s="20">
        <v>0.7</v>
      </c>
      <c r="D60" s="12"/>
      <c r="E60" s="12"/>
    </row>
    <row r="61" spans="1:7" ht="51" x14ac:dyDescent="0.2">
      <c r="A61" s="13" t="s">
        <v>513</v>
      </c>
      <c r="B61" s="23" t="s">
        <v>526</v>
      </c>
      <c r="C61" s="20">
        <f>0.6+1+1</f>
        <v>2.6</v>
      </c>
      <c r="D61" s="12"/>
      <c r="E61" s="12"/>
    </row>
    <row r="62" spans="1:7" x14ac:dyDescent="0.2">
      <c r="A62" s="190" t="s">
        <v>523</v>
      </c>
      <c r="B62" s="186" t="s">
        <v>548</v>
      </c>
      <c r="C62" s="22">
        <v>200.4</v>
      </c>
      <c r="D62" s="12"/>
      <c r="E62" s="12"/>
    </row>
    <row r="63" spans="1:7" x14ac:dyDescent="0.2">
      <c r="A63" s="188"/>
      <c r="B63" s="189"/>
      <c r="C63" s="14">
        <f>24.9+22.6+16.5+19+23.3+23.7+20.6+23.9+25.9+27.1</f>
        <v>227.5</v>
      </c>
      <c r="D63" s="12"/>
      <c r="E63" s="12"/>
      <c r="F63" s="27"/>
    </row>
    <row r="64" spans="1:7" x14ac:dyDescent="0.2">
      <c r="A64" s="13" t="s">
        <v>547</v>
      </c>
      <c r="B64" s="19" t="s">
        <v>506</v>
      </c>
      <c r="C64" s="20">
        <v>54.6</v>
      </c>
      <c r="D64" s="12"/>
      <c r="E64" s="12"/>
    </row>
    <row r="65" spans="1:14" ht="25.5" customHeight="1" x14ac:dyDescent="0.2">
      <c r="A65" s="13" t="s">
        <v>550</v>
      </c>
      <c r="B65" s="23" t="s">
        <v>509</v>
      </c>
      <c r="C65" s="20">
        <v>282</v>
      </c>
      <c r="D65" s="12"/>
      <c r="E65" s="12"/>
      <c r="G65" s="33"/>
      <c r="H65" s="33"/>
      <c r="I65" s="33"/>
      <c r="J65" s="33"/>
      <c r="K65" s="33"/>
      <c r="L65" s="33"/>
      <c r="M65" s="33"/>
      <c r="N65" s="33"/>
    </row>
    <row r="66" spans="1:14" ht="25.5" x14ac:dyDescent="0.2">
      <c r="A66" s="13" t="s">
        <v>645</v>
      </c>
      <c r="B66" s="23" t="s">
        <v>629</v>
      </c>
      <c r="C66" s="20">
        <v>0.1</v>
      </c>
      <c r="D66" s="12"/>
      <c r="E66" s="12"/>
      <c r="G66" s="33"/>
      <c r="H66" s="33"/>
      <c r="I66" s="33"/>
      <c r="J66" s="33"/>
      <c r="K66" s="33"/>
      <c r="L66" s="33"/>
      <c r="M66" s="33"/>
      <c r="N66" s="33"/>
    </row>
    <row r="67" spans="1:14" x14ac:dyDescent="0.2">
      <c r="A67" s="13" t="s">
        <v>646</v>
      </c>
      <c r="B67" s="23" t="s">
        <v>631</v>
      </c>
      <c r="C67" s="20">
        <v>28.7</v>
      </c>
      <c r="D67" s="12"/>
      <c r="E67" s="12"/>
      <c r="G67" s="33"/>
      <c r="H67" s="33"/>
      <c r="I67" s="33"/>
      <c r="J67" s="33"/>
      <c r="K67" s="33"/>
      <c r="L67" s="33"/>
      <c r="M67" s="33"/>
      <c r="N67" s="33"/>
    </row>
    <row r="68" spans="1:14" ht="25.5" x14ac:dyDescent="0.2">
      <c r="A68" s="13" t="s">
        <v>647</v>
      </c>
      <c r="B68" s="23" t="s">
        <v>635</v>
      </c>
      <c r="C68" s="20">
        <v>18</v>
      </c>
      <c r="D68" s="12"/>
      <c r="E68" s="12"/>
      <c r="G68" s="33"/>
      <c r="H68" s="33"/>
      <c r="I68" s="33"/>
      <c r="J68" s="33"/>
      <c r="K68" s="33"/>
      <c r="L68" s="33"/>
      <c r="M68" s="33"/>
      <c r="N68" s="33"/>
    </row>
    <row r="69" spans="1:14" x14ac:dyDescent="0.2">
      <c r="A69" s="13" t="s">
        <v>648</v>
      </c>
      <c r="B69" s="23" t="s">
        <v>636</v>
      </c>
      <c r="C69" s="20">
        <f>300+484</f>
        <v>784</v>
      </c>
      <c r="D69" s="12"/>
      <c r="E69" s="12"/>
      <c r="G69" s="33"/>
      <c r="H69" s="33"/>
      <c r="I69" s="33"/>
      <c r="J69" s="33"/>
      <c r="K69" s="33"/>
      <c r="L69" s="33"/>
      <c r="M69" s="33"/>
      <c r="N69" s="33"/>
    </row>
    <row r="70" spans="1:14" x14ac:dyDescent="0.2">
      <c r="A70" s="13" t="s">
        <v>649</v>
      </c>
      <c r="B70" s="23" t="s">
        <v>644</v>
      </c>
      <c r="C70" s="20">
        <f>2878.6+117</f>
        <v>2995.6</v>
      </c>
      <c r="D70" s="12"/>
      <c r="E70" s="12"/>
      <c r="G70" s="33"/>
      <c r="H70" s="33"/>
      <c r="I70" s="33"/>
      <c r="J70" s="33"/>
      <c r="K70" s="33"/>
      <c r="L70" s="33"/>
      <c r="M70" s="33"/>
      <c r="N70" s="33"/>
    </row>
    <row r="71" spans="1:14" ht="25.5" x14ac:dyDescent="0.2">
      <c r="A71" s="13" t="s">
        <v>651</v>
      </c>
      <c r="B71" s="23" t="s">
        <v>661</v>
      </c>
      <c r="C71" s="20">
        <v>232</v>
      </c>
      <c r="D71" s="12"/>
      <c r="E71" s="12"/>
      <c r="G71" s="33"/>
      <c r="H71" s="33"/>
      <c r="I71" s="33"/>
      <c r="J71" s="33"/>
      <c r="K71" s="33"/>
      <c r="L71" s="33"/>
      <c r="M71" s="33"/>
      <c r="N71" s="33"/>
    </row>
    <row r="72" spans="1:14" ht="25.5" x14ac:dyDescent="0.2">
      <c r="A72" s="13" t="s">
        <v>652</v>
      </c>
      <c r="B72" s="23" t="s">
        <v>650</v>
      </c>
      <c r="C72" s="20">
        <f>18.5+18.7+38.8</f>
        <v>76</v>
      </c>
      <c r="D72" s="12"/>
      <c r="E72" s="12"/>
      <c r="G72" s="33"/>
      <c r="H72" s="33"/>
      <c r="I72" s="33"/>
      <c r="J72" s="33"/>
      <c r="K72" s="33"/>
      <c r="L72" s="33"/>
      <c r="M72" s="33"/>
      <c r="N72" s="33"/>
    </row>
    <row r="73" spans="1:14" ht="25.5" customHeight="1" x14ac:dyDescent="0.2">
      <c r="A73" s="13" t="s">
        <v>654</v>
      </c>
      <c r="B73" s="23" t="s">
        <v>653</v>
      </c>
      <c r="C73" s="20">
        <v>14.1</v>
      </c>
      <c r="D73" s="12"/>
      <c r="E73" s="12"/>
      <c r="G73" s="33"/>
      <c r="H73" s="33"/>
      <c r="I73" s="33"/>
      <c r="J73" s="33"/>
      <c r="K73" s="33"/>
      <c r="L73" s="33"/>
      <c r="M73" s="33"/>
      <c r="N73" s="33"/>
    </row>
    <row r="74" spans="1:14" ht="25.5" customHeight="1" x14ac:dyDescent="0.2">
      <c r="A74" s="13" t="s">
        <v>679</v>
      </c>
      <c r="B74" s="23" t="s">
        <v>663</v>
      </c>
      <c r="C74" s="20">
        <v>1639.3</v>
      </c>
      <c r="D74" s="12"/>
      <c r="E74" s="12"/>
      <c r="G74" s="33"/>
      <c r="H74" s="33"/>
      <c r="I74" s="33"/>
      <c r="J74" s="33"/>
      <c r="K74" s="33"/>
      <c r="L74" s="33"/>
      <c r="M74" s="33"/>
      <c r="N74" s="33"/>
    </row>
    <row r="75" spans="1:14" ht="25.5" customHeight="1" x14ac:dyDescent="0.2">
      <c r="A75" s="13" t="s">
        <v>680</v>
      </c>
      <c r="B75" s="23" t="s">
        <v>686</v>
      </c>
      <c r="C75" s="20">
        <v>300</v>
      </c>
      <c r="D75" s="12"/>
      <c r="E75" s="12"/>
      <c r="G75" s="33"/>
      <c r="H75" s="33"/>
      <c r="I75" s="33"/>
      <c r="J75" s="33"/>
      <c r="K75" s="33"/>
      <c r="L75" s="33"/>
      <c r="M75" s="33"/>
      <c r="N75" s="33"/>
    </row>
    <row r="76" spans="1:14" ht="25.5" customHeight="1" x14ac:dyDescent="0.2">
      <c r="A76" s="190" t="s">
        <v>681</v>
      </c>
      <c r="B76" s="186" t="s">
        <v>666</v>
      </c>
      <c r="C76" s="22">
        <v>19.100000000000001</v>
      </c>
      <c r="D76" s="12"/>
      <c r="E76" s="12"/>
      <c r="G76" s="33"/>
      <c r="H76" s="33"/>
      <c r="I76" s="33"/>
      <c r="J76" s="33"/>
      <c r="K76" s="33"/>
      <c r="L76" s="33"/>
      <c r="M76" s="33"/>
      <c r="N76" s="33"/>
    </row>
    <row r="77" spans="1:14" ht="25.5" customHeight="1" x14ac:dyDescent="0.2">
      <c r="A77" s="188"/>
      <c r="B77" s="189"/>
      <c r="C77" s="14">
        <f>8.6+10.5+4.1</f>
        <v>23.200000000000003</v>
      </c>
      <c r="D77" s="12"/>
      <c r="E77" s="12"/>
      <c r="F77" s="11"/>
      <c r="G77" s="33"/>
      <c r="H77" s="33"/>
      <c r="I77" s="33"/>
      <c r="J77" s="33"/>
      <c r="K77" s="33"/>
      <c r="L77" s="33"/>
      <c r="M77" s="33"/>
      <c r="N77" s="33"/>
    </row>
    <row r="78" spans="1:14" ht="25.5" customHeight="1" x14ac:dyDescent="0.2">
      <c r="A78" s="13" t="s">
        <v>682</v>
      </c>
      <c r="B78" s="23" t="s">
        <v>668</v>
      </c>
      <c r="C78" s="20">
        <v>13.6</v>
      </c>
      <c r="D78" s="12"/>
      <c r="E78" s="12"/>
      <c r="G78" s="33"/>
      <c r="H78" s="33"/>
      <c r="I78" s="33"/>
      <c r="J78" s="33"/>
      <c r="K78" s="33"/>
      <c r="L78" s="33"/>
      <c r="M78" s="33"/>
      <c r="N78" s="33"/>
    </row>
    <row r="79" spans="1:14" ht="25.5" customHeight="1" x14ac:dyDescent="0.2">
      <c r="A79" s="13" t="s">
        <v>683</v>
      </c>
      <c r="B79" s="23" t="s">
        <v>670</v>
      </c>
      <c r="C79" s="20">
        <v>15.4</v>
      </c>
      <c r="D79" s="12"/>
      <c r="E79" s="12"/>
      <c r="G79" s="33"/>
      <c r="H79" s="33"/>
      <c r="I79" s="33"/>
      <c r="J79" s="33"/>
      <c r="K79" s="33"/>
      <c r="L79" s="33"/>
      <c r="M79" s="33"/>
      <c r="N79" s="33"/>
    </row>
    <row r="80" spans="1:14" ht="25.5" customHeight="1" x14ac:dyDescent="0.2">
      <c r="A80" s="13" t="s">
        <v>684</v>
      </c>
      <c r="B80" s="23" t="s">
        <v>672</v>
      </c>
      <c r="C80" s="20">
        <v>27.8</v>
      </c>
      <c r="D80" s="12"/>
      <c r="E80" s="12"/>
      <c r="G80" s="33"/>
      <c r="H80" s="33"/>
      <c r="I80" s="33"/>
      <c r="J80" s="33"/>
      <c r="K80" s="33"/>
      <c r="L80" s="33"/>
      <c r="M80" s="33"/>
      <c r="N80" s="33"/>
    </row>
    <row r="81" spans="1:14" ht="25.5" customHeight="1" x14ac:dyDescent="0.2">
      <c r="A81" s="13" t="s">
        <v>685</v>
      </c>
      <c r="B81" s="23" t="s">
        <v>688</v>
      </c>
      <c r="C81" s="20">
        <v>30</v>
      </c>
      <c r="D81" s="12"/>
      <c r="E81" s="12"/>
      <c r="G81" s="33"/>
      <c r="H81" s="33"/>
      <c r="I81" s="33"/>
      <c r="J81" s="33"/>
      <c r="K81" s="33"/>
      <c r="L81" s="33"/>
      <c r="M81" s="33"/>
      <c r="N81" s="33"/>
    </row>
    <row r="82" spans="1:14" ht="25.5" customHeight="1" x14ac:dyDescent="0.2">
      <c r="A82" s="13" t="s">
        <v>687</v>
      </c>
      <c r="B82" s="23" t="s">
        <v>692</v>
      </c>
      <c r="C82" s="20">
        <v>32</v>
      </c>
      <c r="D82" s="12"/>
      <c r="E82" s="12"/>
      <c r="G82" s="33"/>
      <c r="H82" s="33"/>
      <c r="I82" s="33"/>
      <c r="J82" s="33"/>
      <c r="K82" s="33"/>
      <c r="L82" s="33"/>
      <c r="M82" s="33"/>
      <c r="N82" s="33"/>
    </row>
    <row r="83" spans="1:14" ht="51" x14ac:dyDescent="0.2">
      <c r="A83" s="13" t="s">
        <v>693</v>
      </c>
      <c r="B83" s="23" t="s">
        <v>712</v>
      </c>
      <c r="C83" s="20">
        <f>5.8+10.2</f>
        <v>16</v>
      </c>
      <c r="D83" s="12"/>
      <c r="E83" s="12"/>
      <c r="G83" s="33"/>
      <c r="H83" s="33"/>
      <c r="I83" s="33"/>
      <c r="J83" s="33"/>
      <c r="K83" s="33"/>
      <c r="L83" s="33"/>
      <c r="M83" s="33"/>
      <c r="N83" s="33"/>
    </row>
    <row r="84" spans="1:14" ht="51" x14ac:dyDescent="0.2">
      <c r="A84" s="13" t="s">
        <v>694</v>
      </c>
      <c r="B84" s="23" t="s">
        <v>713</v>
      </c>
      <c r="C84" s="20">
        <f>51.7+46</f>
        <v>97.7</v>
      </c>
      <c r="D84" s="12"/>
      <c r="E84" s="12"/>
      <c r="G84" s="33"/>
      <c r="H84" s="33"/>
      <c r="I84" s="33"/>
      <c r="J84" s="33"/>
      <c r="K84" s="33"/>
      <c r="L84" s="33"/>
      <c r="M84" s="33"/>
      <c r="N84" s="33"/>
    </row>
    <row r="85" spans="1:14" ht="51" x14ac:dyDescent="0.2">
      <c r="A85" s="13" t="s">
        <v>695</v>
      </c>
      <c r="B85" s="23" t="s">
        <v>714</v>
      </c>
      <c r="C85" s="20">
        <f>0.4+0.6</f>
        <v>1</v>
      </c>
      <c r="D85" s="12"/>
      <c r="E85" s="12"/>
      <c r="G85" s="33"/>
      <c r="H85" s="33"/>
      <c r="I85" s="33"/>
      <c r="J85" s="33"/>
      <c r="K85" s="33"/>
      <c r="L85" s="33"/>
      <c r="M85" s="33"/>
      <c r="N85" s="33"/>
    </row>
    <row r="86" spans="1:14" ht="25.5" x14ac:dyDescent="0.2">
      <c r="A86" s="13" t="s">
        <v>697</v>
      </c>
      <c r="B86" s="23" t="s">
        <v>698</v>
      </c>
      <c r="C86" s="20">
        <v>147.19999999999999</v>
      </c>
      <c r="D86" s="12"/>
      <c r="E86" s="12"/>
      <c r="G86" s="33"/>
      <c r="H86" s="33"/>
      <c r="I86" s="33"/>
      <c r="J86" s="33"/>
      <c r="K86" s="33"/>
      <c r="L86" s="33"/>
      <c r="M86" s="33"/>
      <c r="N86" s="33"/>
    </row>
    <row r="87" spans="1:14" ht="38.25" x14ac:dyDescent="0.2">
      <c r="A87" s="13" t="s">
        <v>700</v>
      </c>
      <c r="B87" s="23" t="s">
        <v>705</v>
      </c>
      <c r="C87" s="20">
        <v>1482.4</v>
      </c>
      <c r="D87" s="12"/>
      <c r="E87" s="12"/>
      <c r="G87" s="33"/>
      <c r="H87" s="33"/>
      <c r="I87" s="33"/>
      <c r="J87" s="33"/>
      <c r="K87" s="33"/>
      <c r="L87" s="33"/>
      <c r="M87" s="33"/>
      <c r="N87" s="33"/>
    </row>
    <row r="88" spans="1:14" ht="25.5" x14ac:dyDescent="0.2">
      <c r="A88" s="13" t="s">
        <v>701</v>
      </c>
      <c r="B88" s="23" t="s">
        <v>702</v>
      </c>
      <c r="C88" s="20">
        <v>2496.5</v>
      </c>
      <c r="D88" s="12"/>
      <c r="E88" s="12"/>
      <c r="G88" s="33"/>
      <c r="H88" s="33"/>
      <c r="I88" s="33"/>
      <c r="J88" s="33"/>
      <c r="K88" s="33"/>
      <c r="L88" s="33"/>
      <c r="M88" s="33"/>
      <c r="N88" s="33"/>
    </row>
    <row r="89" spans="1:14" ht="38.25" x14ac:dyDescent="0.2">
      <c r="A89" s="13" t="s">
        <v>718</v>
      </c>
      <c r="B89" s="23" t="s">
        <v>719</v>
      </c>
      <c r="C89" s="20">
        <f>0.5+0.3</f>
        <v>0.8</v>
      </c>
      <c r="D89" s="12"/>
      <c r="E89" s="12"/>
      <c r="G89" s="33"/>
      <c r="H89" s="33"/>
      <c r="I89" s="33"/>
      <c r="J89" s="33"/>
      <c r="K89" s="33"/>
      <c r="L89" s="33"/>
      <c r="M89" s="33"/>
      <c r="N89" s="33"/>
    </row>
    <row r="90" spans="1:14" x14ac:dyDescent="0.2">
      <c r="A90" s="13" t="s">
        <v>724</v>
      </c>
      <c r="B90" s="23" t="s">
        <v>725</v>
      </c>
      <c r="C90" s="20">
        <v>6.3</v>
      </c>
      <c r="D90" s="12"/>
      <c r="E90" s="12"/>
      <c r="G90" s="33"/>
      <c r="H90" s="33"/>
      <c r="I90" s="33"/>
      <c r="J90" s="33"/>
      <c r="K90" s="33"/>
      <c r="L90" s="33"/>
      <c r="M90" s="33"/>
      <c r="N90" s="33"/>
    </row>
    <row r="91" spans="1:14" x14ac:dyDescent="0.2">
      <c r="A91" s="190" t="s">
        <v>728</v>
      </c>
      <c r="B91" s="186" t="s">
        <v>731</v>
      </c>
      <c r="C91" s="22">
        <v>0</v>
      </c>
      <c r="D91" s="12"/>
      <c r="E91" s="12"/>
      <c r="G91" s="33"/>
      <c r="H91" s="33"/>
      <c r="I91" s="33"/>
      <c r="J91" s="33"/>
      <c r="K91" s="33"/>
      <c r="L91" s="33"/>
      <c r="M91" s="33"/>
      <c r="N91" s="33"/>
    </row>
    <row r="92" spans="1:14" x14ac:dyDescent="0.2">
      <c r="A92" s="188"/>
      <c r="B92" s="189"/>
      <c r="C92" s="14">
        <v>7.3</v>
      </c>
      <c r="D92" s="12"/>
      <c r="E92" s="12"/>
      <c r="G92" s="33"/>
      <c r="H92" s="33"/>
      <c r="I92" s="33"/>
      <c r="J92" s="33"/>
      <c r="K92" s="33"/>
      <c r="L92" s="33"/>
      <c r="M92" s="33"/>
      <c r="N92" s="33"/>
    </row>
    <row r="93" spans="1:14" x14ac:dyDescent="0.2">
      <c r="A93" s="13">
        <v>17</v>
      </c>
      <c r="B93" s="7" t="s">
        <v>347</v>
      </c>
      <c r="C93" s="14">
        <f>C94+C99+C103+C106+C107+C109</f>
        <v>4832</v>
      </c>
      <c r="D93" s="12"/>
      <c r="F93" s="11"/>
      <c r="G93" s="11"/>
    </row>
    <row r="94" spans="1:14" x14ac:dyDescent="0.2">
      <c r="A94" s="13">
        <v>18</v>
      </c>
      <c r="B94" s="7" t="s">
        <v>348</v>
      </c>
      <c r="C94" s="14">
        <f>C96+C97+C98+C95</f>
        <v>720</v>
      </c>
      <c r="D94" s="17"/>
    </row>
    <row r="95" spans="1:14" x14ac:dyDescent="0.2">
      <c r="A95" s="13">
        <v>19</v>
      </c>
      <c r="B95" s="34" t="s">
        <v>260</v>
      </c>
      <c r="C95" s="20">
        <v>20</v>
      </c>
      <c r="D95" s="12"/>
    </row>
    <row r="96" spans="1:14" ht="25.5" x14ac:dyDescent="0.2">
      <c r="A96" s="13">
        <v>20</v>
      </c>
      <c r="B96" s="23" t="s">
        <v>261</v>
      </c>
      <c r="C96" s="20">
        <v>600</v>
      </c>
      <c r="D96" s="12"/>
    </row>
    <row r="97" spans="1:8" x14ac:dyDescent="0.2">
      <c r="A97" s="13">
        <v>21</v>
      </c>
      <c r="B97" s="19" t="s">
        <v>262</v>
      </c>
      <c r="C97" s="20">
        <v>50</v>
      </c>
      <c r="D97" s="17"/>
    </row>
    <row r="98" spans="1:8" x14ac:dyDescent="0.2">
      <c r="A98" s="13">
        <v>22</v>
      </c>
      <c r="B98" s="35" t="s">
        <v>176</v>
      </c>
      <c r="C98" s="20">
        <v>50</v>
      </c>
      <c r="D98" s="17"/>
    </row>
    <row r="99" spans="1:8" x14ac:dyDescent="0.2">
      <c r="A99" s="13">
        <v>23</v>
      </c>
      <c r="B99" s="7" t="s">
        <v>349</v>
      </c>
      <c r="C99" s="14">
        <f>+C101+C100+C102</f>
        <v>2083</v>
      </c>
      <c r="D99" s="12"/>
    </row>
    <row r="100" spans="1:8" x14ac:dyDescent="0.2">
      <c r="A100" s="13">
        <v>24</v>
      </c>
      <c r="B100" s="19" t="s">
        <v>263</v>
      </c>
      <c r="C100" s="20">
        <v>259.10000000000002</v>
      </c>
      <c r="D100" s="17"/>
      <c r="E100" s="17"/>
      <c r="F100" s="25"/>
    </row>
    <row r="101" spans="1:8" x14ac:dyDescent="0.2">
      <c r="A101" s="13">
        <v>25</v>
      </c>
      <c r="B101" s="19" t="s">
        <v>264</v>
      </c>
      <c r="C101" s="20">
        <v>148.69999999999999</v>
      </c>
      <c r="D101" s="17"/>
      <c r="E101" s="17"/>
      <c r="F101" s="25"/>
    </row>
    <row r="102" spans="1:8" x14ac:dyDescent="0.2">
      <c r="A102" s="13">
        <v>26</v>
      </c>
      <c r="B102" s="19" t="s">
        <v>265</v>
      </c>
      <c r="C102" s="20">
        <v>1675.2</v>
      </c>
      <c r="D102" s="17"/>
      <c r="E102" s="17"/>
      <c r="F102" s="25"/>
    </row>
    <row r="103" spans="1:8" x14ac:dyDescent="0.2">
      <c r="A103" s="13">
        <v>27</v>
      </c>
      <c r="B103" s="7" t="s">
        <v>350</v>
      </c>
      <c r="C103" s="10">
        <f>+C104+C105</f>
        <v>1645</v>
      </c>
      <c r="D103" s="12"/>
      <c r="E103" s="25"/>
      <c r="F103" s="25"/>
    </row>
    <row r="104" spans="1:8" x14ac:dyDescent="0.2">
      <c r="A104" s="13">
        <v>28</v>
      </c>
      <c r="B104" s="19" t="s">
        <v>266</v>
      </c>
      <c r="C104" s="20">
        <v>45</v>
      </c>
      <c r="D104" s="12"/>
      <c r="G104" s="11"/>
    </row>
    <row r="105" spans="1:8" x14ac:dyDescent="0.2">
      <c r="A105" s="13">
        <v>29</v>
      </c>
      <c r="B105" s="19" t="s">
        <v>267</v>
      </c>
      <c r="C105" s="20">
        <v>1600</v>
      </c>
      <c r="E105" s="17"/>
    </row>
    <row r="106" spans="1:8" x14ac:dyDescent="0.2">
      <c r="A106" s="13">
        <v>30</v>
      </c>
      <c r="B106" s="7" t="s">
        <v>268</v>
      </c>
      <c r="C106" s="14">
        <v>50</v>
      </c>
      <c r="D106" s="12"/>
      <c r="E106" s="25"/>
      <c r="F106" s="25"/>
    </row>
    <row r="107" spans="1:8" x14ac:dyDescent="0.2">
      <c r="A107" s="13">
        <v>31</v>
      </c>
      <c r="B107" s="7" t="s">
        <v>519</v>
      </c>
      <c r="C107" s="14">
        <f>8+C108</f>
        <v>233</v>
      </c>
      <c r="D107" s="12"/>
      <c r="E107" s="12"/>
    </row>
    <row r="108" spans="1:8" x14ac:dyDescent="0.2">
      <c r="A108" s="13" t="s">
        <v>412</v>
      </c>
      <c r="B108" s="19" t="s">
        <v>518</v>
      </c>
      <c r="C108" s="20">
        <v>225</v>
      </c>
      <c r="D108" s="12"/>
      <c r="E108" s="12"/>
    </row>
    <row r="109" spans="1:8" x14ac:dyDescent="0.2">
      <c r="A109" s="13">
        <v>32</v>
      </c>
      <c r="B109" s="7" t="s">
        <v>269</v>
      </c>
      <c r="C109" s="14">
        <v>101</v>
      </c>
      <c r="D109" s="12"/>
    </row>
    <row r="110" spans="1:8" x14ac:dyDescent="0.2">
      <c r="A110" s="190">
        <v>33</v>
      </c>
      <c r="B110" s="192" t="s">
        <v>351</v>
      </c>
      <c r="C110" s="271">
        <v>88833.7</v>
      </c>
      <c r="D110" s="12"/>
    </row>
    <row r="111" spans="1:8" ht="13.5" x14ac:dyDescent="0.25">
      <c r="A111" s="188"/>
      <c r="B111" s="188"/>
      <c r="C111" s="14">
        <v>89267</v>
      </c>
      <c r="D111" s="36"/>
      <c r="E111" s="12"/>
      <c r="F111" s="11"/>
      <c r="G111" s="37"/>
      <c r="H111" s="38"/>
    </row>
    <row r="112" spans="1:8" ht="12.6" customHeight="1" x14ac:dyDescent="0.2">
      <c r="A112" s="13">
        <v>34</v>
      </c>
      <c r="B112" s="16" t="s">
        <v>270</v>
      </c>
      <c r="C112" s="10">
        <f>1836.7+426+532+1046</f>
        <v>3840.7</v>
      </c>
      <c r="D112" s="21"/>
      <c r="F112" s="12"/>
    </row>
    <row r="113" spans="1:11" ht="12.6" customHeight="1" x14ac:dyDescent="0.2">
      <c r="A113" s="190">
        <v>35</v>
      </c>
      <c r="B113" s="191" t="s">
        <v>352</v>
      </c>
      <c r="C113" s="271">
        <v>92674.4</v>
      </c>
      <c r="D113" s="21"/>
      <c r="F113" s="12"/>
    </row>
    <row r="114" spans="1:11" ht="12.6" customHeight="1" x14ac:dyDescent="0.2">
      <c r="A114" s="188"/>
      <c r="B114" s="188"/>
      <c r="C114" s="14">
        <v>93107.7</v>
      </c>
      <c r="D114" s="12"/>
      <c r="E114" s="12"/>
      <c r="F114" s="12"/>
      <c r="G114" s="12"/>
    </row>
    <row r="115" spans="1:11" ht="12.6" customHeight="1" x14ac:dyDescent="0.2">
      <c r="A115" s="13">
        <v>36</v>
      </c>
      <c r="B115" s="7" t="s">
        <v>411</v>
      </c>
      <c r="C115" s="14">
        <f>+C116+C118+C117+C119+C120+C121+C122+C123+C124</f>
        <v>7372.4</v>
      </c>
      <c r="E115" s="12"/>
      <c r="F115" s="12"/>
      <c r="G115" s="12"/>
    </row>
    <row r="116" spans="1:11" x14ac:dyDescent="0.2">
      <c r="A116" s="13">
        <v>37</v>
      </c>
      <c r="B116" s="19" t="s">
        <v>271</v>
      </c>
      <c r="C116" s="20">
        <v>6100.4</v>
      </c>
      <c r="D116" s="12"/>
      <c r="E116" s="12"/>
      <c r="F116" s="24"/>
      <c r="G116" s="24"/>
      <c r="H116" s="11"/>
    </row>
    <row r="117" spans="1:11" ht="12.6" customHeight="1" x14ac:dyDescent="0.2">
      <c r="A117" s="13">
        <v>38</v>
      </c>
      <c r="B117" s="19" t="s">
        <v>272</v>
      </c>
      <c r="C117" s="20">
        <v>109.5</v>
      </c>
      <c r="D117" s="17"/>
      <c r="E117" s="17"/>
      <c r="F117" s="12"/>
      <c r="G117" s="12"/>
    </row>
    <row r="118" spans="1:11" ht="12.6" customHeight="1" x14ac:dyDescent="0.2">
      <c r="A118" s="13">
        <v>39</v>
      </c>
      <c r="B118" s="19" t="s">
        <v>273</v>
      </c>
      <c r="C118" s="20">
        <v>49.3</v>
      </c>
      <c r="D118" s="17"/>
      <c r="E118" s="17"/>
      <c r="F118" s="12"/>
      <c r="G118" s="12"/>
    </row>
    <row r="119" spans="1:11" ht="12.6" customHeight="1" x14ac:dyDescent="0.2">
      <c r="A119" s="13">
        <v>40</v>
      </c>
      <c r="B119" s="23" t="s">
        <v>274</v>
      </c>
      <c r="C119" s="20">
        <v>193.8</v>
      </c>
      <c r="D119" s="17"/>
      <c r="E119" s="17"/>
      <c r="F119" s="12"/>
      <c r="G119" s="12"/>
    </row>
    <row r="120" spans="1:11" ht="12.6" customHeight="1" x14ac:dyDescent="0.2">
      <c r="A120" s="13">
        <v>41</v>
      </c>
      <c r="B120" s="19" t="s">
        <v>275</v>
      </c>
      <c r="C120" s="20">
        <v>331.2</v>
      </c>
      <c r="D120" s="12"/>
      <c r="G120" s="12"/>
    </row>
    <row r="121" spans="1:11" ht="12.6" customHeight="1" x14ac:dyDescent="0.2">
      <c r="A121" s="13">
        <v>42</v>
      </c>
      <c r="B121" s="19" t="s">
        <v>276</v>
      </c>
      <c r="C121" s="20">
        <v>13</v>
      </c>
      <c r="D121" s="12"/>
      <c r="E121" s="17"/>
      <c r="F121" s="12"/>
      <c r="G121" s="12"/>
    </row>
    <row r="122" spans="1:11" ht="12.6" customHeight="1" x14ac:dyDescent="0.2">
      <c r="A122" s="13">
        <v>43</v>
      </c>
      <c r="B122" s="19" t="s">
        <v>277</v>
      </c>
      <c r="C122" s="20">
        <f>+(224.1+69.8-57.3)+(295.8+10.2-181)</f>
        <v>361.59999999999997</v>
      </c>
      <c r="D122" s="12"/>
      <c r="E122" s="39"/>
      <c r="F122" s="12"/>
      <c r="G122" s="12"/>
    </row>
    <row r="123" spans="1:11" ht="12.6" customHeight="1" x14ac:dyDescent="0.2">
      <c r="A123" s="13">
        <v>44</v>
      </c>
      <c r="B123" s="29" t="s">
        <v>240</v>
      </c>
      <c r="C123" s="20">
        <v>213.2</v>
      </c>
      <c r="D123" s="12"/>
      <c r="E123" s="17"/>
      <c r="F123" s="17"/>
      <c r="G123" s="12"/>
      <c r="K123" s="11"/>
    </row>
    <row r="124" spans="1:11" ht="12.6" customHeight="1" x14ac:dyDescent="0.2">
      <c r="A124" s="13">
        <v>45</v>
      </c>
      <c r="B124" s="29" t="s">
        <v>278</v>
      </c>
      <c r="C124" s="20">
        <v>0.4</v>
      </c>
      <c r="D124" s="12"/>
      <c r="E124" s="17"/>
      <c r="F124" s="17"/>
      <c r="G124" s="12"/>
    </row>
    <row r="125" spans="1:11" ht="12.6" customHeight="1" x14ac:dyDescent="0.2">
      <c r="A125" s="190">
        <v>46</v>
      </c>
      <c r="B125" s="192" t="s">
        <v>279</v>
      </c>
      <c r="C125" s="271" t="s">
        <v>304</v>
      </c>
      <c r="D125" s="12"/>
      <c r="E125" s="17"/>
      <c r="F125" s="17"/>
      <c r="G125" s="12"/>
    </row>
    <row r="126" spans="1:11" ht="12.6" customHeight="1" x14ac:dyDescent="0.2">
      <c r="A126" s="188"/>
      <c r="B126" s="188"/>
      <c r="C126" s="40">
        <v>100480.1</v>
      </c>
      <c r="D126" s="18"/>
      <c r="E126" s="18"/>
      <c r="F126" s="11"/>
      <c r="G126" s="11"/>
    </row>
    <row r="127" spans="1:11" ht="12.6" customHeight="1" x14ac:dyDescent="0.2">
      <c r="A127" s="1"/>
      <c r="B127" s="41" t="s">
        <v>280</v>
      </c>
      <c r="C127" s="42"/>
    </row>
    <row r="128" spans="1:11" ht="12.6" customHeight="1" x14ac:dyDescent="0.2">
      <c r="A128" s="1"/>
      <c r="B128" s="41"/>
      <c r="C128" s="21"/>
    </row>
    <row r="129" spans="1:7" ht="12.6" customHeight="1" x14ac:dyDescent="0.2">
      <c r="A129" s="1"/>
      <c r="B129" s="41"/>
      <c r="C129" s="21"/>
    </row>
    <row r="130" spans="1:7" x14ac:dyDescent="0.2">
      <c r="B130" s="43"/>
      <c r="G130" s="11"/>
    </row>
    <row r="131" spans="1:7" x14ac:dyDescent="0.2">
      <c r="B131" s="43"/>
      <c r="C131" s="21"/>
      <c r="G131" s="11"/>
    </row>
    <row r="132" spans="1:7" x14ac:dyDescent="0.2">
      <c r="B132" s="43"/>
      <c r="C132" s="21"/>
      <c r="G132" s="11"/>
    </row>
    <row r="133" spans="1:7" x14ac:dyDescent="0.2">
      <c r="B133" s="43"/>
      <c r="C133" s="21"/>
      <c r="G133" s="11"/>
    </row>
    <row r="134" spans="1:7" x14ac:dyDescent="0.2">
      <c r="B134" s="43"/>
      <c r="C134" s="11"/>
      <c r="D134" s="21"/>
      <c r="F134" s="12"/>
      <c r="G134" s="11"/>
    </row>
    <row r="135" spans="1:7" x14ac:dyDescent="0.2">
      <c r="B135" s="43"/>
      <c r="C135" s="21"/>
      <c r="D135" s="11"/>
    </row>
    <row r="136" spans="1:7" x14ac:dyDescent="0.2">
      <c r="B136" s="43"/>
      <c r="C136" s="21"/>
      <c r="D136" s="174"/>
    </row>
    <row r="137" spans="1:7" x14ac:dyDescent="0.2">
      <c r="B137" s="43"/>
      <c r="C137" s="21"/>
      <c r="D137" s="175"/>
    </row>
    <row r="138" spans="1:7" ht="15.75" x14ac:dyDescent="0.25">
      <c r="B138" s="45"/>
      <c r="C138" s="46"/>
      <c r="G138" s="11"/>
    </row>
    <row r="144" spans="1:7" x14ac:dyDescent="0.2">
      <c r="G144" s="11"/>
    </row>
    <row r="146" spans="5:5" ht="12" customHeight="1" x14ac:dyDescent="0.2"/>
    <row r="147" spans="5:5" ht="12" customHeight="1" x14ac:dyDescent="0.2"/>
    <row r="148" spans="5:5" ht="12" customHeight="1" x14ac:dyDescent="0.2"/>
    <row r="149" spans="5:5" ht="12" customHeight="1" x14ac:dyDescent="0.2"/>
    <row r="150" spans="5:5" ht="12" customHeight="1" x14ac:dyDescent="0.2"/>
    <row r="151" spans="5:5" ht="12" customHeight="1" x14ac:dyDescent="0.2"/>
    <row r="152" spans="5:5" ht="12" customHeight="1" x14ac:dyDescent="0.2"/>
    <row r="153" spans="5:5" ht="12" customHeight="1" x14ac:dyDescent="0.2"/>
    <row r="154" spans="5:5" x14ac:dyDescent="0.2">
      <c r="E154" s="27"/>
    </row>
  </sheetData>
  <mergeCells count="27">
    <mergeCell ref="A62:A63"/>
    <mergeCell ref="B113:B114"/>
    <mergeCell ref="A113:A114"/>
    <mergeCell ref="B125:B126"/>
    <mergeCell ref="A125:A126"/>
    <mergeCell ref="B76:B77"/>
    <mergeCell ref="A76:A77"/>
    <mergeCell ref="B91:B92"/>
    <mergeCell ref="A91:A92"/>
    <mergeCell ref="B110:B111"/>
    <mergeCell ref="A110:A111"/>
    <mergeCell ref="D136:D137"/>
    <mergeCell ref="A2:C2"/>
    <mergeCell ref="B1:C1"/>
    <mergeCell ref="B7:B8"/>
    <mergeCell ref="A7:A8"/>
    <mergeCell ref="B14:B15"/>
    <mergeCell ref="A14:A15"/>
    <mergeCell ref="A18:A19"/>
    <mergeCell ref="B18:B19"/>
    <mergeCell ref="B23:B24"/>
    <mergeCell ref="A23:A24"/>
    <mergeCell ref="B49:B50"/>
    <mergeCell ref="A49:A50"/>
    <mergeCell ref="B53:B54"/>
    <mergeCell ref="A53:A54"/>
    <mergeCell ref="B62:B63"/>
  </mergeCells>
  <phoneticPr fontId="11" type="noConversion"/>
  <pageMargins left="0.31496062992125984" right="0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P352"/>
  <sheetViews>
    <sheetView zoomScaleNormal="100" workbookViewId="0">
      <selection activeCell="C324" sqref="C324"/>
    </sheetView>
  </sheetViews>
  <sheetFormatPr defaultColWidth="9.140625" defaultRowHeight="12.75" x14ac:dyDescent="0.2"/>
  <cols>
    <col min="1" max="1" width="5.85546875" style="47" customWidth="1"/>
    <col min="2" max="2" width="6.7109375" style="48" customWidth="1"/>
    <col min="3" max="3" width="51.28515625" style="9" customWidth="1"/>
    <col min="4" max="4" width="11.42578125" style="49" customWidth="1"/>
    <col min="5" max="5" width="9.7109375" style="9" customWidth="1"/>
    <col min="6" max="6" width="11" style="9" customWidth="1"/>
    <col min="7" max="16384" width="9.140625" style="2"/>
  </cols>
  <sheetData>
    <row r="1" spans="1:11" ht="15.75" customHeight="1" x14ac:dyDescent="0.25">
      <c r="C1" s="177" t="s">
        <v>733</v>
      </c>
      <c r="D1" s="177"/>
      <c r="E1" s="177"/>
      <c r="F1" s="177"/>
    </row>
    <row r="2" spans="1:11" ht="14.25" customHeight="1" x14ac:dyDescent="0.2">
      <c r="B2" s="49"/>
      <c r="E2" s="199" t="s">
        <v>110</v>
      </c>
      <c r="F2" s="199"/>
      <c r="K2" s="51"/>
    </row>
    <row r="3" spans="1:11" ht="15.75" x14ac:dyDescent="0.2">
      <c r="B3" s="49"/>
      <c r="E3" s="50"/>
      <c r="F3" s="50"/>
    </row>
    <row r="4" spans="1:11" ht="25.5" customHeight="1" x14ac:dyDescent="0.2">
      <c r="A4" s="200" t="s">
        <v>366</v>
      </c>
      <c r="B4" s="200"/>
      <c r="C4" s="200"/>
      <c r="D4" s="200"/>
      <c r="E4" s="200"/>
      <c r="F4" s="200"/>
    </row>
    <row r="5" spans="1:11" x14ac:dyDescent="0.2">
      <c r="A5" s="52"/>
      <c r="B5" s="52"/>
      <c r="C5" s="52"/>
      <c r="D5" s="52"/>
      <c r="E5" s="52"/>
      <c r="F5" s="52"/>
    </row>
    <row r="6" spans="1:11" x14ac:dyDescent="0.2">
      <c r="B6" s="49"/>
      <c r="E6" s="47"/>
      <c r="F6" s="53" t="s">
        <v>123</v>
      </c>
    </row>
    <row r="7" spans="1:11" ht="43.5" customHeight="1" x14ac:dyDescent="0.2">
      <c r="A7" s="54" t="s">
        <v>112</v>
      </c>
      <c r="B7" s="55" t="s">
        <v>288</v>
      </c>
      <c r="C7" s="54" t="s">
        <v>16</v>
      </c>
      <c r="D7" s="55" t="s">
        <v>51</v>
      </c>
      <c r="E7" s="54" t="s">
        <v>17</v>
      </c>
      <c r="F7" s="54" t="s">
        <v>28</v>
      </c>
      <c r="G7" s="12"/>
      <c r="H7" s="12"/>
    </row>
    <row r="8" spans="1:11" x14ac:dyDescent="0.2">
      <c r="A8" s="56">
        <v>1</v>
      </c>
      <c r="B8" s="57" t="s">
        <v>18</v>
      </c>
      <c r="C8" s="54">
        <v>3</v>
      </c>
      <c r="D8" s="55">
        <v>4</v>
      </c>
      <c r="E8" s="54">
        <v>5</v>
      </c>
      <c r="F8" s="54">
        <v>6</v>
      </c>
      <c r="G8" s="12"/>
      <c r="H8" s="12"/>
    </row>
    <row r="9" spans="1:11" x14ac:dyDescent="0.2">
      <c r="A9" s="193">
        <v>1</v>
      </c>
      <c r="B9" s="203" t="s">
        <v>52</v>
      </c>
      <c r="C9" s="201" t="s">
        <v>53</v>
      </c>
      <c r="D9" s="206"/>
      <c r="E9" s="272">
        <v>16000.4</v>
      </c>
      <c r="F9" s="58"/>
      <c r="G9" s="12"/>
      <c r="H9" s="12"/>
    </row>
    <row r="10" spans="1:11" ht="20.100000000000001" customHeight="1" x14ac:dyDescent="0.2">
      <c r="A10" s="205"/>
      <c r="B10" s="204"/>
      <c r="C10" s="202"/>
      <c r="D10" s="207"/>
      <c r="E10" s="59">
        <v>16020.4</v>
      </c>
      <c r="F10" s="59">
        <v>11114.6</v>
      </c>
      <c r="G10" s="12"/>
      <c r="H10" s="12"/>
      <c r="I10" s="60"/>
      <c r="J10" s="60"/>
    </row>
    <row r="11" spans="1:11" ht="12.6" customHeight="1" x14ac:dyDescent="0.2">
      <c r="A11" s="61">
        <v>2</v>
      </c>
      <c r="B11" s="62"/>
      <c r="C11" s="63" t="s">
        <v>159</v>
      </c>
      <c r="D11" s="62" t="s">
        <v>54</v>
      </c>
      <c r="E11" s="64">
        <f>447.7+32.9</f>
        <v>480.59999999999997</v>
      </c>
      <c r="F11" s="64">
        <f>354.9+32.2</f>
        <v>387.09999999999997</v>
      </c>
      <c r="G11" s="12"/>
      <c r="H11" s="12"/>
    </row>
    <row r="12" spans="1:11" ht="12.6" customHeight="1" x14ac:dyDescent="0.2">
      <c r="A12" s="61">
        <v>3</v>
      </c>
      <c r="B12" s="62"/>
      <c r="C12" s="63" t="s">
        <v>150</v>
      </c>
      <c r="D12" s="62" t="s">
        <v>54</v>
      </c>
      <c r="E12" s="64">
        <f>486.3+35.9</f>
        <v>522.20000000000005</v>
      </c>
      <c r="F12" s="64">
        <f>387.8+35.2</f>
        <v>423</v>
      </c>
      <c r="G12" s="12"/>
      <c r="H12" s="12"/>
    </row>
    <row r="13" spans="1:11" ht="12.6" customHeight="1" x14ac:dyDescent="0.2">
      <c r="A13" s="61">
        <v>4</v>
      </c>
      <c r="B13" s="62"/>
      <c r="C13" s="63" t="s">
        <v>151</v>
      </c>
      <c r="D13" s="62" t="s">
        <v>54</v>
      </c>
      <c r="E13" s="64">
        <f>448.2+32.6</f>
        <v>480.8</v>
      </c>
      <c r="F13" s="64">
        <f>351.9+31.9</f>
        <v>383.79999999999995</v>
      </c>
      <c r="G13" s="12"/>
      <c r="H13" s="12"/>
    </row>
    <row r="14" spans="1:11" ht="12.6" customHeight="1" x14ac:dyDescent="0.2">
      <c r="A14" s="61">
        <v>5</v>
      </c>
      <c r="B14" s="62"/>
      <c r="C14" s="63" t="s">
        <v>155</v>
      </c>
      <c r="D14" s="62" t="s">
        <v>54</v>
      </c>
      <c r="E14" s="64">
        <f>450.2+32.7</f>
        <v>482.9</v>
      </c>
      <c r="F14" s="64">
        <f>352.9+32</f>
        <v>384.9</v>
      </c>
      <c r="G14" s="12"/>
      <c r="H14" s="12"/>
    </row>
    <row r="15" spans="1:11" ht="12.6" customHeight="1" x14ac:dyDescent="0.2">
      <c r="A15" s="61">
        <v>6</v>
      </c>
      <c r="B15" s="62"/>
      <c r="C15" s="63" t="s">
        <v>152</v>
      </c>
      <c r="D15" s="62" t="s">
        <v>54</v>
      </c>
      <c r="E15" s="64">
        <f>468.8+34.3</f>
        <v>503.1</v>
      </c>
      <c r="F15" s="64">
        <f>369.8+33.6</f>
        <v>403.40000000000003</v>
      </c>
      <c r="G15" s="12"/>
      <c r="H15" s="12"/>
    </row>
    <row r="16" spans="1:11" ht="12.6" customHeight="1" x14ac:dyDescent="0.2">
      <c r="A16" s="61">
        <v>7</v>
      </c>
      <c r="B16" s="62"/>
      <c r="C16" s="63" t="s">
        <v>153</v>
      </c>
      <c r="D16" s="62" t="s">
        <v>54</v>
      </c>
      <c r="E16" s="64">
        <f>541.5+40.3</f>
        <v>581.79999999999995</v>
      </c>
      <c r="F16" s="64">
        <f>435.1+39.5</f>
        <v>474.6</v>
      </c>
      <c r="G16" s="12"/>
      <c r="H16" s="12"/>
    </row>
    <row r="17" spans="1:8" ht="12.6" customHeight="1" x14ac:dyDescent="0.2">
      <c r="A17" s="61">
        <v>8</v>
      </c>
      <c r="B17" s="62"/>
      <c r="C17" s="63" t="s">
        <v>154</v>
      </c>
      <c r="D17" s="62" t="s">
        <v>54</v>
      </c>
      <c r="E17" s="64">
        <f>510+36.7</f>
        <v>546.70000000000005</v>
      </c>
      <c r="F17" s="64">
        <f>396.3+36</f>
        <v>432.3</v>
      </c>
      <c r="G17" s="12"/>
      <c r="H17" s="12"/>
    </row>
    <row r="18" spans="1:8" ht="12.6" customHeight="1" x14ac:dyDescent="0.2">
      <c r="A18" s="61">
        <v>9</v>
      </c>
      <c r="B18" s="62"/>
      <c r="C18" s="65" t="s">
        <v>177</v>
      </c>
      <c r="D18" s="62" t="s">
        <v>55</v>
      </c>
      <c r="E18" s="64">
        <f>444.6+32.1</f>
        <v>476.70000000000005</v>
      </c>
      <c r="F18" s="64">
        <f>346.2+31.4</f>
        <v>377.59999999999997</v>
      </c>
      <c r="G18" s="12"/>
      <c r="H18" s="12"/>
    </row>
    <row r="19" spans="1:8" ht="12.6" customHeight="1" x14ac:dyDescent="0.2">
      <c r="A19" s="61">
        <v>10</v>
      </c>
      <c r="B19" s="62"/>
      <c r="C19" s="63" t="s">
        <v>158</v>
      </c>
      <c r="D19" s="62" t="s">
        <v>56</v>
      </c>
      <c r="E19" s="64">
        <f>459.3+28.5</f>
        <v>487.8</v>
      </c>
      <c r="F19" s="64">
        <f>307.8+27.9</f>
        <v>335.7</v>
      </c>
      <c r="G19" s="12"/>
      <c r="H19" s="12"/>
    </row>
    <row r="20" spans="1:8" ht="25.5" x14ac:dyDescent="0.2">
      <c r="A20" s="61">
        <v>11</v>
      </c>
      <c r="B20" s="62"/>
      <c r="C20" s="63" t="s">
        <v>42</v>
      </c>
      <c r="D20" s="66" t="s">
        <v>113</v>
      </c>
      <c r="E20" s="64">
        <f>420+28.4</f>
        <v>448.4</v>
      </c>
      <c r="F20" s="64">
        <f>258+23.4</f>
        <v>281.39999999999998</v>
      </c>
      <c r="G20" s="12"/>
      <c r="H20" s="12"/>
    </row>
    <row r="21" spans="1:8" ht="12.6" customHeight="1" x14ac:dyDescent="0.2">
      <c r="A21" s="61">
        <v>12</v>
      </c>
      <c r="B21" s="62"/>
      <c r="C21" s="65" t="s">
        <v>128</v>
      </c>
      <c r="D21" s="62" t="s">
        <v>56</v>
      </c>
      <c r="E21" s="64">
        <f>944.7+63+12.2+78.8</f>
        <v>1098.7</v>
      </c>
      <c r="F21" s="64">
        <f>679.6+61.8+12+38.1</f>
        <v>791.5</v>
      </c>
      <c r="G21" s="12"/>
      <c r="H21" s="12"/>
    </row>
    <row r="22" spans="1:8" ht="12.6" customHeight="1" x14ac:dyDescent="0.2">
      <c r="A22" s="61">
        <v>13</v>
      </c>
      <c r="B22" s="62"/>
      <c r="C22" s="65" t="s">
        <v>129</v>
      </c>
      <c r="D22" s="62" t="s">
        <v>56</v>
      </c>
      <c r="E22" s="64">
        <f>407+25.9</f>
        <v>432.9</v>
      </c>
      <c r="F22" s="64">
        <f>278.6+25.4</f>
        <v>304</v>
      </c>
      <c r="G22" s="12"/>
      <c r="H22" s="12"/>
    </row>
    <row r="23" spans="1:8" ht="12.6" customHeight="1" x14ac:dyDescent="0.2">
      <c r="A23" s="61">
        <v>14</v>
      </c>
      <c r="B23" s="62"/>
      <c r="C23" s="65" t="s">
        <v>36</v>
      </c>
      <c r="D23" s="62" t="s">
        <v>56</v>
      </c>
      <c r="E23" s="64">
        <f>948.2+60.7</f>
        <v>1008.9000000000001</v>
      </c>
      <c r="F23" s="64">
        <f>655.1+59.5</f>
        <v>714.6</v>
      </c>
      <c r="G23" s="12"/>
      <c r="H23" s="12"/>
    </row>
    <row r="24" spans="1:8" ht="12.6" customHeight="1" x14ac:dyDescent="0.2">
      <c r="A24" s="61">
        <v>15</v>
      </c>
      <c r="B24" s="62"/>
      <c r="C24" s="63" t="s">
        <v>131</v>
      </c>
      <c r="D24" s="62" t="s">
        <v>56</v>
      </c>
      <c r="E24" s="64">
        <f>672.6+17.5+40.3</f>
        <v>730.4</v>
      </c>
      <c r="F24" s="64">
        <f>435+39.5</f>
        <v>474.5</v>
      </c>
      <c r="G24" s="12"/>
      <c r="H24" s="12"/>
    </row>
    <row r="25" spans="1:8" ht="12.6" customHeight="1" x14ac:dyDescent="0.2">
      <c r="A25" s="61">
        <v>16</v>
      </c>
      <c r="B25" s="62"/>
      <c r="C25" s="65" t="s">
        <v>156</v>
      </c>
      <c r="D25" s="62" t="s">
        <v>57</v>
      </c>
      <c r="E25" s="64">
        <f>638.7+37.1</f>
        <v>675.80000000000007</v>
      </c>
      <c r="F25" s="64">
        <f>400.9+36.4</f>
        <v>437.29999999999995</v>
      </c>
      <c r="G25" s="12"/>
      <c r="H25" s="12"/>
    </row>
    <row r="26" spans="1:8" ht="12.6" customHeight="1" x14ac:dyDescent="0.2">
      <c r="A26" s="61">
        <v>17</v>
      </c>
      <c r="B26" s="62"/>
      <c r="C26" s="63" t="s">
        <v>157</v>
      </c>
      <c r="D26" s="62" t="s">
        <v>57</v>
      </c>
      <c r="E26" s="64">
        <f>478.1+29</f>
        <v>507.1</v>
      </c>
      <c r="F26" s="64">
        <f>312.5+28.5</f>
        <v>341</v>
      </c>
      <c r="G26" s="12"/>
      <c r="H26" s="12"/>
    </row>
    <row r="27" spans="1:8" ht="12.6" customHeight="1" x14ac:dyDescent="0.2">
      <c r="A27" s="61">
        <v>18</v>
      </c>
      <c r="B27" s="62"/>
      <c r="C27" s="65" t="s">
        <v>114</v>
      </c>
      <c r="D27" s="62" t="s">
        <v>57</v>
      </c>
      <c r="E27" s="64">
        <f>485.9+28.8</f>
        <v>514.69999999999993</v>
      </c>
      <c r="F27" s="64">
        <f>311.2+28.3</f>
        <v>339.5</v>
      </c>
      <c r="G27" s="12"/>
      <c r="H27" s="12"/>
    </row>
    <row r="28" spans="1:8" ht="12.6" customHeight="1" x14ac:dyDescent="0.2">
      <c r="A28" s="61">
        <v>19</v>
      </c>
      <c r="B28" s="62"/>
      <c r="C28" s="65" t="s">
        <v>37</v>
      </c>
      <c r="D28" s="62" t="s">
        <v>57</v>
      </c>
      <c r="E28" s="64">
        <f>321.6+19.8</f>
        <v>341.40000000000003</v>
      </c>
      <c r="F28" s="64">
        <f>214+19.4</f>
        <v>233.4</v>
      </c>
      <c r="G28" s="12"/>
      <c r="H28" s="12"/>
    </row>
    <row r="29" spans="1:8" ht="12.6" customHeight="1" x14ac:dyDescent="0.2">
      <c r="A29" s="61">
        <v>20</v>
      </c>
      <c r="B29" s="62"/>
      <c r="C29" s="65" t="s">
        <v>130</v>
      </c>
      <c r="D29" s="62" t="s">
        <v>57</v>
      </c>
      <c r="E29" s="64">
        <f>850.1+52.9</f>
        <v>903</v>
      </c>
      <c r="F29" s="64">
        <f>569.7+51.9</f>
        <v>621.6</v>
      </c>
      <c r="G29" s="12"/>
      <c r="H29" s="12"/>
    </row>
    <row r="30" spans="1:8" ht="12.6" customHeight="1" x14ac:dyDescent="0.2">
      <c r="A30" s="61">
        <v>21</v>
      </c>
      <c r="B30" s="62"/>
      <c r="C30" s="65" t="s">
        <v>140</v>
      </c>
      <c r="D30" s="62" t="s">
        <v>57</v>
      </c>
      <c r="E30" s="64">
        <f>213.7-78.8</f>
        <v>134.89999999999998</v>
      </c>
      <c r="F30" s="64">
        <f>131.1-38.1</f>
        <v>93</v>
      </c>
      <c r="G30" s="12"/>
      <c r="H30" s="12"/>
    </row>
    <row r="31" spans="1:8" ht="12.6" customHeight="1" x14ac:dyDescent="0.2">
      <c r="A31" s="61">
        <v>22</v>
      </c>
      <c r="B31" s="62"/>
      <c r="C31" s="65" t="s">
        <v>38</v>
      </c>
      <c r="D31" s="62" t="s">
        <v>57</v>
      </c>
      <c r="E31" s="64">
        <f>272.4+19.3</f>
        <v>291.7</v>
      </c>
      <c r="F31" s="64">
        <f>207.5+18.9</f>
        <v>226.4</v>
      </c>
      <c r="G31" s="12"/>
      <c r="H31" s="12"/>
    </row>
    <row r="32" spans="1:8" ht="51" x14ac:dyDescent="0.2">
      <c r="A32" s="61">
        <v>23</v>
      </c>
      <c r="B32" s="62"/>
      <c r="C32" s="65" t="s">
        <v>106</v>
      </c>
      <c r="D32" s="66" t="s">
        <v>281</v>
      </c>
      <c r="E32" s="64">
        <f>555+31.7</f>
        <v>586.70000000000005</v>
      </c>
      <c r="F32" s="64">
        <f>342.8+31.1</f>
        <v>373.90000000000003</v>
      </c>
      <c r="G32" s="12"/>
      <c r="H32" s="12"/>
    </row>
    <row r="33" spans="1:15" ht="12.6" customHeight="1" x14ac:dyDescent="0.2">
      <c r="A33" s="61">
        <v>24</v>
      </c>
      <c r="B33" s="62"/>
      <c r="C33" s="63" t="s">
        <v>287</v>
      </c>
      <c r="D33" s="66" t="s">
        <v>57</v>
      </c>
      <c r="E33" s="64">
        <v>0.3</v>
      </c>
      <c r="F33" s="64"/>
      <c r="G33" s="12"/>
      <c r="H33" s="12"/>
    </row>
    <row r="34" spans="1:15" ht="12.6" customHeight="1" x14ac:dyDescent="0.2">
      <c r="A34" s="61">
        <v>25</v>
      </c>
      <c r="B34" s="62"/>
      <c r="C34" s="63" t="s">
        <v>50</v>
      </c>
      <c r="D34" s="62" t="s">
        <v>58</v>
      </c>
      <c r="E34" s="64">
        <f>337.5+28.6</f>
        <v>366.1</v>
      </c>
      <c r="F34" s="64">
        <f>308.6+28.1</f>
        <v>336.70000000000005</v>
      </c>
      <c r="G34" s="12"/>
      <c r="H34" s="12"/>
    </row>
    <row r="35" spans="1:15" ht="12.6" customHeight="1" x14ac:dyDescent="0.2">
      <c r="A35" s="193">
        <v>26</v>
      </c>
      <c r="B35" s="62"/>
      <c r="C35" s="63" t="s">
        <v>43</v>
      </c>
      <c r="D35" s="194" t="s">
        <v>58</v>
      </c>
      <c r="E35" s="64">
        <f>+E36+366+32.3</f>
        <v>409.3</v>
      </c>
      <c r="F35" s="64">
        <f>347.8+31.6</f>
        <v>379.40000000000003</v>
      </c>
      <c r="G35" s="12"/>
      <c r="H35" s="12"/>
    </row>
    <row r="36" spans="1:15" ht="25.5" x14ac:dyDescent="0.2">
      <c r="A36" s="193"/>
      <c r="B36" s="62"/>
      <c r="C36" s="65" t="s">
        <v>554</v>
      </c>
      <c r="D36" s="194"/>
      <c r="E36" s="64">
        <v>11</v>
      </c>
      <c r="F36" s="64"/>
      <c r="G36" s="12"/>
      <c r="H36" s="12"/>
      <c r="O36" s="215"/>
    </row>
    <row r="37" spans="1:15" ht="12.6" customHeight="1" x14ac:dyDescent="0.2">
      <c r="A37" s="61">
        <v>27</v>
      </c>
      <c r="B37" s="62"/>
      <c r="C37" s="63" t="s">
        <v>44</v>
      </c>
      <c r="D37" s="62" t="s">
        <v>58</v>
      </c>
      <c r="E37" s="64">
        <f>951.3+84.7</f>
        <v>1036</v>
      </c>
      <c r="F37" s="64">
        <f>913.9+83.1</f>
        <v>997</v>
      </c>
      <c r="G37" s="12"/>
      <c r="H37" s="12"/>
      <c r="O37" s="189"/>
    </row>
    <row r="38" spans="1:15" ht="38.25" customHeight="1" x14ac:dyDescent="0.2">
      <c r="A38" s="198">
        <v>28</v>
      </c>
      <c r="B38" s="194"/>
      <c r="C38" s="63" t="s">
        <v>127</v>
      </c>
      <c r="D38" s="197" t="s">
        <v>142</v>
      </c>
      <c r="E38" s="64">
        <f>139.6+30.2+10.4</f>
        <v>180.2</v>
      </c>
      <c r="F38" s="64">
        <f>113+10.3</f>
        <v>123.3</v>
      </c>
      <c r="G38" s="12"/>
      <c r="H38" s="12"/>
    </row>
    <row r="39" spans="1:15" x14ac:dyDescent="0.2">
      <c r="A39" s="198"/>
      <c r="B39" s="194"/>
      <c r="C39" s="71" t="s">
        <v>544</v>
      </c>
      <c r="D39" s="197"/>
      <c r="E39" s="64">
        <v>30.2</v>
      </c>
      <c r="F39" s="64"/>
      <c r="G39" s="12"/>
      <c r="H39" s="12"/>
    </row>
    <row r="40" spans="1:15" x14ac:dyDescent="0.2">
      <c r="A40" s="217">
        <v>29</v>
      </c>
      <c r="B40" s="208"/>
      <c r="C40" s="208" t="s">
        <v>15</v>
      </c>
      <c r="D40" s="197" t="s">
        <v>54</v>
      </c>
      <c r="E40" s="72">
        <v>177</v>
      </c>
      <c r="F40" s="64"/>
      <c r="G40" s="12"/>
      <c r="H40" s="12"/>
      <c r="I40" s="11"/>
    </row>
    <row r="41" spans="1:15" ht="12.6" customHeight="1" x14ac:dyDescent="0.2">
      <c r="A41" s="218">
        <v>29</v>
      </c>
      <c r="B41" s="202"/>
      <c r="C41" s="202"/>
      <c r="D41" s="211"/>
      <c r="E41" s="77">
        <f>165+12+10</f>
        <v>187</v>
      </c>
      <c r="F41" s="64">
        <f>134.3+11.8</f>
        <v>146.10000000000002</v>
      </c>
      <c r="G41" s="12"/>
      <c r="H41" s="12"/>
      <c r="I41" s="11"/>
    </row>
    <row r="42" spans="1:15" ht="12.6" customHeight="1" x14ac:dyDescent="0.2">
      <c r="A42" s="217">
        <v>30</v>
      </c>
      <c r="B42" s="208"/>
      <c r="C42" s="209" t="s">
        <v>19</v>
      </c>
      <c r="D42" s="194" t="s">
        <v>54</v>
      </c>
      <c r="E42" s="72">
        <v>187.9</v>
      </c>
      <c r="F42" s="64"/>
      <c r="G42" s="12"/>
      <c r="H42" s="12"/>
    </row>
    <row r="43" spans="1:15" ht="12.6" customHeight="1" x14ac:dyDescent="0.2">
      <c r="A43" s="218">
        <v>30</v>
      </c>
      <c r="B43" s="202"/>
      <c r="C43" s="210"/>
      <c r="D43" s="211"/>
      <c r="E43" s="77">
        <f>174.6+0.7+12.6+10</f>
        <v>197.89999999999998</v>
      </c>
      <c r="F43" s="64">
        <f>136+12.4</f>
        <v>148.4</v>
      </c>
      <c r="G43" s="12"/>
      <c r="H43" s="12"/>
      <c r="I43" s="11"/>
    </row>
    <row r="44" spans="1:15" ht="12.6" customHeight="1" x14ac:dyDescent="0.2">
      <c r="A44" s="61">
        <v>31</v>
      </c>
      <c r="B44" s="62"/>
      <c r="C44" s="73" t="s">
        <v>160</v>
      </c>
      <c r="D44" s="62"/>
      <c r="E44" s="74">
        <f>+E45+E49+E46+E47+E48</f>
        <v>1406.4</v>
      </c>
      <c r="F44" s="74">
        <f>+F45+F49+F46+F47+F48</f>
        <v>149.19999999999999</v>
      </c>
      <c r="G44" s="12"/>
      <c r="H44" s="12"/>
    </row>
    <row r="45" spans="1:15" ht="15" customHeight="1" x14ac:dyDescent="0.2">
      <c r="A45" s="75" t="s">
        <v>412</v>
      </c>
      <c r="B45" s="62"/>
      <c r="C45" s="63" t="s">
        <v>3</v>
      </c>
      <c r="D45" s="66" t="s">
        <v>132</v>
      </c>
      <c r="E45" s="74">
        <v>181.7</v>
      </c>
      <c r="F45" s="74">
        <v>149.19999999999999</v>
      </c>
      <c r="G45" s="12"/>
      <c r="H45" s="12"/>
    </row>
    <row r="46" spans="1:15" ht="25.5" x14ac:dyDescent="0.2">
      <c r="A46" s="75" t="s">
        <v>413</v>
      </c>
      <c r="B46" s="62"/>
      <c r="C46" s="65" t="s">
        <v>499</v>
      </c>
      <c r="D46" s="66" t="s">
        <v>148</v>
      </c>
      <c r="E46" s="74">
        <v>95</v>
      </c>
      <c r="F46" s="64"/>
      <c r="G46" s="12"/>
      <c r="H46" s="12"/>
    </row>
    <row r="47" spans="1:15" ht="25.5" x14ac:dyDescent="0.2">
      <c r="A47" s="75" t="s">
        <v>414</v>
      </c>
      <c r="B47" s="62"/>
      <c r="C47" s="71" t="s">
        <v>214</v>
      </c>
      <c r="D47" s="62" t="s">
        <v>59</v>
      </c>
      <c r="E47" s="74">
        <v>50</v>
      </c>
      <c r="F47" s="64"/>
      <c r="G47" s="12"/>
      <c r="H47" s="12"/>
    </row>
    <row r="48" spans="1:15" ht="12.6" customHeight="1" x14ac:dyDescent="0.2">
      <c r="A48" s="75" t="s">
        <v>415</v>
      </c>
      <c r="B48" s="62"/>
      <c r="C48" s="71" t="s">
        <v>161</v>
      </c>
      <c r="D48" s="62" t="s">
        <v>60</v>
      </c>
      <c r="E48" s="74">
        <f>17-8</f>
        <v>9</v>
      </c>
      <c r="F48" s="64"/>
      <c r="G48" s="12"/>
      <c r="H48" s="12"/>
    </row>
    <row r="49" spans="1:8" ht="39" customHeight="1" x14ac:dyDescent="0.2">
      <c r="A49" s="75" t="s">
        <v>416</v>
      </c>
      <c r="B49" s="62"/>
      <c r="C49" s="76" t="s">
        <v>368</v>
      </c>
      <c r="D49" s="62"/>
      <c r="E49" s="77">
        <f>SUM(E50:E63)</f>
        <v>1070.7</v>
      </c>
      <c r="F49" s="77">
        <f>SUM(F50:F63)</f>
        <v>0</v>
      </c>
      <c r="G49" s="12"/>
      <c r="H49" s="12"/>
    </row>
    <row r="50" spans="1:8" ht="25.5" x14ac:dyDescent="0.2">
      <c r="A50" s="75" t="s">
        <v>417</v>
      </c>
      <c r="B50" s="62"/>
      <c r="C50" s="78" t="s">
        <v>143</v>
      </c>
      <c r="D50" s="62" t="s">
        <v>57</v>
      </c>
      <c r="E50" s="74">
        <f>89+82</f>
        <v>171</v>
      </c>
      <c r="F50" s="64"/>
      <c r="G50" s="12"/>
      <c r="H50" s="12"/>
    </row>
    <row r="51" spans="1:8" ht="15.75" customHeight="1" x14ac:dyDescent="0.2">
      <c r="A51" s="75" t="s">
        <v>418</v>
      </c>
      <c r="B51" s="62"/>
      <c r="C51" s="79" t="s">
        <v>379</v>
      </c>
      <c r="D51" s="66" t="s">
        <v>148</v>
      </c>
      <c r="E51" s="74">
        <f>30-20</f>
        <v>10</v>
      </c>
      <c r="F51" s="64"/>
      <c r="G51" s="12"/>
      <c r="H51" s="12"/>
    </row>
    <row r="52" spans="1:8" ht="25.5" x14ac:dyDescent="0.2">
      <c r="A52" s="75" t="s">
        <v>419</v>
      </c>
      <c r="B52" s="62"/>
      <c r="C52" s="80" t="s">
        <v>291</v>
      </c>
      <c r="D52" s="62" t="s">
        <v>57</v>
      </c>
      <c r="E52" s="74">
        <f>20</f>
        <v>20</v>
      </c>
      <c r="F52" s="64"/>
      <c r="G52" s="12"/>
      <c r="H52" s="12"/>
    </row>
    <row r="53" spans="1:8" ht="25.5" x14ac:dyDescent="0.2">
      <c r="A53" s="75" t="s">
        <v>420</v>
      </c>
      <c r="B53" s="62"/>
      <c r="C53" s="71" t="s">
        <v>376</v>
      </c>
      <c r="D53" s="62" t="s">
        <v>56</v>
      </c>
      <c r="E53" s="74">
        <v>15.7</v>
      </c>
      <c r="F53" s="64"/>
      <c r="G53" s="12"/>
      <c r="H53" s="12"/>
    </row>
    <row r="54" spans="1:8" ht="25.5" x14ac:dyDescent="0.2">
      <c r="A54" s="75" t="s">
        <v>421</v>
      </c>
      <c r="B54" s="62"/>
      <c r="C54" s="81" t="s">
        <v>216</v>
      </c>
      <c r="D54" s="66" t="s">
        <v>148</v>
      </c>
      <c r="E54" s="74">
        <f>50+13</f>
        <v>63</v>
      </c>
      <c r="F54" s="64"/>
      <c r="G54" s="12"/>
      <c r="H54" s="12"/>
    </row>
    <row r="55" spans="1:8" ht="25.5" x14ac:dyDescent="0.2">
      <c r="A55" s="75" t="s">
        <v>422</v>
      </c>
      <c r="B55" s="82"/>
      <c r="C55" s="78" t="s">
        <v>217</v>
      </c>
      <c r="D55" s="66" t="s">
        <v>148</v>
      </c>
      <c r="E55" s="20">
        <v>30</v>
      </c>
      <c r="F55" s="20"/>
      <c r="G55" s="12"/>
      <c r="H55" s="12"/>
    </row>
    <row r="56" spans="1:8" ht="25.5" x14ac:dyDescent="0.2">
      <c r="A56" s="75" t="s">
        <v>423</v>
      </c>
      <c r="B56" s="62"/>
      <c r="C56" s="71" t="s">
        <v>502</v>
      </c>
      <c r="D56" s="66" t="s">
        <v>148</v>
      </c>
      <c r="E56" s="74">
        <f>20-15</f>
        <v>5</v>
      </c>
      <c r="F56" s="64"/>
      <c r="G56" s="12"/>
      <c r="H56" s="12"/>
    </row>
    <row r="57" spans="1:8" ht="25.5" x14ac:dyDescent="0.2">
      <c r="A57" s="75" t="s">
        <v>424</v>
      </c>
      <c r="B57" s="62"/>
      <c r="C57" s="71" t="s">
        <v>380</v>
      </c>
      <c r="D57" s="66" t="s">
        <v>30</v>
      </c>
      <c r="E57" s="74">
        <f>30-20</f>
        <v>10</v>
      </c>
      <c r="F57" s="64"/>
      <c r="G57" s="12"/>
      <c r="H57" s="12"/>
    </row>
    <row r="58" spans="1:8" ht="25.5" x14ac:dyDescent="0.2">
      <c r="A58" s="75" t="s">
        <v>425</v>
      </c>
      <c r="B58" s="62"/>
      <c r="C58" s="71" t="s">
        <v>361</v>
      </c>
      <c r="D58" s="62" t="s">
        <v>54</v>
      </c>
      <c r="E58" s="74">
        <v>1</v>
      </c>
      <c r="F58" s="64"/>
      <c r="G58" s="12"/>
      <c r="H58" s="12"/>
    </row>
    <row r="59" spans="1:8" ht="31.5" customHeight="1" x14ac:dyDescent="0.2">
      <c r="A59" s="75" t="s">
        <v>426</v>
      </c>
      <c r="B59" s="62"/>
      <c r="C59" s="71" t="s">
        <v>558</v>
      </c>
      <c r="D59" s="66" t="s">
        <v>148</v>
      </c>
      <c r="E59" s="74">
        <v>18</v>
      </c>
      <c r="F59" s="64"/>
      <c r="G59" s="12"/>
      <c r="H59" s="12"/>
    </row>
    <row r="60" spans="1:8" x14ac:dyDescent="0.2">
      <c r="A60" s="75" t="s">
        <v>501</v>
      </c>
      <c r="B60" s="62"/>
      <c r="C60" s="71" t="s">
        <v>534</v>
      </c>
      <c r="D60" s="66" t="s">
        <v>148</v>
      </c>
      <c r="E60" s="74">
        <v>50</v>
      </c>
      <c r="F60" s="64"/>
      <c r="G60" s="12"/>
      <c r="H60" s="12"/>
    </row>
    <row r="61" spans="1:8" ht="31.5" customHeight="1" x14ac:dyDescent="0.2">
      <c r="A61" s="75" t="s">
        <v>545</v>
      </c>
      <c r="B61" s="62"/>
      <c r="C61" s="79" t="s">
        <v>535</v>
      </c>
      <c r="D61" s="62" t="s">
        <v>58</v>
      </c>
      <c r="E61" s="74">
        <f>5+2</f>
        <v>7</v>
      </c>
      <c r="F61" s="64"/>
      <c r="G61" s="12"/>
      <c r="H61" s="12"/>
    </row>
    <row r="62" spans="1:8" ht="39" customHeight="1" x14ac:dyDescent="0.2">
      <c r="A62" s="75" t="s">
        <v>709</v>
      </c>
      <c r="B62" s="62"/>
      <c r="C62" s="79" t="s">
        <v>377</v>
      </c>
      <c r="D62" s="62" t="s">
        <v>54</v>
      </c>
      <c r="E62" s="74">
        <f>50+170</f>
        <v>220</v>
      </c>
      <c r="F62" s="64"/>
      <c r="G62" s="12"/>
      <c r="H62" s="12"/>
    </row>
    <row r="63" spans="1:8" ht="38.25" x14ac:dyDescent="0.2">
      <c r="A63" s="75" t="s">
        <v>727</v>
      </c>
      <c r="B63" s="62"/>
      <c r="C63" s="79" t="s">
        <v>378</v>
      </c>
      <c r="D63" s="62" t="s">
        <v>54</v>
      </c>
      <c r="E63" s="74">
        <f>150+300</f>
        <v>450</v>
      </c>
      <c r="F63" s="64"/>
      <c r="G63" s="12"/>
      <c r="H63" s="12"/>
    </row>
    <row r="64" spans="1:8" ht="16.5" customHeight="1" x14ac:dyDescent="0.2">
      <c r="A64" s="61">
        <v>32</v>
      </c>
      <c r="B64" s="57" t="s">
        <v>61</v>
      </c>
      <c r="C64" s="83" t="s">
        <v>62</v>
      </c>
      <c r="D64" s="55"/>
      <c r="E64" s="84">
        <f>+E65+E67</f>
        <v>911.2</v>
      </c>
      <c r="F64" s="84">
        <f>+F65+F67</f>
        <v>82</v>
      </c>
      <c r="G64" s="12"/>
      <c r="H64" s="12"/>
    </row>
    <row r="65" spans="1:8" ht="25.5" x14ac:dyDescent="0.2">
      <c r="A65" s="193">
        <v>33</v>
      </c>
      <c r="B65" s="57"/>
      <c r="C65" s="65" t="s">
        <v>162</v>
      </c>
      <c r="D65" s="197" t="s">
        <v>163</v>
      </c>
      <c r="E65" s="64">
        <f>+E66+81.6-3.7+7.3</f>
        <v>101.19999999999999</v>
      </c>
      <c r="F65" s="64">
        <f>78.5-3.7+7.2</f>
        <v>82</v>
      </c>
      <c r="G65" s="12"/>
      <c r="H65" s="12"/>
    </row>
    <row r="66" spans="1:8" ht="25.5" x14ac:dyDescent="0.2">
      <c r="A66" s="193"/>
      <c r="B66" s="57"/>
      <c r="C66" s="85" t="s">
        <v>353</v>
      </c>
      <c r="D66" s="197"/>
      <c r="E66" s="64">
        <v>16</v>
      </c>
      <c r="F66" s="64"/>
      <c r="G66" s="12"/>
      <c r="H66" s="12"/>
    </row>
    <row r="67" spans="1:8" ht="12.6" customHeight="1" x14ac:dyDescent="0.2">
      <c r="A67" s="61">
        <v>34</v>
      </c>
      <c r="B67" s="62"/>
      <c r="C67" s="73" t="s">
        <v>160</v>
      </c>
      <c r="D67" s="66"/>
      <c r="E67" s="64">
        <f>SUM(E68:E86)+E87</f>
        <v>810</v>
      </c>
      <c r="F67" s="64">
        <f>SUM(F68:F86)</f>
        <v>0</v>
      </c>
      <c r="G67" s="12"/>
      <c r="H67" s="12"/>
    </row>
    <row r="68" spans="1:8" ht="12.6" customHeight="1" x14ac:dyDescent="0.2">
      <c r="A68" s="75" t="s">
        <v>427</v>
      </c>
      <c r="B68" s="62"/>
      <c r="C68" s="63" t="s">
        <v>3</v>
      </c>
      <c r="D68" s="62" t="s">
        <v>104</v>
      </c>
      <c r="E68" s="64">
        <v>3</v>
      </c>
      <c r="F68" s="64"/>
      <c r="G68" s="12"/>
      <c r="H68" s="12"/>
    </row>
    <row r="69" spans="1:8" ht="42" customHeight="1" x14ac:dyDescent="0.2">
      <c r="A69" s="75" t="s">
        <v>428</v>
      </c>
      <c r="B69" s="62"/>
      <c r="C69" s="86" t="s">
        <v>292</v>
      </c>
      <c r="D69" s="66" t="s">
        <v>63</v>
      </c>
      <c r="E69" s="64">
        <v>20</v>
      </c>
      <c r="F69" s="64"/>
      <c r="G69" s="12"/>
      <c r="H69" s="12"/>
    </row>
    <row r="70" spans="1:8" ht="30" customHeight="1" x14ac:dyDescent="0.2">
      <c r="A70" s="75" t="s">
        <v>429</v>
      </c>
      <c r="B70" s="62"/>
      <c r="C70" s="87" t="s">
        <v>381</v>
      </c>
      <c r="D70" s="66" t="s">
        <v>64</v>
      </c>
      <c r="E70" s="64">
        <v>1.8</v>
      </c>
      <c r="F70" s="64"/>
      <c r="G70" s="12"/>
      <c r="H70" s="12"/>
    </row>
    <row r="71" spans="1:8" ht="38.25" x14ac:dyDescent="0.2">
      <c r="A71" s="75" t="s">
        <v>430</v>
      </c>
      <c r="B71" s="62"/>
      <c r="C71" s="86" t="s">
        <v>382</v>
      </c>
      <c r="D71" s="66" t="s">
        <v>121</v>
      </c>
      <c r="E71" s="64">
        <f>65+10</f>
        <v>75</v>
      </c>
      <c r="F71" s="64"/>
      <c r="G71" s="12"/>
      <c r="H71" s="12"/>
    </row>
    <row r="72" spans="1:8" ht="45" customHeight="1" x14ac:dyDescent="0.2">
      <c r="A72" s="75" t="s">
        <v>431</v>
      </c>
      <c r="B72" s="62"/>
      <c r="C72" s="86" t="s">
        <v>164</v>
      </c>
      <c r="D72" s="66" t="s">
        <v>171</v>
      </c>
      <c r="E72" s="64">
        <v>7</v>
      </c>
      <c r="F72" s="64"/>
      <c r="G72" s="12"/>
      <c r="H72" s="12"/>
    </row>
    <row r="73" spans="1:8" ht="25.5" x14ac:dyDescent="0.2">
      <c r="A73" s="75" t="s">
        <v>432</v>
      </c>
      <c r="B73" s="62"/>
      <c r="C73" s="86" t="s">
        <v>191</v>
      </c>
      <c r="D73" s="66" t="s">
        <v>64</v>
      </c>
      <c r="E73" s="64">
        <v>21.1</v>
      </c>
      <c r="F73" s="64"/>
      <c r="G73" s="12"/>
      <c r="H73" s="12"/>
    </row>
    <row r="74" spans="1:8" ht="25.5" x14ac:dyDescent="0.2">
      <c r="A74" s="75" t="s">
        <v>433</v>
      </c>
      <c r="B74" s="62"/>
      <c r="C74" s="86" t="s">
        <v>209</v>
      </c>
      <c r="D74" s="66" t="s">
        <v>64</v>
      </c>
      <c r="E74" s="64">
        <v>19.100000000000001</v>
      </c>
      <c r="F74" s="64"/>
      <c r="G74" s="12"/>
      <c r="H74" s="12"/>
    </row>
    <row r="75" spans="1:8" ht="27.6" customHeight="1" x14ac:dyDescent="0.2">
      <c r="A75" s="75" t="s">
        <v>434</v>
      </c>
      <c r="B75" s="62"/>
      <c r="C75" s="87" t="s">
        <v>293</v>
      </c>
      <c r="D75" s="66" t="s">
        <v>171</v>
      </c>
      <c r="E75" s="64">
        <f>25.9+50</f>
        <v>75.900000000000006</v>
      </c>
      <c r="F75" s="64"/>
      <c r="G75" s="12"/>
      <c r="H75" s="12"/>
    </row>
    <row r="76" spans="1:8" ht="27.6" customHeight="1" x14ac:dyDescent="0.2">
      <c r="A76" s="75" t="s">
        <v>435</v>
      </c>
      <c r="B76" s="62"/>
      <c r="C76" s="87" t="s">
        <v>294</v>
      </c>
      <c r="D76" s="66" t="s">
        <v>171</v>
      </c>
      <c r="E76" s="64">
        <v>28.5</v>
      </c>
      <c r="F76" s="64"/>
      <c r="G76" s="12"/>
      <c r="H76" s="12"/>
    </row>
    <row r="77" spans="1:8" ht="25.5" x14ac:dyDescent="0.2">
      <c r="A77" s="75" t="s">
        <v>436</v>
      </c>
      <c r="B77" s="62"/>
      <c r="C77" s="87" t="s">
        <v>383</v>
      </c>
      <c r="D77" s="66" t="s">
        <v>187</v>
      </c>
      <c r="E77" s="64">
        <v>4.8</v>
      </c>
      <c r="F77" s="64"/>
      <c r="G77" s="12"/>
      <c r="H77" s="12"/>
    </row>
    <row r="78" spans="1:8" ht="25.5" x14ac:dyDescent="0.2">
      <c r="A78" s="75" t="s">
        <v>437</v>
      </c>
      <c r="B78" s="62"/>
      <c r="C78" s="87" t="s">
        <v>481</v>
      </c>
      <c r="D78" s="66" t="s">
        <v>171</v>
      </c>
      <c r="E78" s="64">
        <v>122.1</v>
      </c>
      <c r="F78" s="64"/>
      <c r="G78" s="12"/>
      <c r="H78" s="12"/>
    </row>
    <row r="79" spans="1:8" ht="38.25" x14ac:dyDescent="0.2">
      <c r="A79" s="75" t="s">
        <v>438</v>
      </c>
      <c r="B79" s="62"/>
      <c r="C79" s="86" t="s">
        <v>384</v>
      </c>
      <c r="D79" s="66" t="s">
        <v>63</v>
      </c>
      <c r="E79" s="64">
        <v>15</v>
      </c>
      <c r="F79" s="64"/>
      <c r="G79" s="12"/>
      <c r="H79" s="12"/>
    </row>
    <row r="80" spans="1:8" ht="25.5" x14ac:dyDescent="0.2">
      <c r="A80" s="75" t="s">
        <v>439</v>
      </c>
      <c r="B80" s="62"/>
      <c r="C80" s="86" t="s">
        <v>561</v>
      </c>
      <c r="D80" s="66" t="s">
        <v>65</v>
      </c>
      <c r="E80" s="64">
        <v>3</v>
      </c>
      <c r="F80" s="64"/>
      <c r="G80" s="12"/>
      <c r="H80" s="12"/>
    </row>
    <row r="81" spans="1:10" ht="25.5" x14ac:dyDescent="0.2">
      <c r="A81" s="75" t="s">
        <v>440</v>
      </c>
      <c r="B81" s="62"/>
      <c r="C81" s="86" t="s">
        <v>562</v>
      </c>
      <c r="D81" s="88" t="s">
        <v>104</v>
      </c>
      <c r="E81" s="64">
        <f>120-50</f>
        <v>70</v>
      </c>
      <c r="F81" s="64"/>
      <c r="G81" s="12"/>
      <c r="H81" s="12"/>
    </row>
    <row r="82" spans="1:10" ht="38.25" x14ac:dyDescent="0.2">
      <c r="A82" s="75" t="s">
        <v>566</v>
      </c>
      <c r="B82" s="62"/>
      <c r="C82" s="86" t="s">
        <v>628</v>
      </c>
      <c r="D82" s="88" t="s">
        <v>104</v>
      </c>
      <c r="E82" s="64">
        <f>105.1-56.1</f>
        <v>48.999999999999993</v>
      </c>
      <c r="F82" s="64"/>
      <c r="G82" s="12"/>
      <c r="H82" s="12"/>
    </row>
    <row r="83" spans="1:10" ht="25.5" x14ac:dyDescent="0.2">
      <c r="A83" s="75" t="s">
        <v>567</v>
      </c>
      <c r="B83" s="62"/>
      <c r="C83" s="86" t="s">
        <v>563</v>
      </c>
      <c r="D83" s="88" t="s">
        <v>64</v>
      </c>
      <c r="E83" s="64">
        <v>53.3</v>
      </c>
      <c r="F83" s="64"/>
      <c r="G83" s="12"/>
      <c r="H83" s="12"/>
    </row>
    <row r="84" spans="1:10" ht="38.25" x14ac:dyDescent="0.2">
      <c r="A84" s="75" t="s">
        <v>568</v>
      </c>
      <c r="B84" s="62"/>
      <c r="C84" s="86" t="s">
        <v>564</v>
      </c>
      <c r="D84" s="88" t="s">
        <v>104</v>
      </c>
      <c r="E84" s="64">
        <v>50.7</v>
      </c>
      <c r="F84" s="64"/>
      <c r="G84" s="12"/>
      <c r="H84" s="12"/>
    </row>
    <row r="85" spans="1:10" ht="38.25" x14ac:dyDescent="0.2">
      <c r="A85" s="75" t="s">
        <v>569</v>
      </c>
      <c r="B85" s="62"/>
      <c r="C85" s="86" t="s">
        <v>565</v>
      </c>
      <c r="D85" s="88" t="s">
        <v>104</v>
      </c>
      <c r="E85" s="64">
        <v>37.700000000000003</v>
      </c>
      <c r="F85" s="64"/>
      <c r="G85" s="12"/>
      <c r="H85" s="12"/>
    </row>
    <row r="86" spans="1:10" ht="29.25" customHeight="1" x14ac:dyDescent="0.2">
      <c r="A86" s="75" t="s">
        <v>570</v>
      </c>
      <c r="B86" s="62"/>
      <c r="C86" s="86" t="s">
        <v>208</v>
      </c>
      <c r="D86" s="66" t="s">
        <v>65</v>
      </c>
      <c r="E86" s="64">
        <f>132.4+16.6</f>
        <v>149</v>
      </c>
      <c r="F86" s="64"/>
      <c r="G86" s="12"/>
      <c r="H86" s="12"/>
    </row>
    <row r="87" spans="1:10" ht="38.450000000000003" customHeight="1" x14ac:dyDescent="0.2">
      <c r="A87" s="75" t="s">
        <v>571</v>
      </c>
      <c r="B87" s="62"/>
      <c r="C87" s="76" t="s">
        <v>368</v>
      </c>
      <c r="D87" s="66"/>
      <c r="E87" s="77">
        <f>+E88+E89</f>
        <v>4</v>
      </c>
      <c r="F87" s="77">
        <f>+F88+F89</f>
        <v>0</v>
      </c>
      <c r="G87" s="12"/>
      <c r="H87" s="12"/>
    </row>
    <row r="88" spans="1:10" ht="25.5" x14ac:dyDescent="0.2">
      <c r="A88" s="75" t="s">
        <v>572</v>
      </c>
      <c r="B88" s="62"/>
      <c r="C88" s="86" t="s">
        <v>173</v>
      </c>
      <c r="D88" s="66" t="s">
        <v>121</v>
      </c>
      <c r="E88" s="64">
        <v>0.6</v>
      </c>
      <c r="F88" s="64"/>
      <c r="G88" s="12"/>
      <c r="H88" s="12"/>
    </row>
    <row r="89" spans="1:10" ht="25.5" x14ac:dyDescent="0.2">
      <c r="A89" s="75" t="s">
        <v>573</v>
      </c>
      <c r="B89" s="62"/>
      <c r="C89" s="79" t="s">
        <v>165</v>
      </c>
      <c r="D89" s="66" t="s">
        <v>64</v>
      </c>
      <c r="E89" s="64">
        <v>3.4</v>
      </c>
      <c r="F89" s="64"/>
      <c r="G89" s="12"/>
      <c r="H89" s="12"/>
    </row>
    <row r="90" spans="1:10" x14ac:dyDescent="0.2">
      <c r="A90" s="193">
        <v>35</v>
      </c>
      <c r="B90" s="203" t="s">
        <v>21</v>
      </c>
      <c r="C90" s="216" t="s">
        <v>22</v>
      </c>
      <c r="D90" s="197"/>
      <c r="E90" s="168">
        <v>13082.800000000003</v>
      </c>
      <c r="F90" s="89"/>
      <c r="G90" s="12"/>
      <c r="H90" s="12"/>
    </row>
    <row r="91" spans="1:10" ht="12.75" customHeight="1" x14ac:dyDescent="0.2">
      <c r="A91" s="193"/>
      <c r="B91" s="203"/>
      <c r="C91" s="216"/>
      <c r="D91" s="207"/>
      <c r="E91" s="84">
        <v>13131.8</v>
      </c>
      <c r="F91" s="84">
        <v>3574.5</v>
      </c>
      <c r="G91" s="12"/>
      <c r="H91" s="12"/>
      <c r="J91" s="11"/>
    </row>
    <row r="92" spans="1:10" ht="21.75" customHeight="1" x14ac:dyDescent="0.2">
      <c r="A92" s="198">
        <v>36</v>
      </c>
      <c r="B92" s="203"/>
      <c r="C92" s="213" t="s">
        <v>1</v>
      </c>
      <c r="D92" s="212" t="s">
        <v>66</v>
      </c>
      <c r="E92" s="72">
        <v>1417.8</v>
      </c>
      <c r="F92" s="84"/>
      <c r="G92" s="12"/>
      <c r="H92" s="12"/>
    </row>
    <row r="93" spans="1:10" ht="12.6" customHeight="1" x14ac:dyDescent="0.2">
      <c r="A93" s="198"/>
      <c r="B93" s="203"/>
      <c r="C93" s="213"/>
      <c r="D93" s="212"/>
      <c r="E93" s="77">
        <v>1431.8</v>
      </c>
      <c r="F93" s="64">
        <f>1078-60+98</f>
        <v>1116</v>
      </c>
      <c r="G93" s="12"/>
      <c r="H93" s="12"/>
    </row>
    <row r="94" spans="1:10" ht="12.6" customHeight="1" x14ac:dyDescent="0.2">
      <c r="A94" s="198"/>
      <c r="B94" s="203"/>
      <c r="C94" s="214" t="s">
        <v>369</v>
      </c>
      <c r="D94" s="212"/>
      <c r="E94" s="72">
        <v>214.3</v>
      </c>
      <c r="F94" s="64"/>
      <c r="G94" s="12"/>
      <c r="H94" s="12"/>
    </row>
    <row r="95" spans="1:10" ht="12.6" customHeight="1" x14ac:dyDescent="0.2">
      <c r="A95" s="198"/>
      <c r="B95" s="203"/>
      <c r="C95" s="214"/>
      <c r="D95" s="212"/>
      <c r="E95" s="77">
        <f>201.9+12.4+14</f>
        <v>228.3</v>
      </c>
      <c r="F95" s="64"/>
      <c r="G95" s="12"/>
      <c r="H95" s="12"/>
      <c r="J95" s="28"/>
    </row>
    <row r="96" spans="1:10" ht="12.6" customHeight="1" x14ac:dyDescent="0.2">
      <c r="A96" s="61">
        <v>37</v>
      </c>
      <c r="B96" s="62"/>
      <c r="C96" s="90" t="s">
        <v>2</v>
      </c>
      <c r="D96" s="91" t="s">
        <v>67</v>
      </c>
      <c r="E96" s="64">
        <f>335.7-7+20.1</f>
        <v>348.8</v>
      </c>
      <c r="F96" s="64">
        <f>216.2-6.9+19.7</f>
        <v>228.99999999999997</v>
      </c>
      <c r="G96" s="12"/>
      <c r="H96" s="12"/>
    </row>
    <row r="97" spans="1:10" ht="12.6" customHeight="1" x14ac:dyDescent="0.2">
      <c r="A97" s="193">
        <v>38</v>
      </c>
      <c r="B97" s="194"/>
      <c r="C97" s="209" t="s">
        <v>15</v>
      </c>
      <c r="D97" s="197" t="s">
        <v>99</v>
      </c>
      <c r="E97" s="72">
        <v>367.4</v>
      </c>
      <c r="F97" s="64"/>
      <c r="G97" s="12"/>
      <c r="H97" s="12"/>
    </row>
    <row r="98" spans="1:10" ht="12.6" customHeight="1" x14ac:dyDescent="0.2">
      <c r="A98" s="193"/>
      <c r="B98" s="194"/>
      <c r="C98" s="209"/>
      <c r="D98" s="197"/>
      <c r="E98" s="77">
        <f>352.1-12.7+28+18</f>
        <v>385.40000000000003</v>
      </c>
      <c r="F98" s="20">
        <f>296.6-12.5+27.4</f>
        <v>311.5</v>
      </c>
      <c r="G98" s="12"/>
      <c r="H98" s="12"/>
      <c r="J98" s="12"/>
    </row>
    <row r="99" spans="1:10" ht="12.6" customHeight="1" x14ac:dyDescent="0.2">
      <c r="A99" s="193">
        <v>39</v>
      </c>
      <c r="B99" s="194"/>
      <c r="C99" s="209" t="s">
        <v>19</v>
      </c>
      <c r="D99" s="220" t="s">
        <v>67</v>
      </c>
      <c r="E99" s="72">
        <v>418</v>
      </c>
      <c r="F99" s="20"/>
      <c r="G99" s="12"/>
      <c r="H99" s="12"/>
    </row>
    <row r="100" spans="1:10" ht="12.6" customHeight="1" x14ac:dyDescent="0.2">
      <c r="A100" s="193"/>
      <c r="B100" s="194"/>
      <c r="C100" s="209"/>
      <c r="D100" s="220"/>
      <c r="E100" s="77">
        <f>395.5+2.4-9.5+29.6+17</f>
        <v>435</v>
      </c>
      <c r="F100" s="64">
        <f>318.9-9.4+29.2</f>
        <v>338.7</v>
      </c>
      <c r="G100" s="12"/>
      <c r="H100" s="12"/>
      <c r="J100" s="12"/>
    </row>
    <row r="101" spans="1:10" ht="12.6" customHeight="1" x14ac:dyDescent="0.2">
      <c r="A101" s="61">
        <v>40</v>
      </c>
      <c r="B101" s="62"/>
      <c r="C101" s="63" t="s">
        <v>141</v>
      </c>
      <c r="D101" s="91" t="s">
        <v>23</v>
      </c>
      <c r="E101" s="64">
        <f>1498.1-57.1+100.5</f>
        <v>1541.5</v>
      </c>
      <c r="F101" s="64">
        <f>1084.8-56.3+98.6</f>
        <v>1127.0999999999999</v>
      </c>
      <c r="G101" s="12"/>
      <c r="H101" s="12"/>
    </row>
    <row r="102" spans="1:10" ht="12" customHeight="1" x14ac:dyDescent="0.2">
      <c r="A102" s="61">
        <v>41</v>
      </c>
      <c r="B102" s="62"/>
      <c r="C102" s="73" t="s">
        <v>160</v>
      </c>
      <c r="D102" s="62"/>
      <c r="E102" s="74">
        <f>+E104+E105+E106+E107+E108+E109+E110+E111+E112+E113+E114+E115+E116+E118+E103+E117</f>
        <v>3607.2</v>
      </c>
      <c r="F102" s="74">
        <f>+F104+F105+F106+F107+F108+F109+F110+F111+F112+F113+F114+F115+F116+F118+F103</f>
        <v>78</v>
      </c>
      <c r="G102" s="12"/>
      <c r="H102" s="12"/>
    </row>
    <row r="103" spans="1:10" ht="63.75" x14ac:dyDescent="0.2">
      <c r="A103" s="75" t="s">
        <v>441</v>
      </c>
      <c r="B103" s="62"/>
      <c r="C103" s="73" t="s">
        <v>3</v>
      </c>
      <c r="D103" s="92" t="s">
        <v>362</v>
      </c>
      <c r="E103" s="64">
        <f>1467.9+5+9.3</f>
        <v>1482.2</v>
      </c>
      <c r="F103" s="64">
        <f>68.8+9.2</f>
        <v>78</v>
      </c>
      <c r="G103" s="12"/>
      <c r="H103" s="12"/>
    </row>
    <row r="104" spans="1:10" ht="27.6" customHeight="1" x14ac:dyDescent="0.2">
      <c r="A104" s="75" t="s">
        <v>442</v>
      </c>
      <c r="B104" s="62"/>
      <c r="C104" s="80" t="s">
        <v>295</v>
      </c>
      <c r="D104" s="93" t="s">
        <v>68</v>
      </c>
      <c r="E104" s="64">
        <v>75</v>
      </c>
      <c r="F104" s="64"/>
      <c r="G104" s="12"/>
      <c r="H104" s="12"/>
    </row>
    <row r="105" spans="1:10" ht="26.25" customHeight="1" x14ac:dyDescent="0.2">
      <c r="A105" s="75" t="s">
        <v>443</v>
      </c>
      <c r="B105" s="62"/>
      <c r="C105" s="86" t="s">
        <v>296</v>
      </c>
      <c r="D105" s="93" t="s">
        <v>68</v>
      </c>
      <c r="E105" s="64">
        <v>240</v>
      </c>
      <c r="F105" s="64"/>
      <c r="G105" s="12"/>
      <c r="H105" s="12"/>
    </row>
    <row r="106" spans="1:10" ht="28.5" customHeight="1" x14ac:dyDescent="0.2">
      <c r="A106" s="75" t="s">
        <v>444</v>
      </c>
      <c r="B106" s="62"/>
      <c r="C106" s="78" t="s">
        <v>297</v>
      </c>
      <c r="D106" s="62" t="s">
        <v>103</v>
      </c>
      <c r="E106" s="20">
        <v>58.5</v>
      </c>
      <c r="F106" s="20"/>
      <c r="G106" s="12"/>
      <c r="H106" s="12"/>
    </row>
    <row r="107" spans="1:10" ht="12.6" customHeight="1" x14ac:dyDescent="0.2">
      <c r="A107" s="75" t="s">
        <v>445</v>
      </c>
      <c r="B107" s="62"/>
      <c r="C107" s="78" t="s">
        <v>298</v>
      </c>
      <c r="D107" s="91" t="s">
        <v>69</v>
      </c>
      <c r="E107" s="64">
        <v>153.5</v>
      </c>
      <c r="F107" s="64"/>
      <c r="G107" s="12"/>
      <c r="H107" s="12"/>
    </row>
    <row r="108" spans="1:10" ht="26.25" customHeight="1" x14ac:dyDescent="0.2">
      <c r="A108" s="75" t="s">
        <v>446</v>
      </c>
      <c r="B108" s="62"/>
      <c r="C108" s="78" t="s">
        <v>299</v>
      </c>
      <c r="D108" s="93" t="s">
        <v>69</v>
      </c>
      <c r="E108" s="64">
        <v>170</v>
      </c>
      <c r="F108" s="64"/>
      <c r="G108" s="12"/>
      <c r="H108" s="12"/>
    </row>
    <row r="109" spans="1:10" ht="39" customHeight="1" x14ac:dyDescent="0.2">
      <c r="A109" s="75" t="s">
        <v>447</v>
      </c>
      <c r="B109" s="62"/>
      <c r="C109" s="78" t="s">
        <v>300</v>
      </c>
      <c r="D109" s="93" t="s">
        <v>70</v>
      </c>
      <c r="E109" s="20">
        <f>807-99.8</f>
        <v>707.2</v>
      </c>
      <c r="F109" s="20"/>
      <c r="G109" s="12"/>
      <c r="H109" s="12"/>
    </row>
    <row r="110" spans="1:10" ht="38.25" x14ac:dyDescent="0.2">
      <c r="A110" s="75" t="s">
        <v>448</v>
      </c>
      <c r="B110" s="62"/>
      <c r="C110" s="78" t="s">
        <v>555</v>
      </c>
      <c r="D110" s="62" t="s">
        <v>71</v>
      </c>
      <c r="E110" s="20">
        <v>90</v>
      </c>
      <c r="F110" s="20"/>
      <c r="G110" s="12"/>
      <c r="H110" s="12"/>
    </row>
    <row r="111" spans="1:10" ht="25.5" x14ac:dyDescent="0.2">
      <c r="A111" s="75" t="s">
        <v>449</v>
      </c>
      <c r="B111" s="62"/>
      <c r="C111" s="78" t="s">
        <v>386</v>
      </c>
      <c r="D111" s="62" t="s">
        <v>479</v>
      </c>
      <c r="E111" s="20">
        <v>15</v>
      </c>
      <c r="F111" s="20"/>
      <c r="G111" s="12"/>
      <c r="H111" s="12"/>
    </row>
    <row r="112" spans="1:10" ht="25.5" x14ac:dyDescent="0.2">
      <c r="A112" s="75" t="s">
        <v>450</v>
      </c>
      <c r="B112" s="62"/>
      <c r="C112" s="78" t="s">
        <v>387</v>
      </c>
      <c r="D112" s="62" t="s">
        <v>479</v>
      </c>
      <c r="E112" s="20">
        <v>10</v>
      </c>
      <c r="F112" s="20"/>
      <c r="G112" s="12"/>
      <c r="H112" s="12"/>
    </row>
    <row r="113" spans="1:11" x14ac:dyDescent="0.2">
      <c r="A113" s="75" t="s">
        <v>451</v>
      </c>
      <c r="B113" s="62"/>
      <c r="C113" s="78" t="s">
        <v>178</v>
      </c>
      <c r="D113" s="91" t="s">
        <v>23</v>
      </c>
      <c r="E113" s="20">
        <v>117.1</v>
      </c>
      <c r="F113" s="20"/>
      <c r="G113" s="12"/>
      <c r="H113" s="12"/>
    </row>
    <row r="114" spans="1:11" ht="25.5" x14ac:dyDescent="0.2">
      <c r="A114" s="75" t="s">
        <v>452</v>
      </c>
      <c r="B114" s="62"/>
      <c r="C114" s="78" t="s">
        <v>215</v>
      </c>
      <c r="D114" s="91" t="s">
        <v>23</v>
      </c>
      <c r="E114" s="20">
        <v>30</v>
      </c>
      <c r="F114" s="20"/>
      <c r="G114" s="12"/>
      <c r="H114" s="12"/>
    </row>
    <row r="115" spans="1:11" ht="25.5" x14ac:dyDescent="0.2">
      <c r="A115" s="75" t="s">
        <v>453</v>
      </c>
      <c r="B115" s="62"/>
      <c r="C115" s="78" t="s">
        <v>385</v>
      </c>
      <c r="D115" s="91" t="s">
        <v>29</v>
      </c>
      <c r="E115" s="20">
        <v>18.399999999999999</v>
      </c>
      <c r="F115" s="20"/>
      <c r="G115" s="12"/>
      <c r="H115" s="12"/>
    </row>
    <row r="116" spans="1:11" ht="38.25" x14ac:dyDescent="0.2">
      <c r="A116" s="75" t="s">
        <v>454</v>
      </c>
      <c r="B116" s="62"/>
      <c r="C116" s="78" t="s">
        <v>388</v>
      </c>
      <c r="D116" s="91" t="s">
        <v>479</v>
      </c>
      <c r="E116" s="20">
        <v>10.8</v>
      </c>
      <c r="F116" s="20"/>
      <c r="G116" s="12"/>
      <c r="H116" s="12"/>
    </row>
    <row r="117" spans="1:11" x14ac:dyDescent="0.2">
      <c r="A117" s="75" t="s">
        <v>455</v>
      </c>
      <c r="B117" s="62"/>
      <c r="C117" s="78" t="s">
        <v>528</v>
      </c>
      <c r="D117" s="91" t="s">
        <v>479</v>
      </c>
      <c r="E117" s="20">
        <v>2</v>
      </c>
      <c r="F117" s="20"/>
      <c r="G117" s="12"/>
      <c r="H117" s="12"/>
    </row>
    <row r="118" spans="1:11" ht="39" customHeight="1" x14ac:dyDescent="0.2">
      <c r="A118" s="75" t="s">
        <v>529</v>
      </c>
      <c r="B118" s="62"/>
      <c r="C118" s="76" t="s">
        <v>368</v>
      </c>
      <c r="D118" s="57"/>
      <c r="E118" s="94">
        <f>SUM(E119:E122)</f>
        <v>427.5</v>
      </c>
      <c r="F118" s="94">
        <f>SUM(F119:F121)</f>
        <v>0</v>
      </c>
      <c r="G118" s="12"/>
      <c r="H118" s="12"/>
    </row>
    <row r="119" spans="1:11" ht="12.6" customHeight="1" x14ac:dyDescent="0.2">
      <c r="A119" s="75" t="s">
        <v>530</v>
      </c>
      <c r="B119" s="62"/>
      <c r="C119" s="78" t="s">
        <v>144</v>
      </c>
      <c r="D119" s="62" t="s">
        <v>84</v>
      </c>
      <c r="E119" s="20">
        <v>220</v>
      </c>
      <c r="F119" s="20"/>
      <c r="G119" s="12"/>
      <c r="H119" s="12"/>
    </row>
    <row r="120" spans="1:11" ht="25.5" x14ac:dyDescent="0.2">
      <c r="A120" s="75" t="s">
        <v>531</v>
      </c>
      <c r="B120" s="62"/>
      <c r="C120" s="78" t="s">
        <v>301</v>
      </c>
      <c r="D120" s="66" t="s">
        <v>172</v>
      </c>
      <c r="E120" s="20">
        <v>150</v>
      </c>
      <c r="F120" s="20"/>
      <c r="G120" s="12"/>
      <c r="H120" s="12"/>
    </row>
    <row r="121" spans="1:11" ht="25.5" x14ac:dyDescent="0.2">
      <c r="A121" s="75" t="s">
        <v>532</v>
      </c>
      <c r="B121" s="62"/>
      <c r="C121" s="78" t="s">
        <v>179</v>
      </c>
      <c r="D121" s="62" t="s">
        <v>71</v>
      </c>
      <c r="E121" s="20">
        <v>42</v>
      </c>
      <c r="F121" s="20"/>
      <c r="G121" s="12"/>
      <c r="H121" s="12"/>
    </row>
    <row r="122" spans="1:11" ht="25.5" x14ac:dyDescent="0.2">
      <c r="A122" s="75" t="s">
        <v>533</v>
      </c>
      <c r="B122" s="62"/>
      <c r="C122" s="79" t="s">
        <v>500</v>
      </c>
      <c r="D122" s="62" t="s">
        <v>84</v>
      </c>
      <c r="E122" s="20">
        <f>15+0.5</f>
        <v>15.5</v>
      </c>
      <c r="F122" s="20"/>
      <c r="G122" s="12"/>
      <c r="H122" s="12"/>
      <c r="K122" s="11"/>
    </row>
    <row r="123" spans="1:11" ht="51" x14ac:dyDescent="0.2">
      <c r="A123" s="193">
        <v>42</v>
      </c>
      <c r="B123" s="194"/>
      <c r="C123" s="65" t="s">
        <v>8</v>
      </c>
      <c r="D123" s="66" t="s">
        <v>490</v>
      </c>
      <c r="E123" s="64">
        <f>1753.6+E124</f>
        <v>1775.6999999999998</v>
      </c>
      <c r="F123" s="64">
        <f>108+F124</f>
        <v>129.80000000000001</v>
      </c>
      <c r="G123" s="12"/>
      <c r="H123" s="12"/>
    </row>
    <row r="124" spans="1:11" x14ac:dyDescent="0.2">
      <c r="A124" s="193"/>
      <c r="B124" s="194"/>
      <c r="C124" s="65" t="s">
        <v>226</v>
      </c>
      <c r="D124" s="66" t="s">
        <v>35</v>
      </c>
      <c r="E124" s="64">
        <v>22.1</v>
      </c>
      <c r="F124" s="64">
        <v>21.8</v>
      </c>
      <c r="G124" s="12"/>
      <c r="H124" s="12"/>
      <c r="J124" s="11"/>
    </row>
    <row r="125" spans="1:11" ht="54" customHeight="1" x14ac:dyDescent="0.2">
      <c r="A125" s="193">
        <v>43</v>
      </c>
      <c r="B125" s="194"/>
      <c r="C125" s="65" t="s">
        <v>4</v>
      </c>
      <c r="D125" s="66" t="s">
        <v>491</v>
      </c>
      <c r="E125" s="64">
        <f>692.6+E126+0.5</f>
        <v>700.5</v>
      </c>
      <c r="F125" s="64">
        <f>32+F126+0.5</f>
        <v>39.799999999999997</v>
      </c>
      <c r="G125" s="12"/>
      <c r="H125" s="12"/>
    </row>
    <row r="126" spans="1:11" x14ac:dyDescent="0.2">
      <c r="A126" s="193"/>
      <c r="B126" s="194"/>
      <c r="C126" s="65" t="s">
        <v>226</v>
      </c>
      <c r="D126" s="66" t="s">
        <v>35</v>
      </c>
      <c r="E126" s="64">
        <v>7.4</v>
      </c>
      <c r="F126" s="64">
        <v>7.3</v>
      </c>
      <c r="G126" s="12"/>
      <c r="H126" s="12"/>
    </row>
    <row r="127" spans="1:11" ht="39.75" customHeight="1" x14ac:dyDescent="0.2">
      <c r="A127" s="61">
        <v>44</v>
      </c>
      <c r="B127" s="62"/>
      <c r="C127" s="65" t="s">
        <v>5</v>
      </c>
      <c r="D127" s="66" t="s">
        <v>109</v>
      </c>
      <c r="E127" s="64">
        <f>380+2.1</f>
        <v>382.1</v>
      </c>
      <c r="F127" s="64">
        <f>13.2+2.1</f>
        <v>15.299999999999999</v>
      </c>
      <c r="G127" s="12"/>
      <c r="H127" s="12"/>
    </row>
    <row r="128" spans="1:11" ht="51" customHeight="1" x14ac:dyDescent="0.2">
      <c r="A128" s="193">
        <v>45</v>
      </c>
      <c r="B128" s="194"/>
      <c r="C128" s="65" t="s">
        <v>7</v>
      </c>
      <c r="D128" s="66" t="s">
        <v>491</v>
      </c>
      <c r="E128" s="64">
        <f>329.4+E129+1.1</f>
        <v>334.2</v>
      </c>
      <c r="F128" s="64">
        <f>18+F129+1.1</f>
        <v>22.700000000000003</v>
      </c>
      <c r="G128" s="12"/>
      <c r="H128" s="12"/>
    </row>
    <row r="129" spans="1:8" x14ac:dyDescent="0.2">
      <c r="A129" s="193"/>
      <c r="B129" s="194"/>
      <c r="C129" s="65" t="s">
        <v>226</v>
      </c>
      <c r="D129" s="66" t="s">
        <v>35</v>
      </c>
      <c r="E129" s="64">
        <v>3.7</v>
      </c>
      <c r="F129" s="64">
        <v>3.6</v>
      </c>
      <c r="G129" s="12"/>
      <c r="H129" s="12"/>
    </row>
    <row r="130" spans="1:8" ht="50.25" customHeight="1" x14ac:dyDescent="0.2">
      <c r="A130" s="193">
        <v>46</v>
      </c>
      <c r="B130" s="194"/>
      <c r="C130" s="65" t="s">
        <v>6</v>
      </c>
      <c r="D130" s="66" t="s">
        <v>491</v>
      </c>
      <c r="E130" s="64">
        <f>357.4+E131</f>
        <v>361.09999999999997</v>
      </c>
      <c r="F130" s="64">
        <f>27.8+F131</f>
        <v>31.400000000000002</v>
      </c>
      <c r="G130" s="12"/>
      <c r="H130" s="12"/>
    </row>
    <row r="131" spans="1:8" x14ac:dyDescent="0.2">
      <c r="A131" s="193"/>
      <c r="B131" s="194"/>
      <c r="C131" s="65" t="s">
        <v>226</v>
      </c>
      <c r="D131" s="66" t="s">
        <v>35</v>
      </c>
      <c r="E131" s="64">
        <v>3.7</v>
      </c>
      <c r="F131" s="64">
        <v>3.6</v>
      </c>
      <c r="G131" s="12"/>
      <c r="H131" s="12"/>
    </row>
    <row r="132" spans="1:8" ht="40.5" customHeight="1" x14ac:dyDescent="0.2">
      <c r="A132" s="61">
        <v>47</v>
      </c>
      <c r="B132" s="62"/>
      <c r="C132" s="65" t="s">
        <v>9</v>
      </c>
      <c r="D132" s="66" t="s">
        <v>493</v>
      </c>
      <c r="E132" s="64">
        <f>426.9+0.3</f>
        <v>427.2</v>
      </c>
      <c r="F132" s="64">
        <f>17.6+0.3</f>
        <v>17.900000000000002</v>
      </c>
      <c r="G132" s="12"/>
      <c r="H132" s="12"/>
    </row>
    <row r="133" spans="1:8" ht="51.75" customHeight="1" x14ac:dyDescent="0.2">
      <c r="A133" s="193">
        <v>48</v>
      </c>
      <c r="B133" s="194"/>
      <c r="C133" s="73" t="s">
        <v>10</v>
      </c>
      <c r="D133" s="66" t="s">
        <v>491</v>
      </c>
      <c r="E133" s="64">
        <f>323.6+E134</f>
        <v>327.3</v>
      </c>
      <c r="F133" s="64">
        <f>14.8+F134</f>
        <v>18.400000000000002</v>
      </c>
      <c r="G133" s="12"/>
      <c r="H133" s="12"/>
    </row>
    <row r="134" spans="1:8" x14ac:dyDescent="0.2">
      <c r="A134" s="193"/>
      <c r="B134" s="194"/>
      <c r="C134" s="65" t="s">
        <v>226</v>
      </c>
      <c r="D134" s="66" t="s">
        <v>35</v>
      </c>
      <c r="E134" s="64">
        <v>3.7</v>
      </c>
      <c r="F134" s="64">
        <v>3.6</v>
      </c>
      <c r="G134" s="12"/>
      <c r="H134" s="12"/>
    </row>
    <row r="135" spans="1:8" ht="52.5" customHeight="1" x14ac:dyDescent="0.2">
      <c r="A135" s="193">
        <v>49</v>
      </c>
      <c r="B135" s="194"/>
      <c r="C135" s="65" t="s">
        <v>12</v>
      </c>
      <c r="D135" s="66" t="s">
        <v>491</v>
      </c>
      <c r="E135" s="64">
        <f>302.6+E136+2.2</f>
        <v>308.5</v>
      </c>
      <c r="F135" s="64">
        <f>14.3+F136+2.2</f>
        <v>20.100000000000001</v>
      </c>
      <c r="G135" s="12"/>
      <c r="H135" s="12"/>
    </row>
    <row r="136" spans="1:8" x14ac:dyDescent="0.2">
      <c r="A136" s="193"/>
      <c r="B136" s="194"/>
      <c r="C136" s="65" t="s">
        <v>226</v>
      </c>
      <c r="D136" s="66" t="s">
        <v>35</v>
      </c>
      <c r="E136" s="64">
        <v>3.7</v>
      </c>
      <c r="F136" s="64">
        <v>3.6</v>
      </c>
      <c r="G136" s="12"/>
      <c r="H136" s="12"/>
    </row>
    <row r="137" spans="1:8" ht="51" x14ac:dyDescent="0.2">
      <c r="A137" s="193">
        <v>50</v>
      </c>
      <c r="B137" s="194"/>
      <c r="C137" s="65" t="s">
        <v>11</v>
      </c>
      <c r="D137" s="66" t="s">
        <v>491</v>
      </c>
      <c r="E137" s="64">
        <f>344.5+E138+1</f>
        <v>349.2</v>
      </c>
      <c r="F137" s="64">
        <f>18.5+F138+1</f>
        <v>23.1</v>
      </c>
      <c r="G137" s="12"/>
      <c r="H137" s="12"/>
    </row>
    <row r="138" spans="1:8" x14ac:dyDescent="0.2">
      <c r="A138" s="193"/>
      <c r="B138" s="194"/>
      <c r="C138" s="65" t="s">
        <v>226</v>
      </c>
      <c r="D138" s="66" t="s">
        <v>35</v>
      </c>
      <c r="E138" s="64">
        <v>3.7</v>
      </c>
      <c r="F138" s="64">
        <v>3.6</v>
      </c>
      <c r="G138" s="12"/>
      <c r="H138" s="12"/>
    </row>
    <row r="139" spans="1:8" ht="53.25" customHeight="1" x14ac:dyDescent="0.2">
      <c r="A139" s="198">
        <v>51</v>
      </c>
      <c r="B139" s="194"/>
      <c r="C139" s="65" t="s">
        <v>13</v>
      </c>
      <c r="D139" s="66" t="s">
        <v>491</v>
      </c>
      <c r="E139" s="64">
        <f>170.5+E140</f>
        <v>174.2</v>
      </c>
      <c r="F139" s="64">
        <f>15.6+F140</f>
        <v>19.2</v>
      </c>
      <c r="G139" s="12"/>
      <c r="H139" s="12"/>
    </row>
    <row r="140" spans="1:8" x14ac:dyDescent="0.2">
      <c r="A140" s="198"/>
      <c r="B140" s="194"/>
      <c r="C140" s="65" t="s">
        <v>226</v>
      </c>
      <c r="D140" s="66" t="s">
        <v>35</v>
      </c>
      <c r="E140" s="64">
        <v>3.7</v>
      </c>
      <c r="F140" s="64">
        <v>3.6</v>
      </c>
      <c r="G140" s="12"/>
      <c r="H140" s="12"/>
    </row>
    <row r="141" spans="1:8" ht="54" customHeight="1" x14ac:dyDescent="0.2">
      <c r="A141" s="193">
        <v>52</v>
      </c>
      <c r="B141" s="194"/>
      <c r="C141" s="65" t="s">
        <v>14</v>
      </c>
      <c r="D141" s="66" t="s">
        <v>491</v>
      </c>
      <c r="E141" s="64">
        <f>232.2+E142+2.5</f>
        <v>242.1</v>
      </c>
      <c r="F141" s="64">
        <f>26.7+F142+2.5</f>
        <v>36.5</v>
      </c>
      <c r="G141" s="12"/>
      <c r="H141" s="12"/>
    </row>
    <row r="142" spans="1:8" x14ac:dyDescent="0.2">
      <c r="A142" s="193"/>
      <c r="B142" s="194"/>
      <c r="C142" s="65" t="s">
        <v>226</v>
      </c>
      <c r="D142" s="66" t="s">
        <v>35</v>
      </c>
      <c r="E142" s="64">
        <v>7.4</v>
      </c>
      <c r="F142" s="64">
        <v>7.3</v>
      </c>
      <c r="G142" s="12"/>
      <c r="H142" s="12"/>
    </row>
    <row r="143" spans="1:8" ht="20.100000000000001" customHeight="1" x14ac:dyDescent="0.2">
      <c r="A143" s="61">
        <v>53</v>
      </c>
      <c r="B143" s="57" t="s">
        <v>72</v>
      </c>
      <c r="C143" s="83" t="s">
        <v>186</v>
      </c>
      <c r="D143" s="62"/>
      <c r="E143" s="84">
        <f>+E145+E161+E162+E163+E164+E165+E166+E167+E168+E169+E144</f>
        <v>2027.1000000000001</v>
      </c>
      <c r="F143" s="84">
        <f>+F145+F161+F162+F163+F164+F165+F166+F167+F168+F169+F144</f>
        <v>779.3</v>
      </c>
      <c r="G143" s="12"/>
      <c r="H143" s="12"/>
    </row>
    <row r="144" spans="1:8" ht="12.6" customHeight="1" x14ac:dyDescent="0.2">
      <c r="A144" s="61">
        <v>54</v>
      </c>
      <c r="B144" s="62"/>
      <c r="C144" s="63" t="s">
        <v>107</v>
      </c>
      <c r="D144" s="62" t="s">
        <v>73</v>
      </c>
      <c r="E144" s="64">
        <f>1083.9+8+59.5</f>
        <v>1151.4000000000001</v>
      </c>
      <c r="F144" s="64">
        <f>642.1+58.4</f>
        <v>700.5</v>
      </c>
      <c r="G144" s="12"/>
      <c r="H144" s="12"/>
    </row>
    <row r="145" spans="1:8" ht="12.6" customHeight="1" x14ac:dyDescent="0.2">
      <c r="A145" s="61">
        <v>55</v>
      </c>
      <c r="B145" s="57"/>
      <c r="C145" s="73" t="s">
        <v>160</v>
      </c>
      <c r="D145" s="62"/>
      <c r="E145" s="64">
        <f>+E146+E147+E154+E157+E155+E156</f>
        <v>842.9</v>
      </c>
      <c r="F145" s="64">
        <f>+F146+F147+F154+F157+F155+F156</f>
        <v>47.6</v>
      </c>
      <c r="G145" s="12"/>
      <c r="H145" s="12"/>
    </row>
    <row r="146" spans="1:8" ht="12.6" customHeight="1" x14ac:dyDescent="0.2">
      <c r="A146" s="75" t="s">
        <v>456</v>
      </c>
      <c r="B146" s="62"/>
      <c r="C146" s="73" t="s">
        <v>3</v>
      </c>
      <c r="D146" s="62" t="s">
        <v>126</v>
      </c>
      <c r="E146" s="64">
        <f>108.6+12</f>
        <v>120.6</v>
      </c>
      <c r="F146" s="64">
        <v>47.6</v>
      </c>
      <c r="G146" s="12"/>
      <c r="H146" s="12"/>
    </row>
    <row r="147" spans="1:8" ht="12.6" customHeight="1" x14ac:dyDescent="0.2">
      <c r="A147" s="196" t="s">
        <v>457</v>
      </c>
      <c r="B147" s="194"/>
      <c r="C147" s="86" t="s">
        <v>474</v>
      </c>
      <c r="D147" s="194" t="s">
        <v>73</v>
      </c>
      <c r="E147" s="64">
        <f>+E148+E149+E150+E151+E152+E153</f>
        <v>515</v>
      </c>
      <c r="F147" s="64">
        <f>+F148+F149+F150+F151+F152</f>
        <v>0</v>
      </c>
      <c r="G147" s="12"/>
      <c r="H147" s="12"/>
    </row>
    <row r="148" spans="1:8" ht="25.5" x14ac:dyDescent="0.2">
      <c r="A148" s="196"/>
      <c r="B148" s="194"/>
      <c r="C148" s="95" t="s">
        <v>396</v>
      </c>
      <c r="D148" s="194"/>
      <c r="E148" s="64">
        <v>220</v>
      </c>
      <c r="F148" s="64"/>
      <c r="G148" s="12"/>
      <c r="H148" s="12"/>
    </row>
    <row r="149" spans="1:8" ht="12.6" customHeight="1" x14ac:dyDescent="0.2">
      <c r="A149" s="196"/>
      <c r="B149" s="194"/>
      <c r="C149" s="95" t="s">
        <v>391</v>
      </c>
      <c r="D149" s="194"/>
      <c r="E149" s="64">
        <f>100+20</f>
        <v>120</v>
      </c>
      <c r="F149" s="64"/>
      <c r="G149" s="12"/>
      <c r="H149" s="12"/>
    </row>
    <row r="150" spans="1:8" ht="12.6" customHeight="1" x14ac:dyDescent="0.2">
      <c r="A150" s="196"/>
      <c r="B150" s="194"/>
      <c r="C150" s="95" t="s">
        <v>390</v>
      </c>
      <c r="D150" s="194"/>
      <c r="E150" s="64">
        <v>15</v>
      </c>
      <c r="F150" s="64"/>
      <c r="G150" s="12"/>
      <c r="H150" s="12"/>
    </row>
    <row r="151" spans="1:8" ht="25.5" x14ac:dyDescent="0.2">
      <c r="A151" s="196"/>
      <c r="B151" s="194"/>
      <c r="C151" s="95" t="s">
        <v>389</v>
      </c>
      <c r="D151" s="194"/>
      <c r="E151" s="64">
        <v>120</v>
      </c>
      <c r="F151" s="64"/>
      <c r="G151" s="12"/>
      <c r="H151" s="12"/>
    </row>
    <row r="152" spans="1:8" x14ac:dyDescent="0.2">
      <c r="A152" s="196"/>
      <c r="B152" s="194"/>
      <c r="C152" s="95" t="s">
        <v>392</v>
      </c>
      <c r="D152" s="194"/>
      <c r="E152" s="64">
        <v>20</v>
      </c>
      <c r="F152" s="64"/>
      <c r="G152" s="12"/>
      <c r="H152" s="12"/>
    </row>
    <row r="153" spans="1:8" x14ac:dyDescent="0.2">
      <c r="A153" s="196"/>
      <c r="B153" s="194"/>
      <c r="C153" s="95" t="s">
        <v>393</v>
      </c>
      <c r="D153" s="194"/>
      <c r="E153" s="64">
        <f>10+10</f>
        <v>20</v>
      </c>
      <c r="F153" s="64"/>
      <c r="G153" s="12"/>
      <c r="H153" s="12"/>
    </row>
    <row r="154" spans="1:8" ht="12.6" customHeight="1" x14ac:dyDescent="0.2">
      <c r="A154" s="75" t="s">
        <v>458</v>
      </c>
      <c r="B154" s="62"/>
      <c r="C154" s="86" t="s">
        <v>394</v>
      </c>
      <c r="D154" s="62" t="s">
        <v>73</v>
      </c>
      <c r="E154" s="64">
        <v>55</v>
      </c>
      <c r="F154" s="64"/>
      <c r="G154" s="12"/>
      <c r="H154" s="12"/>
    </row>
    <row r="155" spans="1:8" ht="25.5" x14ac:dyDescent="0.2">
      <c r="A155" s="75" t="s">
        <v>459</v>
      </c>
      <c r="B155" s="62"/>
      <c r="C155" s="86" t="s">
        <v>556</v>
      </c>
      <c r="D155" s="62" t="s">
        <v>73</v>
      </c>
      <c r="E155" s="64">
        <v>10.3</v>
      </c>
      <c r="F155" s="64"/>
      <c r="G155" s="12"/>
      <c r="H155" s="12"/>
    </row>
    <row r="156" spans="1:8" ht="25.5" x14ac:dyDescent="0.2">
      <c r="A156" s="75" t="s">
        <v>460</v>
      </c>
      <c r="B156" s="62"/>
      <c r="C156" s="86" t="s">
        <v>358</v>
      </c>
      <c r="D156" s="62" t="s">
        <v>149</v>
      </c>
      <c r="E156" s="64">
        <v>10</v>
      </c>
      <c r="F156" s="64"/>
      <c r="G156" s="12"/>
      <c r="H156" s="12"/>
    </row>
    <row r="157" spans="1:8" ht="42" customHeight="1" x14ac:dyDescent="0.2">
      <c r="A157" s="75" t="s">
        <v>461</v>
      </c>
      <c r="B157" s="62"/>
      <c r="C157" s="76" t="s">
        <v>368</v>
      </c>
      <c r="D157" s="57"/>
      <c r="E157" s="77">
        <f>+E158+E159+E160</f>
        <v>132</v>
      </c>
      <c r="F157" s="77">
        <f>+F158+F159+F160</f>
        <v>0</v>
      </c>
      <c r="G157" s="12"/>
      <c r="H157" s="12"/>
    </row>
    <row r="158" spans="1:8" ht="25.5" x14ac:dyDescent="0.2">
      <c r="A158" s="75" t="s">
        <v>462</v>
      </c>
      <c r="B158" s="62"/>
      <c r="C158" s="65" t="s">
        <v>395</v>
      </c>
      <c r="D158" s="62" t="s">
        <v>73</v>
      </c>
      <c r="E158" s="64">
        <v>22</v>
      </c>
      <c r="F158" s="64"/>
      <c r="G158" s="12"/>
      <c r="H158" s="12"/>
    </row>
    <row r="159" spans="1:8" ht="38.25" x14ac:dyDescent="0.2">
      <c r="A159" s="75" t="s">
        <v>463</v>
      </c>
      <c r="B159" s="62"/>
      <c r="C159" s="65" t="s">
        <v>218</v>
      </c>
      <c r="D159" s="62" t="s">
        <v>73</v>
      </c>
      <c r="E159" s="64">
        <v>50</v>
      </c>
      <c r="F159" s="64"/>
      <c r="G159" s="12"/>
      <c r="H159" s="12"/>
    </row>
    <row r="160" spans="1:8" ht="25.5" x14ac:dyDescent="0.2">
      <c r="A160" s="75" t="s">
        <v>711</v>
      </c>
      <c r="B160" s="62"/>
      <c r="C160" s="65" t="s">
        <v>660</v>
      </c>
      <c r="D160" s="62" t="s">
        <v>57</v>
      </c>
      <c r="E160" s="64">
        <v>60</v>
      </c>
      <c r="F160" s="64"/>
      <c r="G160" s="12"/>
      <c r="H160" s="12"/>
    </row>
    <row r="161" spans="1:8" ht="25.5" x14ac:dyDescent="0.2">
      <c r="A161" s="61">
        <v>56</v>
      </c>
      <c r="B161" s="62"/>
      <c r="C161" s="65" t="s">
        <v>5</v>
      </c>
      <c r="D161" s="62" t="s">
        <v>73</v>
      </c>
      <c r="E161" s="64">
        <f>3.5+0.1</f>
        <v>3.6</v>
      </c>
      <c r="F161" s="64">
        <f>3.1+0.1</f>
        <v>3.2</v>
      </c>
      <c r="G161" s="12"/>
      <c r="H161" s="12"/>
    </row>
    <row r="162" spans="1:8" ht="12.6" customHeight="1" x14ac:dyDescent="0.2">
      <c r="A162" s="61">
        <v>57</v>
      </c>
      <c r="B162" s="62"/>
      <c r="C162" s="73" t="s">
        <v>7</v>
      </c>
      <c r="D162" s="62" t="s">
        <v>73</v>
      </c>
      <c r="E162" s="64">
        <f>3.4+0.3</f>
        <v>3.6999999999999997</v>
      </c>
      <c r="F162" s="64">
        <f>3.3+0.3</f>
        <v>3.5999999999999996</v>
      </c>
      <c r="G162" s="12"/>
      <c r="H162" s="12"/>
    </row>
    <row r="163" spans="1:8" ht="12.6" customHeight="1" x14ac:dyDescent="0.2">
      <c r="A163" s="61">
        <v>58</v>
      </c>
      <c r="B163" s="62"/>
      <c r="C163" s="65" t="s">
        <v>6</v>
      </c>
      <c r="D163" s="62" t="s">
        <v>73</v>
      </c>
      <c r="E163" s="64">
        <f>3.6+1.7</f>
        <v>5.3</v>
      </c>
      <c r="F163" s="64">
        <f>3.5+1.7</f>
        <v>5.2</v>
      </c>
      <c r="G163" s="12"/>
      <c r="H163" s="12"/>
    </row>
    <row r="164" spans="1:8" ht="12.6" customHeight="1" x14ac:dyDescent="0.2">
      <c r="A164" s="61">
        <v>59</v>
      </c>
      <c r="B164" s="62"/>
      <c r="C164" s="65" t="s">
        <v>9</v>
      </c>
      <c r="D164" s="62" t="s">
        <v>73</v>
      </c>
      <c r="E164" s="64">
        <f>3.3+0.4</f>
        <v>3.6999999999999997</v>
      </c>
      <c r="F164" s="64">
        <f>3.2+0.3</f>
        <v>3.5</v>
      </c>
      <c r="G164" s="12"/>
      <c r="H164" s="12"/>
    </row>
    <row r="165" spans="1:8" ht="12.6" customHeight="1" x14ac:dyDescent="0.2">
      <c r="A165" s="61">
        <v>60</v>
      </c>
      <c r="B165" s="62"/>
      <c r="C165" s="73" t="s">
        <v>10</v>
      </c>
      <c r="D165" s="62" t="s">
        <v>73</v>
      </c>
      <c r="E165" s="64">
        <v>3.2</v>
      </c>
      <c r="F165" s="64">
        <v>3.1</v>
      </c>
      <c r="G165" s="12"/>
      <c r="H165" s="12"/>
    </row>
    <row r="166" spans="1:8" ht="12.6" customHeight="1" x14ac:dyDescent="0.2">
      <c r="A166" s="61">
        <v>61</v>
      </c>
      <c r="B166" s="62"/>
      <c r="C166" s="65" t="s">
        <v>12</v>
      </c>
      <c r="D166" s="62" t="s">
        <v>73</v>
      </c>
      <c r="E166" s="64">
        <f>3.2+0.8</f>
        <v>4</v>
      </c>
      <c r="F166" s="64">
        <f>3.1+0.5</f>
        <v>3.6</v>
      </c>
      <c r="G166" s="12"/>
      <c r="H166" s="12"/>
    </row>
    <row r="167" spans="1:8" ht="12.6" customHeight="1" x14ac:dyDescent="0.2">
      <c r="A167" s="61">
        <v>62</v>
      </c>
      <c r="B167" s="62"/>
      <c r="C167" s="65" t="s">
        <v>11</v>
      </c>
      <c r="D167" s="62" t="s">
        <v>73</v>
      </c>
      <c r="E167" s="64">
        <v>3</v>
      </c>
      <c r="F167" s="64">
        <v>2.9</v>
      </c>
      <c r="G167" s="12"/>
      <c r="H167" s="12"/>
    </row>
    <row r="168" spans="1:8" ht="12.6" customHeight="1" x14ac:dyDescent="0.2">
      <c r="A168" s="61">
        <v>63</v>
      </c>
      <c r="B168" s="62"/>
      <c r="C168" s="65" t="s">
        <v>13</v>
      </c>
      <c r="D168" s="62" t="s">
        <v>73</v>
      </c>
      <c r="E168" s="64">
        <f>2.9+0.4</f>
        <v>3.3</v>
      </c>
      <c r="F168" s="64">
        <f>2.8+0.4</f>
        <v>3.1999999999999997</v>
      </c>
      <c r="G168" s="12"/>
      <c r="H168" s="12"/>
    </row>
    <row r="169" spans="1:8" ht="12.6" customHeight="1" x14ac:dyDescent="0.2">
      <c r="A169" s="61">
        <v>64</v>
      </c>
      <c r="B169" s="62"/>
      <c r="C169" s="65" t="s">
        <v>14</v>
      </c>
      <c r="D169" s="62" t="s">
        <v>73</v>
      </c>
      <c r="E169" s="64">
        <v>3</v>
      </c>
      <c r="F169" s="64">
        <v>2.9</v>
      </c>
      <c r="G169" s="12"/>
      <c r="H169" s="12"/>
    </row>
    <row r="170" spans="1:8" ht="12.6" customHeight="1" x14ac:dyDescent="0.2">
      <c r="A170" s="61">
        <v>65</v>
      </c>
      <c r="B170" s="57" t="s">
        <v>74</v>
      </c>
      <c r="C170" s="83" t="s">
        <v>75</v>
      </c>
      <c r="D170" s="55"/>
      <c r="E170" s="84">
        <f>+E171+E172+E173+E174+E175+E176+E177+E178+E180+E191</f>
        <v>4997.8</v>
      </c>
      <c r="F170" s="84">
        <f>+F171+F172+F173+F174+F175+F176+F177+F178+F180+F191</f>
        <v>3263.2</v>
      </c>
      <c r="G170" s="12"/>
      <c r="H170" s="12"/>
    </row>
    <row r="171" spans="1:8" ht="24.75" customHeight="1" x14ac:dyDescent="0.2">
      <c r="A171" s="61">
        <v>66</v>
      </c>
      <c r="B171" s="62"/>
      <c r="C171" s="63" t="s">
        <v>40</v>
      </c>
      <c r="D171" s="62" t="s">
        <v>76</v>
      </c>
      <c r="E171" s="64">
        <f>951.3+60.6</f>
        <v>1011.9</v>
      </c>
      <c r="F171" s="64">
        <f>653.1+59.4</f>
        <v>712.5</v>
      </c>
      <c r="G171" s="12"/>
      <c r="H171" s="12"/>
    </row>
    <row r="172" spans="1:8" ht="12.6" customHeight="1" x14ac:dyDescent="0.2">
      <c r="A172" s="61">
        <v>67</v>
      </c>
      <c r="B172" s="62"/>
      <c r="C172" s="90" t="s">
        <v>45</v>
      </c>
      <c r="D172" s="62" t="s">
        <v>76</v>
      </c>
      <c r="E172" s="64">
        <f>293.8+20.3</f>
        <v>314.10000000000002</v>
      </c>
      <c r="F172" s="64">
        <f>218.5+19.9</f>
        <v>238.4</v>
      </c>
      <c r="G172" s="12"/>
      <c r="H172" s="12"/>
    </row>
    <row r="173" spans="1:8" ht="12.6" customHeight="1" x14ac:dyDescent="0.2">
      <c r="A173" s="61">
        <v>68</v>
      </c>
      <c r="B173" s="62"/>
      <c r="C173" s="90" t="s">
        <v>46</v>
      </c>
      <c r="D173" s="62" t="s">
        <v>76</v>
      </c>
      <c r="E173" s="64">
        <f>227.3+14.6</f>
        <v>241.9</v>
      </c>
      <c r="F173" s="64">
        <f>158+14.3</f>
        <v>172.3</v>
      </c>
      <c r="G173" s="12"/>
      <c r="H173" s="12"/>
    </row>
    <row r="174" spans="1:8" ht="12.6" customHeight="1" x14ac:dyDescent="0.2">
      <c r="A174" s="61">
        <v>69</v>
      </c>
      <c r="B174" s="62"/>
      <c r="C174" s="90" t="s">
        <v>41</v>
      </c>
      <c r="D174" s="62" t="s">
        <v>76</v>
      </c>
      <c r="E174" s="64">
        <f>209.9+13.8</f>
        <v>223.70000000000002</v>
      </c>
      <c r="F174" s="64">
        <f>148.8+13.5</f>
        <v>162.30000000000001</v>
      </c>
      <c r="G174" s="12"/>
      <c r="H174" s="12"/>
    </row>
    <row r="175" spans="1:8" ht="12.6" customHeight="1" x14ac:dyDescent="0.2">
      <c r="A175" s="61">
        <v>70</v>
      </c>
      <c r="B175" s="62"/>
      <c r="C175" s="90" t="s">
        <v>47</v>
      </c>
      <c r="D175" s="62" t="s">
        <v>76</v>
      </c>
      <c r="E175" s="64">
        <f>141.2+10.6</f>
        <v>151.79999999999998</v>
      </c>
      <c r="F175" s="64">
        <f>114.8+10.4</f>
        <v>125.2</v>
      </c>
      <c r="G175" s="12"/>
      <c r="H175" s="12"/>
    </row>
    <row r="176" spans="1:8" ht="12.6" customHeight="1" x14ac:dyDescent="0.2">
      <c r="A176" s="61">
        <v>71</v>
      </c>
      <c r="B176" s="62"/>
      <c r="C176" s="90" t="s">
        <v>48</v>
      </c>
      <c r="D176" s="62" t="s">
        <v>76</v>
      </c>
      <c r="E176" s="64">
        <f>128.5+8.6</f>
        <v>137.1</v>
      </c>
      <c r="F176" s="64">
        <f>93.1+8.5</f>
        <v>101.6</v>
      </c>
      <c r="G176" s="12"/>
      <c r="H176" s="12"/>
    </row>
    <row r="177" spans="1:8" ht="12.6" customHeight="1" x14ac:dyDescent="0.2">
      <c r="A177" s="61">
        <v>72</v>
      </c>
      <c r="B177" s="62"/>
      <c r="C177" s="65" t="s">
        <v>49</v>
      </c>
      <c r="D177" s="62" t="s">
        <v>77</v>
      </c>
      <c r="E177" s="64">
        <f>1257.7+95.6</f>
        <v>1353.3</v>
      </c>
      <c r="F177" s="64">
        <f>1030.7+93.7</f>
        <v>1124.4000000000001</v>
      </c>
      <c r="G177" s="12"/>
      <c r="H177" s="12"/>
    </row>
    <row r="178" spans="1:8" ht="12.6" customHeight="1" x14ac:dyDescent="0.2">
      <c r="A178" s="193">
        <v>73</v>
      </c>
      <c r="B178" s="194"/>
      <c r="C178" s="90" t="s">
        <v>39</v>
      </c>
      <c r="D178" s="62" t="s">
        <v>78</v>
      </c>
      <c r="E178" s="64">
        <f>+E179+646.2+44.9</f>
        <v>696.30000000000007</v>
      </c>
      <c r="F178" s="64">
        <f>484.4+44.1</f>
        <v>528.5</v>
      </c>
      <c r="G178" s="12"/>
      <c r="H178" s="12"/>
    </row>
    <row r="179" spans="1:8" ht="12.6" customHeight="1" x14ac:dyDescent="0.2">
      <c r="A179" s="193"/>
      <c r="B179" s="194"/>
      <c r="C179" s="96" t="s">
        <v>397</v>
      </c>
      <c r="D179" s="62" t="s">
        <v>120</v>
      </c>
      <c r="E179" s="64">
        <v>5.2</v>
      </c>
      <c r="F179" s="64"/>
      <c r="G179" s="12"/>
      <c r="H179" s="12"/>
    </row>
    <row r="180" spans="1:8" ht="42.75" customHeight="1" x14ac:dyDescent="0.2">
      <c r="A180" s="61">
        <v>74</v>
      </c>
      <c r="B180" s="62"/>
      <c r="C180" s="73" t="s">
        <v>160</v>
      </c>
      <c r="D180" s="62"/>
      <c r="E180" s="64">
        <f>+E181+E182+E183+E184+E187+E185+E186</f>
        <v>859</v>
      </c>
      <c r="F180" s="64">
        <f>+F181+F182+F183+F184+F187+F185+F186</f>
        <v>89.7</v>
      </c>
      <c r="G180" s="12"/>
      <c r="H180" s="12"/>
    </row>
    <row r="181" spans="1:8" ht="12.6" customHeight="1" x14ac:dyDescent="0.2">
      <c r="A181" s="75" t="s">
        <v>464</v>
      </c>
      <c r="B181" s="62"/>
      <c r="C181" s="73" t="s">
        <v>3</v>
      </c>
      <c r="D181" s="66" t="s">
        <v>135</v>
      </c>
      <c r="E181" s="64">
        <f>434.9+15.2</f>
        <v>450.09999999999997</v>
      </c>
      <c r="F181" s="64">
        <f>74.7+15</f>
        <v>89.7</v>
      </c>
      <c r="G181" s="12"/>
      <c r="H181" s="12"/>
    </row>
    <row r="182" spans="1:8" ht="51" x14ac:dyDescent="0.2">
      <c r="A182" s="75" t="s">
        <v>465</v>
      </c>
      <c r="B182" s="62"/>
      <c r="C182" s="78" t="s">
        <v>180</v>
      </c>
      <c r="D182" s="66" t="s">
        <v>79</v>
      </c>
      <c r="E182" s="64">
        <v>27</v>
      </c>
      <c r="F182" s="64"/>
      <c r="G182" s="12"/>
      <c r="H182" s="12"/>
    </row>
    <row r="183" spans="1:8" x14ac:dyDescent="0.2">
      <c r="A183" s="75" t="s">
        <v>466</v>
      </c>
      <c r="B183" s="62"/>
      <c r="C183" s="78" t="s">
        <v>302</v>
      </c>
      <c r="D183" s="66" t="s">
        <v>79</v>
      </c>
      <c r="E183" s="64">
        <v>25</v>
      </c>
      <c r="F183" s="64"/>
      <c r="G183" s="12"/>
      <c r="H183" s="12"/>
    </row>
    <row r="184" spans="1:8" ht="25.5" x14ac:dyDescent="0.2">
      <c r="A184" s="75" t="s">
        <v>467</v>
      </c>
      <c r="B184" s="62"/>
      <c r="C184" s="78" t="s">
        <v>303</v>
      </c>
      <c r="D184" s="66" t="s">
        <v>79</v>
      </c>
      <c r="E184" s="64">
        <v>10</v>
      </c>
      <c r="F184" s="64"/>
      <c r="G184" s="12"/>
      <c r="H184" s="12"/>
    </row>
    <row r="185" spans="1:8" ht="25.5" x14ac:dyDescent="0.2">
      <c r="A185" s="75" t="s">
        <v>468</v>
      </c>
      <c r="B185" s="62"/>
      <c r="C185" s="79" t="s">
        <v>219</v>
      </c>
      <c r="D185" s="66" t="s">
        <v>149</v>
      </c>
      <c r="E185" s="64">
        <v>36</v>
      </c>
      <c r="F185" s="64"/>
      <c r="G185" s="12"/>
      <c r="H185" s="12"/>
    </row>
    <row r="186" spans="1:8" ht="51" x14ac:dyDescent="0.2">
      <c r="A186" s="75" t="s">
        <v>469</v>
      </c>
      <c r="B186" s="62"/>
      <c r="C186" s="79" t="s">
        <v>557</v>
      </c>
      <c r="D186" s="66" t="s">
        <v>149</v>
      </c>
      <c r="E186" s="64">
        <v>19</v>
      </c>
      <c r="F186" s="64"/>
      <c r="G186" s="12"/>
      <c r="H186" s="12"/>
    </row>
    <row r="187" spans="1:8" ht="40.5" x14ac:dyDescent="0.2">
      <c r="A187" s="75" t="s">
        <v>470</v>
      </c>
      <c r="B187" s="62"/>
      <c r="C187" s="76" t="s">
        <v>368</v>
      </c>
      <c r="D187" s="55"/>
      <c r="E187" s="77">
        <f>SUM(E188:E190)</f>
        <v>291.90000000000003</v>
      </c>
      <c r="F187" s="77">
        <f>SUM(F188:F190)</f>
        <v>0</v>
      </c>
      <c r="G187" s="12"/>
      <c r="H187" s="12"/>
    </row>
    <row r="188" spans="1:8" ht="39" customHeight="1" x14ac:dyDescent="0.2">
      <c r="A188" s="75" t="s">
        <v>471</v>
      </c>
      <c r="B188" s="62"/>
      <c r="C188" s="79" t="s">
        <v>166</v>
      </c>
      <c r="D188" s="62" t="s">
        <v>78</v>
      </c>
      <c r="E188" s="64">
        <v>10</v>
      </c>
      <c r="F188" s="64"/>
      <c r="G188" s="12"/>
      <c r="H188" s="12"/>
    </row>
    <row r="189" spans="1:8" x14ac:dyDescent="0.2">
      <c r="A189" s="75" t="s">
        <v>472</v>
      </c>
      <c r="B189" s="62"/>
      <c r="C189" s="79" t="s">
        <v>398</v>
      </c>
      <c r="D189" s="62" t="s">
        <v>78</v>
      </c>
      <c r="E189" s="64">
        <v>267.3</v>
      </c>
      <c r="F189" s="64"/>
      <c r="G189" s="12"/>
      <c r="H189" s="12"/>
    </row>
    <row r="190" spans="1:8" x14ac:dyDescent="0.2">
      <c r="A190" s="75" t="s">
        <v>710</v>
      </c>
      <c r="B190" s="62"/>
      <c r="C190" s="65" t="s">
        <v>643</v>
      </c>
      <c r="D190" s="62" t="s">
        <v>76</v>
      </c>
      <c r="E190" s="64">
        <v>14.6</v>
      </c>
      <c r="F190" s="64"/>
      <c r="G190" s="12"/>
      <c r="H190" s="12"/>
    </row>
    <row r="191" spans="1:8" ht="12.6" customHeight="1" x14ac:dyDescent="0.2">
      <c r="A191" s="61">
        <v>75</v>
      </c>
      <c r="B191" s="62"/>
      <c r="C191" s="65" t="s">
        <v>6</v>
      </c>
      <c r="D191" s="62" t="s">
        <v>78</v>
      </c>
      <c r="E191" s="64">
        <f>8.5+0.2</f>
        <v>8.6999999999999993</v>
      </c>
      <c r="F191" s="64">
        <f>8.3</f>
        <v>8.3000000000000007</v>
      </c>
      <c r="G191" s="12"/>
      <c r="H191" s="12"/>
    </row>
    <row r="192" spans="1:8" ht="12.6" customHeight="1" x14ac:dyDescent="0.2">
      <c r="A192" s="61">
        <v>76</v>
      </c>
      <c r="B192" s="57" t="s">
        <v>100</v>
      </c>
      <c r="C192" s="97" t="s">
        <v>101</v>
      </c>
      <c r="D192" s="62"/>
      <c r="E192" s="84">
        <f>+E196+E193</f>
        <v>384.4</v>
      </c>
      <c r="F192" s="84">
        <f>+F196</f>
        <v>0</v>
      </c>
      <c r="G192" s="12"/>
      <c r="H192" s="12"/>
    </row>
    <row r="193" spans="1:8" ht="30" customHeight="1" x14ac:dyDescent="0.2">
      <c r="A193" s="193">
        <v>77</v>
      </c>
      <c r="B193" s="195"/>
      <c r="C193" s="90" t="s">
        <v>224</v>
      </c>
      <c r="D193" s="194" t="s">
        <v>102</v>
      </c>
      <c r="E193" s="64">
        <f>+E194+E195</f>
        <v>41</v>
      </c>
      <c r="F193" s="84"/>
      <c r="G193" s="12"/>
      <c r="H193" s="12"/>
    </row>
    <row r="194" spans="1:8" ht="12.6" customHeight="1" x14ac:dyDescent="0.2">
      <c r="A194" s="193"/>
      <c r="B194" s="195"/>
      <c r="C194" s="85" t="s">
        <v>229</v>
      </c>
      <c r="D194" s="194"/>
      <c r="E194" s="64">
        <v>30</v>
      </c>
      <c r="F194" s="64"/>
      <c r="G194" s="12"/>
      <c r="H194" s="12"/>
    </row>
    <row r="195" spans="1:8" ht="25.5" x14ac:dyDescent="0.2">
      <c r="A195" s="193"/>
      <c r="B195" s="195"/>
      <c r="C195" s="85" t="s">
        <v>492</v>
      </c>
      <c r="D195" s="194"/>
      <c r="E195" s="64">
        <v>11</v>
      </c>
      <c r="F195" s="64"/>
      <c r="G195" s="12"/>
      <c r="H195" s="12"/>
    </row>
    <row r="196" spans="1:8" x14ac:dyDescent="0.2">
      <c r="A196" s="61">
        <v>78</v>
      </c>
      <c r="B196" s="62"/>
      <c r="C196" s="73" t="s">
        <v>160</v>
      </c>
      <c r="D196" s="62"/>
      <c r="E196" s="64">
        <f>+E197+E198+E201+E199+E200</f>
        <v>343.4</v>
      </c>
      <c r="F196" s="64">
        <f>+F197+F198+F201</f>
        <v>0</v>
      </c>
      <c r="G196" s="12"/>
      <c r="H196" s="12"/>
    </row>
    <row r="197" spans="1:8" ht="12.6" customHeight="1" x14ac:dyDescent="0.2">
      <c r="A197" s="98" t="s">
        <v>473</v>
      </c>
      <c r="B197" s="62"/>
      <c r="C197" s="78" t="s">
        <v>175</v>
      </c>
      <c r="D197" s="62" t="s">
        <v>102</v>
      </c>
      <c r="E197" s="64">
        <f>85-4.6</f>
        <v>80.400000000000006</v>
      </c>
      <c r="F197" s="64"/>
      <c r="G197" s="12"/>
      <c r="H197" s="12"/>
    </row>
    <row r="198" spans="1:8" ht="27.6" customHeight="1" x14ac:dyDescent="0.2">
      <c r="A198" s="98" t="s">
        <v>475</v>
      </c>
      <c r="B198" s="62"/>
      <c r="C198" s="78" t="s">
        <v>134</v>
      </c>
      <c r="D198" s="62" t="s">
        <v>136</v>
      </c>
      <c r="E198" s="64">
        <v>50</v>
      </c>
      <c r="F198" s="64"/>
      <c r="G198" s="12"/>
      <c r="H198" s="12"/>
    </row>
    <row r="199" spans="1:8" ht="51" x14ac:dyDescent="0.2">
      <c r="A199" s="98" t="s">
        <v>476</v>
      </c>
      <c r="B199" s="62"/>
      <c r="C199" s="80" t="s">
        <v>356</v>
      </c>
      <c r="D199" s="62" t="s">
        <v>102</v>
      </c>
      <c r="E199" s="64">
        <v>20</v>
      </c>
      <c r="F199" s="64"/>
      <c r="G199" s="12"/>
      <c r="H199" s="12"/>
    </row>
    <row r="200" spans="1:8" ht="25.5" x14ac:dyDescent="0.2">
      <c r="A200" s="98" t="s">
        <v>477</v>
      </c>
      <c r="B200" s="62"/>
      <c r="C200" s="80" t="s">
        <v>208</v>
      </c>
      <c r="D200" s="62" t="s">
        <v>111</v>
      </c>
      <c r="E200" s="64">
        <v>23</v>
      </c>
      <c r="F200" s="64"/>
      <c r="G200" s="12"/>
      <c r="H200" s="12"/>
    </row>
    <row r="201" spans="1:8" ht="40.5" x14ac:dyDescent="0.2">
      <c r="A201" s="98" t="s">
        <v>537</v>
      </c>
      <c r="B201" s="62"/>
      <c r="C201" s="76" t="s">
        <v>368</v>
      </c>
      <c r="D201" s="57"/>
      <c r="E201" s="77">
        <f>SUM(E202:E207)</f>
        <v>170</v>
      </c>
      <c r="F201" s="77">
        <f>SUM(F202:F207)</f>
        <v>0</v>
      </c>
      <c r="G201" s="12"/>
      <c r="H201" s="12"/>
    </row>
    <row r="202" spans="1:8" ht="41.45" customHeight="1" x14ac:dyDescent="0.2">
      <c r="A202" s="75" t="s">
        <v>538</v>
      </c>
      <c r="B202" s="62"/>
      <c r="C202" s="80" t="s">
        <v>220</v>
      </c>
      <c r="D202" s="62" t="s">
        <v>111</v>
      </c>
      <c r="E202" s="64">
        <f>47</f>
        <v>47</v>
      </c>
      <c r="F202" s="64"/>
      <c r="G202" s="12"/>
      <c r="H202" s="12"/>
    </row>
    <row r="203" spans="1:8" ht="25.5" x14ac:dyDescent="0.2">
      <c r="A203" s="75" t="s">
        <v>539</v>
      </c>
      <c r="B203" s="62"/>
      <c r="C203" s="80" t="s">
        <v>221</v>
      </c>
      <c r="D203" s="66" t="s">
        <v>120</v>
      </c>
      <c r="E203" s="64">
        <v>11</v>
      </c>
      <c r="F203" s="64"/>
      <c r="G203" s="12"/>
      <c r="H203" s="12"/>
    </row>
    <row r="204" spans="1:8" ht="38.25" x14ac:dyDescent="0.2">
      <c r="A204" s="75" t="s">
        <v>540</v>
      </c>
      <c r="B204" s="62"/>
      <c r="C204" s="80" t="s">
        <v>305</v>
      </c>
      <c r="D204" s="62" t="s">
        <v>111</v>
      </c>
      <c r="E204" s="64">
        <f>3</f>
        <v>3</v>
      </c>
      <c r="F204" s="64"/>
      <c r="G204" s="12"/>
      <c r="H204" s="12"/>
    </row>
    <row r="205" spans="1:8" ht="51" x14ac:dyDescent="0.2">
      <c r="A205" s="75" t="s">
        <v>541</v>
      </c>
      <c r="B205" s="62"/>
      <c r="C205" s="80" t="s">
        <v>400</v>
      </c>
      <c r="D205" s="62" t="s">
        <v>111</v>
      </c>
      <c r="E205" s="64">
        <v>80</v>
      </c>
      <c r="F205" s="64"/>
      <c r="G205" s="12"/>
      <c r="H205" s="12"/>
    </row>
    <row r="206" spans="1:8" ht="38.25" x14ac:dyDescent="0.2">
      <c r="A206" s="75" t="s">
        <v>542</v>
      </c>
      <c r="B206" s="62"/>
      <c r="C206" s="80" t="s">
        <v>399</v>
      </c>
      <c r="D206" s="62" t="s">
        <v>111</v>
      </c>
      <c r="E206" s="64">
        <v>6</v>
      </c>
      <c r="F206" s="64"/>
      <c r="G206" s="12"/>
      <c r="H206" s="12"/>
    </row>
    <row r="207" spans="1:8" x14ac:dyDescent="0.2">
      <c r="A207" s="75" t="s">
        <v>543</v>
      </c>
      <c r="B207" s="62"/>
      <c r="C207" s="80" t="s">
        <v>536</v>
      </c>
      <c r="D207" s="62" t="s">
        <v>111</v>
      </c>
      <c r="E207" s="64">
        <v>23</v>
      </c>
      <c r="F207" s="64"/>
      <c r="G207" s="12"/>
      <c r="H207" s="12"/>
    </row>
    <row r="208" spans="1:8" x14ac:dyDescent="0.2">
      <c r="A208" s="193">
        <v>79</v>
      </c>
      <c r="B208" s="195" t="s">
        <v>80</v>
      </c>
      <c r="C208" s="222" t="s">
        <v>81</v>
      </c>
      <c r="D208" s="194"/>
      <c r="E208" s="168">
        <v>2462.1</v>
      </c>
      <c r="F208" s="64"/>
      <c r="G208" s="12"/>
      <c r="H208" s="12"/>
    </row>
    <row r="209" spans="1:12" x14ac:dyDescent="0.2">
      <c r="A209" s="193"/>
      <c r="B209" s="195"/>
      <c r="C209" s="222"/>
      <c r="D209" s="194"/>
      <c r="E209" s="59">
        <v>2579.3000000000002</v>
      </c>
      <c r="F209" s="59">
        <f>+F210+F212+F242+F243+F244+F245+F246+F247+F248+F249+F250+F252+F253</f>
        <v>0</v>
      </c>
      <c r="G209" s="12"/>
      <c r="H209" s="12"/>
      <c r="J209" s="11"/>
    </row>
    <row r="210" spans="1:12" ht="27" customHeight="1" x14ac:dyDescent="0.2">
      <c r="A210" s="61">
        <v>80</v>
      </c>
      <c r="B210" s="57"/>
      <c r="C210" s="99" t="s">
        <v>208</v>
      </c>
      <c r="D210" s="66" t="s">
        <v>125</v>
      </c>
      <c r="E210" s="100">
        <f>142-16.2+66.2</f>
        <v>192</v>
      </c>
      <c r="F210" s="100"/>
      <c r="G210" s="12"/>
      <c r="H210" s="12"/>
    </row>
    <row r="211" spans="1:12" ht="21" customHeight="1" x14ac:dyDescent="0.2">
      <c r="A211" s="225" t="s">
        <v>732</v>
      </c>
      <c r="B211" s="194"/>
      <c r="C211" s="223" t="s">
        <v>167</v>
      </c>
      <c r="D211" s="197"/>
      <c r="E211" s="72">
        <v>1235.4000000000001</v>
      </c>
      <c r="F211" s="100"/>
      <c r="G211" s="12"/>
      <c r="H211" s="12"/>
    </row>
    <row r="212" spans="1:12" ht="21" customHeight="1" x14ac:dyDescent="0.2">
      <c r="A212" s="225">
        <v>81</v>
      </c>
      <c r="B212" s="194"/>
      <c r="C212" s="224"/>
      <c r="D212" s="207"/>
      <c r="E212" s="77">
        <f>E214</f>
        <v>1344.6</v>
      </c>
      <c r="F212" s="64">
        <f>F214</f>
        <v>0</v>
      </c>
      <c r="G212" s="12"/>
      <c r="H212" s="12"/>
      <c r="J212" s="11"/>
    </row>
    <row r="213" spans="1:12" ht="27" customHeight="1" x14ac:dyDescent="0.2">
      <c r="A213" s="196" t="s">
        <v>574</v>
      </c>
      <c r="B213" s="194"/>
      <c r="C213" s="219" t="s">
        <v>368</v>
      </c>
      <c r="D213" s="197"/>
      <c r="E213" s="72">
        <v>1235.4000000000001</v>
      </c>
      <c r="F213" s="64"/>
      <c r="G213" s="12"/>
      <c r="H213" s="12"/>
    </row>
    <row r="214" spans="1:12" ht="12.6" customHeight="1" x14ac:dyDescent="0.2">
      <c r="A214" s="196"/>
      <c r="B214" s="194"/>
      <c r="C214" s="219"/>
      <c r="D214" s="197"/>
      <c r="E214" s="77">
        <v>1344.6</v>
      </c>
      <c r="F214" s="77">
        <f>SUM(F215:F239)</f>
        <v>0</v>
      </c>
      <c r="G214" s="12"/>
      <c r="H214" s="12"/>
      <c r="J214" s="11"/>
    </row>
    <row r="215" spans="1:12" ht="39" customHeight="1" x14ac:dyDescent="0.2">
      <c r="A215" s="75" t="s">
        <v>575</v>
      </c>
      <c r="B215" s="62"/>
      <c r="C215" s="79" t="s">
        <v>309</v>
      </c>
      <c r="D215" s="66" t="s">
        <v>122</v>
      </c>
      <c r="E215" s="64">
        <v>75</v>
      </c>
      <c r="F215" s="64"/>
      <c r="G215" s="12"/>
      <c r="H215" s="12"/>
    </row>
    <row r="216" spans="1:12" ht="27.6" customHeight="1" x14ac:dyDescent="0.2">
      <c r="A216" s="75" t="s">
        <v>576</v>
      </c>
      <c r="B216" s="62"/>
      <c r="C216" s="79" t="s">
        <v>359</v>
      </c>
      <c r="D216" s="66" t="s">
        <v>122</v>
      </c>
      <c r="E216" s="64">
        <v>50</v>
      </c>
      <c r="F216" s="64"/>
      <c r="G216" s="12"/>
      <c r="H216" s="12"/>
      <c r="J216" s="9"/>
      <c r="K216" s="9"/>
      <c r="L216" s="9"/>
    </row>
    <row r="217" spans="1:12" ht="27.6" customHeight="1" x14ac:dyDescent="0.2">
      <c r="A217" s="221" t="s">
        <v>577</v>
      </c>
      <c r="B217" s="194"/>
      <c r="C217" s="220" t="s">
        <v>310</v>
      </c>
      <c r="D217" s="197" t="s">
        <v>34</v>
      </c>
      <c r="E217" s="72">
        <v>25</v>
      </c>
      <c r="F217" s="64"/>
      <c r="G217" s="12"/>
      <c r="H217" s="12"/>
      <c r="J217" s="9"/>
      <c r="K217" s="9"/>
      <c r="L217" s="9"/>
    </row>
    <row r="218" spans="1:12" x14ac:dyDescent="0.2">
      <c r="A218" s="221"/>
      <c r="B218" s="194"/>
      <c r="C218" s="220"/>
      <c r="D218" s="197"/>
      <c r="E218" s="77">
        <f>25+5</f>
        <v>30</v>
      </c>
      <c r="F218" s="64"/>
      <c r="G218" s="12"/>
      <c r="H218" s="12"/>
      <c r="J218" s="9"/>
      <c r="K218" s="9"/>
      <c r="L218" s="9"/>
    </row>
    <row r="219" spans="1:12" ht="38.25" x14ac:dyDescent="0.2">
      <c r="A219" s="75" t="s">
        <v>578</v>
      </c>
      <c r="B219" s="62"/>
      <c r="C219" s="73" t="s">
        <v>133</v>
      </c>
      <c r="D219" s="66" t="s">
        <v>122</v>
      </c>
      <c r="E219" s="64">
        <v>60</v>
      </c>
      <c r="F219" s="64"/>
      <c r="G219" s="12"/>
      <c r="H219" s="12"/>
    </row>
    <row r="220" spans="1:12" ht="40.15" customHeight="1" x14ac:dyDescent="0.2">
      <c r="A220" s="75" t="s">
        <v>579</v>
      </c>
      <c r="B220" s="62"/>
      <c r="C220" s="73" t="s">
        <v>401</v>
      </c>
      <c r="D220" s="101" t="s">
        <v>188</v>
      </c>
      <c r="E220" s="64">
        <f>60+23.1</f>
        <v>83.1</v>
      </c>
      <c r="F220" s="64"/>
      <c r="G220" s="12"/>
      <c r="H220" s="12"/>
    </row>
    <row r="221" spans="1:12" ht="38.25" x14ac:dyDescent="0.2">
      <c r="A221" s="75" t="s">
        <v>580</v>
      </c>
      <c r="B221" s="62"/>
      <c r="C221" s="65" t="s">
        <v>147</v>
      </c>
      <c r="D221" s="66" t="s">
        <v>146</v>
      </c>
      <c r="E221" s="64">
        <f>145.3</f>
        <v>145.30000000000001</v>
      </c>
      <c r="F221" s="64"/>
      <c r="G221" s="12"/>
      <c r="H221" s="12"/>
    </row>
    <row r="222" spans="1:12" x14ac:dyDescent="0.2">
      <c r="A222" s="75" t="s">
        <v>581</v>
      </c>
      <c r="B222" s="62"/>
      <c r="C222" s="65" t="s">
        <v>192</v>
      </c>
      <c r="D222" s="102" t="s">
        <v>189</v>
      </c>
      <c r="E222" s="64">
        <v>39.5</v>
      </c>
      <c r="F222" s="64"/>
      <c r="G222" s="12"/>
      <c r="H222" s="12"/>
    </row>
    <row r="223" spans="1:12" x14ac:dyDescent="0.2">
      <c r="A223" s="221" t="s">
        <v>582</v>
      </c>
      <c r="B223" s="194"/>
      <c r="C223" s="226" t="s">
        <v>311</v>
      </c>
      <c r="D223" s="228" t="s">
        <v>188</v>
      </c>
      <c r="E223" s="72">
        <v>13.5</v>
      </c>
      <c r="F223" s="64"/>
      <c r="G223" s="12"/>
      <c r="H223" s="12"/>
    </row>
    <row r="224" spans="1:12" ht="12.6" customHeight="1" x14ac:dyDescent="0.2">
      <c r="A224" s="221"/>
      <c r="B224" s="194"/>
      <c r="C224" s="226"/>
      <c r="D224" s="228"/>
      <c r="E224" s="77">
        <f>13.5+4.2</f>
        <v>17.7</v>
      </c>
      <c r="F224" s="64"/>
      <c r="G224" s="12"/>
      <c r="H224" s="12"/>
      <c r="J224" s="12"/>
    </row>
    <row r="225" spans="1:16" ht="25.5" x14ac:dyDescent="0.2">
      <c r="A225" s="75" t="s">
        <v>583</v>
      </c>
      <c r="B225" s="62"/>
      <c r="C225" s="65" t="s">
        <v>403</v>
      </c>
      <c r="D225" s="66" t="s">
        <v>138</v>
      </c>
      <c r="E225" s="64">
        <f>10</f>
        <v>10</v>
      </c>
      <c r="F225" s="64"/>
      <c r="G225" s="12"/>
      <c r="H225" s="12"/>
    </row>
    <row r="226" spans="1:16" x14ac:dyDescent="0.2">
      <c r="A226" s="75" t="s">
        <v>584</v>
      </c>
      <c r="B226" s="62"/>
      <c r="C226" s="80" t="s">
        <v>402</v>
      </c>
      <c r="D226" s="66" t="s">
        <v>138</v>
      </c>
      <c r="E226" s="64">
        <v>15</v>
      </c>
      <c r="F226" s="64"/>
      <c r="G226" s="12"/>
      <c r="H226" s="12"/>
    </row>
    <row r="227" spans="1:16" ht="12.6" customHeight="1" x14ac:dyDescent="0.2">
      <c r="A227" s="75" t="s">
        <v>585</v>
      </c>
      <c r="B227" s="62"/>
      <c r="C227" s="80" t="s">
        <v>312</v>
      </c>
      <c r="D227" s="66" t="s">
        <v>138</v>
      </c>
      <c r="E227" s="64">
        <v>4</v>
      </c>
      <c r="F227" s="64"/>
      <c r="G227" s="12"/>
      <c r="H227" s="12"/>
    </row>
    <row r="228" spans="1:16" ht="25.5" x14ac:dyDescent="0.2">
      <c r="A228" s="75" t="s">
        <v>586</v>
      </c>
      <c r="B228" s="62"/>
      <c r="C228" s="80" t="s">
        <v>404</v>
      </c>
      <c r="D228" s="66" t="s">
        <v>138</v>
      </c>
      <c r="E228" s="64">
        <f>17-12</f>
        <v>5</v>
      </c>
      <c r="F228" s="64"/>
      <c r="G228" s="12"/>
      <c r="H228" s="12"/>
    </row>
    <row r="229" spans="1:16" ht="25.5" x14ac:dyDescent="0.2">
      <c r="A229" s="75" t="s">
        <v>587</v>
      </c>
      <c r="B229" s="62"/>
      <c r="C229" s="80" t="s">
        <v>354</v>
      </c>
      <c r="D229" s="66" t="s">
        <v>138</v>
      </c>
      <c r="E229" s="64">
        <f>20-15</f>
        <v>5</v>
      </c>
      <c r="F229" s="64"/>
      <c r="G229" s="12"/>
      <c r="H229" s="12"/>
    </row>
    <row r="230" spans="1:16" x14ac:dyDescent="0.2">
      <c r="A230" s="221" t="s">
        <v>588</v>
      </c>
      <c r="B230" s="194"/>
      <c r="C230" s="229" t="s">
        <v>116</v>
      </c>
      <c r="D230" s="197" t="s">
        <v>149</v>
      </c>
      <c r="E230" s="72">
        <v>40</v>
      </c>
      <c r="F230" s="64"/>
      <c r="G230" s="12"/>
      <c r="H230" s="12"/>
    </row>
    <row r="231" spans="1:16" x14ac:dyDescent="0.2">
      <c r="A231" s="221"/>
      <c r="B231" s="194"/>
      <c r="C231" s="229"/>
      <c r="D231" s="197"/>
      <c r="E231" s="77">
        <f>40+40</f>
        <v>80</v>
      </c>
      <c r="F231" s="64"/>
      <c r="G231" s="12"/>
      <c r="H231" s="12"/>
      <c r="J231" s="12"/>
    </row>
    <row r="232" spans="1:16" ht="12.75" customHeight="1" x14ac:dyDescent="0.2">
      <c r="A232" s="75" t="s">
        <v>589</v>
      </c>
      <c r="B232" s="62"/>
      <c r="C232" s="80" t="s">
        <v>117</v>
      </c>
      <c r="D232" s="66" t="s">
        <v>149</v>
      </c>
      <c r="E232" s="64">
        <v>40</v>
      </c>
      <c r="F232" s="64"/>
      <c r="G232" s="12"/>
      <c r="H232" s="12"/>
    </row>
    <row r="233" spans="1:16" ht="12.6" customHeight="1" x14ac:dyDescent="0.2">
      <c r="A233" s="75" t="s">
        <v>590</v>
      </c>
      <c r="B233" s="62"/>
      <c r="C233" s="65" t="s">
        <v>222</v>
      </c>
      <c r="D233" s="66" t="s">
        <v>82</v>
      </c>
      <c r="E233" s="64">
        <f>75-10</f>
        <v>65</v>
      </c>
      <c r="F233" s="64"/>
      <c r="G233" s="12"/>
      <c r="H233" s="12"/>
    </row>
    <row r="234" spans="1:16" ht="25.5" x14ac:dyDescent="0.2">
      <c r="A234" s="75" t="s">
        <v>591</v>
      </c>
      <c r="B234" s="62"/>
      <c r="C234" s="80" t="s">
        <v>363</v>
      </c>
      <c r="D234" s="66" t="s">
        <v>82</v>
      </c>
      <c r="E234" s="64">
        <f>60+10</f>
        <v>70</v>
      </c>
      <c r="F234" s="64"/>
      <c r="G234" s="12"/>
      <c r="H234" s="12"/>
    </row>
    <row r="235" spans="1:16" x14ac:dyDescent="0.2">
      <c r="A235" s="75" t="s">
        <v>592</v>
      </c>
      <c r="B235" s="62"/>
      <c r="C235" s="80" t="s">
        <v>118</v>
      </c>
      <c r="D235" s="66" t="s">
        <v>149</v>
      </c>
      <c r="E235" s="64">
        <v>70</v>
      </c>
      <c r="F235" s="64"/>
      <c r="G235" s="12"/>
      <c r="H235" s="12"/>
    </row>
    <row r="236" spans="1:16" x14ac:dyDescent="0.2">
      <c r="A236" s="221" t="s">
        <v>593</v>
      </c>
      <c r="B236" s="194"/>
      <c r="C236" s="229" t="s">
        <v>313</v>
      </c>
      <c r="D236" s="197" t="s">
        <v>149</v>
      </c>
      <c r="E236" s="72">
        <v>105</v>
      </c>
      <c r="F236" s="64"/>
      <c r="G236" s="12"/>
      <c r="H236" s="12"/>
    </row>
    <row r="237" spans="1:16" ht="12.6" customHeight="1" x14ac:dyDescent="0.2">
      <c r="A237" s="221"/>
      <c r="B237" s="194"/>
      <c r="C237" s="229"/>
      <c r="D237" s="197"/>
      <c r="E237" s="77">
        <f>100+5+60</f>
        <v>165</v>
      </c>
      <c r="F237" s="64"/>
      <c r="G237" s="12"/>
      <c r="H237" s="12"/>
      <c r="J237" s="12"/>
    </row>
    <row r="238" spans="1:16" ht="12.6" customHeight="1" x14ac:dyDescent="0.2">
      <c r="A238" s="75" t="s">
        <v>594</v>
      </c>
      <c r="B238" s="62"/>
      <c r="C238" s="80" t="s">
        <v>119</v>
      </c>
      <c r="D238" s="66" t="s">
        <v>149</v>
      </c>
      <c r="E238" s="64">
        <v>50</v>
      </c>
      <c r="F238" s="64"/>
      <c r="G238" s="12"/>
      <c r="H238" s="12"/>
      <c r="P238" s="64"/>
    </row>
    <row r="239" spans="1:16" ht="12.6" customHeight="1" x14ac:dyDescent="0.2">
      <c r="A239" s="75" t="s">
        <v>595</v>
      </c>
      <c r="B239" s="62"/>
      <c r="C239" s="65" t="s">
        <v>314</v>
      </c>
      <c r="D239" s="66" t="s">
        <v>149</v>
      </c>
      <c r="E239" s="64">
        <f>80-40</f>
        <v>40</v>
      </c>
      <c r="F239" s="64"/>
      <c r="G239" s="12"/>
      <c r="H239" s="12"/>
    </row>
    <row r="240" spans="1:16" x14ac:dyDescent="0.2">
      <c r="A240" s="75" t="s">
        <v>596</v>
      </c>
      <c r="B240" s="62"/>
      <c r="C240" s="65" t="s">
        <v>520</v>
      </c>
      <c r="D240" s="66" t="s">
        <v>149</v>
      </c>
      <c r="E240" s="64">
        <v>50</v>
      </c>
      <c r="F240" s="64"/>
      <c r="G240" s="12"/>
      <c r="H240" s="12"/>
    </row>
    <row r="241" spans="1:10" ht="25.5" x14ac:dyDescent="0.2">
      <c r="A241" s="75" t="s">
        <v>597</v>
      </c>
      <c r="B241" s="62"/>
      <c r="C241" s="65" t="s">
        <v>521</v>
      </c>
      <c r="D241" s="66" t="s">
        <v>149</v>
      </c>
      <c r="E241" s="64">
        <v>175</v>
      </c>
      <c r="F241" s="64"/>
      <c r="G241" s="12"/>
      <c r="H241" s="12"/>
    </row>
    <row r="242" spans="1:10" ht="25.5" x14ac:dyDescent="0.2">
      <c r="A242" s="61">
        <v>82</v>
      </c>
      <c r="B242" s="57"/>
      <c r="C242" s="65" t="s">
        <v>8</v>
      </c>
      <c r="D242" s="66" t="s">
        <v>83</v>
      </c>
      <c r="E242" s="64">
        <v>788.8</v>
      </c>
      <c r="F242" s="64"/>
      <c r="G242" s="12"/>
      <c r="H242" s="12"/>
    </row>
    <row r="243" spans="1:10" ht="25.5" x14ac:dyDescent="0.2">
      <c r="A243" s="61">
        <v>83</v>
      </c>
      <c r="B243" s="57"/>
      <c r="C243" s="65" t="s">
        <v>4</v>
      </c>
      <c r="D243" s="66" t="s">
        <v>82</v>
      </c>
      <c r="E243" s="64">
        <v>40</v>
      </c>
      <c r="F243" s="64"/>
      <c r="G243" s="12"/>
      <c r="H243" s="12"/>
    </row>
    <row r="244" spans="1:10" ht="12.6" customHeight="1" x14ac:dyDescent="0.2">
      <c r="A244" s="61">
        <v>84</v>
      </c>
      <c r="B244" s="57"/>
      <c r="C244" s="65" t="s">
        <v>5</v>
      </c>
      <c r="D244" s="66" t="s">
        <v>82</v>
      </c>
      <c r="E244" s="64">
        <v>12.9</v>
      </c>
      <c r="F244" s="64"/>
      <c r="G244" s="12"/>
      <c r="H244" s="12"/>
    </row>
    <row r="245" spans="1:10" ht="12.6" customHeight="1" x14ac:dyDescent="0.2">
      <c r="A245" s="61">
        <v>85</v>
      </c>
      <c r="B245" s="57"/>
      <c r="C245" s="73" t="s">
        <v>7</v>
      </c>
      <c r="D245" s="66" t="s">
        <v>82</v>
      </c>
      <c r="E245" s="64">
        <v>30</v>
      </c>
      <c r="F245" s="64"/>
      <c r="G245" s="12"/>
      <c r="H245" s="12"/>
    </row>
    <row r="246" spans="1:10" ht="12.6" customHeight="1" x14ac:dyDescent="0.2">
      <c r="A246" s="61">
        <v>86</v>
      </c>
      <c r="B246" s="57"/>
      <c r="C246" s="65" t="s">
        <v>6</v>
      </c>
      <c r="D246" s="66" t="s">
        <v>82</v>
      </c>
      <c r="E246" s="64">
        <v>21.4</v>
      </c>
      <c r="F246" s="64"/>
      <c r="G246" s="12"/>
      <c r="H246" s="12"/>
    </row>
    <row r="247" spans="1:10" ht="12.6" customHeight="1" x14ac:dyDescent="0.2">
      <c r="A247" s="61">
        <v>87</v>
      </c>
      <c r="B247" s="57"/>
      <c r="C247" s="65" t="s">
        <v>9</v>
      </c>
      <c r="D247" s="66" t="s">
        <v>82</v>
      </c>
      <c r="E247" s="64">
        <v>35</v>
      </c>
      <c r="F247" s="64"/>
      <c r="G247" s="12"/>
      <c r="H247" s="12"/>
    </row>
    <row r="248" spans="1:10" ht="12.6" customHeight="1" x14ac:dyDescent="0.2">
      <c r="A248" s="61">
        <v>88</v>
      </c>
      <c r="B248" s="57"/>
      <c r="C248" s="73" t="s">
        <v>10</v>
      </c>
      <c r="D248" s="66" t="s">
        <v>82</v>
      </c>
      <c r="E248" s="64">
        <v>20</v>
      </c>
      <c r="F248" s="64"/>
      <c r="G248" s="12"/>
      <c r="H248" s="12"/>
    </row>
    <row r="249" spans="1:10" ht="12.6" customHeight="1" x14ac:dyDescent="0.2">
      <c r="A249" s="61">
        <v>89</v>
      </c>
      <c r="B249" s="57"/>
      <c r="C249" s="65" t="s">
        <v>12</v>
      </c>
      <c r="D249" s="66" t="s">
        <v>82</v>
      </c>
      <c r="E249" s="64">
        <v>22</v>
      </c>
      <c r="F249" s="64"/>
      <c r="G249" s="12"/>
      <c r="H249" s="12"/>
    </row>
    <row r="250" spans="1:10" ht="12.6" customHeight="1" x14ac:dyDescent="0.2">
      <c r="A250" s="61">
        <v>90</v>
      </c>
      <c r="B250" s="57"/>
      <c r="C250" s="65" t="s">
        <v>11</v>
      </c>
      <c r="D250" s="66" t="s">
        <v>82</v>
      </c>
      <c r="E250" s="64">
        <v>15.7</v>
      </c>
      <c r="F250" s="64"/>
      <c r="G250" s="12"/>
      <c r="H250" s="12"/>
    </row>
    <row r="251" spans="1:10" ht="12.6" customHeight="1" x14ac:dyDescent="0.2">
      <c r="A251" s="193">
        <v>91</v>
      </c>
      <c r="B251" s="195"/>
      <c r="C251" s="226" t="s">
        <v>13</v>
      </c>
      <c r="D251" s="197" t="s">
        <v>82</v>
      </c>
      <c r="E251" s="72">
        <v>14.3</v>
      </c>
      <c r="F251" s="64"/>
      <c r="G251" s="12"/>
      <c r="H251" s="12"/>
    </row>
    <row r="252" spans="1:10" ht="12.6" customHeight="1" x14ac:dyDescent="0.2">
      <c r="A252" s="193"/>
      <c r="B252" s="195"/>
      <c r="C252" s="226"/>
      <c r="D252" s="197"/>
      <c r="E252" s="77">
        <f>9.8+4.5+8</f>
        <v>22.3</v>
      </c>
      <c r="F252" s="64"/>
      <c r="G252" s="12"/>
      <c r="H252" s="12"/>
      <c r="J252" s="12"/>
    </row>
    <row r="253" spans="1:10" ht="12.6" customHeight="1" x14ac:dyDescent="0.2">
      <c r="A253" s="61">
        <v>92</v>
      </c>
      <c r="B253" s="62"/>
      <c r="C253" s="65" t="s">
        <v>14</v>
      </c>
      <c r="D253" s="66" t="s">
        <v>82</v>
      </c>
      <c r="E253" s="64">
        <v>34.6</v>
      </c>
      <c r="F253" s="64"/>
      <c r="G253" s="12"/>
      <c r="H253" s="12"/>
    </row>
    <row r="254" spans="1:10" ht="12.6" customHeight="1" x14ac:dyDescent="0.2">
      <c r="A254" s="61">
        <v>93</v>
      </c>
      <c r="B254" s="57" t="s">
        <v>85</v>
      </c>
      <c r="C254" s="83" t="s">
        <v>86</v>
      </c>
      <c r="D254" s="55"/>
      <c r="E254" s="84">
        <f>+E268+E269+E271+E270+E267+E272+E273+E275+E274+E276+E277+E255</f>
        <v>5762.4999999999991</v>
      </c>
      <c r="F254" s="84">
        <f>+F268+F269+F271+F270+F267+F272+F273+F275+F274+F276+F277+F255</f>
        <v>1008.9999999999999</v>
      </c>
      <c r="G254" s="12"/>
      <c r="H254" s="12"/>
    </row>
    <row r="255" spans="1:10" ht="27" customHeight="1" x14ac:dyDescent="0.2">
      <c r="A255" s="61">
        <v>94</v>
      </c>
      <c r="B255" s="62"/>
      <c r="C255" s="73" t="s">
        <v>160</v>
      </c>
      <c r="D255" s="66"/>
      <c r="E255" s="64">
        <f>+E256+E257+E258+E259+E260+E261+E262+E263</f>
        <v>2466.3999999999996</v>
      </c>
      <c r="F255" s="64">
        <f>+F256+F257+F258+F259+F260+F261+F262+F263</f>
        <v>0</v>
      </c>
      <c r="G255" s="12"/>
      <c r="H255" s="12"/>
    </row>
    <row r="256" spans="1:10" ht="12.6" customHeight="1" x14ac:dyDescent="0.2">
      <c r="A256" s="75" t="s">
        <v>598</v>
      </c>
      <c r="B256" s="62"/>
      <c r="C256" s="103" t="s">
        <v>3</v>
      </c>
      <c r="D256" s="62" t="s">
        <v>137</v>
      </c>
      <c r="E256" s="64">
        <v>25</v>
      </c>
      <c r="F256" s="64"/>
      <c r="G256" s="12"/>
      <c r="H256" s="12"/>
    </row>
    <row r="257" spans="1:12" ht="12.6" customHeight="1" x14ac:dyDescent="0.2">
      <c r="A257" s="75" t="s">
        <v>599</v>
      </c>
      <c r="B257" s="62"/>
      <c r="C257" s="86" t="s">
        <v>208</v>
      </c>
      <c r="D257" s="104" t="s">
        <v>125</v>
      </c>
      <c r="E257" s="64">
        <f>548.8-23-142+16.2</f>
        <v>399.99999999999994</v>
      </c>
      <c r="F257" s="64"/>
      <c r="G257" s="12"/>
      <c r="H257" s="12"/>
    </row>
    <row r="258" spans="1:12" ht="27" customHeight="1" x14ac:dyDescent="0.2">
      <c r="A258" s="75" t="s">
        <v>600</v>
      </c>
      <c r="B258" s="62"/>
      <c r="C258" s="86" t="s">
        <v>181</v>
      </c>
      <c r="D258" s="104" t="s">
        <v>88</v>
      </c>
      <c r="E258" s="64">
        <f>1600+13</f>
        <v>1613</v>
      </c>
      <c r="F258" s="64"/>
      <c r="G258" s="12"/>
      <c r="H258" s="12"/>
      <c r="L258" s="11"/>
    </row>
    <row r="259" spans="1:12" ht="12.6" customHeight="1" x14ac:dyDescent="0.2">
      <c r="A259" s="75" t="s">
        <v>601</v>
      </c>
      <c r="B259" s="62"/>
      <c r="C259" s="86" t="s">
        <v>139</v>
      </c>
      <c r="D259" s="104" t="s">
        <v>88</v>
      </c>
      <c r="E259" s="64">
        <v>100</v>
      </c>
      <c r="F259" s="64"/>
      <c r="G259" s="12"/>
      <c r="H259" s="12"/>
    </row>
    <row r="260" spans="1:12" ht="12.6" customHeight="1" x14ac:dyDescent="0.2">
      <c r="A260" s="75" t="s">
        <v>602</v>
      </c>
      <c r="B260" s="62"/>
      <c r="C260" s="80" t="s">
        <v>405</v>
      </c>
      <c r="D260" s="104" t="s">
        <v>88</v>
      </c>
      <c r="E260" s="64">
        <v>11.6</v>
      </c>
      <c r="F260" s="64"/>
      <c r="G260" s="12"/>
      <c r="H260" s="12"/>
    </row>
    <row r="261" spans="1:12" x14ac:dyDescent="0.2">
      <c r="A261" s="75" t="s">
        <v>603</v>
      </c>
      <c r="B261" s="62"/>
      <c r="C261" s="80" t="s">
        <v>360</v>
      </c>
      <c r="D261" s="104" t="s">
        <v>88</v>
      </c>
      <c r="E261" s="64">
        <v>9.1999999999999993</v>
      </c>
      <c r="F261" s="64"/>
      <c r="G261" s="12"/>
      <c r="H261" s="12"/>
    </row>
    <row r="262" spans="1:12" ht="12.6" customHeight="1" x14ac:dyDescent="0.2">
      <c r="A262" s="75" t="s">
        <v>604</v>
      </c>
      <c r="B262" s="62"/>
      <c r="C262" s="86" t="s">
        <v>559</v>
      </c>
      <c r="D262" s="104" t="s">
        <v>88</v>
      </c>
      <c r="E262" s="64">
        <v>7.6</v>
      </c>
      <c r="F262" s="64"/>
      <c r="G262" s="12"/>
      <c r="H262" s="12"/>
    </row>
    <row r="263" spans="1:12" ht="40.5" x14ac:dyDescent="0.2">
      <c r="A263" s="75" t="s">
        <v>605</v>
      </c>
      <c r="B263" s="62"/>
      <c r="C263" s="76" t="s">
        <v>368</v>
      </c>
      <c r="D263" s="57"/>
      <c r="E263" s="77">
        <f>+E264+E265+E266</f>
        <v>300</v>
      </c>
      <c r="F263" s="77">
        <f>+F264+F265+F266</f>
        <v>0</v>
      </c>
      <c r="G263" s="12"/>
      <c r="H263" s="12"/>
    </row>
    <row r="264" spans="1:12" x14ac:dyDescent="0.2">
      <c r="A264" s="75" t="s">
        <v>606</v>
      </c>
      <c r="B264" s="62"/>
      <c r="C264" s="79" t="s">
        <v>168</v>
      </c>
      <c r="D264" s="62" t="s">
        <v>149</v>
      </c>
      <c r="E264" s="64">
        <v>230</v>
      </c>
      <c r="F264" s="77"/>
      <c r="G264" s="12"/>
      <c r="H264" s="12"/>
    </row>
    <row r="265" spans="1:12" ht="12.6" customHeight="1" x14ac:dyDescent="0.2">
      <c r="A265" s="75" t="s">
        <v>607</v>
      </c>
      <c r="B265" s="62"/>
      <c r="C265" s="80" t="s">
        <v>145</v>
      </c>
      <c r="D265" s="104" t="s">
        <v>88</v>
      </c>
      <c r="E265" s="20">
        <f>70-10</f>
        <v>60</v>
      </c>
      <c r="F265" s="64"/>
      <c r="G265" s="12"/>
      <c r="H265" s="12"/>
    </row>
    <row r="266" spans="1:12" ht="38.25" x14ac:dyDescent="0.2">
      <c r="A266" s="75" t="s">
        <v>608</v>
      </c>
      <c r="B266" s="62"/>
      <c r="C266" s="80" t="s">
        <v>182</v>
      </c>
      <c r="D266" s="62" t="s">
        <v>137</v>
      </c>
      <c r="E266" s="20">
        <v>10</v>
      </c>
      <c r="F266" s="64"/>
      <c r="G266" s="12"/>
      <c r="H266" s="12"/>
    </row>
    <row r="267" spans="1:12" ht="38.25" x14ac:dyDescent="0.2">
      <c r="A267" s="61">
        <v>95</v>
      </c>
      <c r="B267" s="62"/>
      <c r="C267" s="78" t="s">
        <v>8</v>
      </c>
      <c r="D267" s="93" t="s">
        <v>89</v>
      </c>
      <c r="E267" s="64">
        <f>2104.5+15.7</f>
        <v>2120.1999999999998</v>
      </c>
      <c r="F267" s="64">
        <f>193.5+15.2</f>
        <v>208.7</v>
      </c>
      <c r="G267" s="12"/>
      <c r="H267" s="12"/>
    </row>
    <row r="268" spans="1:12" ht="25.5" x14ac:dyDescent="0.2">
      <c r="A268" s="61">
        <v>96</v>
      </c>
      <c r="B268" s="62"/>
      <c r="C268" s="65" t="s">
        <v>4</v>
      </c>
      <c r="D268" s="93" t="s">
        <v>87</v>
      </c>
      <c r="E268" s="64">
        <f>140.4+11.4</f>
        <v>151.80000000000001</v>
      </c>
      <c r="F268" s="64">
        <f>96.4+11.2</f>
        <v>107.60000000000001</v>
      </c>
      <c r="G268" s="12"/>
      <c r="H268" s="12"/>
    </row>
    <row r="269" spans="1:12" ht="25.5" x14ac:dyDescent="0.2">
      <c r="A269" s="61">
        <v>97</v>
      </c>
      <c r="B269" s="62"/>
      <c r="C269" s="65" t="s">
        <v>5</v>
      </c>
      <c r="D269" s="93" t="s">
        <v>88</v>
      </c>
      <c r="E269" s="64">
        <f>137.4+8.2</f>
        <v>145.6</v>
      </c>
      <c r="F269" s="64">
        <f>89.7+8.1</f>
        <v>97.8</v>
      </c>
      <c r="G269" s="12"/>
      <c r="H269" s="12"/>
    </row>
    <row r="270" spans="1:12" ht="12.6" customHeight="1" x14ac:dyDescent="0.2">
      <c r="A270" s="61">
        <v>98</v>
      </c>
      <c r="B270" s="62"/>
      <c r="C270" s="65" t="s">
        <v>7</v>
      </c>
      <c r="D270" s="93" t="s">
        <v>87</v>
      </c>
      <c r="E270" s="64">
        <f>103.7+9.8</f>
        <v>113.5</v>
      </c>
      <c r="F270" s="64">
        <f>61.5+9.6</f>
        <v>71.099999999999994</v>
      </c>
      <c r="G270" s="12"/>
      <c r="H270" s="12"/>
    </row>
    <row r="271" spans="1:12" ht="24.95" customHeight="1" x14ac:dyDescent="0.2">
      <c r="A271" s="61">
        <v>99</v>
      </c>
      <c r="B271" s="62"/>
      <c r="C271" s="78" t="s">
        <v>6</v>
      </c>
      <c r="D271" s="93" t="s">
        <v>87</v>
      </c>
      <c r="E271" s="64">
        <f>114.9+6.3</f>
        <v>121.2</v>
      </c>
      <c r="F271" s="64">
        <f>71+6.3</f>
        <v>77.3</v>
      </c>
      <c r="G271" s="12"/>
      <c r="H271" s="12"/>
    </row>
    <row r="272" spans="1:12" ht="24.95" customHeight="1" x14ac:dyDescent="0.2">
      <c r="A272" s="61">
        <v>100</v>
      </c>
      <c r="B272" s="62"/>
      <c r="C272" s="65" t="s">
        <v>9</v>
      </c>
      <c r="D272" s="93" t="s">
        <v>90</v>
      </c>
      <c r="E272" s="64">
        <f>97.6+4.5</f>
        <v>102.1</v>
      </c>
      <c r="F272" s="64">
        <f>57.1+4.3</f>
        <v>61.4</v>
      </c>
      <c r="G272" s="12"/>
      <c r="H272" s="12"/>
    </row>
    <row r="273" spans="1:8" ht="12.6" customHeight="1" x14ac:dyDescent="0.2">
      <c r="A273" s="61">
        <v>101</v>
      </c>
      <c r="B273" s="62"/>
      <c r="C273" s="73" t="s">
        <v>10</v>
      </c>
      <c r="D273" s="93" t="s">
        <v>87</v>
      </c>
      <c r="E273" s="64">
        <f>96.4+4.8</f>
        <v>101.2</v>
      </c>
      <c r="F273" s="64">
        <f>73.1+4.7</f>
        <v>77.8</v>
      </c>
      <c r="G273" s="12"/>
      <c r="H273" s="12"/>
    </row>
    <row r="274" spans="1:8" ht="24.95" customHeight="1" x14ac:dyDescent="0.2">
      <c r="A274" s="61">
        <v>102</v>
      </c>
      <c r="B274" s="62"/>
      <c r="C274" s="65" t="s">
        <v>12</v>
      </c>
      <c r="D274" s="93" t="s">
        <v>87</v>
      </c>
      <c r="E274" s="64">
        <f>68+3</f>
        <v>71</v>
      </c>
      <c r="F274" s="64">
        <f>44.8+3</f>
        <v>47.8</v>
      </c>
      <c r="G274" s="12"/>
      <c r="H274" s="12"/>
    </row>
    <row r="275" spans="1:8" ht="24.95" customHeight="1" x14ac:dyDescent="0.2">
      <c r="A275" s="61">
        <v>103</v>
      </c>
      <c r="B275" s="62"/>
      <c r="C275" s="78" t="s">
        <v>11</v>
      </c>
      <c r="D275" s="93" t="s">
        <v>87</v>
      </c>
      <c r="E275" s="64">
        <f>81.8+2.4</f>
        <v>84.2</v>
      </c>
      <c r="F275" s="64">
        <f>62.8+2.1</f>
        <v>64.899999999999991</v>
      </c>
      <c r="G275" s="12"/>
      <c r="H275" s="12"/>
    </row>
    <row r="276" spans="1:8" ht="29.25" customHeight="1" x14ac:dyDescent="0.2">
      <c r="A276" s="61">
        <v>104</v>
      </c>
      <c r="B276" s="62"/>
      <c r="C276" s="65" t="s">
        <v>13</v>
      </c>
      <c r="D276" s="93" t="s">
        <v>87</v>
      </c>
      <c r="E276" s="64">
        <f>89.1+4.3</f>
        <v>93.399999999999991</v>
      </c>
      <c r="F276" s="64">
        <f>51.9+4.2</f>
        <v>56.1</v>
      </c>
      <c r="G276" s="12"/>
      <c r="H276" s="12"/>
    </row>
    <row r="277" spans="1:8" ht="27" customHeight="1" x14ac:dyDescent="0.2">
      <c r="A277" s="61">
        <v>105</v>
      </c>
      <c r="B277" s="62"/>
      <c r="C277" s="65" t="s">
        <v>14</v>
      </c>
      <c r="D277" s="93" t="s">
        <v>87</v>
      </c>
      <c r="E277" s="64">
        <f>187.3+4.6</f>
        <v>191.9</v>
      </c>
      <c r="F277" s="64">
        <f>133.9+4.6</f>
        <v>138.5</v>
      </c>
      <c r="G277" s="12"/>
      <c r="H277" s="12"/>
    </row>
    <row r="278" spans="1:8" ht="24.95" customHeight="1" x14ac:dyDescent="0.2">
      <c r="A278" s="61">
        <v>106</v>
      </c>
      <c r="B278" s="57" t="s">
        <v>30</v>
      </c>
      <c r="C278" s="83" t="s">
        <v>31</v>
      </c>
      <c r="D278" s="93"/>
      <c r="E278" s="77">
        <f>+E279</f>
        <v>354.3</v>
      </c>
      <c r="F278" s="84">
        <f>+F279</f>
        <v>105.6</v>
      </c>
      <c r="G278" s="12"/>
      <c r="H278" s="12"/>
    </row>
    <row r="279" spans="1:8" x14ac:dyDescent="0.2">
      <c r="A279" s="61">
        <v>107</v>
      </c>
      <c r="B279" s="57"/>
      <c r="C279" s="73" t="s">
        <v>174</v>
      </c>
      <c r="D279" s="93"/>
      <c r="E279" s="64">
        <f>+E281+E280</f>
        <v>354.3</v>
      </c>
      <c r="F279" s="64">
        <f>+F281+F280</f>
        <v>105.6</v>
      </c>
      <c r="G279" s="12"/>
      <c r="H279" s="12"/>
    </row>
    <row r="280" spans="1:8" ht="12.6" customHeight="1" x14ac:dyDescent="0.2">
      <c r="A280" s="61" t="s">
        <v>609</v>
      </c>
      <c r="B280" s="57"/>
      <c r="C280" s="73" t="s">
        <v>95</v>
      </c>
      <c r="D280" s="62" t="s">
        <v>205</v>
      </c>
      <c r="E280" s="64">
        <v>119.5</v>
      </c>
      <c r="F280" s="64">
        <v>105.6</v>
      </c>
      <c r="G280" s="12"/>
      <c r="H280" s="12"/>
    </row>
    <row r="281" spans="1:8" ht="12.6" customHeight="1" x14ac:dyDescent="0.2">
      <c r="A281" s="75" t="s">
        <v>610</v>
      </c>
      <c r="B281" s="62"/>
      <c r="C281" s="76" t="s">
        <v>368</v>
      </c>
      <c r="D281" s="105"/>
      <c r="E281" s="77">
        <f>SUM(E282:E286)</f>
        <v>234.8</v>
      </c>
      <c r="F281" s="77">
        <f>+F282+F283</f>
        <v>0</v>
      </c>
      <c r="G281" s="12"/>
      <c r="H281" s="12"/>
    </row>
    <row r="282" spans="1:8" ht="25.5" x14ac:dyDescent="0.2">
      <c r="A282" s="98" t="s">
        <v>611</v>
      </c>
      <c r="B282" s="62"/>
      <c r="C282" s="65" t="s">
        <v>183</v>
      </c>
      <c r="D282" s="93" t="s">
        <v>138</v>
      </c>
      <c r="E282" s="64">
        <v>40</v>
      </c>
      <c r="F282" s="64"/>
      <c r="G282" s="12"/>
      <c r="H282" s="12"/>
    </row>
    <row r="283" spans="1:8" x14ac:dyDescent="0.2">
      <c r="A283" s="98" t="s">
        <v>612</v>
      </c>
      <c r="B283" s="62"/>
      <c r="C283" s="65" t="s">
        <v>560</v>
      </c>
      <c r="D283" s="66" t="s">
        <v>207</v>
      </c>
      <c r="E283" s="64">
        <v>10</v>
      </c>
      <c r="F283" s="64"/>
      <c r="G283" s="12"/>
      <c r="H283" s="12"/>
    </row>
    <row r="284" spans="1:8" ht="38.25" x14ac:dyDescent="0.2">
      <c r="A284" s="98" t="s">
        <v>613</v>
      </c>
      <c r="B284" s="62"/>
      <c r="C284" s="65" t="s">
        <v>406</v>
      </c>
      <c r="D284" s="66" t="s">
        <v>138</v>
      </c>
      <c r="E284" s="64">
        <v>151</v>
      </c>
      <c r="F284" s="64"/>
      <c r="G284" s="12"/>
      <c r="H284" s="12"/>
    </row>
    <row r="285" spans="1:8" ht="38.25" x14ac:dyDescent="0.2">
      <c r="A285" s="98" t="s">
        <v>614</v>
      </c>
      <c r="B285" s="62"/>
      <c r="C285" s="65" t="s">
        <v>407</v>
      </c>
      <c r="D285" s="66" t="s">
        <v>138</v>
      </c>
      <c r="E285" s="64">
        <v>3.8</v>
      </c>
      <c r="F285" s="64"/>
      <c r="G285" s="12"/>
      <c r="H285" s="12"/>
    </row>
    <row r="286" spans="1:8" ht="25.5" x14ac:dyDescent="0.2">
      <c r="A286" s="98" t="s">
        <v>615</v>
      </c>
      <c r="B286" s="62"/>
      <c r="C286" s="65" t="s">
        <v>408</v>
      </c>
      <c r="D286" s="66" t="s">
        <v>138</v>
      </c>
      <c r="E286" s="64">
        <v>30</v>
      </c>
      <c r="F286" s="64"/>
      <c r="G286" s="12"/>
      <c r="H286" s="12"/>
    </row>
    <row r="287" spans="1:8" x14ac:dyDescent="0.2">
      <c r="A287" s="61">
        <v>108</v>
      </c>
      <c r="B287" s="57" t="s">
        <v>91</v>
      </c>
      <c r="C287" s="83" t="s">
        <v>92</v>
      </c>
      <c r="D287" s="55"/>
      <c r="E287" s="84">
        <f>+E288</f>
        <v>89</v>
      </c>
      <c r="F287" s="84">
        <f>+F288</f>
        <v>0</v>
      </c>
      <c r="G287" s="12"/>
      <c r="H287" s="12"/>
    </row>
    <row r="288" spans="1:8" x14ac:dyDescent="0.2">
      <c r="A288" s="61">
        <v>109</v>
      </c>
      <c r="B288" s="57"/>
      <c r="C288" s="73" t="s">
        <v>160</v>
      </c>
      <c r="D288" s="55"/>
      <c r="E288" s="64">
        <f>+E290+E291+E289</f>
        <v>89</v>
      </c>
      <c r="F288" s="64">
        <f>+F290+F291+F289</f>
        <v>0</v>
      </c>
      <c r="G288" s="12"/>
      <c r="H288" s="12"/>
    </row>
    <row r="289" spans="1:8" ht="12.6" customHeight="1" x14ac:dyDescent="0.2">
      <c r="A289" s="98" t="s">
        <v>616</v>
      </c>
      <c r="B289" s="57"/>
      <c r="C289" s="78" t="s">
        <v>95</v>
      </c>
      <c r="D289" s="66" t="s">
        <v>355</v>
      </c>
      <c r="E289" s="64">
        <v>3</v>
      </c>
      <c r="F289" s="64"/>
      <c r="G289" s="12"/>
      <c r="H289" s="12"/>
    </row>
    <row r="290" spans="1:8" ht="12.6" customHeight="1" x14ac:dyDescent="0.2">
      <c r="A290" s="98" t="s">
        <v>617</v>
      </c>
      <c r="B290" s="62"/>
      <c r="C290" s="78" t="s">
        <v>184</v>
      </c>
      <c r="D290" s="66" t="s">
        <v>93</v>
      </c>
      <c r="E290" s="64">
        <v>36</v>
      </c>
      <c r="F290" s="64"/>
      <c r="G290" s="12"/>
      <c r="H290" s="12"/>
    </row>
    <row r="291" spans="1:8" ht="38.25" x14ac:dyDescent="0.2">
      <c r="A291" s="98" t="s">
        <v>618</v>
      </c>
      <c r="B291" s="62"/>
      <c r="C291" s="78" t="s">
        <v>306</v>
      </c>
      <c r="D291" s="66" t="s">
        <v>93</v>
      </c>
      <c r="E291" s="64">
        <v>50</v>
      </c>
      <c r="F291" s="64"/>
      <c r="G291" s="12"/>
      <c r="H291" s="12"/>
    </row>
    <row r="292" spans="1:8" x14ac:dyDescent="0.2">
      <c r="A292" s="61">
        <v>110</v>
      </c>
      <c r="B292" s="57" t="s">
        <v>24</v>
      </c>
      <c r="C292" s="83" t="s">
        <v>25</v>
      </c>
      <c r="D292" s="55"/>
      <c r="E292" s="84">
        <f>+E293+E294+E295+E305+E306+E307+E308+E309+E310+E311+E312+E313+E314+E315</f>
        <v>8765.1000000000022</v>
      </c>
      <c r="F292" s="84">
        <f>+F293+F294+F295+F305+F306+F307+F308+F309+F310+F311+F312+F313+F314+F315</f>
        <v>4337.3000000000011</v>
      </c>
      <c r="G292" s="12"/>
      <c r="H292" s="12"/>
    </row>
    <row r="293" spans="1:8" x14ac:dyDescent="0.2">
      <c r="A293" s="61">
        <v>111</v>
      </c>
      <c r="B293" s="57"/>
      <c r="C293" s="65" t="s">
        <v>26</v>
      </c>
      <c r="D293" s="66" t="s">
        <v>27</v>
      </c>
      <c r="E293" s="64">
        <f>92+1.4</f>
        <v>93.4</v>
      </c>
      <c r="F293" s="64">
        <f>15.2+1.4</f>
        <v>16.599999999999998</v>
      </c>
      <c r="G293" s="12"/>
      <c r="H293" s="12"/>
    </row>
    <row r="294" spans="1:8" x14ac:dyDescent="0.2">
      <c r="A294" s="61">
        <v>112</v>
      </c>
      <c r="B294" s="57"/>
      <c r="C294" s="73" t="s">
        <v>94</v>
      </c>
      <c r="D294" s="66" t="s">
        <v>105</v>
      </c>
      <c r="E294" s="64">
        <f>171.1+14.6</f>
        <v>185.7</v>
      </c>
      <c r="F294" s="64">
        <f>156+14.2</f>
        <v>170.2</v>
      </c>
      <c r="G294" s="12"/>
      <c r="H294" s="12"/>
    </row>
    <row r="295" spans="1:8" x14ac:dyDescent="0.2">
      <c r="A295" s="61">
        <v>113</v>
      </c>
      <c r="B295" s="57"/>
      <c r="C295" s="73" t="s">
        <v>160</v>
      </c>
      <c r="D295" s="66"/>
      <c r="E295" s="64">
        <f>+E296+E298+E299+E300+E301+E302+E303+E304+E297</f>
        <v>6978.1000000000013</v>
      </c>
      <c r="F295" s="64">
        <f>+F296+F298+F299+F300+F301+F302+F303+F304+F297</f>
        <v>3278.2</v>
      </c>
      <c r="G295" s="12"/>
      <c r="H295" s="12"/>
    </row>
    <row r="296" spans="1:8" ht="89.25" x14ac:dyDescent="0.2">
      <c r="A296" s="98" t="s">
        <v>619</v>
      </c>
      <c r="B296" s="57"/>
      <c r="C296" s="73" t="s">
        <v>95</v>
      </c>
      <c r="D296" s="66" t="s">
        <v>124</v>
      </c>
      <c r="E296" s="64">
        <f>5051.8-5.5+285.1+110</f>
        <v>5441.4000000000005</v>
      </c>
      <c r="F296" s="64">
        <f>2865.1+24+279.1+110</f>
        <v>3278.2</v>
      </c>
      <c r="G296" s="12"/>
      <c r="H296" s="12"/>
    </row>
    <row r="297" spans="1:8" ht="25.5" x14ac:dyDescent="0.2">
      <c r="A297" s="98" t="s">
        <v>620</v>
      </c>
      <c r="B297" s="57"/>
      <c r="C297" s="73" t="s">
        <v>409</v>
      </c>
      <c r="D297" s="66" t="s">
        <v>149</v>
      </c>
      <c r="E297" s="64">
        <v>40</v>
      </c>
      <c r="F297" s="64"/>
      <c r="G297" s="12"/>
      <c r="H297" s="12"/>
    </row>
    <row r="298" spans="1:8" ht="25.5" x14ac:dyDescent="0.2">
      <c r="A298" s="98" t="s">
        <v>621</v>
      </c>
      <c r="B298" s="62"/>
      <c r="C298" s="78" t="s">
        <v>723</v>
      </c>
      <c r="D298" s="66" t="s">
        <v>115</v>
      </c>
      <c r="E298" s="64">
        <v>120</v>
      </c>
      <c r="F298" s="64"/>
      <c r="G298" s="12"/>
      <c r="H298" s="12"/>
    </row>
    <row r="299" spans="1:8" ht="25.5" x14ac:dyDescent="0.2">
      <c r="A299" s="98" t="s">
        <v>622</v>
      </c>
      <c r="B299" s="62"/>
      <c r="C299" s="78" t="s">
        <v>308</v>
      </c>
      <c r="D299" s="66" t="s">
        <v>34</v>
      </c>
      <c r="E299" s="64">
        <v>21.6</v>
      </c>
      <c r="F299" s="64"/>
      <c r="G299" s="12"/>
      <c r="H299" s="12"/>
    </row>
    <row r="300" spans="1:8" ht="12.6" customHeight="1" x14ac:dyDescent="0.2">
      <c r="A300" s="98" t="s">
        <v>623</v>
      </c>
      <c r="B300" s="62"/>
      <c r="C300" s="78" t="s">
        <v>307</v>
      </c>
      <c r="D300" s="66" t="s">
        <v>97</v>
      </c>
      <c r="E300" s="64">
        <f>1150-100</f>
        <v>1050</v>
      </c>
      <c r="F300" s="64"/>
      <c r="G300" s="12"/>
      <c r="H300" s="12"/>
    </row>
    <row r="301" spans="1:8" x14ac:dyDescent="0.2">
      <c r="A301" s="98" t="s">
        <v>624</v>
      </c>
      <c r="B301" s="62"/>
      <c r="C301" s="78" t="s">
        <v>190</v>
      </c>
      <c r="D301" s="66" t="s">
        <v>34</v>
      </c>
      <c r="E301" s="64">
        <v>15</v>
      </c>
      <c r="F301" s="64"/>
      <c r="G301" s="12"/>
      <c r="H301" s="12"/>
    </row>
    <row r="302" spans="1:8" ht="25.5" x14ac:dyDescent="0.2">
      <c r="A302" s="98" t="s">
        <v>625</v>
      </c>
      <c r="B302" s="62"/>
      <c r="C302" s="78" t="s">
        <v>169</v>
      </c>
      <c r="D302" s="66" t="s">
        <v>96</v>
      </c>
      <c r="E302" s="64">
        <v>12</v>
      </c>
      <c r="F302" s="64"/>
      <c r="G302" s="12"/>
      <c r="H302" s="12"/>
    </row>
    <row r="303" spans="1:8" x14ac:dyDescent="0.2">
      <c r="A303" s="98" t="s">
        <v>626</v>
      </c>
      <c r="B303" s="62"/>
      <c r="C303" s="78" t="s">
        <v>185</v>
      </c>
      <c r="D303" s="66" t="s">
        <v>98</v>
      </c>
      <c r="E303" s="64">
        <f>110+120</f>
        <v>230</v>
      </c>
      <c r="F303" s="64"/>
      <c r="G303" s="12"/>
      <c r="H303" s="12"/>
    </row>
    <row r="304" spans="1:8" ht="12.6" customHeight="1" x14ac:dyDescent="0.2">
      <c r="A304" s="98" t="s">
        <v>627</v>
      </c>
      <c r="B304" s="62"/>
      <c r="C304" s="78" t="s">
        <v>225</v>
      </c>
      <c r="D304" s="66" t="s">
        <v>230</v>
      </c>
      <c r="E304" s="64">
        <v>48.1</v>
      </c>
      <c r="F304" s="64"/>
      <c r="G304" s="12"/>
      <c r="H304" s="12"/>
    </row>
    <row r="305" spans="1:10" ht="29.25" customHeight="1" x14ac:dyDescent="0.2">
      <c r="A305" s="61">
        <v>114</v>
      </c>
      <c r="B305" s="62"/>
      <c r="C305" s="65" t="s">
        <v>8</v>
      </c>
      <c r="D305" s="62" t="s">
        <v>480</v>
      </c>
      <c r="E305" s="64">
        <f>184.1+22.5</f>
        <v>206.6</v>
      </c>
      <c r="F305" s="64">
        <f>111+22.3</f>
        <v>133.30000000000001</v>
      </c>
      <c r="G305" s="12"/>
      <c r="H305" s="12"/>
    </row>
    <row r="306" spans="1:10" ht="25.5" customHeight="1" x14ac:dyDescent="0.2">
      <c r="A306" s="61">
        <v>115</v>
      </c>
      <c r="B306" s="62"/>
      <c r="C306" s="65" t="s">
        <v>4</v>
      </c>
      <c r="D306" s="62" t="s">
        <v>480</v>
      </c>
      <c r="E306" s="64">
        <f>72+4.6</f>
        <v>76.599999999999994</v>
      </c>
      <c r="F306" s="64">
        <f>50.3+4.5</f>
        <v>54.8</v>
      </c>
      <c r="G306" s="12"/>
      <c r="H306" s="12"/>
    </row>
    <row r="307" spans="1:10" ht="25.5" x14ac:dyDescent="0.2">
      <c r="A307" s="61">
        <v>116</v>
      </c>
      <c r="B307" s="62"/>
      <c r="C307" s="65" t="s">
        <v>5</v>
      </c>
      <c r="D307" s="62" t="s">
        <v>480</v>
      </c>
      <c r="E307" s="64">
        <f>125.4+5.4</f>
        <v>130.80000000000001</v>
      </c>
      <c r="F307" s="64">
        <f>65+5.3</f>
        <v>70.3</v>
      </c>
      <c r="G307" s="12"/>
      <c r="H307" s="12"/>
    </row>
    <row r="308" spans="1:10" ht="25.5" customHeight="1" x14ac:dyDescent="0.2">
      <c r="A308" s="61">
        <v>117</v>
      </c>
      <c r="B308" s="62"/>
      <c r="C308" s="65" t="s">
        <v>7</v>
      </c>
      <c r="D308" s="62" t="s">
        <v>480</v>
      </c>
      <c r="E308" s="64">
        <f>97+2.1</f>
        <v>99.1</v>
      </c>
      <c r="F308" s="64">
        <f>61+2</f>
        <v>63</v>
      </c>
      <c r="G308" s="12"/>
      <c r="H308" s="12"/>
    </row>
    <row r="309" spans="1:10" x14ac:dyDescent="0.2">
      <c r="A309" s="61">
        <v>118</v>
      </c>
      <c r="B309" s="62"/>
      <c r="C309" s="65" t="s">
        <v>6</v>
      </c>
      <c r="D309" s="62" t="s">
        <v>480</v>
      </c>
      <c r="E309" s="64">
        <f>82.7+7.1</f>
        <v>89.8</v>
      </c>
      <c r="F309" s="64">
        <f>54.6+7</f>
        <v>61.6</v>
      </c>
      <c r="G309" s="12"/>
      <c r="H309" s="12"/>
    </row>
    <row r="310" spans="1:10" ht="25.5" x14ac:dyDescent="0.2">
      <c r="A310" s="61">
        <v>119</v>
      </c>
      <c r="B310" s="62"/>
      <c r="C310" s="65" t="s">
        <v>9</v>
      </c>
      <c r="D310" s="62" t="s">
        <v>480</v>
      </c>
      <c r="E310" s="64">
        <f>91+7.8</f>
        <v>98.8</v>
      </c>
      <c r="F310" s="64">
        <f>61.7+7.8</f>
        <v>69.5</v>
      </c>
      <c r="G310" s="12"/>
      <c r="H310" s="12"/>
    </row>
    <row r="311" spans="1:10" ht="25.5" x14ac:dyDescent="0.2">
      <c r="A311" s="61">
        <v>120</v>
      </c>
      <c r="B311" s="62"/>
      <c r="C311" s="73" t="s">
        <v>10</v>
      </c>
      <c r="D311" s="62" t="s">
        <v>480</v>
      </c>
      <c r="E311" s="64">
        <f>206.6+12.3</f>
        <v>218.9</v>
      </c>
      <c r="F311" s="64">
        <f>92.9+12</f>
        <v>104.9</v>
      </c>
      <c r="G311" s="12"/>
      <c r="H311" s="12"/>
    </row>
    <row r="312" spans="1:10" ht="25.5" x14ac:dyDescent="0.2">
      <c r="A312" s="61">
        <v>121</v>
      </c>
      <c r="B312" s="62"/>
      <c r="C312" s="65" t="s">
        <v>12</v>
      </c>
      <c r="D312" s="62" t="s">
        <v>480</v>
      </c>
      <c r="E312" s="64">
        <f>89.1+5.5</f>
        <v>94.6</v>
      </c>
      <c r="F312" s="64">
        <f>61.2+5.5</f>
        <v>66.7</v>
      </c>
      <c r="G312" s="12"/>
      <c r="H312" s="12"/>
    </row>
    <row r="313" spans="1:10" x14ac:dyDescent="0.2">
      <c r="A313" s="61">
        <v>122</v>
      </c>
      <c r="B313" s="62"/>
      <c r="C313" s="65" t="s">
        <v>11</v>
      </c>
      <c r="D313" s="62" t="s">
        <v>480</v>
      </c>
      <c r="E313" s="64">
        <f>143.5+10.3</f>
        <v>153.80000000000001</v>
      </c>
      <c r="F313" s="64">
        <f>64+10.3</f>
        <v>74.3</v>
      </c>
      <c r="G313" s="12"/>
      <c r="H313" s="12"/>
    </row>
    <row r="314" spans="1:10" ht="25.5" x14ac:dyDescent="0.2">
      <c r="A314" s="61">
        <v>123</v>
      </c>
      <c r="B314" s="62"/>
      <c r="C314" s="65" t="s">
        <v>13</v>
      </c>
      <c r="D314" s="62" t="s">
        <v>480</v>
      </c>
      <c r="E314" s="64">
        <f>96.2-4.5+7.7</f>
        <v>99.4</v>
      </c>
      <c r="F314" s="64">
        <f>63.5+7.6</f>
        <v>71.099999999999994</v>
      </c>
      <c r="G314" s="12"/>
      <c r="H314" s="12"/>
    </row>
    <row r="315" spans="1:10" ht="29.25" customHeight="1" x14ac:dyDescent="0.2">
      <c r="A315" s="61">
        <v>124</v>
      </c>
      <c r="B315" s="62"/>
      <c r="C315" s="65" t="s">
        <v>14</v>
      </c>
      <c r="D315" s="62" t="s">
        <v>480</v>
      </c>
      <c r="E315" s="64">
        <f>223.4+16.1</f>
        <v>239.5</v>
      </c>
      <c r="F315" s="64">
        <f>87.1+15.7</f>
        <v>102.8</v>
      </c>
      <c r="G315" s="12"/>
      <c r="H315" s="12"/>
    </row>
    <row r="316" spans="1:10" x14ac:dyDescent="0.2">
      <c r="A316" s="193">
        <v>125</v>
      </c>
      <c r="B316" s="194"/>
      <c r="C316" s="227" t="s">
        <v>20</v>
      </c>
      <c r="D316" s="194"/>
      <c r="E316" s="72">
        <v>54836.7</v>
      </c>
      <c r="F316" s="64"/>
      <c r="G316" s="12"/>
      <c r="H316" s="12"/>
    </row>
    <row r="317" spans="1:10" x14ac:dyDescent="0.2">
      <c r="A317" s="193"/>
      <c r="B317" s="194"/>
      <c r="C317" s="227"/>
      <c r="D317" s="211"/>
      <c r="E317" s="77">
        <v>55022.9</v>
      </c>
      <c r="F317" s="77">
        <v>24265.5</v>
      </c>
      <c r="G317" s="18"/>
      <c r="H317" s="18"/>
      <c r="J317" s="11"/>
    </row>
    <row r="318" spans="1:10" x14ac:dyDescent="0.2">
      <c r="C318" s="47"/>
      <c r="F318" s="106"/>
      <c r="G318" s="107"/>
      <c r="H318" s="107"/>
    </row>
    <row r="319" spans="1:10" x14ac:dyDescent="0.2">
      <c r="A319" s="2" t="s">
        <v>196</v>
      </c>
      <c r="B319" s="2"/>
      <c r="C319" s="2"/>
      <c r="D319" s="2"/>
      <c r="E319" s="2"/>
      <c r="F319" s="2"/>
    </row>
    <row r="320" spans="1:10" x14ac:dyDescent="0.2">
      <c r="C320" s="108"/>
      <c r="E320" s="106"/>
      <c r="F320" s="106"/>
    </row>
    <row r="321" spans="3:7" x14ac:dyDescent="0.2">
      <c r="C321" s="47"/>
      <c r="E321" s="109"/>
      <c r="F321" s="109"/>
    </row>
    <row r="322" spans="3:7" ht="15.75" x14ac:dyDescent="0.2">
      <c r="C322" s="110"/>
      <c r="D322" s="111"/>
      <c r="E322" s="112"/>
      <c r="F322" s="106"/>
    </row>
    <row r="323" spans="3:7" x14ac:dyDescent="0.2">
      <c r="C323" s="47"/>
      <c r="D323" s="47"/>
      <c r="E323" s="11"/>
      <c r="F323" s="11"/>
    </row>
    <row r="324" spans="3:7" x14ac:dyDescent="0.2">
      <c r="C324" s="47"/>
      <c r="D324" s="113"/>
      <c r="E324" s="2"/>
      <c r="F324" s="2"/>
    </row>
    <row r="325" spans="3:7" x14ac:dyDescent="0.2">
      <c r="C325" s="114"/>
      <c r="D325" s="115"/>
      <c r="E325" s="2"/>
      <c r="F325" s="116"/>
      <c r="G325" s="116"/>
    </row>
    <row r="326" spans="3:7" x14ac:dyDescent="0.2">
      <c r="C326" s="114"/>
      <c r="D326" s="115"/>
      <c r="E326" s="117"/>
      <c r="F326" s="117"/>
      <c r="G326" s="117"/>
    </row>
    <row r="327" spans="3:7" ht="15.75" x14ac:dyDescent="0.2">
      <c r="C327" s="110"/>
      <c r="D327" s="118"/>
      <c r="E327" s="119"/>
      <c r="F327" s="119"/>
    </row>
    <row r="328" spans="3:7" ht="15.75" x14ac:dyDescent="0.2">
      <c r="C328" s="110"/>
      <c r="D328" s="118"/>
      <c r="E328" s="119"/>
      <c r="F328" s="119"/>
    </row>
    <row r="329" spans="3:7" x14ac:dyDescent="0.2">
      <c r="C329" s="47"/>
      <c r="D329" s="113"/>
      <c r="E329" s="106"/>
    </row>
    <row r="330" spans="3:7" x14ac:dyDescent="0.2">
      <c r="C330" s="47"/>
      <c r="D330" s="113"/>
      <c r="E330" s="120"/>
      <c r="F330" s="113"/>
    </row>
    <row r="331" spans="3:7" x14ac:dyDescent="0.2">
      <c r="C331" s="47"/>
      <c r="D331" s="113"/>
      <c r="F331" s="106"/>
    </row>
    <row r="332" spans="3:7" x14ac:dyDescent="0.2">
      <c r="G332" s="12"/>
    </row>
    <row r="333" spans="3:7" x14ac:dyDescent="0.2">
      <c r="C333" s="47"/>
      <c r="D333" s="118"/>
      <c r="E333" s="116"/>
      <c r="F333" s="106"/>
    </row>
    <row r="334" spans="3:7" x14ac:dyDescent="0.2">
      <c r="C334" s="47"/>
      <c r="D334" s="118"/>
      <c r="E334" s="120"/>
    </row>
    <row r="335" spans="3:7" x14ac:dyDescent="0.2">
      <c r="C335" s="108"/>
      <c r="E335" s="106"/>
    </row>
    <row r="336" spans="3:7" x14ac:dyDescent="0.2">
      <c r="C336" s="47"/>
      <c r="E336" s="121"/>
      <c r="F336" s="121"/>
    </row>
    <row r="337" spans="5:6" x14ac:dyDescent="0.2">
      <c r="E337" s="106"/>
    </row>
    <row r="338" spans="5:6" x14ac:dyDescent="0.2">
      <c r="E338" s="106"/>
    </row>
    <row r="339" spans="5:6" x14ac:dyDescent="0.2">
      <c r="E339" s="106"/>
    </row>
    <row r="341" spans="5:6" x14ac:dyDescent="0.2">
      <c r="E341" s="106"/>
      <c r="F341" s="106"/>
    </row>
    <row r="343" spans="5:6" x14ac:dyDescent="0.2">
      <c r="E343" s="106"/>
      <c r="F343" s="106"/>
    </row>
    <row r="352" spans="5:6" x14ac:dyDescent="0.2">
      <c r="E352" s="106"/>
      <c r="F352" s="106"/>
    </row>
  </sheetData>
  <mergeCells count="102">
    <mergeCell ref="D211:D212"/>
    <mergeCell ref="C211:C212"/>
    <mergeCell ref="B211:B212"/>
    <mergeCell ref="A211:A212"/>
    <mergeCell ref="D316:D317"/>
    <mergeCell ref="D251:D252"/>
    <mergeCell ref="C251:C252"/>
    <mergeCell ref="B251:B252"/>
    <mergeCell ref="A251:A252"/>
    <mergeCell ref="C316:C317"/>
    <mergeCell ref="B316:B317"/>
    <mergeCell ref="A316:A317"/>
    <mergeCell ref="D223:D224"/>
    <mergeCell ref="C223:C224"/>
    <mergeCell ref="B223:B224"/>
    <mergeCell ref="A223:A224"/>
    <mergeCell ref="D236:D237"/>
    <mergeCell ref="C236:C237"/>
    <mergeCell ref="B236:B237"/>
    <mergeCell ref="A236:A237"/>
    <mergeCell ref="D230:D231"/>
    <mergeCell ref="C230:C231"/>
    <mergeCell ref="B230:B231"/>
    <mergeCell ref="A230:A231"/>
    <mergeCell ref="D213:D214"/>
    <mergeCell ref="C213:C214"/>
    <mergeCell ref="B213:B214"/>
    <mergeCell ref="A213:A214"/>
    <mergeCell ref="D217:D218"/>
    <mergeCell ref="C217:C218"/>
    <mergeCell ref="B217:B218"/>
    <mergeCell ref="A217:A218"/>
    <mergeCell ref="A97:A98"/>
    <mergeCell ref="B99:B100"/>
    <mergeCell ref="A99:A100"/>
    <mergeCell ref="D208:D209"/>
    <mergeCell ref="C208:C209"/>
    <mergeCell ref="B208:B209"/>
    <mergeCell ref="A208:A209"/>
    <mergeCell ref="D97:D98"/>
    <mergeCell ref="D99:D100"/>
    <mergeCell ref="C97:C98"/>
    <mergeCell ref="C99:C100"/>
    <mergeCell ref="B97:B98"/>
    <mergeCell ref="A141:A142"/>
    <mergeCell ref="B141:B142"/>
    <mergeCell ref="A130:A131"/>
    <mergeCell ref="B130:B131"/>
    <mergeCell ref="C40:C41"/>
    <mergeCell ref="C42:C43"/>
    <mergeCell ref="D42:D43"/>
    <mergeCell ref="D92:D95"/>
    <mergeCell ref="C92:C93"/>
    <mergeCell ref="C94:C95"/>
    <mergeCell ref="B92:B95"/>
    <mergeCell ref="A92:A95"/>
    <mergeCell ref="O36:O37"/>
    <mergeCell ref="D90:D91"/>
    <mergeCell ref="C90:C91"/>
    <mergeCell ref="B90:B91"/>
    <mergeCell ref="A90:A91"/>
    <mergeCell ref="D40:D41"/>
    <mergeCell ref="B40:B41"/>
    <mergeCell ref="B42:B43"/>
    <mergeCell ref="A40:A41"/>
    <mergeCell ref="A42:A43"/>
    <mergeCell ref="A38:A39"/>
    <mergeCell ref="B38:B39"/>
    <mergeCell ref="D38:D39"/>
    <mergeCell ref="C1:F1"/>
    <mergeCell ref="E2:F2"/>
    <mergeCell ref="A4:F4"/>
    <mergeCell ref="A35:A36"/>
    <mergeCell ref="D35:D36"/>
    <mergeCell ref="C9:C10"/>
    <mergeCell ref="B9:B10"/>
    <mergeCell ref="A9:A10"/>
    <mergeCell ref="D9:D10"/>
    <mergeCell ref="A178:A179"/>
    <mergeCell ref="B178:B179"/>
    <mergeCell ref="A193:A195"/>
    <mergeCell ref="B193:B195"/>
    <mergeCell ref="D193:D195"/>
    <mergeCell ref="A147:A153"/>
    <mergeCell ref="B147:B153"/>
    <mergeCell ref="D147:D153"/>
    <mergeCell ref="A65:A66"/>
    <mergeCell ref="D65:D66"/>
    <mergeCell ref="A123:A124"/>
    <mergeCell ref="B123:B124"/>
    <mergeCell ref="A125:A126"/>
    <mergeCell ref="B125:B126"/>
    <mergeCell ref="A128:A129"/>
    <mergeCell ref="B128:B129"/>
    <mergeCell ref="A139:A140"/>
    <mergeCell ref="B139:B140"/>
    <mergeCell ref="A135:A136"/>
    <mergeCell ref="B135:B136"/>
    <mergeCell ref="A133:A134"/>
    <mergeCell ref="B133:B134"/>
    <mergeCell ref="A137:A138"/>
    <mergeCell ref="B137:B138"/>
  </mergeCells>
  <phoneticPr fontId="11" type="noConversion"/>
  <pageMargins left="0.70866141732283472" right="0" top="0.39370078740157483" bottom="0.35433070866141736" header="0.31496062992125984" footer="0.31496062992125984"/>
  <pageSetup paperSize="9" fitToHeight="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Q104"/>
  <sheetViews>
    <sheetView zoomScaleNormal="100" workbookViewId="0">
      <selection activeCell="D91" sqref="D91"/>
    </sheetView>
  </sheetViews>
  <sheetFormatPr defaultColWidth="9.140625" defaultRowHeight="12.75" x14ac:dyDescent="0.2"/>
  <cols>
    <col min="1" max="1" width="4.140625" style="9" customWidth="1"/>
    <col min="2" max="2" width="8.140625" style="49" customWidth="1"/>
    <col min="3" max="3" width="47.7109375" style="124" customWidth="1"/>
    <col min="4" max="4" width="10.7109375" style="48" customWidth="1"/>
    <col min="5" max="5" width="9.5703125" style="47" customWidth="1"/>
    <col min="6" max="9" width="11.140625" style="47" customWidth="1"/>
    <col min="10" max="16384" width="9.140625" style="2"/>
  </cols>
  <sheetData>
    <row r="1" spans="1:17" ht="15.75" x14ac:dyDescent="0.25">
      <c r="C1" s="242" t="s">
        <v>734</v>
      </c>
      <c r="D1" s="242"/>
      <c r="E1" s="242"/>
      <c r="F1" s="242"/>
      <c r="G1" s="123"/>
      <c r="H1" s="123"/>
      <c r="I1" s="123"/>
    </row>
    <row r="2" spans="1:17" ht="15.75" x14ac:dyDescent="0.25">
      <c r="C2" s="122"/>
      <c r="D2" s="122"/>
      <c r="E2" s="199" t="s">
        <v>289</v>
      </c>
      <c r="F2" s="199"/>
      <c r="G2" s="50"/>
      <c r="H2" s="50"/>
      <c r="I2" s="50"/>
    </row>
    <row r="3" spans="1:17" ht="15.75" x14ac:dyDescent="0.2">
      <c r="E3" s="50"/>
      <c r="F3" s="50"/>
      <c r="G3" s="50"/>
      <c r="H3" s="50"/>
      <c r="I3" s="50"/>
    </row>
    <row r="4" spans="1:17" ht="32.25" customHeight="1" x14ac:dyDescent="0.2">
      <c r="A4" s="243" t="s">
        <v>365</v>
      </c>
      <c r="B4" s="243"/>
      <c r="C4" s="243"/>
      <c r="D4" s="243"/>
      <c r="E4" s="243"/>
      <c r="F4" s="243"/>
      <c r="G4" s="125"/>
      <c r="H4" s="125"/>
      <c r="I4" s="125"/>
      <c r="L4" s="43"/>
    </row>
    <row r="5" spans="1:17" x14ac:dyDescent="0.2">
      <c r="A5" s="125"/>
      <c r="B5" s="125"/>
      <c r="C5" s="125"/>
      <c r="D5" s="125"/>
      <c r="E5" s="125"/>
      <c r="F5" s="125"/>
      <c r="G5" s="125"/>
      <c r="H5" s="125"/>
      <c r="I5" s="125"/>
    </row>
    <row r="6" spans="1:17" x14ac:dyDescent="0.2">
      <c r="A6" s="126"/>
      <c r="B6" s="127"/>
      <c r="C6" s="128"/>
      <c r="D6" s="129"/>
      <c r="E6" s="130"/>
      <c r="F6" s="53" t="s">
        <v>123</v>
      </c>
      <c r="G6" s="130"/>
      <c r="H6" s="130"/>
      <c r="I6" s="130"/>
    </row>
    <row r="7" spans="1:17" ht="39.75" customHeight="1" x14ac:dyDescent="0.2">
      <c r="A7" s="54" t="s">
        <v>112</v>
      </c>
      <c r="B7" s="55" t="s">
        <v>288</v>
      </c>
      <c r="C7" s="54" t="s">
        <v>16</v>
      </c>
      <c r="D7" s="55" t="s">
        <v>51</v>
      </c>
      <c r="E7" s="54" t="s">
        <v>17</v>
      </c>
      <c r="F7" s="54" t="s">
        <v>28</v>
      </c>
      <c r="G7" s="131"/>
      <c r="H7" s="131"/>
      <c r="I7" s="131"/>
    </row>
    <row r="8" spans="1:17" s="44" customFormat="1" ht="12.75" customHeight="1" x14ac:dyDescent="0.2">
      <c r="A8" s="56">
        <v>1</v>
      </c>
      <c r="B8" s="57" t="s">
        <v>18</v>
      </c>
      <c r="C8" s="54">
        <v>3</v>
      </c>
      <c r="D8" s="55">
        <v>4</v>
      </c>
      <c r="E8" s="54">
        <v>5</v>
      </c>
      <c r="F8" s="54">
        <v>6</v>
      </c>
      <c r="G8" s="131"/>
      <c r="H8" s="131"/>
      <c r="I8" s="131"/>
      <c r="J8" s="113"/>
      <c r="K8" s="113"/>
      <c r="L8" s="2"/>
      <c r="M8" s="2"/>
      <c r="N8" s="2"/>
    </row>
    <row r="9" spans="1:17" s="44" customFormat="1" ht="12.75" customHeight="1" x14ac:dyDescent="0.2">
      <c r="A9" s="236">
        <v>1</v>
      </c>
      <c r="B9" s="234" t="s">
        <v>52</v>
      </c>
      <c r="C9" s="232" t="s">
        <v>53</v>
      </c>
      <c r="D9" s="230"/>
      <c r="E9" s="273">
        <v>19365.099999999999</v>
      </c>
      <c r="F9" s="273">
        <v>18630.3</v>
      </c>
      <c r="G9" s="131"/>
      <c r="H9" s="131"/>
      <c r="I9" s="131"/>
      <c r="J9" s="113"/>
      <c r="K9" s="113"/>
      <c r="L9" s="2"/>
      <c r="M9" s="11"/>
      <c r="N9" s="11"/>
    </row>
    <row r="10" spans="1:17" s="44" customFormat="1" ht="18" customHeight="1" x14ac:dyDescent="0.2">
      <c r="A10" s="237"/>
      <c r="B10" s="235"/>
      <c r="C10" s="233"/>
      <c r="D10" s="231"/>
      <c r="E10" s="59">
        <v>19573</v>
      </c>
      <c r="F10" s="59">
        <v>18844.7</v>
      </c>
      <c r="G10" s="60"/>
      <c r="H10" s="60"/>
      <c r="I10" s="60"/>
      <c r="J10" s="113"/>
      <c r="K10" s="113"/>
      <c r="L10" s="12"/>
      <c r="M10" s="11"/>
      <c r="N10" s="11"/>
      <c r="O10" s="132"/>
      <c r="P10" s="132"/>
      <c r="Q10" s="132"/>
    </row>
    <row r="11" spans="1:17" s="44" customFormat="1" ht="18" customHeight="1" x14ac:dyDescent="0.2">
      <c r="A11" s="236">
        <v>2</v>
      </c>
      <c r="B11" s="240" t="s">
        <v>227</v>
      </c>
      <c r="C11" s="238" t="s">
        <v>210</v>
      </c>
      <c r="D11" s="230"/>
      <c r="E11" s="133">
        <v>18676.7</v>
      </c>
      <c r="F11" s="133">
        <v>18040.3</v>
      </c>
      <c r="G11" s="60"/>
      <c r="H11" s="60"/>
      <c r="I11" s="60"/>
      <c r="J11" s="113"/>
      <c r="K11" s="113"/>
      <c r="L11" s="12"/>
      <c r="M11" s="11"/>
      <c r="N11" s="11"/>
      <c r="O11" s="132"/>
      <c r="P11" s="132"/>
      <c r="Q11" s="132"/>
    </row>
    <row r="12" spans="1:17" s="44" customFormat="1" ht="24.95" customHeight="1" x14ac:dyDescent="0.2">
      <c r="A12" s="237"/>
      <c r="B12" s="241"/>
      <c r="C12" s="239"/>
      <c r="D12" s="231"/>
      <c r="E12" s="274">
        <v>18884.599999999999</v>
      </c>
      <c r="F12" s="274">
        <v>18254.7</v>
      </c>
      <c r="G12" s="134"/>
      <c r="H12" s="134"/>
      <c r="I12" s="134"/>
      <c r="J12" s="113"/>
      <c r="K12" s="113"/>
      <c r="L12" s="12"/>
      <c r="M12" s="12"/>
      <c r="N12" s="12"/>
      <c r="O12" s="132"/>
      <c r="P12" s="132"/>
      <c r="Q12" s="132"/>
    </row>
    <row r="13" spans="1:17" s="44" customFormat="1" ht="24.95" customHeight="1" x14ac:dyDescent="0.2">
      <c r="A13" s="236">
        <v>3</v>
      </c>
      <c r="B13" s="240"/>
      <c r="C13" s="246" t="s">
        <v>159</v>
      </c>
      <c r="D13" s="244" t="s">
        <v>54</v>
      </c>
      <c r="E13" s="135">
        <v>357.1</v>
      </c>
      <c r="F13" s="135">
        <v>345.7</v>
      </c>
      <c r="G13" s="134"/>
      <c r="H13" s="134"/>
      <c r="I13" s="134"/>
      <c r="J13" s="113"/>
      <c r="K13" s="113"/>
      <c r="L13" s="12"/>
      <c r="M13" s="12"/>
      <c r="N13" s="12"/>
      <c r="O13" s="132"/>
      <c r="P13" s="132"/>
      <c r="Q13" s="132"/>
    </row>
    <row r="14" spans="1:17" ht="12.6" customHeight="1" x14ac:dyDescent="0.2">
      <c r="A14" s="237"/>
      <c r="B14" s="241"/>
      <c r="C14" s="247"/>
      <c r="D14" s="245"/>
      <c r="E14" s="77">
        <f>341.7+15.4+7.8</f>
        <v>364.9</v>
      </c>
      <c r="F14" s="77">
        <f>330.5+15.2+7.7</f>
        <v>353.4</v>
      </c>
      <c r="G14" s="113"/>
      <c r="H14" s="113"/>
      <c r="I14" s="113"/>
      <c r="J14" s="113"/>
      <c r="K14" s="113"/>
      <c r="L14" s="12"/>
      <c r="M14" s="12"/>
      <c r="N14" s="12"/>
      <c r="O14" s="12"/>
      <c r="P14" s="12"/>
      <c r="Q14" s="12"/>
    </row>
    <row r="15" spans="1:17" ht="12.6" customHeight="1" x14ac:dyDescent="0.2">
      <c r="A15" s="236">
        <v>4</v>
      </c>
      <c r="B15" s="240"/>
      <c r="C15" s="246" t="s">
        <v>150</v>
      </c>
      <c r="D15" s="244" t="s">
        <v>54</v>
      </c>
      <c r="E15" s="135">
        <v>346.9</v>
      </c>
      <c r="F15" s="135">
        <v>335.7</v>
      </c>
      <c r="G15" s="113"/>
      <c r="H15" s="113"/>
      <c r="I15" s="113"/>
      <c r="J15" s="113"/>
      <c r="K15" s="113"/>
      <c r="L15" s="12"/>
      <c r="M15" s="12"/>
      <c r="N15" s="12"/>
      <c r="O15" s="12"/>
      <c r="P15" s="12"/>
      <c r="Q15" s="12"/>
    </row>
    <row r="16" spans="1:17" ht="12.6" customHeight="1" x14ac:dyDescent="0.2">
      <c r="A16" s="237"/>
      <c r="B16" s="241"/>
      <c r="C16" s="247"/>
      <c r="D16" s="245"/>
      <c r="E16" s="77">
        <f>342.2+4.7+24.7</f>
        <v>371.59999999999997</v>
      </c>
      <c r="F16" s="77">
        <f>331.1+4.6+24.4</f>
        <v>360.1</v>
      </c>
      <c r="G16" s="113"/>
      <c r="H16" s="113"/>
      <c r="I16" s="113"/>
      <c r="J16" s="113"/>
      <c r="K16" s="113"/>
      <c r="L16" s="12"/>
      <c r="M16" s="12"/>
      <c r="N16" s="12"/>
      <c r="O16" s="12"/>
      <c r="P16" s="12"/>
      <c r="Q16" s="12"/>
    </row>
    <row r="17" spans="1:17" ht="12.6" customHeight="1" x14ac:dyDescent="0.2">
      <c r="A17" s="236">
        <v>5</v>
      </c>
      <c r="B17" s="240"/>
      <c r="C17" s="246" t="s">
        <v>151</v>
      </c>
      <c r="D17" s="244" t="s">
        <v>54</v>
      </c>
      <c r="E17" s="135">
        <v>416.5</v>
      </c>
      <c r="F17" s="135">
        <v>403.3</v>
      </c>
      <c r="G17" s="113"/>
      <c r="H17" s="113"/>
      <c r="I17" s="113"/>
      <c r="J17" s="113"/>
      <c r="K17" s="113"/>
      <c r="L17" s="12"/>
      <c r="M17" s="12"/>
      <c r="N17" s="12"/>
      <c r="O17" s="12"/>
      <c r="P17" s="12"/>
      <c r="Q17" s="12"/>
    </row>
    <row r="18" spans="1:17" ht="12.6" customHeight="1" x14ac:dyDescent="0.2">
      <c r="A18" s="237"/>
      <c r="B18" s="241"/>
      <c r="C18" s="247"/>
      <c r="D18" s="245"/>
      <c r="E18" s="77">
        <f>411.8+4.7+3.5</f>
        <v>420</v>
      </c>
      <c r="F18" s="77">
        <f>398.7+4.6+3.6</f>
        <v>406.90000000000003</v>
      </c>
      <c r="G18" s="113"/>
      <c r="H18" s="113"/>
      <c r="I18" s="113"/>
      <c r="J18" s="113"/>
      <c r="K18" s="113"/>
      <c r="L18" s="12"/>
      <c r="M18" s="12"/>
      <c r="N18" s="12"/>
      <c r="O18" s="12"/>
      <c r="P18" s="12"/>
      <c r="Q18" s="12"/>
    </row>
    <row r="19" spans="1:17" ht="12.6" customHeight="1" x14ac:dyDescent="0.2">
      <c r="A19" s="236">
        <v>6</v>
      </c>
      <c r="B19" s="240"/>
      <c r="C19" s="246" t="s">
        <v>155</v>
      </c>
      <c r="D19" s="244" t="s">
        <v>54</v>
      </c>
      <c r="E19" s="135">
        <v>457.2</v>
      </c>
      <c r="F19" s="135">
        <v>442</v>
      </c>
      <c r="G19" s="113"/>
      <c r="H19" s="113"/>
      <c r="I19" s="113"/>
      <c r="J19" s="113"/>
      <c r="K19" s="113"/>
      <c r="L19" s="12"/>
      <c r="M19" s="12"/>
      <c r="N19" s="12"/>
      <c r="O19" s="12"/>
      <c r="P19" s="12"/>
      <c r="Q19" s="12"/>
    </row>
    <row r="20" spans="1:17" ht="12.6" customHeight="1" x14ac:dyDescent="0.2">
      <c r="A20" s="237"/>
      <c r="B20" s="241"/>
      <c r="C20" s="247"/>
      <c r="D20" s="245"/>
      <c r="E20" s="77">
        <f>457.2+1.1</f>
        <v>458.3</v>
      </c>
      <c r="F20" s="77">
        <f>442+1.2</f>
        <v>443.2</v>
      </c>
      <c r="G20" s="113"/>
      <c r="H20" s="113"/>
      <c r="I20" s="113"/>
      <c r="J20" s="113"/>
      <c r="K20" s="113"/>
      <c r="L20" s="12"/>
      <c r="M20" s="12"/>
      <c r="N20" s="12"/>
      <c r="O20" s="12"/>
      <c r="P20" s="12"/>
      <c r="Q20" s="12"/>
    </row>
    <row r="21" spans="1:17" ht="12.6" customHeight="1" x14ac:dyDescent="0.2">
      <c r="A21" s="236">
        <v>7</v>
      </c>
      <c r="B21" s="240"/>
      <c r="C21" s="246" t="s">
        <v>152</v>
      </c>
      <c r="D21" s="244" t="s">
        <v>54</v>
      </c>
      <c r="E21" s="135">
        <v>417.7</v>
      </c>
      <c r="F21" s="135">
        <v>404.2</v>
      </c>
      <c r="G21" s="113"/>
      <c r="H21" s="113"/>
      <c r="I21" s="113"/>
      <c r="J21" s="113"/>
      <c r="K21" s="113"/>
      <c r="L21" s="12"/>
      <c r="M21" s="12"/>
      <c r="N21" s="12"/>
      <c r="O21" s="12"/>
      <c r="P21" s="12"/>
      <c r="Q21" s="12"/>
    </row>
    <row r="22" spans="1:17" ht="12.6" customHeight="1" x14ac:dyDescent="0.2">
      <c r="A22" s="237"/>
      <c r="B22" s="241"/>
      <c r="C22" s="247"/>
      <c r="D22" s="245"/>
      <c r="E22" s="77">
        <f>414.2+3.5+26.4</f>
        <v>444.09999999999997</v>
      </c>
      <c r="F22" s="77">
        <f>400.8+3.4+26.1</f>
        <v>430.3</v>
      </c>
      <c r="G22" s="113"/>
      <c r="H22" s="113"/>
      <c r="I22" s="113"/>
      <c r="J22" s="113"/>
      <c r="K22" s="113"/>
      <c r="L22" s="12"/>
      <c r="M22" s="12"/>
      <c r="N22" s="12"/>
      <c r="O22" s="12"/>
      <c r="P22" s="12"/>
      <c r="Q22" s="12"/>
    </row>
    <row r="23" spans="1:17" ht="12.6" customHeight="1" x14ac:dyDescent="0.2">
      <c r="A23" s="236">
        <v>8</v>
      </c>
      <c r="B23" s="240"/>
      <c r="C23" s="246" t="s">
        <v>153</v>
      </c>
      <c r="D23" s="244" t="s">
        <v>54</v>
      </c>
      <c r="E23" s="135">
        <v>447.1</v>
      </c>
      <c r="F23" s="135">
        <v>434.4</v>
      </c>
      <c r="G23" s="113"/>
      <c r="H23" s="113"/>
      <c r="I23" s="113"/>
      <c r="J23" s="113"/>
      <c r="K23" s="113"/>
      <c r="L23" s="12"/>
      <c r="M23" s="12"/>
      <c r="N23" s="12"/>
      <c r="O23" s="12"/>
      <c r="P23" s="12"/>
      <c r="Q23" s="12"/>
    </row>
    <row r="24" spans="1:17" ht="12.6" customHeight="1" x14ac:dyDescent="0.2">
      <c r="A24" s="237"/>
      <c r="B24" s="241"/>
      <c r="C24" s="247"/>
      <c r="D24" s="245"/>
      <c r="E24" s="77">
        <f>442.4+4.7+9.7</f>
        <v>456.79999999999995</v>
      </c>
      <c r="F24" s="77">
        <f>429.8+4.6+9.6</f>
        <v>444.00000000000006</v>
      </c>
      <c r="G24" s="113"/>
      <c r="H24" s="113"/>
      <c r="I24" s="113"/>
      <c r="J24" s="113"/>
      <c r="K24" s="113"/>
      <c r="L24" s="12"/>
      <c r="M24" s="12"/>
      <c r="N24" s="12"/>
      <c r="P24" s="12"/>
      <c r="Q24" s="12"/>
    </row>
    <row r="25" spans="1:17" ht="12.6" customHeight="1" x14ac:dyDescent="0.2">
      <c r="A25" s="236">
        <v>9</v>
      </c>
      <c r="B25" s="240"/>
      <c r="C25" s="246" t="s">
        <v>154</v>
      </c>
      <c r="D25" s="244" t="s">
        <v>54</v>
      </c>
      <c r="E25" s="135">
        <v>434.7</v>
      </c>
      <c r="F25" s="135">
        <v>419.8</v>
      </c>
      <c r="G25" s="113"/>
      <c r="H25" s="113"/>
      <c r="I25" s="113"/>
      <c r="J25" s="113"/>
      <c r="K25" s="113"/>
      <c r="L25" s="12"/>
      <c r="M25" s="12"/>
      <c r="N25" s="12"/>
      <c r="P25" s="12"/>
      <c r="Q25" s="12"/>
    </row>
    <row r="26" spans="1:17" ht="12.6" customHeight="1" x14ac:dyDescent="0.2">
      <c r="A26" s="237"/>
      <c r="B26" s="241"/>
      <c r="C26" s="247"/>
      <c r="D26" s="245"/>
      <c r="E26" s="77">
        <f>430+4.7+12.2</f>
        <v>446.9</v>
      </c>
      <c r="F26" s="77">
        <f>415.2+4.6+12.1</f>
        <v>431.90000000000003</v>
      </c>
      <c r="G26" s="113"/>
      <c r="H26" s="113"/>
      <c r="I26" s="113"/>
      <c r="J26" s="113"/>
      <c r="K26" s="113"/>
      <c r="L26" s="12"/>
      <c r="M26" s="12"/>
      <c r="N26" s="136"/>
      <c r="P26" s="12"/>
      <c r="Q26" s="12"/>
    </row>
    <row r="27" spans="1:17" ht="12.6" customHeight="1" x14ac:dyDescent="0.2">
      <c r="A27" s="236">
        <v>10</v>
      </c>
      <c r="B27" s="240"/>
      <c r="C27" s="248" t="s">
        <v>177</v>
      </c>
      <c r="D27" s="244" t="s">
        <v>55</v>
      </c>
      <c r="E27" s="135">
        <v>484.3</v>
      </c>
      <c r="F27" s="135">
        <v>468.3</v>
      </c>
      <c r="G27" s="113"/>
      <c r="H27" s="113"/>
      <c r="I27" s="113"/>
      <c r="J27" s="113"/>
      <c r="K27" s="113"/>
      <c r="L27" s="12"/>
      <c r="M27" s="12"/>
      <c r="N27" s="136"/>
      <c r="P27" s="12"/>
      <c r="Q27" s="12"/>
    </row>
    <row r="28" spans="1:17" ht="12.6" customHeight="1" x14ac:dyDescent="0.2">
      <c r="A28" s="237"/>
      <c r="B28" s="241"/>
      <c r="C28" s="249"/>
      <c r="D28" s="245"/>
      <c r="E28" s="77">
        <f>481.8+2.5+10.6</f>
        <v>494.90000000000003</v>
      </c>
      <c r="F28" s="77">
        <f>465.8+2.5+10.6</f>
        <v>478.90000000000003</v>
      </c>
      <c r="G28" s="113"/>
      <c r="H28" s="113"/>
      <c r="I28" s="113"/>
      <c r="J28" s="113"/>
      <c r="K28" s="113"/>
      <c r="L28" s="12"/>
      <c r="M28" s="12"/>
      <c r="N28" s="12"/>
      <c r="P28" s="12"/>
      <c r="Q28" s="12"/>
    </row>
    <row r="29" spans="1:17" ht="12.6" customHeight="1" x14ac:dyDescent="0.2">
      <c r="A29" s="236">
        <v>11</v>
      </c>
      <c r="B29" s="240"/>
      <c r="C29" s="246" t="s">
        <v>158</v>
      </c>
      <c r="D29" s="244" t="s">
        <v>56</v>
      </c>
      <c r="E29" s="135">
        <v>1267.8</v>
      </c>
      <c r="F29" s="135">
        <v>1225.3</v>
      </c>
      <c r="G29" s="113"/>
      <c r="H29" s="113"/>
      <c r="I29" s="113"/>
      <c r="J29" s="113"/>
      <c r="K29" s="113"/>
      <c r="L29" s="12"/>
      <c r="M29" s="12"/>
      <c r="N29" s="12"/>
      <c r="P29" s="12"/>
      <c r="Q29" s="12"/>
    </row>
    <row r="30" spans="1:17" ht="12.6" customHeight="1" x14ac:dyDescent="0.2">
      <c r="A30" s="237"/>
      <c r="B30" s="241"/>
      <c r="C30" s="247"/>
      <c r="D30" s="245"/>
      <c r="E30" s="77">
        <f>1230.6+37.2+22.1</f>
        <v>1289.8999999999999</v>
      </c>
      <c r="F30" s="77">
        <f>1188.6+36.7+22.2</f>
        <v>1247.5</v>
      </c>
      <c r="G30" s="113"/>
      <c r="H30" s="113"/>
      <c r="I30" s="113"/>
      <c r="J30" s="113"/>
      <c r="K30" s="113"/>
      <c r="L30" s="12"/>
      <c r="M30" s="12"/>
      <c r="N30" s="12"/>
      <c r="O30" s="12"/>
      <c r="P30" s="12"/>
      <c r="Q30" s="12"/>
    </row>
    <row r="31" spans="1:17" ht="12.6" customHeight="1" x14ac:dyDescent="0.2">
      <c r="A31" s="236">
        <v>12</v>
      </c>
      <c r="B31" s="240"/>
      <c r="C31" s="246" t="s">
        <v>42</v>
      </c>
      <c r="D31" s="244" t="s">
        <v>56</v>
      </c>
      <c r="E31" s="135">
        <v>1303</v>
      </c>
      <c r="F31" s="135">
        <v>1258.9000000000001</v>
      </c>
      <c r="G31" s="113"/>
      <c r="H31" s="113"/>
      <c r="I31" s="113"/>
      <c r="J31" s="113"/>
      <c r="K31" s="113"/>
      <c r="L31" s="12"/>
      <c r="M31" s="12"/>
      <c r="N31" s="12"/>
      <c r="O31" s="12"/>
      <c r="P31" s="12"/>
      <c r="Q31" s="12"/>
    </row>
    <row r="32" spans="1:17" ht="12.6" customHeight="1" x14ac:dyDescent="0.2">
      <c r="A32" s="237"/>
      <c r="B32" s="241"/>
      <c r="C32" s="247"/>
      <c r="D32" s="245"/>
      <c r="E32" s="77">
        <f>1300.5+2.5+22</f>
        <v>1325</v>
      </c>
      <c r="F32" s="77">
        <f>1256.4+2.5+21.7</f>
        <v>1280.6000000000001</v>
      </c>
      <c r="G32" s="113"/>
      <c r="H32" s="113"/>
      <c r="I32" s="113"/>
      <c r="J32" s="113"/>
      <c r="K32" s="113"/>
      <c r="L32" s="12"/>
      <c r="M32" s="12"/>
      <c r="N32" s="12"/>
      <c r="O32" s="12"/>
      <c r="P32" s="12"/>
      <c r="Q32" s="12"/>
    </row>
    <row r="33" spans="1:17" ht="12.6" customHeight="1" x14ac:dyDescent="0.2">
      <c r="A33" s="236">
        <v>13</v>
      </c>
      <c r="B33" s="240"/>
      <c r="C33" s="248" t="s">
        <v>128</v>
      </c>
      <c r="D33" s="244" t="s">
        <v>56</v>
      </c>
      <c r="E33" s="135">
        <v>1170.5</v>
      </c>
      <c r="F33" s="135">
        <v>1133.8</v>
      </c>
      <c r="G33" s="113"/>
      <c r="H33" s="113"/>
      <c r="I33" s="113"/>
      <c r="J33" s="113"/>
      <c r="K33" s="113"/>
      <c r="L33" s="12"/>
      <c r="M33" s="12"/>
      <c r="N33" s="12"/>
      <c r="O33" s="12"/>
      <c r="P33" s="12"/>
      <c r="Q33" s="12"/>
    </row>
    <row r="34" spans="1:17" ht="12.6" customHeight="1" x14ac:dyDescent="0.2">
      <c r="A34" s="237"/>
      <c r="B34" s="241"/>
      <c r="C34" s="249"/>
      <c r="D34" s="245"/>
      <c r="E34" s="77">
        <f>1046.6+23.5+100.4+58.9</f>
        <v>1229.4000000000001</v>
      </c>
      <c r="F34" s="77">
        <f>1012.4+23.1+98.3+58</f>
        <v>1191.8</v>
      </c>
      <c r="G34" s="113"/>
      <c r="H34" s="113"/>
      <c r="I34" s="113"/>
      <c r="J34" s="113"/>
      <c r="K34" s="113"/>
      <c r="L34" s="12"/>
      <c r="M34" s="12"/>
      <c r="N34" s="12"/>
      <c r="O34" s="12"/>
      <c r="P34" s="12"/>
      <c r="Q34" s="12"/>
    </row>
    <row r="35" spans="1:17" ht="12.6" customHeight="1" x14ac:dyDescent="0.2">
      <c r="A35" s="236">
        <v>14</v>
      </c>
      <c r="B35" s="240"/>
      <c r="C35" s="248" t="s">
        <v>129</v>
      </c>
      <c r="D35" s="244" t="s">
        <v>56</v>
      </c>
      <c r="E35" s="135">
        <v>791.6</v>
      </c>
      <c r="F35" s="135">
        <v>765.2</v>
      </c>
      <c r="G35" s="113"/>
      <c r="H35" s="113"/>
      <c r="I35" s="113"/>
      <c r="J35" s="113"/>
      <c r="K35" s="113"/>
      <c r="L35" s="12"/>
      <c r="M35" s="12"/>
      <c r="N35" s="12"/>
      <c r="O35" s="12"/>
      <c r="P35" s="12"/>
      <c r="Q35" s="12"/>
    </row>
    <row r="36" spans="1:17" ht="12.6" customHeight="1" x14ac:dyDescent="0.2">
      <c r="A36" s="237"/>
      <c r="B36" s="241"/>
      <c r="C36" s="249"/>
      <c r="D36" s="245"/>
      <c r="E36" s="77">
        <f>787.9+3.7+45.5</f>
        <v>837.1</v>
      </c>
      <c r="F36" s="77">
        <f>761.6+3.6+44.9</f>
        <v>810.1</v>
      </c>
      <c r="G36" s="113"/>
      <c r="H36" s="113"/>
      <c r="I36" s="113"/>
      <c r="J36" s="113"/>
      <c r="K36" s="113"/>
      <c r="L36" s="12"/>
      <c r="M36" s="12"/>
      <c r="N36" s="12"/>
      <c r="O36" s="12"/>
      <c r="P36" s="12"/>
      <c r="Q36" s="12"/>
    </row>
    <row r="37" spans="1:17" ht="12.6" customHeight="1" x14ac:dyDescent="0.2">
      <c r="A37" s="236">
        <v>15</v>
      </c>
      <c r="B37" s="240"/>
      <c r="C37" s="248" t="s">
        <v>36</v>
      </c>
      <c r="D37" s="244" t="s">
        <v>56</v>
      </c>
      <c r="E37" s="135">
        <v>903.9</v>
      </c>
      <c r="F37" s="135">
        <v>856.9</v>
      </c>
      <c r="G37" s="113"/>
      <c r="H37" s="113"/>
      <c r="I37" s="113"/>
      <c r="J37" s="113"/>
      <c r="K37" s="113"/>
      <c r="L37" s="12"/>
      <c r="M37" s="12"/>
      <c r="N37" s="12"/>
      <c r="O37" s="12"/>
      <c r="P37" s="12"/>
      <c r="Q37" s="12"/>
    </row>
    <row r="38" spans="1:17" ht="12.6" customHeight="1" x14ac:dyDescent="0.2">
      <c r="A38" s="237"/>
      <c r="B38" s="241"/>
      <c r="C38" s="249"/>
      <c r="D38" s="245"/>
      <c r="E38" s="77">
        <f>896.6+7.3+29.1</f>
        <v>933</v>
      </c>
      <c r="F38" s="77">
        <f>849.7+7.2+28.5</f>
        <v>885.40000000000009</v>
      </c>
      <c r="G38" s="113"/>
      <c r="H38" s="113"/>
      <c r="I38" s="113"/>
      <c r="J38" s="113"/>
      <c r="K38" s="113"/>
      <c r="L38" s="12"/>
      <c r="M38" s="12"/>
      <c r="N38" s="12"/>
      <c r="O38" s="12"/>
      <c r="P38" s="12"/>
      <c r="Q38" s="12"/>
    </row>
    <row r="39" spans="1:17" ht="12.6" customHeight="1" x14ac:dyDescent="0.2">
      <c r="A39" s="236">
        <v>16</v>
      </c>
      <c r="B39" s="240"/>
      <c r="C39" s="246" t="s">
        <v>131</v>
      </c>
      <c r="D39" s="244" t="s">
        <v>56</v>
      </c>
      <c r="E39" s="135">
        <v>864.5</v>
      </c>
      <c r="F39" s="135">
        <v>837.4</v>
      </c>
      <c r="G39" s="113"/>
      <c r="H39" s="113"/>
      <c r="I39" s="113"/>
      <c r="J39" s="113"/>
      <c r="K39" s="113"/>
      <c r="L39" s="12"/>
      <c r="M39" s="12"/>
      <c r="N39" s="12"/>
      <c r="O39" s="12"/>
      <c r="P39" s="12"/>
      <c r="Q39" s="12"/>
    </row>
    <row r="40" spans="1:17" ht="12.6" customHeight="1" x14ac:dyDescent="0.2">
      <c r="A40" s="237"/>
      <c r="B40" s="241"/>
      <c r="C40" s="247"/>
      <c r="D40" s="245"/>
      <c r="E40" s="77">
        <f>855.9+8.6+4</f>
        <v>868.5</v>
      </c>
      <c r="F40" s="77">
        <f>828.9+8.5+4</f>
        <v>841.4</v>
      </c>
      <c r="G40" s="113"/>
      <c r="H40" s="113"/>
      <c r="I40" s="113"/>
      <c r="J40" s="113"/>
      <c r="K40" s="113"/>
      <c r="L40" s="12"/>
      <c r="M40" s="12"/>
      <c r="N40" s="12"/>
      <c r="O40" s="12"/>
      <c r="P40" s="12"/>
      <c r="Q40" s="12"/>
    </row>
    <row r="41" spans="1:17" ht="12.6" customHeight="1" x14ac:dyDescent="0.2">
      <c r="A41" s="236">
        <v>17</v>
      </c>
      <c r="B41" s="240"/>
      <c r="C41" s="248" t="s">
        <v>156</v>
      </c>
      <c r="D41" s="244" t="s">
        <v>57</v>
      </c>
      <c r="E41" s="135">
        <v>1810.9</v>
      </c>
      <c r="F41" s="135">
        <v>1742.6</v>
      </c>
      <c r="G41" s="113"/>
      <c r="H41" s="113"/>
      <c r="I41" s="113"/>
      <c r="J41" s="113"/>
      <c r="K41" s="113"/>
      <c r="L41" s="12"/>
      <c r="M41" s="12"/>
      <c r="N41" s="12"/>
      <c r="O41" s="12"/>
      <c r="P41" s="12"/>
      <c r="Q41" s="12"/>
    </row>
    <row r="42" spans="1:17" ht="12.6" customHeight="1" x14ac:dyDescent="0.2">
      <c r="A42" s="237"/>
      <c r="B42" s="241"/>
      <c r="C42" s="249"/>
      <c r="D42" s="245"/>
      <c r="E42" s="77">
        <f>1773.7+37.2+72</f>
        <v>1882.9</v>
      </c>
      <c r="F42" s="77">
        <f>1705.9+36.7+70.6</f>
        <v>1813.2</v>
      </c>
      <c r="G42" s="113"/>
      <c r="H42" s="113"/>
      <c r="I42" s="113"/>
      <c r="J42" s="113"/>
      <c r="K42" s="113"/>
      <c r="L42" s="12"/>
      <c r="M42" s="12"/>
      <c r="N42" s="12"/>
      <c r="O42" s="12"/>
      <c r="P42" s="12"/>
      <c r="Q42" s="12"/>
    </row>
    <row r="43" spans="1:17" ht="12.6" customHeight="1" x14ac:dyDescent="0.2">
      <c r="A43" s="236">
        <v>18</v>
      </c>
      <c r="B43" s="240"/>
      <c r="C43" s="246" t="s">
        <v>157</v>
      </c>
      <c r="D43" s="240" t="s">
        <v>197</v>
      </c>
      <c r="E43" s="135">
        <v>1873.8</v>
      </c>
      <c r="F43" s="135">
        <v>1800.9</v>
      </c>
      <c r="G43" s="113"/>
      <c r="H43" s="113"/>
      <c r="I43" s="113"/>
      <c r="J43" s="113"/>
      <c r="K43" s="113"/>
      <c r="L43" s="12"/>
      <c r="M43" s="12"/>
      <c r="N43" s="12"/>
      <c r="O43" s="12"/>
      <c r="P43" s="12"/>
      <c r="Q43" s="12"/>
    </row>
    <row r="44" spans="1:17" ht="12.6" customHeight="1" x14ac:dyDescent="0.2">
      <c r="A44" s="237"/>
      <c r="B44" s="241"/>
      <c r="C44" s="247"/>
      <c r="D44" s="241"/>
      <c r="E44" s="77">
        <f>1824.2+49.6+46.6</f>
        <v>1920.3999999999999</v>
      </c>
      <c r="F44" s="77">
        <f>1752+48.9+46.4</f>
        <v>1847.3000000000002</v>
      </c>
      <c r="G44" s="113"/>
      <c r="H44" s="113"/>
      <c r="I44" s="113"/>
      <c r="J44" s="113"/>
      <c r="K44" s="113"/>
      <c r="L44" s="12"/>
      <c r="M44" s="12"/>
      <c r="N44" s="12"/>
      <c r="O44" s="12"/>
      <c r="P44" s="12"/>
      <c r="Q44" s="12"/>
    </row>
    <row r="45" spans="1:17" ht="12.6" customHeight="1" x14ac:dyDescent="0.2">
      <c r="A45" s="236">
        <v>19</v>
      </c>
      <c r="B45" s="240"/>
      <c r="C45" s="248" t="s">
        <v>114</v>
      </c>
      <c r="D45" s="240" t="s">
        <v>197</v>
      </c>
      <c r="E45" s="135">
        <v>1304.7</v>
      </c>
      <c r="F45" s="135">
        <v>1256.2</v>
      </c>
      <c r="G45" s="113"/>
      <c r="H45" s="113"/>
      <c r="I45" s="113"/>
      <c r="J45" s="113"/>
      <c r="K45" s="113"/>
      <c r="L45" s="12"/>
      <c r="M45" s="12"/>
      <c r="N45" s="12"/>
      <c r="O45" s="12"/>
      <c r="P45" s="12"/>
      <c r="Q45" s="12"/>
    </row>
    <row r="46" spans="1:17" ht="12.6" customHeight="1" x14ac:dyDescent="0.2">
      <c r="A46" s="237"/>
      <c r="B46" s="241"/>
      <c r="C46" s="249"/>
      <c r="D46" s="241"/>
      <c r="E46" s="77">
        <f>1228.1+76.6+73.5</f>
        <v>1378.1999999999998</v>
      </c>
      <c r="F46" s="77">
        <f>1180.7+75.5+72.1</f>
        <v>1328.3</v>
      </c>
      <c r="G46" s="113"/>
      <c r="H46" s="113"/>
      <c r="I46" s="113"/>
      <c r="J46" s="113"/>
      <c r="K46" s="113"/>
      <c r="L46" s="12"/>
      <c r="M46" s="12"/>
      <c r="N46" s="12"/>
      <c r="O46" s="12"/>
      <c r="P46" s="12"/>
      <c r="Q46" s="12"/>
    </row>
    <row r="47" spans="1:17" ht="12.6" customHeight="1" x14ac:dyDescent="0.2">
      <c r="A47" s="236">
        <v>20</v>
      </c>
      <c r="B47" s="240"/>
      <c r="C47" s="248" t="s">
        <v>37</v>
      </c>
      <c r="D47" s="244" t="s">
        <v>57</v>
      </c>
      <c r="E47" s="135">
        <v>457.7</v>
      </c>
      <c r="F47" s="135">
        <v>445.9</v>
      </c>
      <c r="G47" s="113"/>
      <c r="H47" s="113"/>
      <c r="I47" s="113"/>
      <c r="J47" s="113"/>
      <c r="K47" s="113"/>
      <c r="L47" s="12"/>
      <c r="M47" s="12"/>
      <c r="N47" s="12"/>
      <c r="O47" s="12"/>
      <c r="P47" s="12"/>
      <c r="Q47" s="12"/>
    </row>
    <row r="48" spans="1:17" ht="12.6" customHeight="1" x14ac:dyDescent="0.2">
      <c r="A48" s="237"/>
      <c r="B48" s="241"/>
      <c r="C48" s="249"/>
      <c r="D48" s="245"/>
      <c r="E48" s="77">
        <f>457.7+11.5</f>
        <v>469.2</v>
      </c>
      <c r="F48" s="77">
        <f>445.9+11.4</f>
        <v>457.29999999999995</v>
      </c>
      <c r="G48" s="113"/>
      <c r="H48" s="113"/>
      <c r="I48" s="113"/>
      <c r="J48" s="113"/>
      <c r="K48" s="113"/>
      <c r="L48" s="12"/>
      <c r="M48" s="12"/>
      <c r="N48" s="12"/>
      <c r="O48" s="12"/>
      <c r="P48" s="12"/>
      <c r="Q48" s="12"/>
    </row>
    <row r="49" spans="1:17" ht="12.6" customHeight="1" x14ac:dyDescent="0.2">
      <c r="A49" s="236">
        <v>21</v>
      </c>
      <c r="B49" s="240"/>
      <c r="C49" s="248" t="s">
        <v>130</v>
      </c>
      <c r="D49" s="244" t="s">
        <v>57</v>
      </c>
      <c r="E49" s="135">
        <v>906.7</v>
      </c>
      <c r="F49" s="135">
        <v>881.1</v>
      </c>
      <c r="G49" s="113"/>
      <c r="H49" s="113"/>
      <c r="I49" s="113"/>
      <c r="J49" s="113"/>
      <c r="K49" s="113"/>
      <c r="L49" s="12"/>
      <c r="M49" s="12"/>
      <c r="N49" s="12"/>
      <c r="O49" s="12"/>
      <c r="P49" s="12"/>
      <c r="Q49" s="12"/>
    </row>
    <row r="50" spans="1:17" ht="12.6" customHeight="1" x14ac:dyDescent="0.2">
      <c r="A50" s="237"/>
      <c r="B50" s="241"/>
      <c r="C50" s="249"/>
      <c r="D50" s="245"/>
      <c r="E50" s="77">
        <f>863.7+43+54.9</f>
        <v>961.6</v>
      </c>
      <c r="F50" s="77">
        <f>838.7+42.4+54.3</f>
        <v>935.4</v>
      </c>
      <c r="G50" s="113"/>
      <c r="H50" s="113"/>
      <c r="I50" s="113"/>
      <c r="J50" s="113"/>
      <c r="K50" s="113"/>
      <c r="L50" s="12"/>
      <c r="M50" s="12"/>
      <c r="N50" s="12"/>
      <c r="O50" s="12"/>
      <c r="P50" s="12"/>
      <c r="Q50" s="12"/>
    </row>
    <row r="51" spans="1:17" ht="12.6" customHeight="1" x14ac:dyDescent="0.2">
      <c r="A51" s="61">
        <v>22</v>
      </c>
      <c r="B51" s="68"/>
      <c r="C51" s="137" t="s">
        <v>194</v>
      </c>
      <c r="D51" s="68" t="s">
        <v>57</v>
      </c>
      <c r="E51" s="64">
        <f>343.6+2.5-100.4</f>
        <v>245.70000000000002</v>
      </c>
      <c r="F51" s="64">
        <f>335.1+2.5-98.3</f>
        <v>239.3</v>
      </c>
      <c r="G51" s="113"/>
      <c r="H51" s="113"/>
      <c r="I51" s="113"/>
      <c r="J51" s="113"/>
      <c r="K51" s="113"/>
      <c r="L51" s="12"/>
      <c r="M51" s="12"/>
      <c r="N51" s="12"/>
      <c r="O51" s="12"/>
      <c r="P51" s="12"/>
      <c r="Q51" s="12"/>
    </row>
    <row r="52" spans="1:17" ht="12.6" customHeight="1" x14ac:dyDescent="0.2">
      <c r="A52" s="236">
        <v>23</v>
      </c>
      <c r="B52" s="244"/>
      <c r="C52" s="248" t="s">
        <v>38</v>
      </c>
      <c r="D52" s="244" t="s">
        <v>57</v>
      </c>
      <c r="E52" s="135">
        <v>382.6</v>
      </c>
      <c r="F52" s="135">
        <v>372.5</v>
      </c>
      <c r="G52" s="113"/>
      <c r="H52" s="113"/>
      <c r="I52" s="113"/>
      <c r="J52" s="113"/>
      <c r="K52" s="113"/>
      <c r="L52" s="12"/>
      <c r="M52" s="12"/>
      <c r="N52" s="12"/>
      <c r="O52" s="12"/>
      <c r="P52" s="12"/>
      <c r="Q52" s="12"/>
    </row>
    <row r="53" spans="1:17" ht="12.6" customHeight="1" x14ac:dyDescent="0.2">
      <c r="A53" s="237"/>
      <c r="B53" s="245"/>
      <c r="C53" s="249"/>
      <c r="D53" s="245"/>
      <c r="E53" s="77">
        <f>382.6+5.4</f>
        <v>388</v>
      </c>
      <c r="F53" s="77">
        <f>372.5+5.3</f>
        <v>377.8</v>
      </c>
      <c r="G53" s="113"/>
      <c r="H53" s="113"/>
      <c r="I53" s="113"/>
      <c r="J53" s="113"/>
      <c r="K53" s="113"/>
      <c r="L53" s="12"/>
      <c r="M53" s="12"/>
      <c r="N53" s="12"/>
      <c r="O53" s="12"/>
      <c r="P53" s="12"/>
      <c r="Q53" s="12"/>
    </row>
    <row r="54" spans="1:17" ht="12.6" customHeight="1" x14ac:dyDescent="0.2">
      <c r="A54" s="236">
        <v>24</v>
      </c>
      <c r="B54" s="244"/>
      <c r="C54" s="248" t="s">
        <v>106</v>
      </c>
      <c r="D54" s="240" t="s">
        <v>211</v>
      </c>
      <c r="E54" s="135">
        <v>261.3</v>
      </c>
      <c r="F54" s="135">
        <v>250.7</v>
      </c>
      <c r="G54" s="113"/>
      <c r="H54" s="113"/>
      <c r="I54" s="113"/>
      <c r="J54" s="113"/>
      <c r="K54" s="113"/>
      <c r="L54" s="12"/>
      <c r="M54" s="12"/>
      <c r="N54" s="12"/>
      <c r="O54" s="12"/>
      <c r="P54" s="12"/>
      <c r="Q54" s="12"/>
    </row>
    <row r="55" spans="1:17" x14ac:dyDescent="0.2">
      <c r="A55" s="237"/>
      <c r="B55" s="245"/>
      <c r="C55" s="249"/>
      <c r="D55" s="241"/>
      <c r="E55" s="77">
        <f>261.3+4.5</f>
        <v>265.8</v>
      </c>
      <c r="F55" s="77">
        <f>250.7+4.3</f>
        <v>255</v>
      </c>
      <c r="G55" s="113"/>
      <c r="H55" s="113"/>
      <c r="I55" s="113"/>
      <c r="J55" s="113"/>
      <c r="K55" s="113"/>
      <c r="L55" s="12"/>
      <c r="M55" s="12"/>
      <c r="N55" s="12"/>
      <c r="O55" s="12"/>
      <c r="P55" s="12"/>
      <c r="Q55" s="12"/>
    </row>
    <row r="56" spans="1:17" x14ac:dyDescent="0.2">
      <c r="A56" s="236">
        <v>25</v>
      </c>
      <c r="B56" s="244"/>
      <c r="C56" s="246" t="s">
        <v>287</v>
      </c>
      <c r="D56" s="244" t="s">
        <v>57</v>
      </c>
      <c r="E56" s="135">
        <v>692.3</v>
      </c>
      <c r="F56" s="135">
        <v>678.1</v>
      </c>
      <c r="G56" s="113"/>
      <c r="H56" s="113"/>
      <c r="I56" s="113"/>
      <c r="J56" s="113"/>
      <c r="K56" s="113"/>
      <c r="L56" s="12"/>
      <c r="M56" s="12"/>
      <c r="N56" s="12"/>
      <c r="O56" s="12"/>
      <c r="P56" s="12"/>
      <c r="Q56" s="12"/>
    </row>
    <row r="57" spans="1:17" ht="12.6" customHeight="1" x14ac:dyDescent="0.2">
      <c r="A57" s="237"/>
      <c r="B57" s="245"/>
      <c r="C57" s="247"/>
      <c r="D57" s="245"/>
      <c r="E57" s="77">
        <f>689.8+2.5+18.8</f>
        <v>711.09999999999991</v>
      </c>
      <c r="F57" s="77">
        <f>675.6+2.5+18.4</f>
        <v>696.5</v>
      </c>
      <c r="G57" s="113"/>
      <c r="H57" s="113"/>
      <c r="I57" s="113"/>
      <c r="J57" s="113"/>
      <c r="K57" s="113"/>
      <c r="L57" s="12"/>
      <c r="M57" s="12"/>
      <c r="N57" s="12"/>
      <c r="O57" s="12"/>
      <c r="P57" s="12"/>
      <c r="Q57" s="12"/>
    </row>
    <row r="58" spans="1:17" ht="12.6" customHeight="1" x14ac:dyDescent="0.2">
      <c r="A58" s="236">
        <v>26</v>
      </c>
      <c r="B58" s="244"/>
      <c r="C58" s="246" t="s">
        <v>50</v>
      </c>
      <c r="D58" s="244" t="s">
        <v>58</v>
      </c>
      <c r="E58" s="135">
        <v>26.6</v>
      </c>
      <c r="F58" s="135">
        <v>26.2</v>
      </c>
      <c r="G58" s="113"/>
      <c r="H58" s="113"/>
      <c r="I58" s="113"/>
      <c r="J58" s="113"/>
      <c r="K58" s="113"/>
      <c r="L58" s="12"/>
      <c r="M58" s="12"/>
      <c r="N58" s="12"/>
      <c r="O58" s="12"/>
      <c r="P58" s="12"/>
      <c r="Q58" s="12"/>
    </row>
    <row r="59" spans="1:17" ht="12.6" customHeight="1" x14ac:dyDescent="0.2">
      <c r="A59" s="237"/>
      <c r="B59" s="245"/>
      <c r="C59" s="247"/>
      <c r="D59" s="245"/>
      <c r="E59" s="77">
        <f>26.6+0.1</f>
        <v>26.700000000000003</v>
      </c>
      <c r="F59" s="77">
        <f>26.2+0.1</f>
        <v>26.3</v>
      </c>
      <c r="G59" s="113"/>
      <c r="H59" s="113"/>
      <c r="I59" s="113"/>
      <c r="J59" s="113"/>
      <c r="K59" s="113"/>
      <c r="L59" s="12"/>
      <c r="M59" s="12"/>
      <c r="N59" s="12"/>
      <c r="O59" s="12"/>
      <c r="P59" s="12"/>
      <c r="Q59" s="12"/>
    </row>
    <row r="60" spans="1:17" ht="12.6" customHeight="1" x14ac:dyDescent="0.2">
      <c r="A60" s="236">
        <v>27</v>
      </c>
      <c r="B60" s="244"/>
      <c r="C60" s="246" t="s">
        <v>44</v>
      </c>
      <c r="D60" s="244" t="s">
        <v>58</v>
      </c>
      <c r="E60" s="135">
        <v>33</v>
      </c>
      <c r="F60" s="135">
        <v>32.5</v>
      </c>
      <c r="G60" s="113"/>
      <c r="H60" s="113"/>
      <c r="I60" s="113"/>
      <c r="J60" s="113"/>
      <c r="K60" s="113"/>
      <c r="L60" s="12"/>
      <c r="M60" s="12"/>
      <c r="N60" s="12"/>
      <c r="O60" s="12"/>
      <c r="P60" s="12"/>
      <c r="Q60" s="12"/>
    </row>
    <row r="61" spans="1:17" ht="12.6" customHeight="1" x14ac:dyDescent="0.2">
      <c r="A61" s="237"/>
      <c r="B61" s="245"/>
      <c r="C61" s="247"/>
      <c r="D61" s="245"/>
      <c r="E61" s="77">
        <f>33-1.1</f>
        <v>31.9</v>
      </c>
      <c r="F61" s="77">
        <f>32.5-1.1</f>
        <v>31.4</v>
      </c>
      <c r="G61" s="113"/>
      <c r="H61" s="113"/>
      <c r="I61" s="113"/>
      <c r="J61" s="113"/>
      <c r="K61" s="113"/>
      <c r="L61" s="12"/>
      <c r="M61" s="12"/>
      <c r="N61" s="12"/>
      <c r="O61" s="12"/>
      <c r="P61" s="12"/>
      <c r="Q61" s="12"/>
    </row>
    <row r="62" spans="1:17" ht="12.6" customHeight="1" x14ac:dyDescent="0.2">
      <c r="A62" s="236">
        <v>28</v>
      </c>
      <c r="B62" s="244"/>
      <c r="C62" s="246" t="s">
        <v>212</v>
      </c>
      <c r="D62" s="244" t="s">
        <v>198</v>
      </c>
      <c r="E62" s="135">
        <v>757.4</v>
      </c>
      <c r="F62" s="135">
        <v>729.4</v>
      </c>
      <c r="G62" s="113"/>
      <c r="H62" s="113"/>
      <c r="I62" s="113"/>
      <c r="J62" s="113"/>
      <c r="K62" s="113"/>
      <c r="L62" s="12"/>
      <c r="M62" s="12"/>
      <c r="N62" s="12"/>
      <c r="O62" s="12"/>
      <c r="P62" s="12"/>
      <c r="Q62" s="12"/>
    </row>
    <row r="63" spans="1:17" ht="12.6" customHeight="1" x14ac:dyDescent="0.2">
      <c r="A63" s="237"/>
      <c r="B63" s="245"/>
      <c r="C63" s="247"/>
      <c r="D63" s="245"/>
      <c r="E63" s="77">
        <f>+E65+E67+E69+E71+E73</f>
        <v>393.9</v>
      </c>
      <c r="F63" s="77">
        <f>+F65+F67+F69+F71+F73</f>
        <v>380.70000000000005</v>
      </c>
      <c r="G63" s="113"/>
      <c r="H63" s="113"/>
      <c r="I63" s="113"/>
      <c r="J63" s="113"/>
      <c r="K63" s="113"/>
      <c r="L63" s="12"/>
      <c r="M63" s="12"/>
      <c r="N63" s="12"/>
      <c r="O63" s="12"/>
      <c r="P63" s="12"/>
      <c r="Q63" s="12"/>
    </row>
    <row r="64" spans="1:17" ht="12.75" customHeight="1" x14ac:dyDescent="0.2">
      <c r="A64" s="250" t="s">
        <v>370</v>
      </c>
      <c r="B64" s="244"/>
      <c r="C64" s="248" t="s">
        <v>284</v>
      </c>
      <c r="D64" s="244"/>
      <c r="E64" s="135">
        <v>233.9</v>
      </c>
      <c r="F64" s="135">
        <v>215.8</v>
      </c>
      <c r="G64" s="113"/>
      <c r="H64" s="113"/>
      <c r="I64" s="113"/>
      <c r="J64" s="113"/>
      <c r="K64" s="113"/>
      <c r="L64" s="12"/>
      <c r="M64" s="12"/>
      <c r="N64" s="12"/>
      <c r="O64" s="12"/>
      <c r="P64" s="12"/>
      <c r="Q64" s="12"/>
    </row>
    <row r="65" spans="1:17" ht="12.75" customHeight="1" x14ac:dyDescent="0.2">
      <c r="A65" s="251"/>
      <c r="B65" s="245"/>
      <c r="C65" s="249"/>
      <c r="D65" s="245"/>
      <c r="E65" s="77">
        <f>233.9-30.2</f>
        <v>203.70000000000002</v>
      </c>
      <c r="F65" s="77">
        <f>215.8-20</f>
        <v>195.8</v>
      </c>
      <c r="G65" s="113"/>
      <c r="H65" s="113"/>
      <c r="I65" s="113"/>
      <c r="J65" s="113"/>
      <c r="K65" s="113"/>
      <c r="L65" s="12"/>
      <c r="M65" s="12"/>
      <c r="N65" s="12"/>
      <c r="O65" s="12"/>
      <c r="P65" s="12"/>
      <c r="Q65" s="12"/>
    </row>
    <row r="66" spans="1:17" ht="13.5" customHeight="1" x14ac:dyDescent="0.2">
      <c r="A66" s="250" t="s">
        <v>371</v>
      </c>
      <c r="B66" s="244"/>
      <c r="C66" s="248" t="s">
        <v>283</v>
      </c>
      <c r="D66" s="244"/>
      <c r="E66" s="135">
        <v>9.6</v>
      </c>
      <c r="F66" s="135">
        <v>9.5</v>
      </c>
      <c r="G66" s="113"/>
      <c r="H66" s="113"/>
      <c r="I66" s="113"/>
      <c r="J66" s="113"/>
      <c r="K66" s="113"/>
      <c r="L66" s="12"/>
      <c r="M66" s="12"/>
      <c r="N66" s="12"/>
      <c r="O66" s="12"/>
      <c r="P66" s="12"/>
      <c r="Q66" s="12"/>
    </row>
    <row r="67" spans="1:17" ht="13.5" customHeight="1" x14ac:dyDescent="0.2">
      <c r="A67" s="251"/>
      <c r="B67" s="245"/>
      <c r="C67" s="249"/>
      <c r="D67" s="245"/>
      <c r="E67" s="77">
        <f>9.6-0.5</f>
        <v>9.1</v>
      </c>
      <c r="F67" s="77">
        <f>9.5-0.6</f>
        <v>8.9</v>
      </c>
      <c r="G67" s="113"/>
      <c r="H67" s="113"/>
      <c r="I67" s="113"/>
      <c r="J67" s="113"/>
      <c r="K67" s="113"/>
      <c r="L67" s="12"/>
      <c r="M67" s="12"/>
      <c r="N67" s="12"/>
      <c r="O67" s="12"/>
      <c r="P67" s="12"/>
      <c r="Q67" s="12"/>
    </row>
    <row r="68" spans="1:17" ht="12.6" customHeight="1" x14ac:dyDescent="0.2">
      <c r="A68" s="250" t="s">
        <v>372</v>
      </c>
      <c r="B68" s="244"/>
      <c r="C68" s="248" t="s">
        <v>285</v>
      </c>
      <c r="D68" s="244"/>
      <c r="E68" s="135">
        <v>116.8</v>
      </c>
      <c r="F68" s="135">
        <v>113.3</v>
      </c>
      <c r="G68" s="113"/>
      <c r="H68" s="113"/>
      <c r="I68" s="113"/>
      <c r="J68" s="113"/>
      <c r="K68" s="113"/>
      <c r="L68" s="12"/>
      <c r="M68" s="12"/>
      <c r="N68" s="12"/>
      <c r="O68" s="12"/>
      <c r="P68" s="12"/>
      <c r="Q68" s="12"/>
    </row>
    <row r="69" spans="1:17" ht="12.6" customHeight="1" x14ac:dyDescent="0.2">
      <c r="A69" s="251"/>
      <c r="B69" s="245"/>
      <c r="C69" s="249"/>
      <c r="D69" s="245"/>
      <c r="E69" s="77">
        <f>116.8+4.8</f>
        <v>121.6</v>
      </c>
      <c r="F69" s="77">
        <f>113.3+4.7</f>
        <v>118</v>
      </c>
      <c r="G69" s="113"/>
      <c r="H69" s="113"/>
      <c r="I69" s="113"/>
      <c r="J69" s="113"/>
      <c r="K69" s="113"/>
      <c r="L69" s="12"/>
      <c r="M69" s="12"/>
      <c r="N69" s="12"/>
      <c r="O69" s="12"/>
      <c r="P69" s="12"/>
      <c r="Q69" s="12"/>
    </row>
    <row r="70" spans="1:17" ht="12.6" customHeight="1" x14ac:dyDescent="0.2">
      <c r="A70" s="250" t="s">
        <v>373</v>
      </c>
      <c r="B70" s="244"/>
      <c r="C70" s="248" t="s">
        <v>286</v>
      </c>
      <c r="D70" s="244"/>
      <c r="E70" s="135">
        <v>65.099999999999994</v>
      </c>
      <c r="F70" s="135">
        <v>63.5</v>
      </c>
      <c r="G70" s="113"/>
      <c r="H70" s="113"/>
      <c r="I70" s="113"/>
      <c r="J70" s="113"/>
      <c r="K70" s="113"/>
      <c r="L70" s="12"/>
      <c r="M70" s="12"/>
      <c r="N70" s="12"/>
      <c r="O70" s="12"/>
      <c r="P70" s="12"/>
      <c r="Q70" s="12"/>
    </row>
    <row r="71" spans="1:17" ht="12.6" customHeight="1" x14ac:dyDescent="0.2">
      <c r="A71" s="251"/>
      <c r="B71" s="245"/>
      <c r="C71" s="249"/>
      <c r="D71" s="245"/>
      <c r="E71" s="77">
        <f>65.1-5.6</f>
        <v>59.499999999999993</v>
      </c>
      <c r="F71" s="77">
        <f>63.5-5.5</f>
        <v>58</v>
      </c>
      <c r="G71" s="113"/>
      <c r="H71" s="113"/>
      <c r="I71" s="113"/>
      <c r="J71" s="113"/>
      <c r="K71" s="113"/>
      <c r="L71" s="12"/>
      <c r="M71" s="12"/>
      <c r="N71" s="12"/>
      <c r="O71" s="12"/>
      <c r="P71" s="12"/>
      <c r="Q71" s="12"/>
    </row>
    <row r="72" spans="1:17" ht="12.6" customHeight="1" x14ac:dyDescent="0.2">
      <c r="A72" s="250" t="s">
        <v>374</v>
      </c>
      <c r="B72" s="244"/>
      <c r="C72" s="248" t="s">
        <v>375</v>
      </c>
      <c r="D72" s="244"/>
      <c r="E72" s="135">
        <v>332</v>
      </c>
      <c r="F72" s="135">
        <v>327.3</v>
      </c>
      <c r="G72" s="113"/>
      <c r="H72" s="113"/>
      <c r="I72" s="113"/>
      <c r="J72" s="113"/>
      <c r="K72" s="113"/>
      <c r="L72" s="12"/>
      <c r="M72" s="12"/>
      <c r="N72" s="12"/>
      <c r="O72" s="12"/>
      <c r="P72" s="12"/>
      <c r="Q72" s="12"/>
    </row>
    <row r="73" spans="1:17" ht="12.6" customHeight="1" x14ac:dyDescent="0.2">
      <c r="A73" s="251"/>
      <c r="B73" s="245"/>
      <c r="C73" s="249"/>
      <c r="D73" s="245"/>
      <c r="E73" s="77">
        <f>332-332</f>
        <v>0</v>
      </c>
      <c r="F73" s="77">
        <f>327.3-327.3</f>
        <v>0</v>
      </c>
      <c r="G73" s="113"/>
      <c r="H73" s="113"/>
      <c r="I73" s="113"/>
      <c r="J73" s="113"/>
      <c r="K73" s="113"/>
      <c r="L73" s="12"/>
      <c r="M73" s="12"/>
      <c r="N73" s="12"/>
      <c r="O73" s="12"/>
      <c r="P73" s="12"/>
      <c r="Q73" s="12"/>
    </row>
    <row r="74" spans="1:17" ht="12.6" customHeight="1" x14ac:dyDescent="0.2">
      <c r="A74" s="254">
        <v>29</v>
      </c>
      <c r="B74" s="244"/>
      <c r="C74" s="252" t="s">
        <v>15</v>
      </c>
      <c r="D74" s="244" t="s">
        <v>54</v>
      </c>
      <c r="E74" s="135">
        <v>160</v>
      </c>
      <c r="F74" s="135">
        <v>155.69999999999999</v>
      </c>
      <c r="G74" s="113"/>
      <c r="H74" s="113"/>
      <c r="I74" s="113"/>
      <c r="J74" s="113"/>
      <c r="K74" s="113"/>
      <c r="L74" s="12"/>
      <c r="M74" s="12"/>
      <c r="N74" s="12"/>
      <c r="O74" s="12"/>
      <c r="P74" s="12"/>
      <c r="Q74" s="12"/>
    </row>
    <row r="75" spans="1:17" ht="12.6" customHeight="1" x14ac:dyDescent="0.2">
      <c r="A75" s="255"/>
      <c r="B75" s="245"/>
      <c r="C75" s="253"/>
      <c r="D75" s="245"/>
      <c r="E75" s="77">
        <f>157.6+2.4+0.3</f>
        <v>160.30000000000001</v>
      </c>
      <c r="F75" s="77">
        <f>153.3+2.4+0.2</f>
        <v>155.9</v>
      </c>
      <c r="G75" s="113"/>
      <c r="H75" s="113"/>
      <c r="I75" s="113"/>
      <c r="J75" s="113"/>
      <c r="K75" s="113"/>
      <c r="L75" s="12"/>
      <c r="M75" s="12"/>
      <c r="N75" s="12"/>
      <c r="O75" s="12"/>
      <c r="P75" s="12"/>
      <c r="Q75" s="12"/>
    </row>
    <row r="76" spans="1:17" ht="12.6" customHeight="1" x14ac:dyDescent="0.2">
      <c r="A76" s="254">
        <v>30</v>
      </c>
      <c r="B76" s="244"/>
      <c r="C76" s="252" t="s">
        <v>213</v>
      </c>
      <c r="D76" s="244" t="s">
        <v>54</v>
      </c>
      <c r="E76" s="135">
        <v>101.2</v>
      </c>
      <c r="F76" s="135">
        <v>98.3</v>
      </c>
      <c r="G76" s="113"/>
      <c r="H76" s="113"/>
      <c r="I76" s="113"/>
      <c r="J76" s="113"/>
      <c r="K76" s="113"/>
      <c r="L76" s="12"/>
      <c r="M76" s="12"/>
      <c r="N76" s="12"/>
      <c r="O76" s="12"/>
      <c r="P76" s="12"/>
      <c r="Q76" s="12"/>
    </row>
    <row r="77" spans="1:17" ht="12.6" customHeight="1" x14ac:dyDescent="0.2">
      <c r="A77" s="255"/>
      <c r="B77" s="245"/>
      <c r="C77" s="253"/>
      <c r="D77" s="245"/>
      <c r="E77" s="77">
        <f>101.2+7.3</f>
        <v>108.5</v>
      </c>
      <c r="F77" s="77">
        <f>98.3+6.5</f>
        <v>104.8</v>
      </c>
      <c r="G77" s="113"/>
      <c r="H77" s="113"/>
      <c r="I77" s="113"/>
      <c r="J77" s="113"/>
      <c r="K77" s="113"/>
      <c r="L77" s="12"/>
      <c r="M77" s="12"/>
      <c r="N77" s="12"/>
      <c r="O77" s="12"/>
      <c r="P77" s="12"/>
      <c r="Q77" s="12"/>
    </row>
    <row r="78" spans="1:17" ht="25.5" x14ac:dyDescent="0.2">
      <c r="A78" s="61">
        <v>31</v>
      </c>
      <c r="B78" s="66" t="s">
        <v>228</v>
      </c>
      <c r="C78" s="138" t="s">
        <v>193</v>
      </c>
      <c r="D78" s="139"/>
      <c r="E78" s="140">
        <f>+E79</f>
        <v>688.4</v>
      </c>
      <c r="F78" s="140">
        <f>+F79</f>
        <v>590</v>
      </c>
      <c r="G78" s="115"/>
      <c r="H78" s="115"/>
      <c r="I78" s="113"/>
      <c r="J78" s="113"/>
      <c r="K78" s="113"/>
      <c r="L78" s="12"/>
      <c r="M78" s="12"/>
      <c r="N78" s="12"/>
      <c r="O78" s="12"/>
      <c r="P78" s="12"/>
      <c r="Q78" s="12"/>
    </row>
    <row r="79" spans="1:17" ht="12.6" customHeight="1" x14ac:dyDescent="0.2">
      <c r="A79" s="61">
        <v>32</v>
      </c>
      <c r="B79" s="62"/>
      <c r="C79" s="67" t="s">
        <v>287</v>
      </c>
      <c r="D79" s="68" t="s">
        <v>57</v>
      </c>
      <c r="E79" s="64">
        <v>688.4</v>
      </c>
      <c r="F79" s="64">
        <v>590</v>
      </c>
      <c r="G79" s="113"/>
      <c r="H79" s="113"/>
      <c r="I79" s="113"/>
      <c r="J79" s="113"/>
      <c r="K79" s="113"/>
      <c r="L79" s="12"/>
      <c r="M79" s="12"/>
      <c r="N79" s="12"/>
      <c r="O79" s="12"/>
      <c r="P79" s="12"/>
      <c r="Q79" s="12"/>
    </row>
    <row r="80" spans="1:17" ht="12" customHeight="1" x14ac:dyDescent="0.2">
      <c r="A80" s="236">
        <v>33</v>
      </c>
      <c r="B80" s="234" t="s">
        <v>72</v>
      </c>
      <c r="C80" s="258" t="s">
        <v>186</v>
      </c>
      <c r="D80" s="244"/>
      <c r="E80" s="273">
        <v>57.9</v>
      </c>
      <c r="F80" s="273">
        <v>57.1</v>
      </c>
      <c r="G80" s="113"/>
      <c r="H80" s="113"/>
      <c r="I80" s="113"/>
      <c r="J80" s="113"/>
      <c r="K80" s="113"/>
      <c r="L80" s="12"/>
      <c r="M80" s="12"/>
      <c r="N80" s="12"/>
      <c r="O80" s="12"/>
      <c r="P80" s="12"/>
      <c r="Q80" s="12"/>
    </row>
    <row r="81" spans="1:17" ht="12" customHeight="1" x14ac:dyDescent="0.2">
      <c r="A81" s="237"/>
      <c r="B81" s="235"/>
      <c r="C81" s="259"/>
      <c r="D81" s="245"/>
      <c r="E81" s="141">
        <v>58.6</v>
      </c>
      <c r="F81" s="141">
        <v>57.8</v>
      </c>
      <c r="G81" s="142"/>
      <c r="H81" s="113"/>
      <c r="I81" s="113"/>
      <c r="J81" s="113"/>
      <c r="K81" s="113"/>
      <c r="L81" s="12"/>
      <c r="M81" s="12"/>
      <c r="N81" s="12"/>
      <c r="O81" s="12"/>
      <c r="P81" s="12"/>
      <c r="Q81" s="12"/>
    </row>
    <row r="82" spans="1:17" ht="14.25" customHeight="1" x14ac:dyDescent="0.2">
      <c r="A82" s="236">
        <v>34</v>
      </c>
      <c r="B82" s="240" t="s">
        <v>231</v>
      </c>
      <c r="C82" s="238" t="s">
        <v>210</v>
      </c>
      <c r="D82" s="69"/>
      <c r="E82" s="143">
        <v>57.9</v>
      </c>
      <c r="F82" s="143">
        <v>57.1</v>
      </c>
      <c r="G82" s="142"/>
      <c r="H82" s="113"/>
      <c r="I82" s="113"/>
      <c r="J82" s="113"/>
      <c r="K82" s="113"/>
      <c r="L82" s="12"/>
      <c r="M82" s="12"/>
      <c r="N82" s="12"/>
      <c r="O82" s="12"/>
      <c r="P82" s="12"/>
      <c r="Q82" s="12"/>
    </row>
    <row r="83" spans="1:17" ht="14.25" customHeight="1" x14ac:dyDescent="0.2">
      <c r="A83" s="237"/>
      <c r="B83" s="241"/>
      <c r="C83" s="239"/>
      <c r="D83" s="92"/>
      <c r="E83" s="274">
        <v>58.6</v>
      </c>
      <c r="F83" s="274">
        <v>57.8</v>
      </c>
      <c r="G83" s="134"/>
      <c r="H83" s="113"/>
      <c r="I83" s="113"/>
      <c r="J83" s="113"/>
      <c r="K83" s="113"/>
      <c r="L83" s="12"/>
      <c r="M83" s="12"/>
      <c r="N83" s="12"/>
      <c r="O83" s="12"/>
      <c r="P83" s="12"/>
      <c r="Q83" s="12"/>
    </row>
    <row r="84" spans="1:17" ht="12.6" customHeight="1" x14ac:dyDescent="0.2">
      <c r="A84" s="236">
        <v>35</v>
      </c>
      <c r="B84" s="240"/>
      <c r="C84" s="246" t="s">
        <v>107</v>
      </c>
      <c r="D84" s="244" t="s">
        <v>58</v>
      </c>
      <c r="E84" s="135">
        <v>57.9</v>
      </c>
      <c r="F84" s="135">
        <v>57.1</v>
      </c>
      <c r="G84" s="134"/>
      <c r="H84" s="113"/>
      <c r="I84" s="113"/>
      <c r="J84" s="113"/>
      <c r="K84" s="113"/>
      <c r="L84" s="12"/>
      <c r="M84" s="12"/>
      <c r="N84" s="12"/>
      <c r="O84" s="12"/>
      <c r="P84" s="12"/>
      <c r="Q84" s="12"/>
    </row>
    <row r="85" spans="1:17" ht="12.6" customHeight="1" x14ac:dyDescent="0.2">
      <c r="A85" s="237"/>
      <c r="B85" s="241"/>
      <c r="C85" s="247"/>
      <c r="D85" s="245"/>
      <c r="E85" s="77">
        <f>57.9+0.7</f>
        <v>58.6</v>
      </c>
      <c r="F85" s="77">
        <f>57.1+0.7</f>
        <v>57.800000000000004</v>
      </c>
      <c r="G85" s="113"/>
      <c r="H85" s="113"/>
      <c r="I85" s="113"/>
      <c r="J85" s="113"/>
      <c r="K85" s="113"/>
      <c r="L85" s="12"/>
      <c r="M85" s="12"/>
      <c r="N85" s="12"/>
      <c r="O85" s="12"/>
      <c r="P85" s="12"/>
      <c r="Q85" s="12"/>
    </row>
    <row r="86" spans="1:17" ht="12.6" customHeight="1" x14ac:dyDescent="0.2">
      <c r="A86" s="236">
        <v>36</v>
      </c>
      <c r="B86" s="240"/>
      <c r="C86" s="256" t="s">
        <v>20</v>
      </c>
      <c r="D86" s="244"/>
      <c r="E86" s="273">
        <v>19423</v>
      </c>
      <c r="F86" s="273">
        <v>18687.400000000001</v>
      </c>
      <c r="G86" s="113"/>
      <c r="H86" s="113"/>
      <c r="I86" s="113"/>
      <c r="J86" s="113"/>
      <c r="K86" s="113"/>
      <c r="L86" s="12"/>
      <c r="M86" s="12"/>
      <c r="N86" s="12"/>
      <c r="O86" s="12"/>
      <c r="P86" s="12"/>
      <c r="Q86" s="12"/>
    </row>
    <row r="87" spans="1:17" ht="12.75" customHeight="1" x14ac:dyDescent="0.2">
      <c r="A87" s="237"/>
      <c r="B87" s="241"/>
      <c r="C87" s="257"/>
      <c r="D87" s="245"/>
      <c r="E87" s="84">
        <v>19631.599999999999</v>
      </c>
      <c r="F87" s="84">
        <v>18902.5</v>
      </c>
      <c r="G87" s="144"/>
      <c r="H87" s="144"/>
      <c r="I87" s="144"/>
      <c r="J87" s="113"/>
      <c r="K87" s="113"/>
      <c r="L87" s="12"/>
      <c r="M87" s="12"/>
      <c r="N87" s="12"/>
      <c r="O87" s="12"/>
      <c r="P87" s="12"/>
      <c r="Q87" s="12"/>
    </row>
    <row r="88" spans="1:17" ht="12.75" customHeight="1" x14ac:dyDescent="0.2">
      <c r="A88" s="47"/>
      <c r="B88" s="145"/>
      <c r="C88" s="146"/>
      <c r="D88" s="49"/>
      <c r="E88" s="147"/>
      <c r="F88" s="147"/>
      <c r="G88" s="144"/>
      <c r="H88" s="144"/>
      <c r="I88" s="144"/>
      <c r="J88" s="12"/>
      <c r="K88" s="12"/>
      <c r="L88" s="12"/>
      <c r="M88" s="12"/>
      <c r="N88" s="12"/>
      <c r="O88" s="12"/>
      <c r="P88" s="12"/>
      <c r="Q88" s="12"/>
    </row>
    <row r="89" spans="1:17" x14ac:dyDescent="0.2">
      <c r="C89" s="124" t="s">
        <v>108</v>
      </c>
      <c r="D89" s="49"/>
      <c r="E89" s="148"/>
      <c r="F89" s="148"/>
      <c r="G89" s="148"/>
      <c r="H89" s="148"/>
      <c r="I89" s="148"/>
    </row>
    <row r="90" spans="1:17" x14ac:dyDescent="0.2">
      <c r="D90" s="49"/>
      <c r="E90" s="148"/>
      <c r="F90" s="148"/>
      <c r="G90" s="148"/>
      <c r="H90" s="148"/>
      <c r="I90" s="148"/>
    </row>
    <row r="91" spans="1:17" x14ac:dyDescent="0.2">
      <c r="E91" s="148"/>
      <c r="F91" s="148"/>
      <c r="G91" s="148"/>
      <c r="H91" s="148"/>
      <c r="I91" s="148"/>
    </row>
    <row r="92" spans="1:17" x14ac:dyDescent="0.2">
      <c r="E92" s="148"/>
      <c r="F92" s="148"/>
      <c r="G92" s="148"/>
      <c r="H92" s="148"/>
      <c r="I92" s="148"/>
    </row>
    <row r="93" spans="1:17" x14ac:dyDescent="0.2">
      <c r="E93" s="106"/>
      <c r="F93" s="106"/>
      <c r="G93" s="116"/>
      <c r="H93" s="116"/>
      <c r="I93" s="116"/>
    </row>
    <row r="94" spans="1:17" x14ac:dyDescent="0.2">
      <c r="E94" s="116"/>
      <c r="F94" s="116"/>
      <c r="G94" s="116"/>
      <c r="H94" s="116"/>
      <c r="I94" s="116"/>
    </row>
    <row r="95" spans="1:17" x14ac:dyDescent="0.2">
      <c r="E95" s="116"/>
      <c r="F95" s="116"/>
      <c r="G95" s="116"/>
      <c r="H95" s="116"/>
      <c r="I95" s="116"/>
    </row>
    <row r="96" spans="1:17" x14ac:dyDescent="0.2">
      <c r="E96" s="116"/>
      <c r="F96" s="116"/>
      <c r="G96" s="116"/>
      <c r="H96" s="116"/>
      <c r="I96" s="116"/>
      <c r="J96" s="116"/>
      <c r="K96" s="116"/>
      <c r="L96" s="116"/>
      <c r="M96" s="116"/>
    </row>
    <row r="97" spans="3:9" x14ac:dyDescent="0.2">
      <c r="C97" s="9"/>
      <c r="E97" s="148"/>
      <c r="F97" s="148"/>
      <c r="G97" s="148"/>
      <c r="H97" s="148"/>
      <c r="I97" s="148"/>
    </row>
    <row r="98" spans="3:9" x14ac:dyDescent="0.2">
      <c r="E98" s="9"/>
      <c r="F98" s="9"/>
      <c r="G98" s="9"/>
      <c r="H98" s="9"/>
      <c r="I98" s="9"/>
    </row>
    <row r="99" spans="3:9" x14ac:dyDescent="0.2">
      <c r="C99" s="149"/>
      <c r="E99" s="116"/>
      <c r="F99" s="116"/>
      <c r="G99" s="116"/>
      <c r="H99" s="116"/>
      <c r="I99" s="116"/>
    </row>
    <row r="100" spans="3:9" x14ac:dyDescent="0.2">
      <c r="E100" s="116"/>
      <c r="F100" s="116"/>
      <c r="G100" s="116"/>
      <c r="H100" s="116"/>
      <c r="I100" s="116"/>
    </row>
    <row r="101" spans="3:9" x14ac:dyDescent="0.2">
      <c r="E101" s="9"/>
      <c r="F101" s="9"/>
      <c r="G101" s="9"/>
      <c r="H101" s="9"/>
      <c r="I101" s="9"/>
    </row>
    <row r="102" spans="3:9" x14ac:dyDescent="0.2">
      <c r="E102" s="116"/>
      <c r="F102" s="116"/>
      <c r="G102" s="116"/>
      <c r="H102" s="116"/>
      <c r="I102" s="116"/>
    </row>
    <row r="103" spans="3:9" x14ac:dyDescent="0.2">
      <c r="E103" s="9"/>
      <c r="F103" s="9"/>
      <c r="G103" s="9"/>
      <c r="H103" s="9"/>
      <c r="I103" s="9"/>
    </row>
    <row r="104" spans="3:9" x14ac:dyDescent="0.2">
      <c r="E104" s="9"/>
      <c r="F104" s="9"/>
      <c r="G104" s="9"/>
      <c r="H104" s="9"/>
      <c r="I104" s="9"/>
    </row>
  </sheetData>
  <mergeCells count="154">
    <mergeCell ref="A80:A81"/>
    <mergeCell ref="B86:B87"/>
    <mergeCell ref="A86:A87"/>
    <mergeCell ref="C86:C87"/>
    <mergeCell ref="D86:D87"/>
    <mergeCell ref="A82:A83"/>
    <mergeCell ref="D84:D85"/>
    <mergeCell ref="C84:C85"/>
    <mergeCell ref="B84:B85"/>
    <mergeCell ref="A84:A85"/>
    <mergeCell ref="D80:D81"/>
    <mergeCell ref="C80:C81"/>
    <mergeCell ref="B80:B81"/>
    <mergeCell ref="C82:C83"/>
    <mergeCell ref="B82:B83"/>
    <mergeCell ref="D74:D75"/>
    <mergeCell ref="C74:C75"/>
    <mergeCell ref="B74:B75"/>
    <mergeCell ref="A74:A75"/>
    <mergeCell ref="B76:B77"/>
    <mergeCell ref="A76:A77"/>
    <mergeCell ref="C76:C77"/>
    <mergeCell ref="D76:D77"/>
    <mergeCell ref="D70:D71"/>
    <mergeCell ref="C70:C71"/>
    <mergeCell ref="B70:B71"/>
    <mergeCell ref="A70:A71"/>
    <mergeCell ref="D72:D73"/>
    <mergeCell ref="C72:C73"/>
    <mergeCell ref="B72:B73"/>
    <mergeCell ref="A72:A73"/>
    <mergeCell ref="B66:B67"/>
    <mergeCell ref="A66:A67"/>
    <mergeCell ref="C66:C67"/>
    <mergeCell ref="D66:D67"/>
    <mergeCell ref="D68:D69"/>
    <mergeCell ref="C68:C69"/>
    <mergeCell ref="B68:B69"/>
    <mergeCell ref="A68:A69"/>
    <mergeCell ref="D62:D63"/>
    <mergeCell ref="C62:C63"/>
    <mergeCell ref="B62:B63"/>
    <mergeCell ref="A62:A63"/>
    <mergeCell ref="D64:D65"/>
    <mergeCell ref="C64:C65"/>
    <mergeCell ref="B64:B65"/>
    <mergeCell ref="A64:A65"/>
    <mergeCell ref="B58:B59"/>
    <mergeCell ref="A58:A59"/>
    <mergeCell ref="C58:C59"/>
    <mergeCell ref="D58:D59"/>
    <mergeCell ref="D60:D61"/>
    <mergeCell ref="C60:C61"/>
    <mergeCell ref="B60:B61"/>
    <mergeCell ref="A60:A61"/>
    <mergeCell ref="B54:B55"/>
    <mergeCell ref="A54:A55"/>
    <mergeCell ref="C54:C55"/>
    <mergeCell ref="D54:D55"/>
    <mergeCell ref="D56:D57"/>
    <mergeCell ref="C56:C57"/>
    <mergeCell ref="B56:B57"/>
    <mergeCell ref="A56:A57"/>
    <mergeCell ref="B49:B50"/>
    <mergeCell ref="A49:A50"/>
    <mergeCell ref="C49:C50"/>
    <mergeCell ref="D49:D50"/>
    <mergeCell ref="D52:D53"/>
    <mergeCell ref="C52:C53"/>
    <mergeCell ref="B52:B53"/>
    <mergeCell ref="A52:A53"/>
    <mergeCell ref="B45:B46"/>
    <mergeCell ref="A45:A46"/>
    <mergeCell ref="C45:C46"/>
    <mergeCell ref="D45:D46"/>
    <mergeCell ref="D47:D48"/>
    <mergeCell ref="C47:C48"/>
    <mergeCell ref="B47:B48"/>
    <mergeCell ref="A47:A48"/>
    <mergeCell ref="B41:B42"/>
    <mergeCell ref="A41:A42"/>
    <mergeCell ref="C41:C42"/>
    <mergeCell ref="D41:D42"/>
    <mergeCell ref="D43:D44"/>
    <mergeCell ref="C43:C44"/>
    <mergeCell ref="B43:B44"/>
    <mergeCell ref="A43:A44"/>
    <mergeCell ref="B37:B38"/>
    <mergeCell ref="A37:A38"/>
    <mergeCell ref="C37:C38"/>
    <mergeCell ref="D37:D38"/>
    <mergeCell ref="D39:D40"/>
    <mergeCell ref="C39:C40"/>
    <mergeCell ref="B39:B40"/>
    <mergeCell ref="A39:A40"/>
    <mergeCell ref="B33:B34"/>
    <mergeCell ref="A33:A34"/>
    <mergeCell ref="C33:C34"/>
    <mergeCell ref="D33:D34"/>
    <mergeCell ref="D35:D36"/>
    <mergeCell ref="C35:C36"/>
    <mergeCell ref="B35:B36"/>
    <mergeCell ref="A35:A36"/>
    <mergeCell ref="B29:B30"/>
    <mergeCell ref="A29:A30"/>
    <mergeCell ref="C29:C30"/>
    <mergeCell ref="D29:D30"/>
    <mergeCell ref="D31:D32"/>
    <mergeCell ref="C31:C32"/>
    <mergeCell ref="B31:B32"/>
    <mergeCell ref="A31:A32"/>
    <mergeCell ref="D25:D26"/>
    <mergeCell ref="C25:C26"/>
    <mergeCell ref="B25:B26"/>
    <mergeCell ref="A25:A26"/>
    <mergeCell ref="D27:D28"/>
    <mergeCell ref="C27:C28"/>
    <mergeCell ref="B27:B28"/>
    <mergeCell ref="A27:A28"/>
    <mergeCell ref="D21:D22"/>
    <mergeCell ref="C21:C22"/>
    <mergeCell ref="B21:B22"/>
    <mergeCell ref="A21:A22"/>
    <mergeCell ref="B23:B24"/>
    <mergeCell ref="A23:A24"/>
    <mergeCell ref="C23:C24"/>
    <mergeCell ref="D23:D24"/>
    <mergeCell ref="D17:D18"/>
    <mergeCell ref="C17:C18"/>
    <mergeCell ref="B17:B18"/>
    <mergeCell ref="A17:A18"/>
    <mergeCell ref="B19:B20"/>
    <mergeCell ref="A19:A20"/>
    <mergeCell ref="C19:C20"/>
    <mergeCell ref="D19:D20"/>
    <mergeCell ref="D13:D14"/>
    <mergeCell ref="C13:C14"/>
    <mergeCell ref="B13:B14"/>
    <mergeCell ref="A13:A14"/>
    <mergeCell ref="A15:A16"/>
    <mergeCell ref="B15:B16"/>
    <mergeCell ref="C15:C16"/>
    <mergeCell ref="D15:D16"/>
    <mergeCell ref="D9:D10"/>
    <mergeCell ref="C9:C10"/>
    <mergeCell ref="B9:B10"/>
    <mergeCell ref="A9:A10"/>
    <mergeCell ref="D11:D12"/>
    <mergeCell ref="C11:C12"/>
    <mergeCell ref="B11:B12"/>
    <mergeCell ref="A11:A12"/>
    <mergeCell ref="C1:F1"/>
    <mergeCell ref="E2:F2"/>
    <mergeCell ref="A4:F4"/>
  </mergeCells>
  <phoneticPr fontId="14" type="noConversion"/>
  <pageMargins left="0.59055118110236227" right="0" top="0.39370078740157483" bottom="0.39370078740157483" header="0.31496062992125984" footer="0.31496062992125984"/>
  <pageSetup paperSize="9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K153"/>
  <sheetViews>
    <sheetView zoomScaleNormal="100" workbookViewId="0">
      <selection activeCell="I126" sqref="I126"/>
    </sheetView>
  </sheetViews>
  <sheetFormatPr defaultColWidth="9.140625" defaultRowHeight="12.75" x14ac:dyDescent="0.2"/>
  <cols>
    <col min="1" max="1" width="4.7109375" style="9" customWidth="1"/>
    <col min="2" max="2" width="7" style="49" customWidth="1"/>
    <col min="3" max="3" width="48.140625" style="124" customWidth="1"/>
    <col min="4" max="4" width="10.5703125" style="48" customWidth="1"/>
    <col min="5" max="5" width="10.42578125" style="47" customWidth="1"/>
    <col min="6" max="6" width="11.28515625" style="47" customWidth="1"/>
    <col min="7" max="8" width="9.140625" style="12"/>
    <col min="9" max="16384" width="9.140625" style="2"/>
  </cols>
  <sheetData>
    <row r="1" spans="1:8" ht="15.75" x14ac:dyDescent="0.25">
      <c r="C1" s="242" t="s">
        <v>735</v>
      </c>
      <c r="D1" s="242"/>
      <c r="E1" s="242"/>
      <c r="F1" s="242"/>
    </row>
    <row r="2" spans="1:8" ht="15.75" x14ac:dyDescent="0.25">
      <c r="C2" s="122"/>
      <c r="D2" s="122"/>
      <c r="E2" s="199" t="s">
        <v>290</v>
      </c>
      <c r="F2" s="199"/>
    </row>
    <row r="3" spans="1:8" ht="15.75" x14ac:dyDescent="0.2">
      <c r="E3" s="50"/>
      <c r="F3" s="50"/>
    </row>
    <row r="4" spans="1:8" ht="35.25" customHeight="1" x14ac:dyDescent="0.2">
      <c r="A4" s="260" t="s">
        <v>364</v>
      </c>
      <c r="B4" s="260"/>
      <c r="C4" s="260"/>
      <c r="D4" s="260"/>
      <c r="E4" s="260"/>
      <c r="F4" s="260"/>
    </row>
    <row r="5" spans="1:8" x14ac:dyDescent="0.2">
      <c r="A5" s="131"/>
      <c r="B5" s="131"/>
      <c r="C5" s="131"/>
      <c r="D5" s="131"/>
      <c r="E5" s="131"/>
      <c r="F5" s="131"/>
    </row>
    <row r="6" spans="1:8" x14ac:dyDescent="0.2">
      <c r="A6" s="126"/>
      <c r="B6" s="127"/>
      <c r="C6" s="128"/>
      <c r="D6" s="129"/>
      <c r="E6" s="130"/>
      <c r="F6" s="53" t="s">
        <v>123</v>
      </c>
    </row>
    <row r="7" spans="1:8" ht="38.25" x14ac:dyDescent="0.2">
      <c r="A7" s="54" t="s">
        <v>112</v>
      </c>
      <c r="B7" s="55" t="s">
        <v>288</v>
      </c>
      <c r="C7" s="54" t="s">
        <v>16</v>
      </c>
      <c r="D7" s="55" t="s">
        <v>51</v>
      </c>
      <c r="E7" s="54" t="s">
        <v>17</v>
      </c>
      <c r="F7" s="54" t="s">
        <v>28</v>
      </c>
    </row>
    <row r="8" spans="1:8" s="44" customFormat="1" ht="12.75" customHeight="1" x14ac:dyDescent="0.2">
      <c r="A8" s="56">
        <v>1</v>
      </c>
      <c r="B8" s="57" t="s">
        <v>18</v>
      </c>
      <c r="C8" s="54">
        <v>3</v>
      </c>
      <c r="D8" s="55">
        <v>4</v>
      </c>
      <c r="E8" s="54">
        <v>5</v>
      </c>
      <c r="F8" s="54">
        <v>6</v>
      </c>
      <c r="G8" s="132"/>
      <c r="H8" s="132"/>
    </row>
    <row r="9" spans="1:8" s="44" customFormat="1" ht="12.75" customHeight="1" x14ac:dyDescent="0.2">
      <c r="A9" s="61">
        <v>1</v>
      </c>
      <c r="B9" s="57" t="s">
        <v>52</v>
      </c>
      <c r="C9" s="150" t="s">
        <v>53</v>
      </c>
      <c r="D9" s="54"/>
      <c r="E9" s="59">
        <v>835.2</v>
      </c>
      <c r="F9" s="59">
        <v>45</v>
      </c>
      <c r="G9" s="132"/>
      <c r="H9" s="132"/>
    </row>
    <row r="10" spans="1:8" s="44" customFormat="1" ht="12.75" customHeight="1" x14ac:dyDescent="0.2">
      <c r="A10" s="61">
        <v>2</v>
      </c>
      <c r="B10" s="66" t="s">
        <v>227</v>
      </c>
      <c r="C10" s="138" t="s">
        <v>551</v>
      </c>
      <c r="D10" s="82"/>
      <c r="E10" s="140">
        <f>+E11</f>
        <v>261.60000000000002</v>
      </c>
      <c r="F10" s="140">
        <f>+F11</f>
        <v>0</v>
      </c>
      <c r="G10" s="132"/>
      <c r="H10" s="12"/>
    </row>
    <row r="11" spans="1:8" s="44" customFormat="1" ht="12.75" customHeight="1" x14ac:dyDescent="0.2">
      <c r="A11" s="61">
        <v>3</v>
      </c>
      <c r="B11" s="62"/>
      <c r="C11" s="151" t="s">
        <v>195</v>
      </c>
      <c r="D11" s="66" t="s">
        <v>552</v>
      </c>
      <c r="E11" s="64">
        <f>253.8+7.8</f>
        <v>261.60000000000002</v>
      </c>
      <c r="F11" s="64"/>
      <c r="G11" s="132"/>
      <c r="H11" s="132"/>
    </row>
    <row r="12" spans="1:8" s="44" customFormat="1" ht="12.75" customHeight="1" x14ac:dyDescent="0.2">
      <c r="A12" s="61">
        <v>4</v>
      </c>
      <c r="B12" s="62" t="s">
        <v>228</v>
      </c>
      <c r="C12" s="138" t="s">
        <v>641</v>
      </c>
      <c r="D12" s="82"/>
      <c r="E12" s="140">
        <f>+E13</f>
        <v>484</v>
      </c>
      <c r="F12" s="140">
        <f>+F13</f>
        <v>0</v>
      </c>
      <c r="G12" s="132"/>
      <c r="H12" s="132"/>
    </row>
    <row r="13" spans="1:8" s="44" customFormat="1" ht="12.75" customHeight="1" x14ac:dyDescent="0.2">
      <c r="A13" s="61">
        <v>5</v>
      </c>
      <c r="B13" s="62"/>
      <c r="C13" s="65" t="s">
        <v>553</v>
      </c>
      <c r="D13" s="62"/>
      <c r="E13" s="64">
        <f>+E14</f>
        <v>484</v>
      </c>
      <c r="F13" s="64">
        <f>+F14</f>
        <v>0</v>
      </c>
      <c r="G13" s="132"/>
      <c r="H13" s="132"/>
    </row>
    <row r="14" spans="1:8" s="44" customFormat="1" ht="27" customHeight="1" x14ac:dyDescent="0.2">
      <c r="A14" s="61">
        <v>6</v>
      </c>
      <c r="B14" s="62"/>
      <c r="C14" s="151" t="s">
        <v>639</v>
      </c>
      <c r="D14" s="62" t="s">
        <v>56</v>
      </c>
      <c r="E14" s="64">
        <v>484</v>
      </c>
      <c r="F14" s="64"/>
      <c r="G14" s="132"/>
      <c r="H14" s="132"/>
    </row>
    <row r="15" spans="1:8" s="44" customFormat="1" ht="38.25" x14ac:dyDescent="0.2">
      <c r="A15" s="61">
        <v>7</v>
      </c>
      <c r="B15" s="62" t="s">
        <v>658</v>
      </c>
      <c r="C15" s="85" t="s">
        <v>657</v>
      </c>
      <c r="D15" s="62"/>
      <c r="E15" s="140">
        <f>SUM(E16:E32)</f>
        <v>75.999999999999986</v>
      </c>
      <c r="F15" s="140">
        <f>SUM(F16:F32)</f>
        <v>45</v>
      </c>
      <c r="G15" s="132"/>
      <c r="H15" s="132"/>
    </row>
    <row r="16" spans="1:8" s="44" customFormat="1" ht="12.75" customHeight="1" x14ac:dyDescent="0.2">
      <c r="A16" s="61">
        <v>8</v>
      </c>
      <c r="B16" s="62"/>
      <c r="C16" s="67" t="s">
        <v>159</v>
      </c>
      <c r="D16" s="62" t="s">
        <v>54</v>
      </c>
      <c r="E16" s="64">
        <f>1.9+1.8+3.2</f>
        <v>6.9</v>
      </c>
      <c r="F16" s="64">
        <f>0.3+0.2+0.5</f>
        <v>1</v>
      </c>
      <c r="G16" s="132"/>
      <c r="H16" s="132"/>
    </row>
    <row r="17" spans="1:10" s="44" customFormat="1" ht="12.75" customHeight="1" x14ac:dyDescent="0.2">
      <c r="A17" s="61">
        <v>9</v>
      </c>
      <c r="B17" s="62"/>
      <c r="C17" s="67" t="s">
        <v>150</v>
      </c>
      <c r="D17" s="62" t="s">
        <v>54</v>
      </c>
      <c r="E17" s="64">
        <f>0.7+0.7+1.4</f>
        <v>2.8</v>
      </c>
      <c r="F17" s="64">
        <f>0.1+0.1+0.2</f>
        <v>0.4</v>
      </c>
      <c r="G17" s="132"/>
      <c r="H17" s="132"/>
    </row>
    <row r="18" spans="1:10" s="44" customFormat="1" ht="12.75" customHeight="1" x14ac:dyDescent="0.2">
      <c r="A18" s="61">
        <v>10</v>
      </c>
      <c r="B18" s="62"/>
      <c r="C18" s="67" t="s">
        <v>151</v>
      </c>
      <c r="D18" s="62" t="s">
        <v>54</v>
      </c>
      <c r="E18" s="64">
        <f>0.7+0.5+3.3</f>
        <v>4.5</v>
      </c>
      <c r="F18" s="64">
        <f>0.1+0.1+1.5</f>
        <v>1.7</v>
      </c>
      <c r="G18" s="132"/>
      <c r="H18" s="132"/>
    </row>
    <row r="19" spans="1:10" s="44" customFormat="1" ht="12.75" customHeight="1" x14ac:dyDescent="0.2">
      <c r="A19" s="61">
        <v>11</v>
      </c>
      <c r="B19" s="62"/>
      <c r="C19" s="67" t="s">
        <v>152</v>
      </c>
      <c r="D19" s="62" t="s">
        <v>54</v>
      </c>
      <c r="E19" s="64">
        <f>1+1+2</f>
        <v>4</v>
      </c>
      <c r="F19" s="64">
        <f>0.4+0.4+0.8</f>
        <v>1.6</v>
      </c>
      <c r="G19" s="132"/>
      <c r="H19" s="132"/>
    </row>
    <row r="20" spans="1:10" s="44" customFormat="1" ht="12.75" customHeight="1" x14ac:dyDescent="0.2">
      <c r="A20" s="61">
        <v>12</v>
      </c>
      <c r="B20" s="62"/>
      <c r="C20" s="67" t="s">
        <v>153</v>
      </c>
      <c r="D20" s="62" t="s">
        <v>54</v>
      </c>
      <c r="E20" s="64">
        <f>2.6+2.6+5.2</f>
        <v>10.4</v>
      </c>
      <c r="F20" s="64">
        <f>1.4+1.3+2.8</f>
        <v>5.5</v>
      </c>
      <c r="G20" s="132"/>
      <c r="H20" s="132"/>
    </row>
    <row r="21" spans="1:10" s="44" customFormat="1" ht="12.75" customHeight="1" x14ac:dyDescent="0.2">
      <c r="A21" s="61">
        <v>13</v>
      </c>
      <c r="B21" s="62"/>
      <c r="C21" s="67" t="s">
        <v>154</v>
      </c>
      <c r="D21" s="62" t="s">
        <v>54</v>
      </c>
      <c r="E21" s="64">
        <f>0.7+1.2+3.3</f>
        <v>5.1999999999999993</v>
      </c>
      <c r="F21" s="64">
        <f>0.1+0.4+1.5</f>
        <v>2</v>
      </c>
      <c r="G21" s="132"/>
      <c r="H21" s="132"/>
    </row>
    <row r="22" spans="1:10" s="44" customFormat="1" ht="12.75" customHeight="1" x14ac:dyDescent="0.2">
      <c r="A22" s="61">
        <v>14</v>
      </c>
      <c r="B22" s="62"/>
      <c r="C22" s="67" t="s">
        <v>158</v>
      </c>
      <c r="D22" s="68" t="s">
        <v>56</v>
      </c>
      <c r="E22" s="64">
        <f>0.6+1.3+1.2</f>
        <v>3.0999999999999996</v>
      </c>
      <c r="F22" s="64">
        <f>0.6+1.2+1.2</f>
        <v>3</v>
      </c>
      <c r="G22" s="132"/>
      <c r="H22" s="132"/>
      <c r="J22" s="132"/>
    </row>
    <row r="23" spans="1:10" s="44" customFormat="1" ht="12.75" customHeight="1" x14ac:dyDescent="0.2">
      <c r="A23" s="61">
        <v>15</v>
      </c>
      <c r="B23" s="62"/>
      <c r="C23" s="152" t="s">
        <v>128</v>
      </c>
      <c r="D23" s="68" t="s">
        <v>56</v>
      </c>
      <c r="E23" s="64">
        <f>0.6+0.2+0.4</f>
        <v>1.2000000000000002</v>
      </c>
      <c r="F23" s="64">
        <f>0.3+0.1</f>
        <v>0.4</v>
      </c>
      <c r="G23" s="132"/>
      <c r="H23" s="132"/>
    </row>
    <row r="24" spans="1:10" s="44" customFormat="1" ht="12.75" customHeight="1" x14ac:dyDescent="0.2">
      <c r="A24" s="61">
        <v>16</v>
      </c>
      <c r="B24" s="62"/>
      <c r="C24" s="152" t="s">
        <v>129</v>
      </c>
      <c r="D24" s="68" t="s">
        <v>56</v>
      </c>
      <c r="E24" s="64">
        <f>0.2+0.1</f>
        <v>0.30000000000000004</v>
      </c>
      <c r="F24" s="64">
        <v>0.1</v>
      </c>
      <c r="G24" s="132"/>
      <c r="H24" s="132"/>
    </row>
    <row r="25" spans="1:10" s="44" customFormat="1" ht="12.75" customHeight="1" x14ac:dyDescent="0.2">
      <c r="A25" s="61">
        <v>17</v>
      </c>
      <c r="B25" s="62"/>
      <c r="C25" s="152" t="s">
        <v>36</v>
      </c>
      <c r="D25" s="68" t="s">
        <v>56</v>
      </c>
      <c r="E25" s="153">
        <f>0.4+0.3+1.7</f>
        <v>2.4</v>
      </c>
      <c r="F25" s="153">
        <f>0.1+0.7</f>
        <v>0.79999999999999993</v>
      </c>
      <c r="G25" s="132"/>
      <c r="H25" s="132"/>
    </row>
    <row r="26" spans="1:10" s="44" customFormat="1" ht="12.75" customHeight="1" x14ac:dyDescent="0.2">
      <c r="A26" s="61">
        <v>18</v>
      </c>
      <c r="B26" s="62"/>
      <c r="C26" s="67" t="s">
        <v>131</v>
      </c>
      <c r="D26" s="68" t="s">
        <v>56</v>
      </c>
      <c r="E26" s="153">
        <f>2.2+2.2+2.8</f>
        <v>7.2</v>
      </c>
      <c r="F26" s="153">
        <f>1.9+1.8+2.5</f>
        <v>6.2</v>
      </c>
      <c r="G26" s="132"/>
      <c r="H26" s="132"/>
    </row>
    <row r="27" spans="1:10" s="44" customFormat="1" ht="12.75" customHeight="1" x14ac:dyDescent="0.2">
      <c r="A27" s="61">
        <v>19</v>
      </c>
      <c r="B27" s="62"/>
      <c r="C27" s="152" t="s">
        <v>156</v>
      </c>
      <c r="D27" s="68" t="s">
        <v>57</v>
      </c>
      <c r="E27" s="153">
        <f>1.9+3.1+7.4</f>
        <v>12.4</v>
      </c>
      <c r="F27" s="153">
        <f>1.8+3.1+7.3</f>
        <v>12.2</v>
      </c>
      <c r="G27" s="132"/>
      <c r="H27" s="132"/>
    </row>
    <row r="28" spans="1:10" s="44" customFormat="1" ht="12.75" customHeight="1" x14ac:dyDescent="0.2">
      <c r="A28" s="61">
        <v>20</v>
      </c>
      <c r="B28" s="62"/>
      <c r="C28" s="67" t="s">
        <v>157</v>
      </c>
      <c r="D28" s="70" t="s">
        <v>197</v>
      </c>
      <c r="E28" s="153">
        <f>3.1+1.9+3.7</f>
        <v>8.6999999999999993</v>
      </c>
      <c r="F28" s="153">
        <f>3+1.9+3.7</f>
        <v>8.6000000000000014</v>
      </c>
      <c r="G28" s="132"/>
      <c r="H28" s="132"/>
    </row>
    <row r="29" spans="1:10" s="44" customFormat="1" ht="12.75" customHeight="1" x14ac:dyDescent="0.2">
      <c r="A29" s="61">
        <v>21</v>
      </c>
      <c r="B29" s="62"/>
      <c r="C29" s="152" t="s">
        <v>114</v>
      </c>
      <c r="D29" s="70" t="s">
        <v>197</v>
      </c>
      <c r="E29" s="153">
        <f>0.5+0.5+1.1</f>
        <v>2.1</v>
      </c>
      <c r="F29" s="153">
        <f>0.1+0.1+0.1</f>
        <v>0.30000000000000004</v>
      </c>
      <c r="G29" s="132"/>
      <c r="H29" s="132"/>
    </row>
    <row r="30" spans="1:10" s="44" customFormat="1" ht="12.75" customHeight="1" x14ac:dyDescent="0.2">
      <c r="A30" s="61">
        <v>22</v>
      </c>
      <c r="B30" s="62"/>
      <c r="C30" s="152" t="s">
        <v>130</v>
      </c>
      <c r="D30" s="68" t="s">
        <v>57</v>
      </c>
      <c r="E30" s="153">
        <f>0.7+0.7+1.4</f>
        <v>2.8</v>
      </c>
      <c r="F30" s="153">
        <f>0.1+0.1+0.2</f>
        <v>0.4</v>
      </c>
      <c r="G30" s="132"/>
      <c r="H30" s="132"/>
    </row>
    <row r="31" spans="1:10" s="44" customFormat="1" ht="12" customHeight="1" x14ac:dyDescent="0.2">
      <c r="A31" s="61">
        <v>23</v>
      </c>
      <c r="B31" s="62"/>
      <c r="C31" s="154" t="s">
        <v>15</v>
      </c>
      <c r="D31" s="62" t="s">
        <v>54</v>
      </c>
      <c r="E31" s="153">
        <f>0.4+0.3+0.7</f>
        <v>1.4</v>
      </c>
      <c r="F31" s="153">
        <f>0.1+0.1</f>
        <v>0.2</v>
      </c>
      <c r="G31" s="132"/>
      <c r="H31" s="132"/>
    </row>
    <row r="32" spans="1:10" s="44" customFormat="1" ht="12" customHeight="1" x14ac:dyDescent="0.2">
      <c r="A32" s="61">
        <v>24</v>
      </c>
      <c r="B32" s="62"/>
      <c r="C32" s="154" t="s">
        <v>213</v>
      </c>
      <c r="D32" s="62" t="s">
        <v>54</v>
      </c>
      <c r="E32" s="153">
        <f>0.3+0.3</f>
        <v>0.6</v>
      </c>
      <c r="F32" s="153">
        <f>0.3+0.3</f>
        <v>0.6</v>
      </c>
      <c r="G32" s="132"/>
      <c r="H32" s="132"/>
    </row>
    <row r="33" spans="1:11" s="44" customFormat="1" ht="38.25" x14ac:dyDescent="0.2">
      <c r="A33" s="61">
        <v>25</v>
      </c>
      <c r="B33" s="62" t="s">
        <v>662</v>
      </c>
      <c r="C33" s="155" t="s">
        <v>669</v>
      </c>
      <c r="D33" s="62"/>
      <c r="E33" s="156">
        <f>SUM(E35:E45)</f>
        <v>26.300000000000004</v>
      </c>
      <c r="F33" s="156">
        <f>SUM(F35:F45)</f>
        <v>0</v>
      </c>
      <c r="G33" s="132"/>
      <c r="H33" s="132"/>
    </row>
    <row r="34" spans="1:11" s="44" customFormat="1" x14ac:dyDescent="0.2">
      <c r="A34" s="261">
        <v>26</v>
      </c>
      <c r="B34" s="244"/>
      <c r="C34" s="248" t="s">
        <v>128</v>
      </c>
      <c r="D34" s="244" t="s">
        <v>56</v>
      </c>
      <c r="E34" s="157">
        <v>0.9</v>
      </c>
      <c r="F34" s="156"/>
      <c r="G34" s="132"/>
      <c r="H34" s="132"/>
      <c r="K34" s="132"/>
    </row>
    <row r="35" spans="1:11" s="44" customFormat="1" ht="12" customHeight="1" x14ac:dyDescent="0.2">
      <c r="A35" s="262"/>
      <c r="B35" s="245"/>
      <c r="C35" s="249"/>
      <c r="D35" s="245"/>
      <c r="E35" s="275">
        <f>0.9+0.5</f>
        <v>1.4</v>
      </c>
      <c r="F35" s="158">
        <f>0.9-0.9</f>
        <v>0</v>
      </c>
      <c r="G35" s="132"/>
      <c r="H35" s="132"/>
      <c r="K35" s="132"/>
    </row>
    <row r="36" spans="1:11" s="44" customFormat="1" ht="12" customHeight="1" x14ac:dyDescent="0.2">
      <c r="A36" s="261">
        <v>27</v>
      </c>
      <c r="B36" s="244"/>
      <c r="C36" s="248" t="s">
        <v>36</v>
      </c>
      <c r="D36" s="244" t="s">
        <v>56</v>
      </c>
      <c r="E36" s="157">
        <v>1.8</v>
      </c>
      <c r="F36" s="158"/>
      <c r="G36" s="132"/>
      <c r="H36" s="132"/>
      <c r="K36" s="132"/>
    </row>
    <row r="37" spans="1:11" s="44" customFormat="1" ht="12" customHeight="1" x14ac:dyDescent="0.2">
      <c r="A37" s="262"/>
      <c r="B37" s="245"/>
      <c r="C37" s="249"/>
      <c r="D37" s="245"/>
      <c r="E37" s="275">
        <f>1.8-1.8</f>
        <v>0</v>
      </c>
      <c r="F37" s="158">
        <f>1.8-1.8</f>
        <v>0</v>
      </c>
      <c r="G37" s="132"/>
      <c r="H37" s="132"/>
      <c r="K37" s="132"/>
    </row>
    <row r="38" spans="1:11" s="44" customFormat="1" ht="12" customHeight="1" x14ac:dyDescent="0.2">
      <c r="A38" s="261">
        <v>28</v>
      </c>
      <c r="B38" s="244"/>
      <c r="C38" s="246" t="s">
        <v>157</v>
      </c>
      <c r="D38" s="159"/>
      <c r="E38" s="157">
        <v>3.2</v>
      </c>
      <c r="F38" s="158"/>
      <c r="G38" s="132"/>
      <c r="H38" s="132"/>
      <c r="K38" s="132"/>
    </row>
    <row r="39" spans="1:11" s="44" customFormat="1" ht="12" customHeight="1" x14ac:dyDescent="0.2">
      <c r="A39" s="262"/>
      <c r="B39" s="245"/>
      <c r="C39" s="247"/>
      <c r="D39" s="159" t="s">
        <v>57</v>
      </c>
      <c r="E39" s="275">
        <f>3.2+2</f>
        <v>5.2</v>
      </c>
      <c r="F39" s="158">
        <f>3.1-3.1</f>
        <v>0</v>
      </c>
      <c r="G39" s="132"/>
      <c r="H39" s="132"/>
      <c r="K39" s="132"/>
    </row>
    <row r="40" spans="1:11" s="44" customFormat="1" ht="12" customHeight="1" x14ac:dyDescent="0.2">
      <c r="A40" s="261">
        <v>29</v>
      </c>
      <c r="B40" s="244"/>
      <c r="C40" s="248" t="s">
        <v>37</v>
      </c>
      <c r="D40" s="244" t="s">
        <v>57</v>
      </c>
      <c r="E40" s="157">
        <v>2.1</v>
      </c>
      <c r="F40" s="158"/>
      <c r="G40" s="132"/>
      <c r="H40" s="132"/>
      <c r="K40" s="132"/>
    </row>
    <row r="41" spans="1:11" x14ac:dyDescent="0.2">
      <c r="A41" s="262"/>
      <c r="B41" s="245"/>
      <c r="C41" s="249"/>
      <c r="D41" s="245"/>
      <c r="E41" s="276">
        <f>2.1-2.1</f>
        <v>0</v>
      </c>
      <c r="F41" s="160">
        <f>2.1-2.1</f>
        <v>0</v>
      </c>
      <c r="G41" s="132"/>
      <c r="H41" s="132"/>
      <c r="K41" s="132"/>
    </row>
    <row r="42" spans="1:11" x14ac:dyDescent="0.2">
      <c r="A42" s="261">
        <v>30</v>
      </c>
      <c r="B42" s="244"/>
      <c r="C42" s="248" t="s">
        <v>38</v>
      </c>
      <c r="D42" s="244" t="s">
        <v>57</v>
      </c>
      <c r="E42" s="157">
        <v>1.8</v>
      </c>
      <c r="F42" s="160"/>
      <c r="G42" s="132"/>
      <c r="H42" s="132"/>
      <c r="K42" s="132"/>
    </row>
    <row r="43" spans="1:11" s="44" customFormat="1" ht="12" customHeight="1" x14ac:dyDescent="0.2">
      <c r="A43" s="262"/>
      <c r="B43" s="245"/>
      <c r="C43" s="249"/>
      <c r="D43" s="245"/>
      <c r="E43" s="275">
        <f>1.8+1.1</f>
        <v>2.9000000000000004</v>
      </c>
      <c r="F43" s="158">
        <f>1.7-1.7</f>
        <v>0</v>
      </c>
      <c r="G43" s="132"/>
      <c r="H43" s="132"/>
      <c r="K43" s="132"/>
    </row>
    <row r="44" spans="1:11" s="44" customFormat="1" ht="12" customHeight="1" x14ac:dyDescent="0.2">
      <c r="A44" s="261">
        <v>31</v>
      </c>
      <c r="B44" s="244"/>
      <c r="C44" s="248" t="s">
        <v>106</v>
      </c>
      <c r="D44" s="240" t="s">
        <v>281</v>
      </c>
      <c r="E44" s="157">
        <v>3.8</v>
      </c>
      <c r="F44" s="158"/>
      <c r="G44" s="132"/>
      <c r="H44" s="132"/>
      <c r="K44" s="132"/>
    </row>
    <row r="45" spans="1:11" s="44" customFormat="1" ht="56.25" customHeight="1" x14ac:dyDescent="0.2">
      <c r="A45" s="262"/>
      <c r="B45" s="245"/>
      <c r="C45" s="249"/>
      <c r="D45" s="241"/>
      <c r="E45" s="275">
        <f>3.8+0.3</f>
        <v>4.0999999999999996</v>
      </c>
      <c r="F45" s="158">
        <f>3.7-3.7</f>
        <v>0</v>
      </c>
      <c r="G45" s="132"/>
      <c r="H45" s="132"/>
      <c r="K45" s="132"/>
    </row>
    <row r="46" spans="1:11" s="44" customFormat="1" ht="24" customHeight="1" x14ac:dyDescent="0.2">
      <c r="A46" s="236">
        <v>32</v>
      </c>
      <c r="B46" s="234" t="s">
        <v>21</v>
      </c>
      <c r="C46" s="258" t="s">
        <v>22</v>
      </c>
      <c r="D46" s="240"/>
      <c r="E46" s="277">
        <v>2499.3000000000002</v>
      </c>
      <c r="F46" s="158"/>
      <c r="G46" s="132"/>
      <c r="H46" s="132"/>
      <c r="K46" s="132"/>
    </row>
    <row r="47" spans="1:11" ht="18" customHeight="1" x14ac:dyDescent="0.2">
      <c r="A47" s="237"/>
      <c r="B47" s="235"/>
      <c r="C47" s="259"/>
      <c r="D47" s="241"/>
      <c r="E47" s="84">
        <v>2526.4</v>
      </c>
      <c r="F47" s="84">
        <f>+F48+F50+F52+F54+F56+F58+F61+F64+F66+F68+F73+F75+F81+F83+F85+F87</f>
        <v>196.10000000000002</v>
      </c>
      <c r="I47" s="11"/>
    </row>
    <row r="48" spans="1:11" ht="25.5" x14ac:dyDescent="0.2">
      <c r="A48" s="61">
        <v>33</v>
      </c>
      <c r="B48" s="62" t="s">
        <v>199</v>
      </c>
      <c r="C48" s="138" t="s">
        <v>410</v>
      </c>
      <c r="D48" s="66"/>
      <c r="E48" s="140">
        <f>+E49</f>
        <v>24.7</v>
      </c>
      <c r="F48" s="140">
        <f>+F49</f>
        <v>21.400000000000002</v>
      </c>
    </row>
    <row r="49" spans="1:10" x14ac:dyDescent="0.2">
      <c r="A49" s="61">
        <v>34</v>
      </c>
      <c r="B49" s="62"/>
      <c r="C49" s="161" t="s">
        <v>141</v>
      </c>
      <c r="D49" s="66" t="s">
        <v>23</v>
      </c>
      <c r="E49" s="64">
        <v>24.7</v>
      </c>
      <c r="F49" s="64">
        <f>24.3-2.9</f>
        <v>21.400000000000002</v>
      </c>
    </row>
    <row r="50" spans="1:10" ht="25.5" x14ac:dyDescent="0.2">
      <c r="A50" s="61">
        <v>35</v>
      </c>
      <c r="B50" s="62" t="s">
        <v>200</v>
      </c>
      <c r="C50" s="138" t="s">
        <v>498</v>
      </c>
      <c r="D50" s="66"/>
      <c r="E50" s="140">
        <f>+E51</f>
        <v>160.69999999999999</v>
      </c>
      <c r="F50" s="140">
        <f>+F51</f>
        <v>3.1</v>
      </c>
    </row>
    <row r="51" spans="1:10" x14ac:dyDescent="0.2">
      <c r="A51" s="61">
        <v>36</v>
      </c>
      <c r="B51" s="62"/>
      <c r="C51" s="161" t="s">
        <v>3</v>
      </c>
      <c r="D51" s="66" t="s">
        <v>23</v>
      </c>
      <c r="E51" s="64">
        <v>160.69999999999999</v>
      </c>
      <c r="F51" s="64">
        <v>3.1</v>
      </c>
    </row>
    <row r="52" spans="1:10" ht="38.25" x14ac:dyDescent="0.2">
      <c r="A52" s="61">
        <v>37</v>
      </c>
      <c r="B52" s="62" t="s">
        <v>201</v>
      </c>
      <c r="C52" s="85" t="s">
        <v>497</v>
      </c>
      <c r="D52" s="162"/>
      <c r="E52" s="140">
        <f>+E53</f>
        <v>93.699999999999989</v>
      </c>
      <c r="F52" s="140">
        <f>+F53</f>
        <v>2.7</v>
      </c>
    </row>
    <row r="53" spans="1:10" x14ac:dyDescent="0.2">
      <c r="A53" s="61">
        <v>38</v>
      </c>
      <c r="B53" s="62"/>
      <c r="C53" s="161" t="s">
        <v>3</v>
      </c>
      <c r="D53" s="66" t="s">
        <v>479</v>
      </c>
      <c r="E53" s="64">
        <f>102.6-8.9</f>
        <v>93.699999999999989</v>
      </c>
      <c r="F53" s="64">
        <f>3-0.3</f>
        <v>2.7</v>
      </c>
    </row>
    <row r="54" spans="1:10" ht="25.5" x14ac:dyDescent="0.2">
      <c r="A54" s="61">
        <v>39</v>
      </c>
      <c r="B54" s="62" t="s">
        <v>202</v>
      </c>
      <c r="C54" s="85" t="s">
        <v>516</v>
      </c>
      <c r="D54" s="162"/>
      <c r="E54" s="140">
        <f>+E55</f>
        <v>67.700000000000017</v>
      </c>
      <c r="F54" s="140">
        <f>+F55</f>
        <v>1.3</v>
      </c>
    </row>
    <row r="55" spans="1:10" x14ac:dyDescent="0.2">
      <c r="A55" s="61">
        <v>40</v>
      </c>
      <c r="B55" s="62"/>
      <c r="C55" s="65" t="s">
        <v>3</v>
      </c>
      <c r="D55" s="66" t="s">
        <v>479</v>
      </c>
      <c r="E55" s="64">
        <f>132.8-65.1</f>
        <v>67.700000000000017</v>
      </c>
      <c r="F55" s="64">
        <f>2.6-1.3</f>
        <v>1.3</v>
      </c>
    </row>
    <row r="56" spans="1:10" ht="25.5" x14ac:dyDescent="0.2">
      <c r="A56" s="61">
        <v>41</v>
      </c>
      <c r="B56" s="62" t="s">
        <v>203</v>
      </c>
      <c r="C56" s="85" t="s">
        <v>517</v>
      </c>
      <c r="D56" s="162"/>
      <c r="E56" s="140">
        <f>+E57</f>
        <v>0.7</v>
      </c>
      <c r="F56" s="140">
        <f>+F57</f>
        <v>0</v>
      </c>
    </row>
    <row r="57" spans="1:10" x14ac:dyDescent="0.2">
      <c r="A57" s="61">
        <v>42</v>
      </c>
      <c r="B57" s="62"/>
      <c r="C57" s="65" t="s">
        <v>3</v>
      </c>
      <c r="D57" s="66" t="s">
        <v>479</v>
      </c>
      <c r="E57" s="64">
        <v>0.7</v>
      </c>
      <c r="F57" s="64"/>
    </row>
    <row r="58" spans="1:10" ht="63.75" x14ac:dyDescent="0.2">
      <c r="A58" s="61">
        <v>43</v>
      </c>
      <c r="B58" s="62" t="s">
        <v>357</v>
      </c>
      <c r="C58" s="85" t="s">
        <v>527</v>
      </c>
      <c r="D58" s="162"/>
      <c r="E58" s="140">
        <f>+E59</f>
        <v>2.6</v>
      </c>
      <c r="F58" s="140">
        <f>+F59</f>
        <v>0</v>
      </c>
    </row>
    <row r="59" spans="1:10" x14ac:dyDescent="0.2">
      <c r="A59" s="61">
        <v>44</v>
      </c>
      <c r="B59" s="62"/>
      <c r="C59" s="65" t="s">
        <v>3</v>
      </c>
      <c r="D59" s="66" t="s">
        <v>479</v>
      </c>
      <c r="E59" s="64">
        <f>0.6+1+1</f>
        <v>2.6</v>
      </c>
      <c r="F59" s="64"/>
      <c r="I59" s="12"/>
    </row>
    <row r="60" spans="1:10" ht="17.25" customHeight="1" x14ac:dyDescent="0.2">
      <c r="A60" s="236">
        <v>45</v>
      </c>
      <c r="B60" s="244" t="s">
        <v>489</v>
      </c>
      <c r="C60" s="263" t="s">
        <v>546</v>
      </c>
      <c r="D60" s="240"/>
      <c r="E60" s="72">
        <v>200.4</v>
      </c>
      <c r="F60" s="64"/>
      <c r="I60" s="12"/>
    </row>
    <row r="61" spans="1:10" ht="17.25" customHeight="1" x14ac:dyDescent="0.2">
      <c r="A61" s="237"/>
      <c r="B61" s="245"/>
      <c r="C61" s="264"/>
      <c r="D61" s="241"/>
      <c r="E61" s="278">
        <v>227.5</v>
      </c>
      <c r="F61" s="140">
        <f>+F63</f>
        <v>3.8000000000000003</v>
      </c>
      <c r="G61" s="2"/>
      <c r="H61" s="2"/>
    </row>
    <row r="62" spans="1:10" x14ac:dyDescent="0.2">
      <c r="A62" s="236">
        <v>46</v>
      </c>
      <c r="B62" s="244"/>
      <c r="C62" s="248" t="s">
        <v>3</v>
      </c>
      <c r="D62" s="240" t="s">
        <v>479</v>
      </c>
      <c r="E62" s="72">
        <v>200.4</v>
      </c>
      <c r="F62" s="140"/>
      <c r="G62" s="2"/>
      <c r="H62" s="2"/>
    </row>
    <row r="63" spans="1:10" x14ac:dyDescent="0.2">
      <c r="A63" s="237"/>
      <c r="B63" s="245"/>
      <c r="C63" s="249"/>
      <c r="D63" s="241"/>
      <c r="E63" s="77">
        <v>227.5</v>
      </c>
      <c r="F63" s="64">
        <f>0.5+0.3+0.3+0.3+0.5+0.5+0.4+0.5+0.5</f>
        <v>3.8000000000000003</v>
      </c>
      <c r="J63" s="12"/>
    </row>
    <row r="64" spans="1:10" ht="25.5" x14ac:dyDescent="0.2">
      <c r="A64" s="61">
        <v>47</v>
      </c>
      <c r="B64" s="62" t="s">
        <v>633</v>
      </c>
      <c r="C64" s="85" t="s">
        <v>630</v>
      </c>
      <c r="D64" s="66"/>
      <c r="E64" s="64">
        <f>+E65</f>
        <v>0.1</v>
      </c>
      <c r="F64" s="64">
        <f>+F65</f>
        <v>0</v>
      </c>
    </row>
    <row r="65" spans="1:11" x14ac:dyDescent="0.2">
      <c r="A65" s="61">
        <v>48</v>
      </c>
      <c r="B65" s="62"/>
      <c r="C65" s="65" t="s">
        <v>3</v>
      </c>
      <c r="D65" s="66" t="s">
        <v>479</v>
      </c>
      <c r="E65" s="64">
        <v>0.1</v>
      </c>
      <c r="F65" s="64"/>
    </row>
    <row r="66" spans="1:11" ht="25.5" x14ac:dyDescent="0.2">
      <c r="A66" s="61">
        <v>49</v>
      </c>
      <c r="B66" s="62" t="s">
        <v>634</v>
      </c>
      <c r="C66" s="85" t="s">
        <v>632</v>
      </c>
      <c r="D66" s="66"/>
      <c r="E66" s="64">
        <f>+E67</f>
        <v>28.7</v>
      </c>
      <c r="F66" s="64">
        <f>+F67</f>
        <v>1.1000000000000001</v>
      </c>
    </row>
    <row r="67" spans="1:11" x14ac:dyDescent="0.2">
      <c r="A67" s="61">
        <v>50</v>
      </c>
      <c r="B67" s="62"/>
      <c r="C67" s="65" t="s">
        <v>553</v>
      </c>
      <c r="D67" s="66" t="s">
        <v>479</v>
      </c>
      <c r="E67" s="64">
        <v>28.7</v>
      </c>
      <c r="F67" s="64">
        <v>1.1000000000000001</v>
      </c>
    </row>
    <row r="68" spans="1:11" ht="25.5" x14ac:dyDescent="0.2">
      <c r="A68" s="61">
        <v>51</v>
      </c>
      <c r="B68" s="62" t="s">
        <v>637</v>
      </c>
      <c r="C68" s="138" t="s">
        <v>638</v>
      </c>
      <c r="D68" s="162"/>
      <c r="E68" s="140">
        <f>SUM(E69:E72)</f>
        <v>18</v>
      </c>
      <c r="F68" s="140">
        <f>SUM(F69:F72)</f>
        <v>17.600000000000001</v>
      </c>
    </row>
    <row r="69" spans="1:11" ht="38.25" x14ac:dyDescent="0.2">
      <c r="A69" s="61">
        <v>52</v>
      </c>
      <c r="B69" s="62"/>
      <c r="C69" s="73" t="s">
        <v>1</v>
      </c>
      <c r="D69" s="66" t="s">
        <v>66</v>
      </c>
      <c r="E69" s="64">
        <v>5.2</v>
      </c>
      <c r="F69" s="64">
        <v>5</v>
      </c>
    </row>
    <row r="70" spans="1:11" x14ac:dyDescent="0.2">
      <c r="A70" s="61">
        <v>53</v>
      </c>
      <c r="B70" s="62"/>
      <c r="C70" s="78" t="s">
        <v>2</v>
      </c>
      <c r="D70" s="91" t="s">
        <v>67</v>
      </c>
      <c r="E70" s="64">
        <v>4.5</v>
      </c>
      <c r="F70" s="64">
        <v>4.4000000000000004</v>
      </c>
    </row>
    <row r="71" spans="1:11" x14ac:dyDescent="0.2">
      <c r="A71" s="61">
        <v>54</v>
      </c>
      <c r="B71" s="62"/>
      <c r="C71" s="96" t="s">
        <v>15</v>
      </c>
      <c r="D71" s="66" t="s">
        <v>99</v>
      </c>
      <c r="E71" s="64">
        <v>2.1</v>
      </c>
      <c r="F71" s="64">
        <v>2.1</v>
      </c>
    </row>
    <row r="72" spans="1:11" x14ac:dyDescent="0.2">
      <c r="A72" s="61">
        <v>55</v>
      </c>
      <c r="B72" s="62"/>
      <c r="C72" s="78" t="s">
        <v>141</v>
      </c>
      <c r="D72" s="66" t="s">
        <v>23</v>
      </c>
      <c r="E72" s="64">
        <v>6.2</v>
      </c>
      <c r="F72" s="64">
        <v>6.1</v>
      </c>
    </row>
    <row r="73" spans="1:11" ht="38.25" x14ac:dyDescent="0.2">
      <c r="A73" s="61">
        <v>56</v>
      </c>
      <c r="B73" s="62" t="s">
        <v>678</v>
      </c>
      <c r="C73" s="163" t="s">
        <v>664</v>
      </c>
      <c r="D73" s="66"/>
      <c r="E73" s="140">
        <f>+E74</f>
        <v>1639.3</v>
      </c>
      <c r="F73" s="140">
        <f>+F74</f>
        <v>0</v>
      </c>
      <c r="G73" s="2"/>
      <c r="J73" s="12"/>
    </row>
    <row r="74" spans="1:11" x14ac:dyDescent="0.2">
      <c r="A74" s="61">
        <v>57</v>
      </c>
      <c r="B74" s="62"/>
      <c r="C74" s="65" t="s">
        <v>3</v>
      </c>
      <c r="D74" s="66" t="s">
        <v>479</v>
      </c>
      <c r="E74" s="64">
        <v>1639.3</v>
      </c>
      <c r="F74" s="64"/>
      <c r="G74" s="2"/>
      <c r="J74" s="12"/>
    </row>
    <row r="75" spans="1:11" ht="38.25" x14ac:dyDescent="0.2">
      <c r="A75" s="61">
        <v>58</v>
      </c>
      <c r="B75" s="62" t="s">
        <v>696</v>
      </c>
      <c r="C75" s="85" t="s">
        <v>699</v>
      </c>
      <c r="D75" s="162"/>
      <c r="E75" s="64">
        <f>SUM(E76:E80)</f>
        <v>147.20000000000002</v>
      </c>
      <c r="F75" s="64">
        <f>SUM(F76:F80)</f>
        <v>145.10000000000002</v>
      </c>
      <c r="G75" s="2"/>
      <c r="J75" s="12"/>
      <c r="K75" s="164"/>
    </row>
    <row r="76" spans="1:11" ht="38.25" x14ac:dyDescent="0.2">
      <c r="A76" s="61">
        <v>59</v>
      </c>
      <c r="B76" s="62"/>
      <c r="C76" s="63" t="s">
        <v>1</v>
      </c>
      <c r="D76" s="66" t="s">
        <v>66</v>
      </c>
      <c r="E76" s="64">
        <v>60.9</v>
      </c>
      <c r="F76" s="64">
        <v>60</v>
      </c>
      <c r="G76" s="2"/>
      <c r="J76" s="12"/>
    </row>
    <row r="77" spans="1:11" x14ac:dyDescent="0.2">
      <c r="A77" s="61">
        <v>60</v>
      </c>
      <c r="B77" s="62"/>
      <c r="C77" s="90" t="s">
        <v>2</v>
      </c>
      <c r="D77" s="66" t="s">
        <v>67</v>
      </c>
      <c r="E77" s="64">
        <v>7</v>
      </c>
      <c r="F77" s="64">
        <v>6.9</v>
      </c>
      <c r="J77" s="12"/>
    </row>
    <row r="78" spans="1:11" x14ac:dyDescent="0.2">
      <c r="A78" s="61">
        <v>61</v>
      </c>
      <c r="B78" s="62"/>
      <c r="C78" s="96" t="s">
        <v>15</v>
      </c>
      <c r="D78" s="66" t="s">
        <v>99</v>
      </c>
      <c r="E78" s="64">
        <v>12.7</v>
      </c>
      <c r="F78" s="64">
        <v>12.5</v>
      </c>
      <c r="G78" s="2"/>
      <c r="J78" s="12"/>
    </row>
    <row r="79" spans="1:11" x14ac:dyDescent="0.2">
      <c r="A79" s="61">
        <v>62</v>
      </c>
      <c r="B79" s="62"/>
      <c r="C79" s="96" t="s">
        <v>19</v>
      </c>
      <c r="D79" s="66" t="s">
        <v>67</v>
      </c>
      <c r="E79" s="64">
        <v>9.5</v>
      </c>
      <c r="F79" s="64">
        <v>9.4</v>
      </c>
      <c r="G79" s="2"/>
      <c r="J79" s="12"/>
    </row>
    <row r="80" spans="1:11" x14ac:dyDescent="0.2">
      <c r="A80" s="61">
        <v>63</v>
      </c>
      <c r="B80" s="62"/>
      <c r="C80" s="63" t="s">
        <v>141</v>
      </c>
      <c r="D80" s="66" t="s">
        <v>23</v>
      </c>
      <c r="E80" s="64">
        <v>57.1</v>
      </c>
      <c r="F80" s="64">
        <v>56.3</v>
      </c>
      <c r="G80" s="2"/>
      <c r="J80" s="12"/>
    </row>
    <row r="81" spans="1:10" ht="51" x14ac:dyDescent="0.2">
      <c r="A81" s="61">
        <v>64</v>
      </c>
      <c r="B81" s="62" t="s">
        <v>706</v>
      </c>
      <c r="C81" s="85" t="s">
        <v>715</v>
      </c>
      <c r="D81" s="66"/>
      <c r="E81" s="64">
        <f>+E82</f>
        <v>16</v>
      </c>
      <c r="F81" s="64">
        <f>+F82</f>
        <v>0</v>
      </c>
      <c r="G81" s="2"/>
      <c r="J81" s="12"/>
    </row>
    <row r="82" spans="1:10" x14ac:dyDescent="0.2">
      <c r="A82" s="61">
        <v>65</v>
      </c>
      <c r="B82" s="62"/>
      <c r="C82" s="161" t="s">
        <v>3</v>
      </c>
      <c r="D82" s="66" t="s">
        <v>29</v>
      </c>
      <c r="E82" s="64">
        <f>5.8+10.2</f>
        <v>16</v>
      </c>
      <c r="F82" s="64"/>
      <c r="G82" s="2"/>
      <c r="J82" s="12"/>
    </row>
    <row r="83" spans="1:10" ht="63.75" x14ac:dyDescent="0.2">
      <c r="A83" s="61">
        <v>66</v>
      </c>
      <c r="B83" s="62" t="s">
        <v>707</v>
      </c>
      <c r="C83" s="85" t="s">
        <v>716</v>
      </c>
      <c r="D83" s="66"/>
      <c r="E83" s="64">
        <f>+E84</f>
        <v>97.7</v>
      </c>
      <c r="F83" s="64">
        <f>+F84</f>
        <v>0</v>
      </c>
      <c r="G83" s="2"/>
      <c r="J83" s="12"/>
    </row>
    <row r="84" spans="1:10" x14ac:dyDescent="0.2">
      <c r="A84" s="61">
        <v>67</v>
      </c>
      <c r="B84" s="62"/>
      <c r="C84" s="65" t="s">
        <v>3</v>
      </c>
      <c r="D84" s="66" t="s">
        <v>479</v>
      </c>
      <c r="E84" s="64">
        <f>51.7+46</f>
        <v>97.7</v>
      </c>
      <c r="F84" s="64"/>
      <c r="G84" s="2"/>
      <c r="J84" s="12"/>
    </row>
    <row r="85" spans="1:10" ht="63.75" x14ac:dyDescent="0.2">
      <c r="A85" s="61">
        <v>68</v>
      </c>
      <c r="B85" s="62" t="s">
        <v>708</v>
      </c>
      <c r="C85" s="85" t="s">
        <v>717</v>
      </c>
      <c r="D85" s="66"/>
      <c r="E85" s="64">
        <f>+E86</f>
        <v>1</v>
      </c>
      <c r="F85" s="64">
        <f>+F86</f>
        <v>0</v>
      </c>
      <c r="G85" s="2"/>
      <c r="J85" s="12"/>
    </row>
    <row r="86" spans="1:10" x14ac:dyDescent="0.2">
      <c r="A86" s="61">
        <v>69</v>
      </c>
      <c r="B86" s="62"/>
      <c r="C86" s="65" t="s">
        <v>3</v>
      </c>
      <c r="D86" s="66" t="s">
        <v>479</v>
      </c>
      <c r="E86" s="64">
        <f>0.4+0.6</f>
        <v>1</v>
      </c>
      <c r="F86" s="64"/>
      <c r="G86" s="2"/>
      <c r="J86" s="12"/>
    </row>
    <row r="87" spans="1:10" ht="51" x14ac:dyDescent="0.2">
      <c r="A87" s="61">
        <v>70</v>
      </c>
      <c r="B87" s="62" t="s">
        <v>720</v>
      </c>
      <c r="C87" s="85" t="s">
        <v>721</v>
      </c>
      <c r="D87" s="66"/>
      <c r="E87" s="64">
        <f>+E88</f>
        <v>0.8</v>
      </c>
      <c r="F87" s="64">
        <f>+F88</f>
        <v>0</v>
      </c>
      <c r="G87" s="2"/>
      <c r="J87" s="12"/>
    </row>
    <row r="88" spans="1:10" x14ac:dyDescent="0.2">
      <c r="A88" s="61">
        <v>71</v>
      </c>
      <c r="B88" s="62"/>
      <c r="C88" s="65" t="s">
        <v>3</v>
      </c>
      <c r="D88" s="66" t="s">
        <v>479</v>
      </c>
      <c r="E88" s="64">
        <f>0.5+0.3</f>
        <v>0.8</v>
      </c>
      <c r="F88" s="64"/>
      <c r="G88" s="2"/>
      <c r="J88" s="12"/>
    </row>
    <row r="89" spans="1:10" x14ac:dyDescent="0.2">
      <c r="A89" s="61">
        <v>72</v>
      </c>
      <c r="B89" s="57" t="s">
        <v>72</v>
      </c>
      <c r="C89" s="83" t="s">
        <v>186</v>
      </c>
      <c r="D89" s="66"/>
      <c r="E89" s="84">
        <f t="shared" ref="E89:F91" si="0">+E90</f>
        <v>232</v>
      </c>
      <c r="F89" s="84">
        <f t="shared" si="0"/>
        <v>0</v>
      </c>
      <c r="G89" s="2"/>
      <c r="J89" s="12"/>
    </row>
    <row r="90" spans="1:10" s="44" customFormat="1" ht="27" customHeight="1" x14ac:dyDescent="0.2">
      <c r="A90" s="61">
        <v>73</v>
      </c>
      <c r="B90" s="62" t="s">
        <v>231</v>
      </c>
      <c r="C90" s="138" t="s">
        <v>722</v>
      </c>
      <c r="D90" s="62"/>
      <c r="E90" s="140">
        <f t="shared" si="0"/>
        <v>232</v>
      </c>
      <c r="F90" s="140">
        <f t="shared" si="0"/>
        <v>0</v>
      </c>
      <c r="G90" s="132"/>
      <c r="H90" s="132"/>
    </row>
    <row r="91" spans="1:10" s="44" customFormat="1" ht="14.25" customHeight="1" x14ac:dyDescent="0.2">
      <c r="A91" s="61">
        <v>74</v>
      </c>
      <c r="B91" s="62"/>
      <c r="C91" s="65" t="s">
        <v>553</v>
      </c>
      <c r="D91" s="62"/>
      <c r="E91" s="64">
        <f t="shared" si="0"/>
        <v>232</v>
      </c>
      <c r="F91" s="64">
        <f t="shared" si="0"/>
        <v>0</v>
      </c>
      <c r="G91" s="132"/>
      <c r="H91" s="132"/>
    </row>
    <row r="92" spans="1:10" s="44" customFormat="1" ht="27" customHeight="1" x14ac:dyDescent="0.2">
      <c r="A92" s="61">
        <v>75</v>
      </c>
      <c r="B92" s="62"/>
      <c r="C92" s="151" t="s">
        <v>660</v>
      </c>
      <c r="D92" s="62" t="s">
        <v>197</v>
      </c>
      <c r="E92" s="64">
        <v>232</v>
      </c>
      <c r="F92" s="64"/>
      <c r="G92" s="132"/>
      <c r="H92" s="132"/>
    </row>
    <row r="93" spans="1:10" x14ac:dyDescent="0.2">
      <c r="A93" s="61">
        <v>76</v>
      </c>
      <c r="B93" s="57" t="s">
        <v>74</v>
      </c>
      <c r="C93" s="83" t="s">
        <v>75</v>
      </c>
      <c r="D93" s="82"/>
      <c r="E93" s="165">
        <f>+E94+E96+E99</f>
        <v>386.6</v>
      </c>
      <c r="F93" s="165">
        <f>+F94+F96+F99</f>
        <v>0.6</v>
      </c>
    </row>
    <row r="94" spans="1:10" ht="25.5" x14ac:dyDescent="0.2">
      <c r="A94" s="61">
        <v>77</v>
      </c>
      <c r="B94" s="62" t="s">
        <v>504</v>
      </c>
      <c r="C94" s="138" t="s">
        <v>505</v>
      </c>
      <c r="D94" s="82"/>
      <c r="E94" s="64">
        <f>+E95</f>
        <v>54.6</v>
      </c>
      <c r="F94" s="64">
        <f>+F95</f>
        <v>0</v>
      </c>
    </row>
    <row r="95" spans="1:10" ht="25.5" x14ac:dyDescent="0.2">
      <c r="A95" s="61">
        <v>78</v>
      </c>
      <c r="B95" s="62"/>
      <c r="C95" s="65" t="s">
        <v>49</v>
      </c>
      <c r="D95" s="62" t="s">
        <v>77</v>
      </c>
      <c r="E95" s="64">
        <v>54.6</v>
      </c>
      <c r="F95" s="64"/>
    </row>
    <row r="96" spans="1:10" ht="25.5" x14ac:dyDescent="0.2">
      <c r="A96" s="61">
        <v>79</v>
      </c>
      <c r="B96" s="62" t="s">
        <v>642</v>
      </c>
      <c r="C96" s="138" t="s">
        <v>641</v>
      </c>
      <c r="D96" s="82"/>
      <c r="E96" s="140">
        <f>+E97</f>
        <v>300</v>
      </c>
      <c r="F96" s="140">
        <f>+F97</f>
        <v>0</v>
      </c>
    </row>
    <row r="97" spans="1:10" x14ac:dyDescent="0.2">
      <c r="A97" s="61">
        <v>80</v>
      </c>
      <c r="B97" s="62"/>
      <c r="C97" s="65" t="s">
        <v>3</v>
      </c>
      <c r="D97" s="82"/>
      <c r="E97" s="64">
        <f>+E98</f>
        <v>300</v>
      </c>
      <c r="F97" s="64">
        <f>+F98</f>
        <v>0</v>
      </c>
    </row>
    <row r="98" spans="1:10" ht="25.5" x14ac:dyDescent="0.2">
      <c r="A98" s="61">
        <v>81</v>
      </c>
      <c r="B98" s="62"/>
      <c r="C98" s="151" t="s">
        <v>640</v>
      </c>
      <c r="D98" s="82" t="s">
        <v>76</v>
      </c>
      <c r="E98" s="64">
        <v>300</v>
      </c>
      <c r="F98" s="64"/>
    </row>
    <row r="99" spans="1:10" ht="25.5" x14ac:dyDescent="0.2">
      <c r="A99" s="61">
        <v>82</v>
      </c>
      <c r="B99" s="62" t="s">
        <v>689</v>
      </c>
      <c r="C99" s="138" t="s">
        <v>690</v>
      </c>
      <c r="D99" s="82"/>
      <c r="E99" s="64">
        <f>+E100</f>
        <v>32</v>
      </c>
      <c r="F99" s="64">
        <f>+F100</f>
        <v>0.6</v>
      </c>
    </row>
    <row r="100" spans="1:10" x14ac:dyDescent="0.2">
      <c r="A100" s="61">
        <v>83</v>
      </c>
      <c r="B100" s="62"/>
      <c r="C100" s="151" t="s">
        <v>3</v>
      </c>
      <c r="D100" s="82" t="s">
        <v>691</v>
      </c>
      <c r="E100" s="64">
        <v>32</v>
      </c>
      <c r="F100" s="64">
        <v>0.6</v>
      </c>
    </row>
    <row r="101" spans="1:10" ht="21" customHeight="1" x14ac:dyDescent="0.2">
      <c r="A101" s="61">
        <v>84</v>
      </c>
      <c r="B101" s="57" t="s">
        <v>80</v>
      </c>
      <c r="C101" s="97" t="s">
        <v>81</v>
      </c>
      <c r="D101" s="62"/>
      <c r="E101" s="84">
        <f>+E102</f>
        <v>2995.6</v>
      </c>
      <c r="F101" s="84">
        <f>+F102</f>
        <v>0</v>
      </c>
    </row>
    <row r="102" spans="1:10" ht="25.5" x14ac:dyDescent="0.2">
      <c r="A102" s="61">
        <v>85</v>
      </c>
      <c r="B102" s="62" t="s">
        <v>655</v>
      </c>
      <c r="C102" s="85" t="s">
        <v>656</v>
      </c>
      <c r="D102" s="62"/>
      <c r="E102" s="64">
        <f>+E103</f>
        <v>2995.6</v>
      </c>
      <c r="F102" s="64">
        <f>+F103</f>
        <v>0</v>
      </c>
    </row>
    <row r="103" spans="1:10" x14ac:dyDescent="0.2">
      <c r="A103" s="61">
        <v>86</v>
      </c>
      <c r="B103" s="57"/>
      <c r="C103" s="65" t="s">
        <v>3</v>
      </c>
      <c r="D103" s="62" t="s">
        <v>503</v>
      </c>
      <c r="E103" s="64">
        <f>2878.6+117</f>
        <v>2995.6</v>
      </c>
      <c r="F103" s="64"/>
    </row>
    <row r="104" spans="1:10" x14ac:dyDescent="0.2">
      <c r="A104" s="236">
        <v>87</v>
      </c>
      <c r="B104" s="234" t="s">
        <v>85</v>
      </c>
      <c r="C104" s="258" t="s">
        <v>86</v>
      </c>
      <c r="D104" s="244"/>
      <c r="E104" s="168">
        <v>100.2</v>
      </c>
      <c r="F104" s="64"/>
    </row>
    <row r="105" spans="1:10" x14ac:dyDescent="0.2">
      <c r="A105" s="237"/>
      <c r="B105" s="235"/>
      <c r="C105" s="259"/>
      <c r="D105" s="245"/>
      <c r="E105" s="84">
        <v>107.5</v>
      </c>
      <c r="F105" s="84">
        <f>+F106+F108+F110+F112+F115</f>
        <v>0</v>
      </c>
      <c r="I105" s="11"/>
    </row>
    <row r="106" spans="1:10" ht="38.25" x14ac:dyDescent="0.2">
      <c r="A106" s="61">
        <v>88</v>
      </c>
      <c r="B106" s="62" t="s">
        <v>514</v>
      </c>
      <c r="C106" s="166" t="s">
        <v>659</v>
      </c>
      <c r="D106" s="62"/>
      <c r="E106" s="64">
        <f>+E107</f>
        <v>14.1</v>
      </c>
      <c r="F106" s="64">
        <f>+F107</f>
        <v>0</v>
      </c>
      <c r="J106" s="11"/>
    </row>
    <row r="107" spans="1:10" x14ac:dyDescent="0.2">
      <c r="A107" s="61">
        <v>89</v>
      </c>
      <c r="B107" s="57"/>
      <c r="C107" s="161" t="s">
        <v>3</v>
      </c>
      <c r="D107" s="62" t="s">
        <v>137</v>
      </c>
      <c r="E107" s="64">
        <v>14.1</v>
      </c>
      <c r="F107" s="64"/>
    </row>
    <row r="108" spans="1:10" ht="25.5" x14ac:dyDescent="0.2">
      <c r="A108" s="61">
        <v>90</v>
      </c>
      <c r="B108" s="62" t="s">
        <v>674</v>
      </c>
      <c r="C108" s="166" t="s">
        <v>671</v>
      </c>
      <c r="D108" s="62"/>
      <c r="E108" s="64">
        <f>+E109</f>
        <v>15.4</v>
      </c>
      <c r="F108" s="64">
        <f>+F109</f>
        <v>0</v>
      </c>
    </row>
    <row r="109" spans="1:10" x14ac:dyDescent="0.2">
      <c r="A109" s="61">
        <v>91</v>
      </c>
      <c r="B109" s="62"/>
      <c r="C109" s="161" t="s">
        <v>3</v>
      </c>
      <c r="D109" s="104" t="s">
        <v>88</v>
      </c>
      <c r="E109" s="64">
        <v>15.4</v>
      </c>
      <c r="F109" s="64"/>
    </row>
    <row r="110" spans="1:10" ht="25.5" x14ac:dyDescent="0.2">
      <c r="A110" s="61">
        <v>92</v>
      </c>
      <c r="B110" s="62" t="s">
        <v>675</v>
      </c>
      <c r="C110" s="166" t="s">
        <v>673</v>
      </c>
      <c r="D110" s="62"/>
      <c r="E110" s="64">
        <f>+E111</f>
        <v>27.8</v>
      </c>
      <c r="F110" s="64">
        <f>+F111</f>
        <v>0</v>
      </c>
    </row>
    <row r="111" spans="1:10" x14ac:dyDescent="0.2">
      <c r="A111" s="61">
        <v>93</v>
      </c>
      <c r="B111" s="57"/>
      <c r="C111" s="161" t="s">
        <v>3</v>
      </c>
      <c r="D111" s="104" t="s">
        <v>88</v>
      </c>
      <c r="E111" s="64">
        <v>27.8</v>
      </c>
      <c r="F111" s="64"/>
    </row>
    <row r="112" spans="1:10" x14ac:dyDescent="0.2">
      <c r="A112" s="61">
        <v>94</v>
      </c>
      <c r="B112" s="62" t="s">
        <v>677</v>
      </c>
      <c r="C112" s="167" t="s">
        <v>676</v>
      </c>
      <c r="D112" s="104"/>
      <c r="E112" s="64">
        <f>+E113</f>
        <v>42.9</v>
      </c>
      <c r="F112" s="64">
        <f>+F113</f>
        <v>0</v>
      </c>
    </row>
    <row r="113" spans="1:6" x14ac:dyDescent="0.2">
      <c r="A113" s="61">
        <v>95</v>
      </c>
      <c r="B113" s="57"/>
      <c r="C113" s="161" t="s">
        <v>3</v>
      </c>
      <c r="D113" s="104" t="s">
        <v>88</v>
      </c>
      <c r="E113" s="64">
        <f>12.9+30</f>
        <v>42.9</v>
      </c>
      <c r="F113" s="64"/>
    </row>
    <row r="114" spans="1:6" x14ac:dyDescent="0.2">
      <c r="A114" s="236">
        <v>96</v>
      </c>
      <c r="B114" s="244" t="s">
        <v>729</v>
      </c>
      <c r="C114" s="263" t="s">
        <v>730</v>
      </c>
      <c r="D114" s="265"/>
      <c r="E114" s="72">
        <v>0</v>
      </c>
      <c r="F114" s="64"/>
    </row>
    <row r="115" spans="1:6" x14ac:dyDescent="0.2">
      <c r="A115" s="237"/>
      <c r="B115" s="245"/>
      <c r="C115" s="264"/>
      <c r="D115" s="266"/>
      <c r="E115" s="77">
        <f>+E117</f>
        <v>7.3</v>
      </c>
      <c r="F115" s="64">
        <f>+F117</f>
        <v>0</v>
      </c>
    </row>
    <row r="116" spans="1:6" x14ac:dyDescent="0.2">
      <c r="A116" s="236">
        <v>97</v>
      </c>
      <c r="B116" s="244"/>
      <c r="C116" s="246" t="s">
        <v>3</v>
      </c>
      <c r="D116" s="244" t="s">
        <v>125</v>
      </c>
      <c r="E116" s="72">
        <v>0</v>
      </c>
      <c r="F116" s="64"/>
    </row>
    <row r="117" spans="1:6" x14ac:dyDescent="0.2">
      <c r="A117" s="237"/>
      <c r="B117" s="245"/>
      <c r="C117" s="247"/>
      <c r="D117" s="245"/>
      <c r="E117" s="77">
        <v>7.3</v>
      </c>
      <c r="F117" s="64"/>
    </row>
    <row r="118" spans="1:6" x14ac:dyDescent="0.2">
      <c r="A118" s="61">
        <v>98</v>
      </c>
      <c r="B118" s="57" t="s">
        <v>30</v>
      </c>
      <c r="C118" s="83" t="s">
        <v>31</v>
      </c>
      <c r="D118" s="62"/>
      <c r="E118" s="84">
        <f>+E119+E121</f>
        <v>582</v>
      </c>
      <c r="F118" s="84">
        <f>+F119+F121</f>
        <v>0</v>
      </c>
    </row>
    <row r="119" spans="1:6" ht="38.25" x14ac:dyDescent="0.2">
      <c r="A119" s="61">
        <v>99</v>
      </c>
      <c r="B119" s="62" t="s">
        <v>204</v>
      </c>
      <c r="C119" s="166" t="s">
        <v>515</v>
      </c>
      <c r="D119" s="66"/>
      <c r="E119" s="64">
        <f>+E120</f>
        <v>282</v>
      </c>
      <c r="F119" s="64">
        <f>+F120</f>
        <v>0</v>
      </c>
    </row>
    <row r="120" spans="1:6" x14ac:dyDescent="0.2">
      <c r="A120" s="61">
        <v>100</v>
      </c>
      <c r="B120" s="62"/>
      <c r="C120" s="161" t="s">
        <v>3</v>
      </c>
      <c r="D120" s="66" t="s">
        <v>137</v>
      </c>
      <c r="E120" s="64">
        <v>282</v>
      </c>
      <c r="F120" s="64"/>
    </row>
    <row r="121" spans="1:6" ht="51" x14ac:dyDescent="0.2">
      <c r="A121" s="61">
        <v>101</v>
      </c>
      <c r="B121" s="62" t="s">
        <v>206</v>
      </c>
      <c r="C121" s="166" t="s">
        <v>665</v>
      </c>
      <c r="D121" s="66"/>
      <c r="E121" s="64">
        <f>+E122</f>
        <v>300</v>
      </c>
      <c r="F121" s="64">
        <f>+F122</f>
        <v>0</v>
      </c>
    </row>
    <row r="122" spans="1:6" x14ac:dyDescent="0.2">
      <c r="A122" s="61">
        <v>102</v>
      </c>
      <c r="B122" s="62"/>
      <c r="C122" s="161" t="s">
        <v>3</v>
      </c>
      <c r="D122" s="62" t="s">
        <v>207</v>
      </c>
      <c r="E122" s="64">
        <v>300</v>
      </c>
      <c r="F122" s="64"/>
    </row>
    <row r="123" spans="1:6" x14ac:dyDescent="0.2">
      <c r="A123" s="61">
        <v>103</v>
      </c>
      <c r="B123" s="57" t="s">
        <v>91</v>
      </c>
      <c r="C123" s="83" t="s">
        <v>92</v>
      </c>
      <c r="D123" s="62"/>
      <c r="E123" s="84">
        <f>+E124+E126</f>
        <v>3978.9</v>
      </c>
      <c r="F123" s="84">
        <f>+F124+F126</f>
        <v>0</v>
      </c>
    </row>
    <row r="124" spans="1:6" ht="63.75" x14ac:dyDescent="0.2">
      <c r="A124" s="61">
        <v>104</v>
      </c>
      <c r="B124" s="62" t="s">
        <v>478</v>
      </c>
      <c r="C124" s="166" t="s">
        <v>704</v>
      </c>
      <c r="D124" s="62"/>
      <c r="E124" s="64">
        <f>+E125</f>
        <v>1482.4</v>
      </c>
      <c r="F124" s="64">
        <f>+F125</f>
        <v>0</v>
      </c>
    </row>
    <row r="125" spans="1:6" x14ac:dyDescent="0.2">
      <c r="A125" s="61">
        <v>105</v>
      </c>
      <c r="B125" s="62"/>
      <c r="C125" s="161" t="s">
        <v>3</v>
      </c>
      <c r="D125" s="62" t="s">
        <v>207</v>
      </c>
      <c r="E125" s="64">
        <v>1482.4</v>
      </c>
      <c r="F125" s="64"/>
    </row>
    <row r="126" spans="1:6" ht="38.25" x14ac:dyDescent="0.2">
      <c r="A126" s="61">
        <v>106</v>
      </c>
      <c r="B126" s="62" t="s">
        <v>522</v>
      </c>
      <c r="C126" s="166" t="s">
        <v>703</v>
      </c>
      <c r="D126" s="62"/>
      <c r="E126" s="64">
        <f>+E127</f>
        <v>2496.5</v>
      </c>
      <c r="F126" s="64">
        <f>+F127</f>
        <v>0</v>
      </c>
    </row>
    <row r="127" spans="1:6" x14ac:dyDescent="0.2">
      <c r="A127" s="61">
        <v>107</v>
      </c>
      <c r="B127" s="62"/>
      <c r="C127" s="161" t="s">
        <v>3</v>
      </c>
      <c r="D127" s="62" t="s">
        <v>503</v>
      </c>
      <c r="E127" s="64">
        <v>2496.5</v>
      </c>
      <c r="F127" s="64"/>
    </row>
    <row r="128" spans="1:6" x14ac:dyDescent="0.2">
      <c r="A128" s="236">
        <v>108</v>
      </c>
      <c r="B128" s="234" t="s">
        <v>24</v>
      </c>
      <c r="C128" s="258" t="s">
        <v>25</v>
      </c>
      <c r="D128" s="244"/>
      <c r="E128" s="168">
        <v>25.4</v>
      </c>
      <c r="F128" s="64"/>
    </row>
    <row r="129" spans="1:10" x14ac:dyDescent="0.2">
      <c r="A129" s="237"/>
      <c r="B129" s="235"/>
      <c r="C129" s="259"/>
      <c r="D129" s="245"/>
      <c r="E129" s="84">
        <v>29.5</v>
      </c>
      <c r="F129" s="84">
        <f>+F131+F134</f>
        <v>6.2</v>
      </c>
      <c r="I129" s="11"/>
    </row>
    <row r="130" spans="1:10" ht="21" customHeight="1" x14ac:dyDescent="0.2">
      <c r="A130" s="261">
        <v>109</v>
      </c>
      <c r="B130" s="234"/>
      <c r="C130" s="267" t="s">
        <v>667</v>
      </c>
      <c r="D130" s="244"/>
      <c r="E130" s="72">
        <v>27.3</v>
      </c>
      <c r="F130" s="168"/>
    </row>
    <row r="131" spans="1:10" ht="21" customHeight="1" x14ac:dyDescent="0.2">
      <c r="A131" s="262"/>
      <c r="B131" s="235"/>
      <c r="C131" s="268"/>
      <c r="D131" s="245"/>
      <c r="E131" s="77">
        <f>+E133</f>
        <v>23.200000000000003</v>
      </c>
      <c r="F131" s="64">
        <f>+F133</f>
        <v>0</v>
      </c>
    </row>
    <row r="132" spans="1:10" x14ac:dyDescent="0.2">
      <c r="A132" s="236">
        <v>110</v>
      </c>
      <c r="B132" s="244"/>
      <c r="C132" s="269" t="s">
        <v>3</v>
      </c>
      <c r="D132" s="261">
        <v>10</v>
      </c>
      <c r="E132" s="72">
        <v>27.3</v>
      </c>
      <c r="F132" s="64"/>
    </row>
    <row r="133" spans="1:10" x14ac:dyDescent="0.2">
      <c r="A133" s="237"/>
      <c r="B133" s="245"/>
      <c r="C133" s="270"/>
      <c r="D133" s="262"/>
      <c r="E133" s="77">
        <f>8.6+10.5+4.1</f>
        <v>23.200000000000003</v>
      </c>
      <c r="F133" s="64"/>
      <c r="J133" s="12"/>
    </row>
    <row r="134" spans="1:10" x14ac:dyDescent="0.2">
      <c r="A134" s="61">
        <v>111</v>
      </c>
      <c r="B134" s="62"/>
      <c r="C134" s="138" t="s">
        <v>726</v>
      </c>
      <c r="D134" s="82"/>
      <c r="E134" s="64">
        <f>+E135</f>
        <v>6.3</v>
      </c>
      <c r="F134" s="64">
        <f>+F135</f>
        <v>6.2</v>
      </c>
    </row>
    <row r="135" spans="1:10" x14ac:dyDescent="0.2">
      <c r="A135" s="61">
        <v>112</v>
      </c>
      <c r="B135" s="62"/>
      <c r="C135" s="151" t="s">
        <v>3</v>
      </c>
      <c r="D135" s="62" t="s">
        <v>52</v>
      </c>
      <c r="E135" s="64">
        <v>6.3</v>
      </c>
      <c r="F135" s="64">
        <v>6.2</v>
      </c>
    </row>
    <row r="136" spans="1:10" x14ac:dyDescent="0.2">
      <c r="A136" s="261">
        <v>113</v>
      </c>
      <c r="B136" s="244"/>
      <c r="C136" s="256" t="s">
        <v>20</v>
      </c>
      <c r="D136" s="244"/>
      <c r="E136" s="168">
        <v>11635.2</v>
      </c>
      <c r="F136" s="64"/>
    </row>
    <row r="137" spans="1:10" x14ac:dyDescent="0.2">
      <c r="A137" s="262"/>
      <c r="B137" s="245"/>
      <c r="C137" s="257"/>
      <c r="D137" s="245"/>
      <c r="E137" s="84">
        <v>11673.7</v>
      </c>
      <c r="F137" s="84">
        <f>+F9+F47+F89+F93+F101+F105+F118+F123+F129</f>
        <v>247.9</v>
      </c>
      <c r="I137" s="12"/>
      <c r="J137" s="12"/>
    </row>
    <row r="138" spans="1:10" x14ac:dyDescent="0.2">
      <c r="C138" s="124" t="s">
        <v>108</v>
      </c>
      <c r="D138" s="49"/>
      <c r="E138" s="148"/>
      <c r="F138" s="148"/>
      <c r="G138" s="18"/>
      <c r="H138" s="18"/>
    </row>
    <row r="139" spans="1:10" ht="13.5" customHeight="1" x14ac:dyDescent="0.2">
      <c r="C139" s="169"/>
      <c r="E139" s="148"/>
      <c r="F139" s="148"/>
    </row>
    <row r="140" spans="1:10" x14ac:dyDescent="0.2">
      <c r="C140" s="169"/>
      <c r="D140" s="2"/>
      <c r="E140" s="113"/>
      <c r="F140" s="113"/>
    </row>
    <row r="141" spans="1:10" x14ac:dyDescent="0.2">
      <c r="D141" s="47"/>
      <c r="E141" s="113"/>
      <c r="F141" s="113"/>
    </row>
    <row r="142" spans="1:10" x14ac:dyDescent="0.2">
      <c r="C142" s="170"/>
      <c r="E142" s="113"/>
      <c r="F142" s="113"/>
    </row>
    <row r="143" spans="1:10" x14ac:dyDescent="0.2">
      <c r="C143" s="171"/>
      <c r="E143" s="113"/>
      <c r="F143" s="113"/>
    </row>
    <row r="144" spans="1:10" x14ac:dyDescent="0.2">
      <c r="C144" s="172"/>
      <c r="E144" s="148"/>
    </row>
    <row r="145" spans="3:5" x14ac:dyDescent="0.2">
      <c r="C145" s="170"/>
    </row>
    <row r="146" spans="3:5" x14ac:dyDescent="0.2">
      <c r="C146" s="173"/>
      <c r="E146" s="113"/>
    </row>
    <row r="150" spans="3:5" x14ac:dyDescent="0.2">
      <c r="E150" s="113"/>
    </row>
    <row r="151" spans="3:5" x14ac:dyDescent="0.2">
      <c r="E151" s="113"/>
    </row>
    <row r="153" spans="3:5" x14ac:dyDescent="0.2">
      <c r="E153" s="113"/>
    </row>
  </sheetData>
  <mergeCells count="66">
    <mergeCell ref="D136:D137"/>
    <mergeCell ref="C136:C137"/>
    <mergeCell ref="B136:B137"/>
    <mergeCell ref="A136:A137"/>
    <mergeCell ref="D130:D131"/>
    <mergeCell ref="C130:C131"/>
    <mergeCell ref="B130:B131"/>
    <mergeCell ref="A130:A131"/>
    <mergeCell ref="D132:D133"/>
    <mergeCell ref="C132:C133"/>
    <mergeCell ref="B132:B133"/>
    <mergeCell ref="A132:A133"/>
    <mergeCell ref="A116:A117"/>
    <mergeCell ref="C116:C117"/>
    <mergeCell ref="B116:B117"/>
    <mergeCell ref="D116:D117"/>
    <mergeCell ref="D128:D129"/>
    <mergeCell ref="C128:C129"/>
    <mergeCell ref="B128:B129"/>
    <mergeCell ref="A128:A129"/>
    <mergeCell ref="D104:D105"/>
    <mergeCell ref="C104:C105"/>
    <mergeCell ref="B104:B105"/>
    <mergeCell ref="A104:A105"/>
    <mergeCell ref="D114:D115"/>
    <mergeCell ref="C114:C115"/>
    <mergeCell ref="B114:B115"/>
    <mergeCell ref="A114:A115"/>
    <mergeCell ref="D60:D61"/>
    <mergeCell ref="D62:D63"/>
    <mergeCell ref="C60:C61"/>
    <mergeCell ref="B60:B61"/>
    <mergeCell ref="A60:A61"/>
    <mergeCell ref="C62:C63"/>
    <mergeCell ref="B62:B63"/>
    <mergeCell ref="A62:A63"/>
    <mergeCell ref="D44:D45"/>
    <mergeCell ref="C44:C45"/>
    <mergeCell ref="B44:B45"/>
    <mergeCell ref="A44:A45"/>
    <mergeCell ref="D46:D47"/>
    <mergeCell ref="C46:C47"/>
    <mergeCell ref="B46:B47"/>
    <mergeCell ref="A46:A47"/>
    <mergeCell ref="D40:D41"/>
    <mergeCell ref="C40:C41"/>
    <mergeCell ref="B40:B41"/>
    <mergeCell ref="A40:A41"/>
    <mergeCell ref="A42:A43"/>
    <mergeCell ref="B42:B43"/>
    <mergeCell ref="C42:C43"/>
    <mergeCell ref="D42:D43"/>
    <mergeCell ref="D36:D37"/>
    <mergeCell ref="C36:C37"/>
    <mergeCell ref="B36:B37"/>
    <mergeCell ref="A36:A37"/>
    <mergeCell ref="A38:A39"/>
    <mergeCell ref="B38:B39"/>
    <mergeCell ref="C38:C39"/>
    <mergeCell ref="A4:F4"/>
    <mergeCell ref="C1:F1"/>
    <mergeCell ref="E2:F2"/>
    <mergeCell ref="D34:D35"/>
    <mergeCell ref="C34:C35"/>
    <mergeCell ref="B34:B35"/>
    <mergeCell ref="A34:A35"/>
  </mergeCells>
  <pageMargins left="0.70866141732283472" right="0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8</vt:i4>
      </vt:variant>
    </vt:vector>
  </HeadingPairs>
  <TitlesOfParts>
    <vt:vector size="12" baseType="lpstr">
      <vt:lpstr>1 pr</vt:lpstr>
      <vt:lpstr>3 pr</vt:lpstr>
      <vt:lpstr>9 pr</vt:lpstr>
      <vt:lpstr>10 pr</vt:lpstr>
      <vt:lpstr>'1 pr'!Print_Area</vt:lpstr>
      <vt:lpstr>'10 pr'!Print_Area</vt:lpstr>
      <vt:lpstr>'3 pr'!Print_Area</vt:lpstr>
      <vt:lpstr>'9 pr'!Print_Area</vt:lpstr>
      <vt:lpstr>'1 pr'!Print_Titles</vt:lpstr>
      <vt:lpstr>'10 pr'!Print_Titles</vt:lpstr>
      <vt:lpstr>'3 pr'!Print_Titles</vt:lpstr>
      <vt:lpstr>'9 pr'!Print_Titles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V.Sirvaitiene</dc:creator>
  <cp:lastModifiedBy>Jolanta Sakavičienė</cp:lastModifiedBy>
  <cp:lastPrinted>2023-10-13T08:20:45Z</cp:lastPrinted>
  <dcterms:created xsi:type="dcterms:W3CDTF">1996-10-14T23:33:28Z</dcterms:created>
  <dcterms:modified xsi:type="dcterms:W3CDTF">2023-10-13T08:54:33Z</dcterms:modified>
</cp:coreProperties>
</file>