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4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43.xml" ContentType="application/vnd.ms-excel.person+xml"/>
  <Override PartName="/xl/persons/person48.xml" ContentType="application/vnd.ms-excel.person+xml"/>
  <Override PartName="/xl/persons/person7.xml" ContentType="application/vnd.ms-excel.person+xml"/>
  <Override PartName="/xl/persons/person41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46.xml" ContentType="application/vnd.ms-excel.person+xml"/>
  <Override PartName="/xl/persons/person50.xml" ContentType="application/vnd.ms-excel.person+xml"/>
  <Override PartName="/xl/persons/person39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5.xml" ContentType="application/vnd.ms-excel.person+xml"/>
  <Override PartName="/xl/persons/person47.xml" ContentType="application/vnd.ms-excel.person+xml"/>
  <Override PartName="/xl/persons/person38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34.xml" ContentType="application/vnd.ms-excel.person+xml"/>
  <Override PartName="/xl/persons/person49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11-24 Tarybos posėdis/Biudžetas/Tarybai/"/>
    </mc:Choice>
  </mc:AlternateContent>
  <xr:revisionPtr revIDLastSave="87" documentId="13_ncr:1_{63C63876-963C-426F-8FEE-48200149A1C0}" xr6:coauthVersionLast="47" xr6:coauthVersionMax="47" xr10:uidLastSave="{13F780EC-125E-4119-AB77-E3830C7A0012}"/>
  <bookViews>
    <workbookView xWindow="-120" yWindow="-120" windowWidth="29040" windowHeight="15840" tabRatio="897" activeTab="2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77" r:id="rId7"/>
    <sheet name="8 pr" sheetId="78" r:id="rId8"/>
    <sheet name="9 pr" sheetId="68" r:id="rId9"/>
    <sheet name="10 pr" sheetId="79" r:id="rId10"/>
    <sheet name="11 pr" sheetId="80" r:id="rId11"/>
  </sheets>
  <definedNames>
    <definedName name="_xlnm.Print_Area" localSheetId="0">'1 pr'!$A$1:$C$118</definedName>
    <definedName name="_xlnm.Print_Area" localSheetId="9">'10 pr'!$A$1:$F$132</definedName>
    <definedName name="_xlnm.Print_Area" localSheetId="10">'11 pr'!$A$1:$F$28</definedName>
    <definedName name="_xlnm.Print_Area" localSheetId="1">'2 pr'!$A$1:$F$68</definedName>
    <definedName name="_xlnm.Print_Area" localSheetId="2">'3 pr'!$A$1:$F$304</definedName>
    <definedName name="_xlnm.Print_Area" localSheetId="3">'4 pr'!$A$1:$F$54</definedName>
    <definedName name="_xlnm.Print_Area" localSheetId="4">'5 pr'!$A$1:$F$58</definedName>
    <definedName name="_xlnm.Print_Area" localSheetId="5">'6 pr'!$A$1:$F$47</definedName>
    <definedName name="_xlnm.Print_Area" localSheetId="6">'7 pr'!$A$1:$F$52</definedName>
    <definedName name="_xlnm.Print_Area" localSheetId="7">'8 pr'!$A$1:$F$104</definedName>
    <definedName name="_xlnm.Print_Area" localSheetId="8">'9 pr'!$A$1:$F$53</definedName>
    <definedName name="_xlnm.Print_Titles" localSheetId="0">'1 pr'!$7:$7</definedName>
    <definedName name="_xlnm.Print_Titles" localSheetId="9">'10 pr'!$9:$9</definedName>
    <definedName name="_xlnm.Print_Titles" localSheetId="10">'11 pr'!$9:$9</definedName>
    <definedName name="_xlnm.Print_Titles" localSheetId="1">'2 pr'!$9:$9</definedName>
    <definedName name="_xlnm.Print_Titles" localSheetId="2">'3 pr'!$9:$9</definedName>
    <definedName name="_xlnm.Print_Titles" localSheetId="3">'4 pr'!$8:$8</definedName>
    <definedName name="_xlnm.Print_Titles" localSheetId="4">'5 pr'!$8:$8</definedName>
    <definedName name="_xlnm.Print_Titles" localSheetId="5">'6 pr'!$9:$9</definedName>
    <definedName name="_xlnm.Print_Titles" localSheetId="6">'7 pr'!$9:$9</definedName>
    <definedName name="_xlnm.Print_Titles" localSheetId="7">'8 pr'!$9:$9</definedName>
    <definedName name="_xlnm.Print_Titles" localSheetId="8">'9 pr'!$9:$9</definedName>
  </definedNames>
  <calcPr calcId="181029"/>
  <fileRecoveryPr autoRecover="0"/>
</workbook>
</file>

<file path=xl/calcChain.xml><?xml version="1.0" encoding="utf-8"?>
<calcChain xmlns="http://schemas.openxmlformats.org/spreadsheetml/2006/main">
  <c r="E96" i="76" l="1"/>
  <c r="E102" i="76"/>
  <c r="E285" i="76"/>
  <c r="F11" i="77"/>
  <c r="E11" i="77"/>
  <c r="C19" i="75"/>
  <c r="E164" i="76"/>
  <c r="F35" i="76" l="1"/>
  <c r="E20" i="76" l="1"/>
  <c r="F46" i="78"/>
  <c r="E46" i="78"/>
  <c r="C30" i="75"/>
  <c r="E288" i="76"/>
  <c r="F70" i="78" l="1"/>
  <c r="E70" i="78"/>
  <c r="F69" i="78"/>
  <c r="E69" i="78"/>
  <c r="E64" i="78"/>
  <c r="E294" i="76"/>
  <c r="F42" i="78"/>
  <c r="F12" i="78" l="1"/>
  <c r="F30" i="68"/>
  <c r="F29" i="76"/>
  <c r="C98" i="75"/>
  <c r="E243" i="76"/>
  <c r="F281" i="76" l="1"/>
  <c r="F280" i="76" s="1"/>
  <c r="E281" i="76"/>
  <c r="F265" i="76"/>
  <c r="E265" i="76"/>
  <c r="E244" i="76"/>
  <c r="F174" i="76"/>
  <c r="E174" i="76"/>
  <c r="F139" i="76"/>
  <c r="E139" i="76"/>
  <c r="E245" i="76"/>
  <c r="E246" i="76"/>
  <c r="E101" i="76"/>
  <c r="E100" i="76"/>
  <c r="E97" i="76"/>
  <c r="F96" i="76"/>
  <c r="F43" i="76"/>
  <c r="E43" i="76"/>
  <c r="E116" i="76"/>
  <c r="E121" i="76"/>
  <c r="E132" i="76"/>
  <c r="E120" i="76"/>
  <c r="E123" i="76"/>
  <c r="E128" i="76"/>
  <c r="E134" i="76"/>
  <c r="C20" i="75"/>
  <c r="F31" i="77"/>
  <c r="E31" i="77"/>
  <c r="F27" i="77"/>
  <c r="E27" i="77"/>
  <c r="F25" i="77"/>
  <c r="E25" i="77"/>
  <c r="F15" i="80"/>
  <c r="E15" i="80"/>
  <c r="F20" i="77"/>
  <c r="E20" i="77"/>
  <c r="E61" i="76"/>
  <c r="E60" i="76"/>
  <c r="E18" i="76"/>
  <c r="E262" i="76"/>
  <c r="E300" i="76"/>
  <c r="E13" i="76"/>
  <c r="E36" i="76"/>
  <c r="E35" i="76" s="1"/>
  <c r="E33" i="76"/>
  <c r="E256" i="76"/>
  <c r="E258" i="76"/>
  <c r="E257" i="76"/>
  <c r="F91" i="76"/>
  <c r="E91" i="76"/>
  <c r="F171" i="76"/>
  <c r="E171" i="76"/>
  <c r="F34" i="76"/>
  <c r="E34" i="76"/>
  <c r="F24" i="76"/>
  <c r="E24" i="76"/>
  <c r="F21" i="76"/>
  <c r="E21" i="76"/>
  <c r="F17" i="76"/>
  <c r="E17" i="76"/>
  <c r="F11" i="76"/>
  <c r="E11" i="76"/>
  <c r="F38" i="76"/>
  <c r="E38" i="76"/>
  <c r="F27" i="76"/>
  <c r="E27" i="76"/>
  <c r="F26" i="76"/>
  <c r="E26" i="76"/>
  <c r="F20" i="76"/>
  <c r="F19" i="76"/>
  <c r="E19" i="76"/>
  <c r="E137" i="76"/>
  <c r="F278" i="76"/>
  <c r="E278" i="76"/>
  <c r="F279" i="76"/>
  <c r="E279" i="76"/>
  <c r="F297" i="76"/>
  <c r="E297" i="76"/>
  <c r="E29" i="76"/>
  <c r="E15" i="76"/>
  <c r="F22" i="76"/>
  <c r="E22" i="76"/>
  <c r="F16" i="76"/>
  <c r="E16" i="76"/>
  <c r="F92" i="76"/>
  <c r="E92" i="76"/>
  <c r="F293" i="76"/>
  <c r="E293" i="76"/>
  <c r="F255" i="76"/>
  <c r="E255" i="76"/>
  <c r="F259" i="76"/>
  <c r="E259" i="76"/>
  <c r="F128" i="76"/>
  <c r="E298" i="76"/>
  <c r="E260" i="76"/>
  <c r="E261" i="76"/>
  <c r="F132" i="76"/>
  <c r="F296" i="76"/>
  <c r="E296" i="76"/>
  <c r="F258" i="76"/>
  <c r="F158" i="76"/>
  <c r="E158" i="76"/>
  <c r="F126" i="76"/>
  <c r="E126" i="76"/>
  <c r="F295" i="76"/>
  <c r="E295" i="76"/>
  <c r="F257" i="76"/>
  <c r="F157" i="76"/>
  <c r="E157" i="76"/>
  <c r="E125" i="76"/>
  <c r="F294" i="76"/>
  <c r="E232" i="76"/>
  <c r="F256" i="76"/>
  <c r="F184" i="76"/>
  <c r="E184" i="76"/>
  <c r="F156" i="76"/>
  <c r="E156" i="76"/>
  <c r="F123" i="76"/>
  <c r="F291" i="76"/>
  <c r="E291" i="76"/>
  <c r="F253" i="76"/>
  <c r="E253" i="76"/>
  <c r="E229" i="76"/>
  <c r="F118" i="76"/>
  <c r="E118" i="76"/>
  <c r="F292" i="76"/>
  <c r="E292" i="76"/>
  <c r="F254" i="76"/>
  <c r="E254" i="76"/>
  <c r="E230" i="76"/>
  <c r="F154" i="76"/>
  <c r="E154" i="76"/>
  <c r="F120" i="76"/>
  <c r="F252" i="76"/>
  <c r="E228" i="76"/>
  <c r="E252" i="76"/>
  <c r="F168" i="76"/>
  <c r="F164" i="76"/>
  <c r="F167" i="76"/>
  <c r="F166" i="76"/>
  <c r="F32" i="76"/>
  <c r="F37" i="76"/>
  <c r="F137" i="76"/>
  <c r="F31" i="76"/>
  <c r="F25" i="76"/>
  <c r="F13" i="76"/>
  <c r="F18" i="76"/>
  <c r="F15" i="76"/>
  <c r="F46" i="68"/>
  <c r="F45" i="68" s="1"/>
  <c r="F33" i="68"/>
  <c r="F34" i="68"/>
  <c r="F32" i="68"/>
  <c r="F28" i="68"/>
  <c r="F29" i="68"/>
  <c r="F21" i="68"/>
  <c r="F27" i="68"/>
  <c r="F24" i="68"/>
  <c r="F23" i="68"/>
  <c r="F26" i="68"/>
  <c r="F22" i="68"/>
  <c r="F14" i="68"/>
  <c r="F19" i="68"/>
  <c r="F17" i="68"/>
  <c r="F16" i="68"/>
  <c r="F40" i="60"/>
  <c r="E40" i="60"/>
  <c r="E36" i="60"/>
  <c r="F39" i="60"/>
  <c r="E39" i="60"/>
  <c r="F38" i="60"/>
  <c r="E38" i="60"/>
  <c r="E33" i="60"/>
  <c r="E31" i="60"/>
  <c r="E28" i="60"/>
  <c r="E27" i="60"/>
  <c r="E26" i="60"/>
  <c r="E24" i="60"/>
  <c r="E25" i="60"/>
  <c r="E23" i="60"/>
  <c r="E22" i="60"/>
  <c r="E18" i="60"/>
  <c r="E15" i="60"/>
  <c r="E16" i="60"/>
  <c r="E17" i="60"/>
  <c r="E12" i="60"/>
  <c r="F50" i="57"/>
  <c r="F49" i="57"/>
  <c r="F48" i="57"/>
  <c r="F34" i="57"/>
  <c r="F32" i="57"/>
  <c r="F28" i="57"/>
  <c r="F27" i="57"/>
  <c r="F26" i="57"/>
  <c r="F24" i="57"/>
  <c r="F25" i="57"/>
  <c r="F23" i="57"/>
  <c r="F22" i="57"/>
  <c r="F17" i="57"/>
  <c r="F14" i="57"/>
  <c r="F15" i="57"/>
  <c r="F16" i="57"/>
  <c r="F11" i="57"/>
  <c r="C95" i="75"/>
  <c r="E29" i="58"/>
  <c r="E33" i="58"/>
  <c r="E37" i="58"/>
  <c r="E35" i="58"/>
  <c r="E34" i="58"/>
  <c r="E22" i="58"/>
  <c r="F21" i="58"/>
  <c r="E21" i="58"/>
  <c r="E24" i="58"/>
  <c r="E20" i="58"/>
  <c r="E15" i="58"/>
  <c r="E18" i="58"/>
  <c r="E16" i="58"/>
  <c r="F12" i="58"/>
  <c r="E12" i="58"/>
  <c r="D47" i="57"/>
  <c r="D38" i="57"/>
  <c r="D42" i="57"/>
  <c r="D40" i="57"/>
  <c r="D39" i="57"/>
  <c r="D32" i="57"/>
  <c r="D31" i="57"/>
  <c r="D35" i="57"/>
  <c r="D30" i="57"/>
  <c r="D23" i="57"/>
  <c r="D27" i="57"/>
  <c r="D24" i="57"/>
  <c r="D20" i="57"/>
  <c r="C93" i="75"/>
  <c r="E37" i="62"/>
  <c r="E36" i="62"/>
  <c r="E33" i="62"/>
  <c r="E25" i="62"/>
  <c r="E26" i="62"/>
  <c r="E22" i="62"/>
  <c r="E24" i="62"/>
  <c r="E23" i="62"/>
  <c r="E15" i="62"/>
  <c r="E14" i="62"/>
  <c r="E13" i="62"/>
  <c r="E11" i="62"/>
  <c r="E40" i="57"/>
  <c r="E39" i="57"/>
  <c r="E37" i="57"/>
  <c r="E26" i="57"/>
  <c r="E27" i="57"/>
  <c r="E23" i="57"/>
  <c r="E25" i="57"/>
  <c r="E24" i="57"/>
  <c r="E15" i="57"/>
  <c r="E14" i="57"/>
  <c r="E13" i="57"/>
  <c r="E11" i="57"/>
  <c r="C94" i="75"/>
  <c r="F30" i="78"/>
  <c r="E30" i="78"/>
  <c r="F33" i="78"/>
  <c r="E33" i="78"/>
  <c r="F36" i="78"/>
  <c r="E36" i="78"/>
  <c r="F39" i="78"/>
  <c r="E39" i="78"/>
  <c r="F32" i="78"/>
  <c r="E32" i="78"/>
  <c r="E34" i="78"/>
  <c r="F31" i="78"/>
  <c r="E31" i="78"/>
  <c r="F35" i="78"/>
  <c r="E35" i="78"/>
  <c r="F40" i="78"/>
  <c r="E40" i="78"/>
  <c r="F38" i="78"/>
  <c r="E38" i="78"/>
  <c r="C25" i="75"/>
  <c r="E70" i="79"/>
  <c r="E69" i="79" s="1"/>
  <c r="F69" i="79"/>
  <c r="F22" i="78"/>
  <c r="E22" i="78"/>
  <c r="F21" i="78"/>
  <c r="E21" i="78"/>
  <c r="F20" i="78"/>
  <c r="E20" i="78"/>
  <c r="F19" i="78"/>
  <c r="E19" i="78"/>
  <c r="F41" i="79"/>
  <c r="E41" i="79"/>
  <c r="F51" i="79"/>
  <c r="F50" i="79" s="1"/>
  <c r="E51" i="79"/>
  <c r="E50" i="79" s="1"/>
  <c r="C53" i="75"/>
  <c r="C68" i="75"/>
  <c r="C27" i="75"/>
  <c r="E269" i="76"/>
  <c r="E271" i="76"/>
  <c r="F128" i="79"/>
  <c r="E128" i="79"/>
  <c r="E127" i="79"/>
  <c r="E126" i="79" s="1"/>
  <c r="F126" i="79"/>
  <c r="F123" i="79"/>
  <c r="E123" i="79"/>
  <c r="F121" i="79"/>
  <c r="E121" i="79"/>
  <c r="F118" i="79"/>
  <c r="E118" i="79"/>
  <c r="F116" i="79"/>
  <c r="E116" i="79"/>
  <c r="F113" i="79"/>
  <c r="E113" i="79"/>
  <c r="E112" i="79"/>
  <c r="E111" i="79" s="1"/>
  <c r="F111" i="79"/>
  <c r="F109" i="79"/>
  <c r="E109" i="79"/>
  <c r="F107" i="79"/>
  <c r="E107" i="79"/>
  <c r="F105" i="79"/>
  <c r="E105" i="79"/>
  <c r="E103" i="79"/>
  <c r="E102" i="79" s="1"/>
  <c r="E101" i="79" s="1"/>
  <c r="F102" i="79"/>
  <c r="F101" i="79" s="1"/>
  <c r="F99" i="79"/>
  <c r="E99" i="79"/>
  <c r="F97" i="79"/>
  <c r="F96" i="79" s="1"/>
  <c r="E97" i="79"/>
  <c r="E96" i="79" s="1"/>
  <c r="F94" i="79"/>
  <c r="E94" i="79"/>
  <c r="F91" i="79"/>
  <c r="F90" i="79" s="1"/>
  <c r="F89" i="79" s="1"/>
  <c r="E91" i="79"/>
  <c r="E90" i="79" s="1"/>
  <c r="E89" i="79" s="1"/>
  <c r="E88" i="79"/>
  <c r="E87" i="79" s="1"/>
  <c r="F87" i="79"/>
  <c r="E86" i="79"/>
  <c r="E85" i="79" s="1"/>
  <c r="F85" i="79"/>
  <c r="E84" i="79"/>
  <c r="E83" i="79" s="1"/>
  <c r="F83" i="79"/>
  <c r="E82" i="79"/>
  <c r="E81" i="79" s="1"/>
  <c r="F81" i="79"/>
  <c r="F75" i="79"/>
  <c r="E75" i="79"/>
  <c r="F64" i="79"/>
  <c r="E64" i="79"/>
  <c r="F62" i="79"/>
  <c r="E62" i="79"/>
  <c r="F60" i="79"/>
  <c r="E60" i="79"/>
  <c r="F59" i="79"/>
  <c r="F58" i="79" s="1"/>
  <c r="E59" i="79"/>
  <c r="E58" i="79" s="1"/>
  <c r="E57" i="79"/>
  <c r="E56" i="79" s="1"/>
  <c r="F56" i="79"/>
  <c r="F54" i="79"/>
  <c r="E54" i="79"/>
  <c r="F53" i="79"/>
  <c r="F52" i="79" s="1"/>
  <c r="E53" i="79"/>
  <c r="E52" i="79" s="1"/>
  <c r="F48" i="79"/>
  <c r="E48" i="79"/>
  <c r="F47" i="79"/>
  <c r="F46" i="79" s="1"/>
  <c r="E46" i="79"/>
  <c r="F40" i="79"/>
  <c r="E40" i="79"/>
  <c r="F39" i="79"/>
  <c r="E39" i="79"/>
  <c r="F38" i="79"/>
  <c r="E38" i="79"/>
  <c r="F37" i="79"/>
  <c r="E37" i="79"/>
  <c r="F36" i="79"/>
  <c r="E36" i="79"/>
  <c r="F35" i="79"/>
  <c r="E35" i="79"/>
  <c r="F33" i="79"/>
  <c r="E33" i="79"/>
  <c r="F32" i="79"/>
  <c r="E32" i="79"/>
  <c r="F31" i="79"/>
  <c r="E31" i="79"/>
  <c r="F30" i="79"/>
  <c r="E30" i="79"/>
  <c r="F29" i="79"/>
  <c r="E29" i="79"/>
  <c r="F28" i="79"/>
  <c r="E28" i="79"/>
  <c r="F27" i="79"/>
  <c r="E27" i="79"/>
  <c r="F26" i="79"/>
  <c r="E26" i="79"/>
  <c r="E25" i="79"/>
  <c r="F24" i="79"/>
  <c r="E24" i="79"/>
  <c r="F23" i="79"/>
  <c r="E23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F14" i="79"/>
  <c r="F13" i="79" s="1"/>
  <c r="E14" i="79"/>
  <c r="E13" i="79" s="1"/>
  <c r="E12" i="79"/>
  <c r="E11" i="79" s="1"/>
  <c r="F11" i="79"/>
  <c r="F49" i="68"/>
  <c r="F48" i="68" s="1"/>
  <c r="F47" i="68" s="1"/>
  <c r="E49" i="68"/>
  <c r="E48" i="68" s="1"/>
  <c r="E47" i="68" s="1"/>
  <c r="E45" i="68"/>
  <c r="F44" i="68"/>
  <c r="E44" i="68"/>
  <c r="F43" i="68"/>
  <c r="E43" i="68"/>
  <c r="F42" i="68"/>
  <c r="E42" i="68"/>
  <c r="F41" i="68"/>
  <c r="E41" i="68"/>
  <c r="F40" i="68"/>
  <c r="E40" i="68"/>
  <c r="F39" i="68"/>
  <c r="E39" i="68"/>
  <c r="F38" i="68"/>
  <c r="E38" i="68"/>
  <c r="F36" i="68"/>
  <c r="E36" i="68"/>
  <c r="F35" i="68"/>
  <c r="E35" i="68"/>
  <c r="E34" i="68"/>
  <c r="E33" i="68"/>
  <c r="E32" i="68"/>
  <c r="F31" i="68"/>
  <c r="E31" i="68"/>
  <c r="E30" i="68"/>
  <c r="E29" i="68"/>
  <c r="E28" i="68"/>
  <c r="E27" i="68"/>
  <c r="E26" i="68"/>
  <c r="F25" i="68"/>
  <c r="E25" i="68"/>
  <c r="E24" i="68"/>
  <c r="E23" i="68"/>
  <c r="E22" i="68"/>
  <c r="E21" i="68"/>
  <c r="F20" i="68"/>
  <c r="E20" i="68"/>
  <c r="E19" i="68"/>
  <c r="F18" i="68"/>
  <c r="E18" i="68"/>
  <c r="E17" i="68"/>
  <c r="E16" i="68"/>
  <c r="F15" i="68"/>
  <c r="E15" i="68"/>
  <c r="E14" i="68"/>
  <c r="F13" i="68"/>
  <c r="E13" i="68"/>
  <c r="F12" i="68"/>
  <c r="E12" i="68"/>
  <c r="F300" i="76"/>
  <c r="F299" i="76"/>
  <c r="E299" i="76"/>
  <c r="F298" i="76"/>
  <c r="F290" i="76"/>
  <c r="E290" i="76"/>
  <c r="F273" i="76"/>
  <c r="F272" i="76" s="1"/>
  <c r="E273" i="76"/>
  <c r="E272" i="76" s="1"/>
  <c r="F266" i="76"/>
  <c r="F264" i="76" s="1"/>
  <c r="F263" i="76" s="1"/>
  <c r="F262" i="76"/>
  <c r="F261" i="76"/>
  <c r="F260" i="76"/>
  <c r="E250" i="76"/>
  <c r="E248" i="76" s="1"/>
  <c r="F248" i="76"/>
  <c r="F240" i="76" s="1"/>
  <c r="E242" i="76"/>
  <c r="E237" i="76"/>
  <c r="E225" i="76"/>
  <c r="E223" i="76"/>
  <c r="E221" i="76"/>
  <c r="E220" i="76"/>
  <c r="E218" i="76"/>
  <c r="E217" i="76"/>
  <c r="E216" i="76"/>
  <c r="E213" i="76"/>
  <c r="E212" i="76"/>
  <c r="E210" i="76"/>
  <c r="E209" i="76"/>
  <c r="E207" i="76"/>
  <c r="F204" i="76"/>
  <c r="F203" i="76"/>
  <c r="F201" i="76" s="1"/>
  <c r="E202" i="76"/>
  <c r="E197" i="76"/>
  <c r="E195" i="76"/>
  <c r="F194" i="76"/>
  <c r="F189" i="76" s="1"/>
  <c r="F185" i="76" s="1"/>
  <c r="E190" i="76"/>
  <c r="E186" i="76"/>
  <c r="F180" i="76"/>
  <c r="E180" i="76"/>
  <c r="F170" i="76"/>
  <c r="E170" i="76"/>
  <c r="F169" i="76"/>
  <c r="E169" i="76"/>
  <c r="E168" i="76"/>
  <c r="E167" i="76"/>
  <c r="E166" i="76"/>
  <c r="F165" i="76"/>
  <c r="E165" i="76"/>
  <c r="F161" i="76"/>
  <c r="E161" i="76"/>
  <c r="F159" i="76"/>
  <c r="E159" i="76"/>
  <c r="F155" i="76"/>
  <c r="E155" i="76"/>
  <c r="F150" i="76"/>
  <c r="E150" i="76"/>
  <c r="E146" i="76"/>
  <c r="E142" i="76"/>
  <c r="F140" i="76"/>
  <c r="F138" i="76" s="1"/>
  <c r="F134" i="76"/>
  <c r="F130" i="76"/>
  <c r="E130" i="76"/>
  <c r="F125" i="76"/>
  <c r="F121" i="76"/>
  <c r="F116" i="76"/>
  <c r="E115" i="76"/>
  <c r="E111" i="76" s="1"/>
  <c r="F111" i="76"/>
  <c r="F94" i="76"/>
  <c r="E94" i="76"/>
  <c r="F93" i="76"/>
  <c r="E93" i="76"/>
  <c r="E90" i="76"/>
  <c r="F89" i="76"/>
  <c r="E89" i="76"/>
  <c r="F85" i="76"/>
  <c r="E85" i="76"/>
  <c r="E84" i="76"/>
  <c r="E80" i="76"/>
  <c r="E79" i="76"/>
  <c r="E73" i="76"/>
  <c r="E69" i="76"/>
  <c r="F65" i="76"/>
  <c r="F63" i="76"/>
  <c r="E63" i="76"/>
  <c r="E59" i="76"/>
  <c r="E55" i="76"/>
  <c r="E54" i="76"/>
  <c r="E52" i="76"/>
  <c r="E50" i="76"/>
  <c r="E49" i="76"/>
  <c r="E48" i="76"/>
  <c r="F47" i="76"/>
  <c r="F42" i="76" s="1"/>
  <c r="E46" i="76"/>
  <c r="F41" i="76"/>
  <c r="E41" i="76"/>
  <c r="F40" i="76"/>
  <c r="E40" i="76"/>
  <c r="E37" i="76"/>
  <c r="E32" i="76"/>
  <c r="E31" i="76"/>
  <c r="F30" i="76"/>
  <c r="E30" i="76"/>
  <c r="F28" i="76"/>
  <c r="E28" i="76"/>
  <c r="E25" i="76"/>
  <c r="F23" i="76"/>
  <c r="E23" i="76"/>
  <c r="F14" i="76"/>
  <c r="E14" i="76"/>
  <c r="F12" i="76"/>
  <c r="E12" i="76"/>
  <c r="C113" i="75"/>
  <c r="C106" i="75" s="1"/>
  <c r="C104" i="75"/>
  <c r="C100" i="75"/>
  <c r="C96" i="75"/>
  <c r="C87" i="75"/>
  <c r="C82" i="75"/>
  <c r="C78" i="75"/>
  <c r="C77" i="75"/>
  <c r="C76" i="75"/>
  <c r="C70" i="75"/>
  <c r="C66" i="75"/>
  <c r="C64" i="75"/>
  <c r="C63" i="75"/>
  <c r="C57" i="75"/>
  <c r="C56" i="75"/>
  <c r="C54" i="75"/>
  <c r="C47" i="75"/>
  <c r="C46" i="75"/>
  <c r="C29" i="75"/>
  <c r="C16" i="75"/>
  <c r="C15" i="75" s="1"/>
  <c r="C14" i="75"/>
  <c r="C11" i="75" s="1"/>
  <c r="C9" i="75"/>
  <c r="F37" i="68" l="1"/>
  <c r="E140" i="76"/>
  <c r="C18" i="75"/>
  <c r="E120" i="79"/>
  <c r="E37" i="68"/>
  <c r="E11" i="68" s="1"/>
  <c r="E10" i="68" s="1"/>
  <c r="E50" i="68" s="1"/>
  <c r="E24" i="77"/>
  <c r="F24" i="77"/>
  <c r="E204" i="76"/>
  <c r="E203" i="76" s="1"/>
  <c r="E201" i="76" s="1"/>
  <c r="E194" i="76"/>
  <c r="C49" i="75"/>
  <c r="C92" i="75"/>
  <c r="F239" i="76"/>
  <c r="F62" i="76"/>
  <c r="F125" i="79"/>
  <c r="E189" i="76"/>
  <c r="E185" i="76" s="1"/>
  <c r="F136" i="76"/>
  <c r="F115" i="79"/>
  <c r="F93" i="79"/>
  <c r="E115" i="79"/>
  <c r="E125" i="79"/>
  <c r="C8" i="75"/>
  <c r="C22" i="75"/>
  <c r="C21" i="75" s="1"/>
  <c r="C86" i="75"/>
  <c r="E266" i="76"/>
  <c r="E264" i="76" s="1"/>
  <c r="E263" i="76" s="1"/>
  <c r="F11" i="68"/>
  <c r="F10" i="68" s="1"/>
  <c r="F50" i="68" s="1"/>
  <c r="E16" i="79"/>
  <c r="E34" i="79"/>
  <c r="F16" i="79"/>
  <c r="F34" i="79"/>
  <c r="F45" i="79"/>
  <c r="E104" i="79"/>
  <c r="F104" i="79"/>
  <c r="F120" i="79"/>
  <c r="E45" i="79"/>
  <c r="E93" i="79"/>
  <c r="E47" i="76"/>
  <c r="E42" i="76" s="1"/>
  <c r="E10" i="76" s="1"/>
  <c r="E65" i="76"/>
  <c r="E62" i="76" s="1"/>
  <c r="F95" i="76"/>
  <c r="F88" i="76" s="1"/>
  <c r="E173" i="76"/>
  <c r="E163" i="76" s="1"/>
  <c r="F277" i="76"/>
  <c r="E280" i="76"/>
  <c r="E277" i="76" s="1"/>
  <c r="F10" i="76"/>
  <c r="E95" i="76"/>
  <c r="E88" i="76" s="1"/>
  <c r="F173" i="76"/>
  <c r="F163" i="76" s="1"/>
  <c r="E138" i="76"/>
  <c r="E136" i="76" s="1"/>
  <c r="E240" i="76"/>
  <c r="E239" i="76" s="1"/>
  <c r="C17" i="75" l="1"/>
  <c r="E10" i="79"/>
  <c r="F10" i="79"/>
  <c r="F130" i="79" s="1"/>
  <c r="F301" i="76"/>
  <c r="C103" i="75"/>
  <c r="C105" i="75" s="1"/>
  <c r="C116" i="75" s="1"/>
  <c r="E130" i="79"/>
  <c r="E301" i="76"/>
  <c r="F99" i="78" l="1"/>
  <c r="E99" i="78"/>
  <c r="F97" i="78"/>
  <c r="E97" i="78"/>
  <c r="F95" i="78"/>
  <c r="E95" i="78"/>
  <c r="F93" i="78"/>
  <c r="E93" i="78"/>
  <c r="F91" i="78"/>
  <c r="E91" i="78"/>
  <c r="F89" i="78"/>
  <c r="E89" i="78"/>
  <c r="F87" i="78"/>
  <c r="E87" i="78"/>
  <c r="F85" i="78"/>
  <c r="E85" i="78"/>
  <c r="F83" i="78"/>
  <c r="E83" i="78"/>
  <c r="F81" i="78"/>
  <c r="E81" i="78"/>
  <c r="F79" i="78"/>
  <c r="E79" i="78"/>
  <c r="F77" i="78"/>
  <c r="E77" i="78"/>
  <c r="F75" i="78"/>
  <c r="E75" i="78"/>
  <c r="F71" i="78"/>
  <c r="E71" i="78"/>
  <c r="F59" i="78"/>
  <c r="E59" i="78"/>
  <c r="F45" i="78"/>
  <c r="E45" i="78"/>
  <c r="E44" i="78"/>
  <c r="E43" i="78" s="1"/>
  <c r="F43" i="78"/>
  <c r="F41" i="78"/>
  <c r="E41" i="78"/>
  <c r="F28" i="78"/>
  <c r="E28" i="78"/>
  <c r="F27" i="78"/>
  <c r="F26" i="78" s="1"/>
  <c r="E26" i="78"/>
  <c r="F24" i="78"/>
  <c r="E24" i="78"/>
  <c r="E23" i="78"/>
  <c r="E18" i="78" s="1"/>
  <c r="F18" i="78"/>
  <c r="F15" i="78"/>
  <c r="E15" i="78"/>
  <c r="F13" i="78"/>
  <c r="E13" i="78"/>
  <c r="F11" i="78"/>
  <c r="E11" i="78"/>
  <c r="F48" i="77"/>
  <c r="F47" i="77" s="1"/>
  <c r="E48" i="77"/>
  <c r="E47" i="77" s="1"/>
  <c r="E45" i="77"/>
  <c r="E44" i="77" s="1"/>
  <c r="E43" i="77" s="1"/>
  <c r="F44" i="77"/>
  <c r="F43" i="77" s="1"/>
  <c r="F39" i="77"/>
  <c r="F38" i="77" s="1"/>
  <c r="E39" i="77"/>
  <c r="E38" i="77" s="1"/>
  <c r="E36" i="77"/>
  <c r="E35" i="77" s="1"/>
  <c r="F22" i="77"/>
  <c r="F19" i="77" s="1"/>
  <c r="E22" i="77"/>
  <c r="E19" i="77" s="1"/>
  <c r="F10" i="77"/>
  <c r="E10" i="77"/>
  <c r="E55" i="62"/>
  <c r="E54" i="62"/>
  <c r="E53" i="62"/>
  <c r="E52" i="62"/>
  <c r="E51" i="62"/>
  <c r="E50" i="62"/>
  <c r="E48" i="62"/>
  <c r="E47" i="62"/>
  <c r="E46" i="62"/>
  <c r="E45" i="62"/>
  <c r="E44" i="62"/>
  <c r="F43" i="62"/>
  <c r="E42" i="62"/>
  <c r="E41" i="62"/>
  <c r="E40" i="62"/>
  <c r="E38" i="62"/>
  <c r="E35" i="62"/>
  <c r="F34" i="62"/>
  <c r="F32" i="62"/>
  <c r="E32" i="62"/>
  <c r="E30" i="62"/>
  <c r="E21" i="62"/>
  <c r="E20" i="62"/>
  <c r="E19" i="62"/>
  <c r="E17" i="62"/>
  <c r="E16" i="62"/>
  <c r="E10" i="62"/>
  <c r="F9" i="62"/>
  <c r="E50" i="58"/>
  <c r="E48" i="58"/>
  <c r="E47" i="58" s="1"/>
  <c r="F47" i="58"/>
  <c r="E46" i="58"/>
  <c r="E43" i="58"/>
  <c r="F41" i="58"/>
  <c r="E40" i="58"/>
  <c r="E39" i="58"/>
  <c r="E38" i="58"/>
  <c r="F32" i="58"/>
  <c r="E31" i="58"/>
  <c r="E30" i="58" s="1"/>
  <c r="F30" i="58"/>
  <c r="E28" i="58"/>
  <c r="F28" i="58"/>
  <c r="E27" i="58"/>
  <c r="E26" i="58" s="1"/>
  <c r="F26" i="58"/>
  <c r="E25" i="58"/>
  <c r="E23" i="58"/>
  <c r="E19" i="58"/>
  <c r="E17" i="58"/>
  <c r="E14" i="58"/>
  <c r="E13" i="58"/>
  <c r="E11" i="58"/>
  <c r="F9" i="58"/>
  <c r="F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D29" i="57"/>
  <c r="D65" i="57" s="1"/>
  <c r="C28" i="57"/>
  <c r="C27" i="57"/>
  <c r="C26" i="57"/>
  <c r="C25" i="57"/>
  <c r="C24" i="57"/>
  <c r="C23" i="57"/>
  <c r="C22" i="57"/>
  <c r="C21" i="57"/>
  <c r="E20" i="57"/>
  <c r="C20" i="57" s="1"/>
  <c r="C19" i="57"/>
  <c r="C18" i="57"/>
  <c r="C17" i="57"/>
  <c r="C16" i="57"/>
  <c r="C15" i="57"/>
  <c r="C14" i="57"/>
  <c r="C13" i="57"/>
  <c r="C12" i="57"/>
  <c r="C11" i="57"/>
  <c r="C10" i="57"/>
  <c r="E10" i="78" l="1"/>
  <c r="E9" i="62"/>
  <c r="E32" i="58"/>
  <c r="F10" i="78"/>
  <c r="E34" i="62"/>
  <c r="E41" i="58"/>
  <c r="C29" i="57"/>
  <c r="F58" i="78"/>
  <c r="E58" i="78"/>
  <c r="E43" i="62"/>
  <c r="E56" i="62" s="1"/>
  <c r="F51" i="58"/>
  <c r="F74" i="78"/>
  <c r="E9" i="58"/>
  <c r="E65" i="57"/>
  <c r="E74" i="78"/>
  <c r="F50" i="77"/>
  <c r="F56" i="62"/>
  <c r="F17" i="78"/>
  <c r="E17" i="78"/>
  <c r="E50" i="77"/>
  <c r="E51" i="58" l="1"/>
  <c r="C65" i="57"/>
  <c r="F101" i="78"/>
  <c r="E101" i="78"/>
  <c r="F20" i="80" l="1"/>
  <c r="F19" i="80" s="1"/>
  <c r="E20" i="80"/>
  <c r="E19" i="80" s="1"/>
  <c r="F10" i="60" l="1"/>
  <c r="E11" i="60"/>
  <c r="E13" i="60"/>
  <c r="E14" i="60"/>
  <c r="E19" i="60"/>
  <c r="E20" i="60"/>
  <c r="E21" i="60"/>
  <c r="E29" i="60"/>
  <c r="E30" i="60"/>
  <c r="E32" i="60"/>
  <c r="E34" i="60"/>
  <c r="E35" i="60"/>
  <c r="F37" i="60"/>
  <c r="E41" i="60"/>
  <c r="E37" i="60" s="1"/>
  <c r="F42" i="60"/>
  <c r="E43" i="60"/>
  <c r="E42" i="60" s="1"/>
  <c r="E10" i="60" l="1"/>
  <c r="E44" i="60" s="1"/>
  <c r="F44" i="60"/>
  <c r="F23" i="80"/>
  <c r="F22" i="80" s="1"/>
  <c r="E23" i="80"/>
  <c r="E22" i="80" s="1"/>
  <c r="E11" i="80" l="1"/>
  <c r="E10" i="80" s="1"/>
  <c r="F17" i="80"/>
  <c r="F14" i="80" s="1"/>
  <c r="E17" i="80"/>
  <c r="E14" i="80" s="1"/>
  <c r="F11" i="80"/>
  <c r="F10" i="80" s="1"/>
  <c r="E25" i="80" l="1"/>
  <c r="F25" i="80"/>
</calcChain>
</file>

<file path=xl/sharedStrings.xml><?xml version="1.0" encoding="utf-8"?>
<sst xmlns="http://schemas.openxmlformats.org/spreadsheetml/2006/main" count="1913" uniqueCount="885">
  <si>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</si>
  <si>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</si>
  <si>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</si>
  <si>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</si>
  <si>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</si>
  <si>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</si>
  <si>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</si>
  <si>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</si>
  <si>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</si>
  <si>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</si>
  <si>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</si>
  <si>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</si>
  <si>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</si>
  <si>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</si>
  <si>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</si>
  <si>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</si>
  <si>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</si>
  <si>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</si>
  <si>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</si>
  <si>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</si>
  <si>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</si>
  <si>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</si>
  <si>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</si>
  <si>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</si>
  <si>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</si>
  <si>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</si>
  <si>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</si>
  <si>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</si>
  <si>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</si>
  <si>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</si>
  <si>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</si>
  <si>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</si>
  <si>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</si>
  <si>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</si>
  <si>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</si>
  <si>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</si>
  <si>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</si>
  <si>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</si>
  <si>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</si>
  <si>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</si>
  <si>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</si>
  <si>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</si>
  <si>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</si>
  <si>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</si>
  <si>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</si>
  <si>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</si>
  <si>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</si>
  <si>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</si>
  <si>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</si>
  <si>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</si>
  <si>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</si>
  <si>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</si>
  <si>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</si>
  <si>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</si>
  <si>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</si>
  <si>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</si>
  <si>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</si>
  <si>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</si>
  <si>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</si>
  <si>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</si>
  <si>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</si>
  <si>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</si>
  <si>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</si>
  <si>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</si>
  <si>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</si>
  <si>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</si>
  <si>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</si>
  <si>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</si>
  <si>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</si>
  <si>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</si>
  <si>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</si>
  <si>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</si>
  <si>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</si>
  <si>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</si>
  <si>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</si>
  <si>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</si>
  <si>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</si>
  <si>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</si>
  <si>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</si>
  <si>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</si>
  <si>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</si>
  <si>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</si>
  <si>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</si>
  <si>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</si>
  <si>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</si>
  <si>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</si>
  <si>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</si>
  <si>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</si>
  <si>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</si>
  <si>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</si>
  <si>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</si>
  <si>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</si>
  <si>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</si>
  <si>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</si>
  <si>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</si>
  <si>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</si>
  <si>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</si>
  <si>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</si>
  <si>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</si>
  <si>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</si>
  <si>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</si>
  <si>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</si>
  <si>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</si>
  <si>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</si>
  <si>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</si>
  <si>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</si>
  <si>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</si>
  <si>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</si>
  <si>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</si>
  <si>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</si>
  <si>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</si>
  <si>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</si>
  <si>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</si>
  <si>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</si>
  <si>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</si>
  <si>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</si>
  <si>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</si>
  <si>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</si>
  <si>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</si>
  <si>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</si>
  <si>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</si>
  <si>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</si>
  <si>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</si>
  <si>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</si>
  <si>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</si>
  <si>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</si>
  <si>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</si>
  <si>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</si>
  <si>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</si>
  <si>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</si>
  <si>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</si>
  <si>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</si>
  <si>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</si>
  <si>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</si>
  <si>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</si>
  <si>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</si>
  <si>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</si>
  <si>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</si>
  <si>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</si>
  <si>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</si>
  <si>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</si>
  <si>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</si>
  <si>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</si>
  <si>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</si>
  <si>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</si>
  <si>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</si>
  <si>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</si>
  <si>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</si>
  <si>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</si>
  <si>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</si>
  <si>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</si>
  <si>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</si>
  <si>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</si>
  <si>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</si>
  <si>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</si>
  <si>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</si>
  <si>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</si>
  <si>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</si>
  <si>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</si>
  <si>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</si>
  <si>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</si>
  <si>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</si>
  <si>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</si>
  <si>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</si>
  <si>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</si>
  <si>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</si>
  <si>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</si>
  <si>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</si>
  <si>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</si>
  <si>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</si>
  <si>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</si>
  <si>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</si>
  <si>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</si>
  <si>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</si>
  <si>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</si>
  <si>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</si>
  <si>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</si>
  <si>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</si>
  <si>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</si>
  <si>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</si>
  <si>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</si>
  <si>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</si>
  <si>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</si>
  <si>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</si>
  <si>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</si>
  <si>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</si>
  <si>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</si>
  <si>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</si>
  <si>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</si>
  <si>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</si>
  <si>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</si>
  <si>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</si>
  <si>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</si>
  <si>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</si>
  <si>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</si>
  <si>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</si>
  <si>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</si>
  <si>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</si>
  <si>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</si>
  <si>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</si>
  <si>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</si>
  <si>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</si>
  <si>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</si>
  <si>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</si>
  <si>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</si>
  <si>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</si>
  <si>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</si>
  <si>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</si>
  <si>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</si>
  <si>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</si>
  <si>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</si>
  <si>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</si>
  <si>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</si>
  <si>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</si>
  <si>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</si>
  <si>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</si>
  <si>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</si>
  <si>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09.05.01.03</t>
  </si>
  <si>
    <t>07.04.01.02</t>
  </si>
  <si>
    <t>10.01.02.02 10.07.01.01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</si>
  <si>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</si>
  <si>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</si>
  <si>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</si>
  <si>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</si>
  <si>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</si>
  <si>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</si>
  <si>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</si>
  <si>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</si>
  <si>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</si>
  <si>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</si>
  <si>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</si>
  <si>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</si>
  <si>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</si>
  <si>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</si>
  <si>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</si>
  <si>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</si>
  <si>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</si>
  <si>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</si>
  <si>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</si>
  <si>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</si>
  <si>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</si>
  <si>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</si>
  <si>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</si>
  <si>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</si>
  <si>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</si>
  <si>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</si>
  <si>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</si>
  <si>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</si>
  <si>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</si>
  <si>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</si>
  <si>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</si>
  <si>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</si>
  <si>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</si>
  <si>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</si>
  <si>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</si>
  <si>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</si>
  <si>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</si>
  <si>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</si>
  <si>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</si>
  <si>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</si>
  <si>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</si>
  <si>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</si>
  <si>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</si>
  <si>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</si>
  <si>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</si>
  <si>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</si>
  <si>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</si>
  <si>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</si>
  <si>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</si>
  <si>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</si>
  <si>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</si>
  <si>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</si>
  <si>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</si>
  <si>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</si>
  <si>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</si>
  <si>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</si>
  <si>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</si>
  <si>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</si>
  <si>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</si>
  <si>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  </t>
  </si>
  <si>
    <t xml:space="preserve">06.02.01.01                       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</si>
  <si>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</si>
  <si>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</si>
  <si>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</si>
  <si>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</si>
  <si>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</si>
  <si>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</si>
  <si>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</si>
  <si>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</si>
  <si>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</si>
  <si>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</si>
  <si>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</si>
  <si>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</si>
  <si>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</si>
  <si>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</si>
  <si>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</si>
  <si>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</si>
  <si>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</si>
  <si>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</si>
  <si>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</si>
  <si>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</si>
  <si>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04.1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</si>
  <si>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</si>
  <si>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</si>
  <si>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</si>
  <si>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</si>
  <si>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</si>
  <si>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</si>
  <si>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</si>
  <si>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</si>
  <si>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</si>
  <si>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</si>
  <si>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</si>
  <si>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</si>
  <si>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</si>
  <si>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</si>
  <si>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</si>
  <si>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</si>
  <si>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</si>
  <si>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</si>
  <si>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</si>
  <si>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</si>
  <si>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</si>
  <si>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</si>
  <si>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</si>
  <si>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</si>
  <si>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</si>
  <si>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</si>
  <si>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</si>
  <si>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</si>
  <si>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</si>
  <si>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</si>
  <si>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</si>
  <si>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</si>
  <si>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</si>
  <si>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</si>
  <si>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</si>
  <si>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</si>
  <si>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</si>
  <si>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</si>
  <si>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</si>
  <si>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</si>
  <si>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</si>
  <si>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</si>
  <si>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</si>
  <si>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</si>
  <si>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</si>
  <si>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</si>
  <si>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</si>
  <si>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</si>
  <si>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</si>
  <si>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 xml:space="preserve">                                                                 Kėdainių rajono savivaldybės tarybos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</si>
  <si>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</si>
  <si>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</si>
  <si>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</si>
  <si>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</si>
  <si>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</si>
  <si>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</si>
  <si>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</si>
  <si>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</si>
  <si>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</si>
  <si>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</si>
  <si>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</si>
  <si>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</si>
  <si>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</si>
  <si>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</si>
  <si>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</si>
  <si>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</si>
  <si>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</si>
  <si>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</si>
  <si>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</si>
  <si>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</si>
  <si>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</si>
  <si>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</si>
  <si>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</si>
  <si>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</si>
  <si>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</si>
  <si>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</si>
  <si>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</si>
  <si>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</si>
  <si>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</si>
  <si>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</si>
  <si>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</si>
  <si>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</si>
  <si>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</si>
  <si>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</si>
  <si>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</si>
  <si>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</si>
  <si>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</si>
  <si>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</si>
  <si>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</si>
  <si>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</si>
  <si>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</si>
  <si>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</si>
  <si>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</si>
  <si>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</si>
  <si>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</si>
  <si>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</si>
  <si>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</si>
  <si>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</si>
  <si>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</si>
  <si>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</si>
  <si>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</si>
  <si>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</si>
  <si>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</si>
  <si>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</si>
  <si>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</si>
  <si>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</si>
  <si>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</si>
  <si>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</si>
  <si>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</si>
  <si>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</si>
  <si>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</si>
  <si>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</si>
  <si>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</si>
  <si>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</si>
  <si>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</si>
  <si>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</si>
  <si>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</si>
  <si>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</si>
  <si>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</si>
  <si>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</si>
  <si>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</si>
  <si>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</si>
  <si>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</si>
  <si>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</si>
  <si>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</si>
  <si>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</si>
  <si>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 xml:space="preserve">                                                       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</si>
  <si>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</si>
  <si>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</si>
  <si>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</si>
  <si>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</si>
  <si>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</si>
  <si>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</si>
  <si>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</si>
  <si>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</si>
  <si>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 xml:space="preserve">                                                             Kėdainių rajono savivaldybės tarybos</t>
  </si>
  <si>
    <t>11 priedas</t>
  </si>
  <si>
    <t>10.01.02.01
10.01.02.02
10.06.01.01
10.09.01.01 
10.09.01.09</t>
  </si>
  <si>
    <t>Rekonstruoti/įrengti/modernizuoti Kėdainių miesto ir rajono  gatvių apšvietimą</t>
  </si>
  <si>
    <t>2023 METŲ VALSTYBĖS BIUDŽETO DOTACIJOS IŠ KITŲ VALDYMO LYGIŲ SAVIVALDYBĖS BIUDŽETUI PROJEKTAMS FINANSUOTI  ASIGNAVIMAI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</si>
  <si>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</si>
  <si>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</si>
  <si>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</si>
  <si>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</si>
  <si>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2023 METŲ ASIGNAVIMAI ĮSTAIGOMS IŠ PAJAMŲ, GAUTŲ UŽ IŠLAIKYMĄ ŠVIETIMO, SOCIALINĖS APSAUGOS IR KITOSE ĮSTAIGOSE</t>
  </si>
  <si>
    <t xml:space="preserve"> 2023 METŲ ASIGNAVIMAI ĮSTAIGOMS IŠ PAJAMŲ, GAUTŲ UŽ ILGALAIKIO IR TRUMPALAIKIO MATERIALIOJO TURTO NUOMĄ</t>
  </si>
  <si>
    <t xml:space="preserve"> 2023 METŲ ASIGNAVIMAI ĮSTAIGOMS IŠ PAJAMŲ, GAUTŲ UŽ PREKES IR PASLAUGAS </t>
  </si>
  <si>
    <t>KĖDAINIŲ RAJONO SAVIVALDYBĖS 2023 METŲ BIUDŽETO ASIGNAVIMAI  SAVARANKIŠKOMS FUNKCIJOMS ATLIKTI</t>
  </si>
  <si>
    <t xml:space="preserve">IŠ BIUDŽETO IŠLAIKOMŲ ĮSTAIGŲ 2023 METŲ PAJAMOS UŽ PREKES IR  PASLAUGAS, UŽ ILGALAIKIO IR TRUMPALAIKIO MATERIALIOJO TURTO NUOMĄ IR UŽ IŠLAIKYMĄ ŠVIETIMO, SOCIALINĖS APSAUGOS IR KITOSE ĮSTAIGOSE 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</si>
  <si>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</si>
  <si>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</si>
  <si>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</si>
  <si>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</si>
  <si>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</si>
  <si>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</si>
  <si>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</si>
  <si>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</si>
  <si>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</si>
  <si>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</si>
  <si>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</si>
  <si>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</si>
  <si>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</si>
  <si>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</si>
  <si>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</si>
  <si>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</si>
  <si>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</si>
  <si>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</si>
  <si>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</si>
  <si>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</si>
  <si>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</si>
  <si>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</si>
  <si>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</si>
  <si>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</si>
  <si>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</si>
  <si>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</si>
  <si>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</si>
  <si>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</si>
  <si>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</si>
  <si>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</si>
  <si>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</si>
  <si>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</si>
  <si>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</si>
  <si>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</si>
  <si>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</si>
  <si>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</si>
  <si>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</si>
  <si>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</si>
  <si>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</si>
  <si>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</si>
  <si>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</si>
  <si>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</si>
  <si>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</si>
  <si>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</si>
  <si>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</si>
  <si>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</si>
  <si>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</si>
  <si>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</si>
  <si>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</si>
  <si>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</si>
  <si>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</si>
  <si>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</si>
  <si>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</si>
  <si>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</si>
  <si>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</si>
  <si>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</si>
  <si>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</si>
  <si>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</si>
  <si>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</si>
  <si>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</si>
  <si>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</si>
  <si>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</si>
  <si>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</si>
  <si>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</si>
  <si>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</si>
  <si>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</si>
  <si>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</si>
  <si>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</si>
  <si>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</si>
  <si>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</si>
  <si>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</si>
  <si>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</si>
  <si>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</si>
  <si>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</si>
  <si>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</si>
  <si>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</si>
  <si>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</si>
  <si>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</si>
  <si>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</si>
  <si>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</si>
  <si>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</si>
  <si>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</si>
  <si>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</si>
  <si>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</si>
  <si>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</si>
  <si>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</si>
  <si>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</si>
  <si>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</si>
  <si>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</si>
  <si>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</si>
  <si>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</si>
  <si>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</si>
  <si>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</si>
  <si>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</si>
  <si>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</si>
  <si>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</si>
  <si>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</si>
  <si>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</si>
  <si>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</si>
  <si>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</si>
  <si>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</si>
  <si>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</si>
  <si>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</si>
  <si>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</si>
  <si>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</si>
  <si>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</si>
  <si>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</si>
  <si>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</si>
  <si>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</si>
  <si>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</si>
  <si>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</si>
  <si>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</si>
  <si>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</si>
  <si>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</si>
  <si>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</si>
  <si>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</si>
  <si>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</si>
  <si>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</si>
  <si>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</si>
  <si>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</si>
  <si>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</si>
  <si>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</si>
  <si>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</si>
  <si>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</si>
  <si>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</si>
  <si>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</si>
  <si>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</si>
  <si>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</si>
  <si>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</si>
  <si>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</si>
  <si>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</si>
  <si>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</si>
  <si>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</si>
  <si>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</si>
  <si>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</si>
  <si>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</si>
  <si>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</si>
  <si>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</si>
  <si>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</si>
  <si>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</si>
  <si>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</si>
  <si>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</si>
  <si>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</si>
  <si>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</si>
  <si>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</si>
  <si>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</si>
  <si>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</si>
  <si>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</si>
  <si>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</si>
  <si>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</si>
  <si>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</si>
  <si>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</si>
  <si>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8</t>
  </si>
  <si>
    <t>7</t>
  </si>
  <si>
    <t>05.1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</si>
  <si>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</si>
  <si>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</si>
  <si>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</si>
  <si>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</si>
  <si>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</si>
  <si>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</si>
  <si>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</si>
  <si>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</si>
  <si>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</si>
  <si>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</si>
  <si>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</si>
  <si>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</si>
  <si>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</si>
  <si>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</si>
  <si>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</si>
  <si>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</si>
  <si>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</si>
  <si>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10.2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</si>
  <si>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</si>
  <si>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</si>
  <si>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</si>
  <si>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</si>
  <si>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</si>
  <si>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</si>
  <si>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</si>
  <si>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</si>
  <si>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</si>
  <si>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</si>
  <si>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</si>
  <si>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</si>
  <si>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</si>
  <si>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</si>
  <si>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</si>
  <si>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</si>
  <si>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</si>
  <si>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</si>
  <si>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</si>
  <si>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</si>
  <si>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</si>
  <si>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</si>
  <si>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</si>
  <si>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</si>
  <si>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</si>
  <si>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</si>
  <si>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</si>
  <si>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</si>
  <si>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</si>
  <si>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</si>
  <si>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</si>
  <si>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</si>
  <si>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</si>
  <si>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</si>
  <si>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</si>
  <si>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</si>
  <si>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</si>
  <si>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</si>
  <si>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</si>
  <si>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</si>
  <si>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</si>
  <si>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</si>
  <si>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</si>
  <si>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</si>
  <si>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</si>
  <si>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</si>
  <si>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</si>
  <si>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</si>
  <si>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</si>
  <si>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</si>
  <si>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</si>
  <si>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</si>
  <si>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</si>
  <si>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</si>
  <si>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</si>
  <si>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</si>
  <si>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</si>
  <si>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</si>
  <si>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</si>
  <si>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</si>
  <si>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</si>
  <si>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</si>
  <si>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</si>
  <si>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</si>
  <si>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</si>
  <si>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</si>
  <si>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</si>
  <si>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</si>
  <si>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</si>
  <si>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</si>
  <si>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</si>
  <si>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</si>
  <si>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</si>
  <si>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</si>
  <si>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</si>
  <si>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</si>
  <si>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</si>
  <si>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</si>
  <si>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</si>
  <si>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</si>
  <si>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</si>
  <si>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</si>
  <si>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</si>
  <si>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</si>
  <si>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</si>
  <si>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</si>
  <si>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</si>
  <si>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</si>
  <si>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</si>
  <si>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</si>
  <si>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</si>
  <si>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</si>
  <si>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</si>
  <si>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</si>
  <si>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</si>
  <si>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</si>
  <si>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</si>
  <si>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</si>
  <si>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</si>
  <si>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</si>
  <si>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</si>
  <si>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</si>
  <si>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</si>
  <si>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</si>
  <si>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</si>
  <si>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</si>
  <si>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</si>
  <si>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</si>
  <si>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</si>
  <si>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</si>
  <si>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</si>
  <si>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</si>
  <si>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</si>
  <si>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</si>
  <si>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</si>
  <si>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</si>
  <si>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</si>
  <si>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</si>
  <si>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</si>
  <si>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</si>
  <si>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</si>
  <si>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</si>
  <si>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</si>
  <si>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</si>
  <si>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</si>
  <si>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</si>
  <si>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</si>
  <si>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</si>
  <si>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</si>
  <si>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</si>
  <si>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</si>
  <si>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</si>
  <si>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</si>
  <si>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</si>
  <si>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</si>
  <si>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</si>
  <si>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</si>
  <si>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</si>
  <si>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</si>
  <si>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</si>
  <si>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</si>
  <si>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</si>
  <si>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</si>
  <si>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</si>
  <si>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</si>
  <si>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</si>
  <si>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</si>
  <si>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</si>
  <si>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</si>
  <si>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</si>
  <si>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</si>
  <si>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</si>
  <si>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</si>
  <si>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</si>
  <si>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</si>
  <si>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</si>
  <si>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</si>
  <si>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</si>
  <si>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</si>
  <si>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</si>
  <si>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</si>
  <si>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</si>
  <si>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</si>
  <si>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</si>
  <si>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</si>
  <si>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</si>
  <si>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</si>
  <si>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</si>
  <si>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</si>
  <si>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</si>
  <si>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</si>
  <si>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</si>
  <si>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</si>
  <si>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</si>
  <si>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</si>
  <si>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</si>
  <si>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</si>
  <si>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</si>
  <si>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</si>
  <si>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</si>
  <si>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</si>
  <si>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</si>
  <si>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</si>
  <si>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</si>
  <si>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</si>
  <si>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</si>
  <si>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</si>
  <si>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</si>
  <si>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</si>
  <si>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</si>
  <si>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</si>
  <si>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</si>
  <si>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</si>
  <si>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</si>
  <si>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</si>
  <si>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</si>
  <si>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</si>
  <si>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</si>
  <si>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</si>
  <si>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</si>
  <si>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</si>
  <si>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</si>
  <si>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</si>
  <si>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</si>
  <si>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</si>
  <si>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31.5.14</t>
  </si>
  <si>
    <t xml:space="preserve">                                                                          Kėdainių rajono savivaldybės tarybos</t>
  </si>
  <si>
    <t>16.35</t>
  </si>
  <si>
    <t>08.5</t>
  </si>
  <si>
    <t>Kita dotacija „Sosnovskio barsčio naikinimas Kėdainių rajone“</t>
  </si>
  <si>
    <t xml:space="preserve">      valstybės biudžeto lėšos Sosnovskio barščio naikinimui Kėdainių rajone</t>
  </si>
  <si>
    <t>Vykdyti sveikatos priežiūros specialistų skatinimo dirbti VšĮ Kėdainių ligoninėje 2023-2026 m. programą</t>
  </si>
  <si>
    <t>16.36</t>
  </si>
  <si>
    <t>Kita dotacija išlaidoms, susijusioms su ugdymu, maitinimu ir pavėžėjimu socialinę riziką patiriantiems vaikams ikimokykliniame ugdyme</t>
  </si>
  <si>
    <t>01.5</t>
  </si>
  <si>
    <t>10.06.01.01 10.07.01.01</t>
  </si>
  <si>
    <t xml:space="preserve">iš jų: teikti integralią pagalbą į namus Kėdainių rajone </t>
  </si>
  <si>
    <t>Kėdainių pagalbos šeimai centras iš viso:</t>
  </si>
  <si>
    <t>Įgyvendinti projektą „Vaikų gerovės ir saugumo didinimo, paslaugų šeimai, globėjams (rūpintojams) kokybės didinimo bei prieinamumo plėtra“</t>
  </si>
  <si>
    <t>Įgyvendinti projektą „Paslaugų, skatinančių ir efektyviai palaikančių globą šeimos aplinkoje, vystymas“</t>
  </si>
  <si>
    <t>Įgyvendinti projektą  „Kompleksinių paslaugų (KOPA)"</t>
  </si>
  <si>
    <t xml:space="preserve">09.02.02.01 </t>
  </si>
  <si>
    <t xml:space="preserve">09.02.01.01 09.02.02.01 </t>
  </si>
  <si>
    <t>Įgyvendinti projektą "Karjeros specialistų tinklo vystymas"</t>
  </si>
  <si>
    <t>iš jų: įgyvendinti projektą „Kėdainių ir Anykščių rajono savivaldybių mokyklų sveikatos kabinetų atnaujinimas"</t>
  </si>
  <si>
    <t>Įgyvendinti projektą „Tūkstantmečio mokyklos programa"</t>
  </si>
  <si>
    <t>Įgyvendinti projektą  „Pabėgėlių iš Ukrainos priėmimas ir ankstyva integracija“</t>
  </si>
  <si>
    <t>2.5</t>
  </si>
  <si>
    <t>2.6</t>
  </si>
  <si>
    <t>5.1</t>
  </si>
  <si>
    <t>7.1</t>
  </si>
  <si>
    <t>8.2</t>
  </si>
  <si>
    <t>8.3</t>
  </si>
  <si>
    <t>9</t>
  </si>
  <si>
    <t>9.1</t>
  </si>
  <si>
    <t>9.2</t>
  </si>
  <si>
    <t>9.3</t>
  </si>
  <si>
    <t>15.2</t>
  </si>
  <si>
    <t>16</t>
  </si>
  <si>
    <t>17</t>
  </si>
  <si>
    <t>17.1</t>
  </si>
  <si>
    <t xml:space="preserve">                                                                 2023 m. lapkričio 24 d. sprendimo Nr. TS-</t>
  </si>
  <si>
    <t xml:space="preserve">                                                                                          2023 m. lapkričio 24 d. sprendimo Nr. TS-</t>
  </si>
  <si>
    <t xml:space="preserve">                                                                             2023 m. lapkričio 24 d. sprendimo Nr. TS-</t>
  </si>
  <si>
    <t xml:space="preserve">                                                                         2023 m. lapkričio 24 d. sprendimo Nr. TS-</t>
  </si>
  <si>
    <t xml:space="preserve">                                                                              2023 m. lapkričio 24 d. sprendimo Nr. TS-</t>
  </si>
  <si>
    <t xml:space="preserve">                                                                    2023 m. lapkričio 24 d. sprendimo Nr. TS-</t>
  </si>
  <si>
    <t xml:space="preserve">                                                                      2023 m. lapkričio 24 d. sprendimo Nr. TS-</t>
  </si>
  <si>
    <t xml:space="preserve">     valstybės biudžeto lėšos, skirtos užtikrinti ugdymo, maitinimo ir pavėžėjimo lėšas socialinę riziką patiriantiems vaikams ikimokykliniame ugdyme</t>
  </si>
  <si>
    <t xml:space="preserve">                                                                                          Kėdainių rajono savivaldybės tarybos  </t>
  </si>
  <si>
    <t xml:space="preserve">                                                                          2023 m. lapkričio 24 d. sprendimo Nr. TS-</t>
  </si>
  <si>
    <t xml:space="preserve">                                                                             Kėdainių rajono savivaldybės tarybos</t>
  </si>
  <si>
    <t xml:space="preserve">                                                                         Kėdainių rajono savivaldybės tarybos</t>
  </si>
  <si>
    <t xml:space="preserve">                                                                       Kėdainių rajono savivaldybės tarybos</t>
  </si>
  <si>
    <t xml:space="preserve">                                                                    Kėdainių rajono savivaldybės tarybos</t>
  </si>
  <si>
    <t xml:space="preserve">                                                     Kėdainių rajono savivaldybės tarybos</t>
  </si>
  <si>
    <t>4 priedas</t>
  </si>
  <si>
    <t>2.7</t>
  </si>
  <si>
    <t>Įgyvendinti projektą "Kokybės krepšelis"</t>
  </si>
  <si>
    <t>Kita dotacija savivaldybės viešajai bibliotekai dokumentams 2023 metais įsigyti</t>
  </si>
  <si>
    <t>Kita dotacija įgyvendinti valstybei nuosavybės teise priklausančių žemės savininkų ir kitų naudotojų žemėje esančių melioracijos statinių rekonstravimo ir remonto darbus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</si>
</sst>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57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1" fillId="0" borderId="0" xfId="0" applyNumberFormat="1" applyFont="1"/>
    <xf numFmtId="16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2" fillId="0" borderId="0" xfId="0" applyNumberFormat="1" applyFont="1"/>
    <xf numFmtId="0" fontId="1" fillId="0" borderId="1" xfId="1" applyFont="1" applyBorder="1" applyAlignment="1">
      <alignment vertical="center" wrapText="1"/>
    </xf>
    <xf numFmtId="167" fontId="15" fillId="0" borderId="0" xfId="0" applyNumberFormat="1" applyFont="1"/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5" fillId="0" borderId="0" xfId="0" applyNumberFormat="1" applyFont="1"/>
    <xf numFmtId="0" fontId="15" fillId="0" borderId="0" xfId="0" applyFont="1"/>
    <xf numFmtId="0" fontId="1" fillId="0" borderId="1" xfId="1" applyFont="1" applyBorder="1" applyAlignment="1">
      <alignment horizontal="left" vertical="center" wrapText="1"/>
    </xf>
    <xf numFmtId="168" fontId="17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7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1" fillId="0" borderId="0" xfId="0" applyNumberFormat="1" applyFont="1"/>
    <xf numFmtId="168" fontId="19" fillId="0" borderId="0" xfId="0" applyNumberFormat="1" applyFont="1" applyAlignment="1">
      <alignment vertical="center"/>
    </xf>
    <xf numFmtId="168" fontId="19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168" fontId="18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20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" fillId="0" borderId="7" xfId="18" applyBorder="1" applyAlignment="1">
      <alignment vertical="center" wrapText="1"/>
    </xf>
    <xf numFmtId="168" fontId="1" fillId="0" borderId="7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7" fontId="1" fillId="0" borderId="1" xfId="20" applyNumberFormat="1" applyBorder="1" applyAlignment="1">
      <alignment vertical="center"/>
    </xf>
    <xf numFmtId="49" fontId="1" fillId="0" borderId="1" xfId="2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168" fontId="1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8" fontId="18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49" fontId="1" fillId="0" borderId="4" xfId="20" applyNumberForma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7" fontId="1" fillId="0" borderId="2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7" fontId="6" fillId="0" borderId="2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7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19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71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microsoft.com/office/2017/10/relationships/person" Target="persons/person44.xml"/><Relationship Id="rId26" Type="http://schemas.microsoft.com/office/2017/10/relationships/person" Target="persons/person6.xml"/><Relationship Id="rId39" Type="http://schemas.microsoft.com/office/2017/10/relationships/person" Target="persons/person18.xml"/><Relationship Id="rId21" Type="http://schemas.microsoft.com/office/2017/10/relationships/person" Target="persons/person0.xml"/><Relationship Id="rId34" Type="http://schemas.microsoft.com/office/2017/10/relationships/person" Target="persons/person13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63" Type="http://schemas.microsoft.com/office/2017/10/relationships/person" Target="persons/person43.xml"/><Relationship Id="rId68" Type="http://schemas.microsoft.com/office/2017/10/relationships/person" Target="persons/person4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9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45" Type="http://schemas.microsoft.com/office/2017/10/relationships/person" Target="persons/person23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66" Type="http://schemas.microsoft.com/office/2017/10/relationships/person" Target="persons/person46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61" Type="http://schemas.microsoft.com/office/2017/10/relationships/person" Target="persons/person39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" Type="http://schemas.openxmlformats.org/officeDocument/2006/relationships/worksheet" Target="worksheets/sheet10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69" Type="http://schemas.microsoft.com/office/2017/10/relationships/person" Target="persons/person50.xml"/><Relationship Id="rId64" Type="http://schemas.microsoft.com/office/2017/10/relationships/person" Target="persons/person47.xml"/><Relationship Id="rId56" Type="http://schemas.microsoft.com/office/2017/10/relationships/person" Target="persons/person38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35" Type="http://schemas.microsoft.com/office/2017/10/relationships/person" Target="persons/person17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Relationship Id="rId8" Type="http://schemas.openxmlformats.org/officeDocument/2006/relationships/worksheet" Target="worksheets/sheet8.xml"/><Relationship Id="rId51" Type="http://schemas.microsoft.com/office/2017/10/relationships/person" Target="persons/person34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67" Type="http://schemas.microsoft.com/office/2017/10/relationships/person" Target="persons/person49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20" Type="http://schemas.microsoft.com/office/2017/10/relationships/person" Target="persons/person41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opLeftCell="A55" zoomScaleNormal="100" workbookViewId="0">
      <selection activeCell="J82" sqref="J82"/>
    </sheetView>
  </sheetViews>
  <sheetFormatPr defaultColWidth="9.140625" defaultRowHeight="12.75" x14ac:dyDescent="0.2"/>
  <cols>
    <col min="1" max="1" width="6.28515625" style="9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1"/>
      <c r="B1" s="223" t="s">
        <v>351</v>
      </c>
      <c r="C1" s="223"/>
    </row>
    <row r="2" spans="1:15" ht="15.75" x14ac:dyDescent="0.25">
      <c r="A2" s="1"/>
      <c r="B2" s="224" t="s">
        <v>865</v>
      </c>
      <c r="C2" s="224"/>
    </row>
    <row r="3" spans="1:15" ht="15.75" x14ac:dyDescent="0.25">
      <c r="A3" s="222" t="s">
        <v>302</v>
      </c>
      <c r="B3" s="222"/>
      <c r="C3" s="222"/>
    </row>
    <row r="4" spans="1:15" ht="15.75" x14ac:dyDescent="0.25">
      <c r="A4" s="4"/>
      <c r="B4" s="3"/>
      <c r="C4" s="3"/>
    </row>
    <row r="5" spans="1:15" x14ac:dyDescent="0.2">
      <c r="A5" s="1"/>
      <c r="B5" s="5" t="s">
        <v>451</v>
      </c>
      <c r="C5" s="6"/>
    </row>
    <row r="6" spans="1:15" x14ac:dyDescent="0.2">
      <c r="A6" s="1"/>
      <c r="B6" s="6"/>
      <c r="C6" s="6"/>
    </row>
    <row r="7" spans="1:15" s="9" customFormat="1" x14ac:dyDescent="0.2">
      <c r="A7" s="7" t="s">
        <v>0</v>
      </c>
      <c r="B7" s="8" t="s">
        <v>303</v>
      </c>
      <c r="C7" s="8" t="s">
        <v>304</v>
      </c>
    </row>
    <row r="8" spans="1:15" ht="12.6" customHeight="1" x14ac:dyDescent="0.2">
      <c r="A8" s="10">
        <v>1</v>
      </c>
      <c r="B8" s="7" t="s">
        <v>386</v>
      </c>
      <c r="C8" s="11">
        <f>+C9+C10+C11+C15</f>
        <v>45354.9</v>
      </c>
      <c r="E8" s="12"/>
      <c r="G8" s="13"/>
    </row>
    <row r="9" spans="1:15" ht="12.6" customHeight="1" x14ac:dyDescent="0.2">
      <c r="A9" s="10">
        <v>2</v>
      </c>
      <c r="B9" s="7" t="s">
        <v>305</v>
      </c>
      <c r="C9" s="14">
        <f>39669+2701.9</f>
        <v>42370.9</v>
      </c>
      <c r="D9" s="15"/>
      <c r="E9" s="13"/>
      <c r="G9" s="13"/>
    </row>
    <row r="10" spans="1:15" ht="25.5" x14ac:dyDescent="0.2">
      <c r="A10" s="10">
        <v>3</v>
      </c>
      <c r="B10" s="16" t="s">
        <v>387</v>
      </c>
      <c r="C10" s="14">
        <v>50</v>
      </c>
      <c r="D10" s="17"/>
      <c r="E10" s="13"/>
      <c r="F10" s="18"/>
    </row>
    <row r="11" spans="1:15" ht="12.6" customHeight="1" x14ac:dyDescent="0.2">
      <c r="A11" s="10">
        <v>4</v>
      </c>
      <c r="B11" s="7" t="s">
        <v>388</v>
      </c>
      <c r="C11" s="14">
        <f>+C12+C14+C13</f>
        <v>2601.1999999999998</v>
      </c>
      <c r="D11" s="17"/>
      <c r="F11" s="18"/>
      <c r="G11" s="13"/>
    </row>
    <row r="12" spans="1:15" ht="12.6" customHeight="1" x14ac:dyDescent="0.2">
      <c r="A12" s="10">
        <v>5</v>
      </c>
      <c r="B12" s="19" t="s">
        <v>306</v>
      </c>
      <c r="C12" s="20">
        <v>900</v>
      </c>
      <c r="D12" s="12"/>
      <c r="F12" s="21"/>
      <c r="G12" s="13"/>
    </row>
    <row r="13" spans="1:15" ht="12.6" customHeight="1" x14ac:dyDescent="0.2">
      <c r="A13" s="10">
        <v>6</v>
      </c>
      <c r="B13" s="19" t="s">
        <v>307</v>
      </c>
      <c r="C13" s="20">
        <v>15</v>
      </c>
      <c r="D13" s="12"/>
      <c r="F13" s="21"/>
    </row>
    <row r="14" spans="1:15" ht="12.6" customHeight="1" x14ac:dyDescent="0.2">
      <c r="A14" s="10">
        <v>7</v>
      </c>
      <c r="B14" s="19" t="s">
        <v>308</v>
      </c>
      <c r="C14" s="20">
        <f>1500+186.2</f>
        <v>1686.2</v>
      </c>
      <c r="D14" s="12"/>
      <c r="F14" s="18"/>
      <c r="O14" s="12"/>
    </row>
    <row r="15" spans="1:15" ht="12.6" customHeight="1" x14ac:dyDescent="0.2">
      <c r="A15" s="10">
        <v>8</v>
      </c>
      <c r="B15" s="7" t="s">
        <v>389</v>
      </c>
      <c r="C15" s="11">
        <f>+C16</f>
        <v>332.8</v>
      </c>
      <c r="D15" s="17"/>
    </row>
    <row r="16" spans="1:15" ht="12.6" customHeight="1" x14ac:dyDescent="0.2">
      <c r="A16" s="10">
        <v>9</v>
      </c>
      <c r="B16" s="19" t="s">
        <v>309</v>
      </c>
      <c r="C16" s="20">
        <f>250+82.8</f>
        <v>332.8</v>
      </c>
    </row>
    <row r="17" spans="1:8" x14ac:dyDescent="0.2">
      <c r="A17" s="10">
        <v>10</v>
      </c>
      <c r="B17" s="7" t="s">
        <v>390</v>
      </c>
      <c r="C17" s="11">
        <f>+C21+C49+C18</f>
        <v>41456.5</v>
      </c>
      <c r="D17" s="12"/>
    </row>
    <row r="18" spans="1:8" ht="25.5" x14ac:dyDescent="0.2">
      <c r="A18" s="10">
        <v>11</v>
      </c>
      <c r="B18" s="16" t="s">
        <v>391</v>
      </c>
      <c r="C18" s="11">
        <f>+C19+C20</f>
        <v>3222.7999999999997</v>
      </c>
      <c r="D18" s="12"/>
    </row>
    <row r="19" spans="1:8" ht="25.5" x14ac:dyDescent="0.2">
      <c r="A19" s="10" t="s">
        <v>34</v>
      </c>
      <c r="B19" s="22" t="s">
        <v>310</v>
      </c>
      <c r="C19" s="20">
        <f>1941.5-213.2+58.7-46.7+1298.7+24.6</f>
        <v>3063.6</v>
      </c>
      <c r="D19" s="12"/>
      <c r="E19" s="23"/>
      <c r="F19" s="17"/>
      <c r="G19" s="2" t="s">
        <v>375</v>
      </c>
      <c r="H19" s="13"/>
    </row>
    <row r="20" spans="1:8" ht="25.5" x14ac:dyDescent="0.2">
      <c r="A20" s="10" t="s">
        <v>35</v>
      </c>
      <c r="B20" s="22" t="s">
        <v>311</v>
      </c>
      <c r="C20" s="20">
        <f>38.1-0.4+112.8+8.7</f>
        <v>159.19999999999999</v>
      </c>
      <c r="D20" s="12"/>
      <c r="E20" s="17"/>
      <c r="F20" s="17"/>
      <c r="H20" s="13"/>
    </row>
    <row r="21" spans="1:8" ht="12.6" customHeight="1" x14ac:dyDescent="0.2">
      <c r="A21" s="10">
        <v>12</v>
      </c>
      <c r="B21" s="7" t="s">
        <v>392</v>
      </c>
      <c r="C21" s="14">
        <f>+C22+C46+C47</f>
        <v>25928.899999999998</v>
      </c>
      <c r="D21" s="12"/>
    </row>
    <row r="22" spans="1:8" ht="12.6" customHeight="1" x14ac:dyDescent="0.2">
      <c r="A22" s="10">
        <v>13</v>
      </c>
      <c r="B22" s="19" t="s">
        <v>393</v>
      </c>
      <c r="C22" s="20">
        <f>SUM(C23:C45)</f>
        <v>6297.2999999999993</v>
      </c>
      <c r="D22" s="12"/>
      <c r="E22" s="17"/>
      <c r="F22" s="24"/>
    </row>
    <row r="23" spans="1:8" ht="12.6" customHeight="1" x14ac:dyDescent="0.2">
      <c r="A23" s="25" t="s">
        <v>290</v>
      </c>
      <c r="B23" s="19" t="s">
        <v>312</v>
      </c>
      <c r="C23" s="20">
        <v>32.6</v>
      </c>
      <c r="D23" s="12"/>
      <c r="E23" s="17"/>
      <c r="G23" s="12"/>
    </row>
    <row r="24" spans="1:8" ht="12.6" customHeight="1" x14ac:dyDescent="0.2">
      <c r="A24" s="10" t="s">
        <v>394</v>
      </c>
      <c r="B24" s="19" t="s">
        <v>313</v>
      </c>
      <c r="C24" s="20">
        <v>9</v>
      </c>
      <c r="D24" s="12"/>
      <c r="E24" s="17"/>
      <c r="G24" s="12"/>
    </row>
    <row r="25" spans="1:8" ht="12.6" customHeight="1" x14ac:dyDescent="0.2">
      <c r="A25" s="25" t="s">
        <v>395</v>
      </c>
      <c r="B25" s="19" t="s">
        <v>314</v>
      </c>
      <c r="C25" s="20">
        <f>6.8+(391.7-44)</f>
        <v>354.5</v>
      </c>
      <c r="E25" s="23"/>
      <c r="F25" s="26"/>
      <c r="G25" s="12"/>
    </row>
    <row r="26" spans="1:8" ht="12.6" customHeight="1" x14ac:dyDescent="0.2">
      <c r="A26" s="10" t="s">
        <v>396</v>
      </c>
      <c r="B26" s="19" t="s">
        <v>315</v>
      </c>
      <c r="C26" s="20">
        <v>947.6</v>
      </c>
      <c r="E26" s="23"/>
    </row>
    <row r="27" spans="1:8" ht="12.6" customHeight="1" x14ac:dyDescent="0.2">
      <c r="A27" s="25" t="s">
        <v>397</v>
      </c>
      <c r="B27" s="19" t="s">
        <v>316</v>
      </c>
      <c r="C27" s="20">
        <f>1658.1+71.9+454.4</f>
        <v>2184.4</v>
      </c>
      <c r="D27" s="12"/>
      <c r="E27" s="12"/>
      <c r="F27" s="27"/>
      <c r="G27" s="12"/>
    </row>
    <row r="28" spans="1:8" x14ac:dyDescent="0.2">
      <c r="A28" s="10" t="s">
        <v>398</v>
      </c>
      <c r="B28" s="19" t="s">
        <v>317</v>
      </c>
      <c r="C28" s="20">
        <v>19.5</v>
      </c>
      <c r="D28" s="12"/>
    </row>
    <row r="29" spans="1:8" x14ac:dyDescent="0.2">
      <c r="A29" s="25" t="s">
        <v>399</v>
      </c>
      <c r="B29" s="22" t="s">
        <v>318</v>
      </c>
      <c r="C29" s="20">
        <f>11.1+2</f>
        <v>13.1</v>
      </c>
      <c r="D29" s="12"/>
      <c r="E29" s="24"/>
    </row>
    <row r="30" spans="1:8" ht="12.6" customHeight="1" x14ac:dyDescent="0.2">
      <c r="A30" s="10" t="s">
        <v>400</v>
      </c>
      <c r="B30" s="28" t="s">
        <v>576</v>
      </c>
      <c r="C30" s="20">
        <f>190.1-10</f>
        <v>180.1</v>
      </c>
      <c r="D30" s="12"/>
    </row>
    <row r="31" spans="1:8" ht="12.6" customHeight="1" x14ac:dyDescent="0.2">
      <c r="A31" s="25" t="s">
        <v>401</v>
      </c>
      <c r="B31" s="28" t="s">
        <v>319</v>
      </c>
      <c r="C31" s="20">
        <v>35.5</v>
      </c>
      <c r="D31" s="12"/>
    </row>
    <row r="32" spans="1:8" ht="12.6" customHeight="1" x14ac:dyDescent="0.2">
      <c r="A32" s="10" t="s">
        <v>402</v>
      </c>
      <c r="B32" s="28" t="s">
        <v>578</v>
      </c>
      <c r="C32" s="20">
        <v>12.2</v>
      </c>
      <c r="D32" s="12"/>
    </row>
    <row r="33" spans="1:7" ht="12.6" customHeight="1" x14ac:dyDescent="0.2">
      <c r="A33" s="25" t="s">
        <v>403</v>
      </c>
      <c r="B33" s="28" t="s">
        <v>320</v>
      </c>
      <c r="C33" s="20">
        <v>0.8</v>
      </c>
      <c r="D33" s="12"/>
    </row>
    <row r="34" spans="1:7" ht="12.6" customHeight="1" x14ac:dyDescent="0.2">
      <c r="A34" s="10" t="s">
        <v>404</v>
      </c>
      <c r="B34" s="28" t="s">
        <v>321</v>
      </c>
      <c r="C34" s="20">
        <v>57.8</v>
      </c>
      <c r="D34" s="12"/>
    </row>
    <row r="35" spans="1:7" x14ac:dyDescent="0.2">
      <c r="A35" s="25" t="s">
        <v>405</v>
      </c>
      <c r="B35" s="28" t="s">
        <v>322</v>
      </c>
      <c r="C35" s="20">
        <v>1234.5999999999999</v>
      </c>
      <c r="D35" s="12"/>
    </row>
    <row r="36" spans="1:7" ht="25.5" x14ac:dyDescent="0.2">
      <c r="A36" s="10" t="s">
        <v>406</v>
      </c>
      <c r="B36" s="28" t="s">
        <v>579</v>
      </c>
      <c r="C36" s="20">
        <v>5</v>
      </c>
      <c r="D36" s="12"/>
    </row>
    <row r="37" spans="1:7" ht="12.6" customHeight="1" x14ac:dyDescent="0.2">
      <c r="A37" s="25" t="s">
        <v>407</v>
      </c>
      <c r="B37" s="28" t="s">
        <v>323</v>
      </c>
      <c r="C37" s="20">
        <v>254.8</v>
      </c>
      <c r="D37" s="12"/>
    </row>
    <row r="38" spans="1:7" ht="12.6" customHeight="1" x14ac:dyDescent="0.2">
      <c r="A38" s="10" t="s">
        <v>408</v>
      </c>
      <c r="B38" s="19" t="s">
        <v>324</v>
      </c>
      <c r="C38" s="20">
        <v>360</v>
      </c>
      <c r="D38" s="12"/>
    </row>
    <row r="39" spans="1:7" ht="12.6" customHeight="1" x14ac:dyDescent="0.2">
      <c r="A39" s="25" t="s">
        <v>409</v>
      </c>
      <c r="B39" s="19" t="s">
        <v>580</v>
      </c>
      <c r="C39" s="29">
        <v>19.899999999999999</v>
      </c>
      <c r="D39" s="12"/>
    </row>
    <row r="40" spans="1:7" ht="12.6" customHeight="1" x14ac:dyDescent="0.2">
      <c r="A40" s="25" t="s">
        <v>410</v>
      </c>
      <c r="B40" s="19" t="s">
        <v>325</v>
      </c>
      <c r="C40" s="20">
        <v>47.9</v>
      </c>
      <c r="D40" s="12"/>
    </row>
    <row r="41" spans="1:7" ht="12.6" customHeight="1" x14ac:dyDescent="0.2">
      <c r="A41" s="25" t="s">
        <v>411</v>
      </c>
      <c r="B41" s="22" t="s">
        <v>581</v>
      </c>
      <c r="C41" s="20">
        <v>1.2</v>
      </c>
      <c r="D41" s="12"/>
    </row>
    <row r="42" spans="1:7" x14ac:dyDescent="0.2">
      <c r="A42" s="10" t="s">
        <v>412</v>
      </c>
      <c r="B42" s="22" t="s">
        <v>414</v>
      </c>
      <c r="C42" s="20">
        <v>416.4</v>
      </c>
      <c r="D42" s="12"/>
    </row>
    <row r="43" spans="1:7" ht="15.75" customHeight="1" x14ac:dyDescent="0.2">
      <c r="A43" s="25" t="s">
        <v>413</v>
      </c>
      <c r="B43" s="22" t="s">
        <v>326</v>
      </c>
      <c r="C43" s="20">
        <v>1.8</v>
      </c>
      <c r="D43" s="12"/>
    </row>
    <row r="44" spans="1:7" ht="12.75" customHeight="1" x14ac:dyDescent="0.2">
      <c r="A44" s="10" t="s">
        <v>415</v>
      </c>
      <c r="B44" s="22" t="s">
        <v>583</v>
      </c>
      <c r="C44" s="20">
        <v>88.4</v>
      </c>
      <c r="D44" s="12"/>
    </row>
    <row r="45" spans="1:7" ht="26.25" customHeight="1" x14ac:dyDescent="0.2">
      <c r="A45" s="25" t="s">
        <v>416</v>
      </c>
      <c r="B45" s="22" t="s">
        <v>585</v>
      </c>
      <c r="C45" s="20">
        <v>20.2</v>
      </c>
      <c r="D45" s="12"/>
    </row>
    <row r="46" spans="1:7" x14ac:dyDescent="0.2">
      <c r="A46" s="10">
        <v>14</v>
      </c>
      <c r="B46" s="19" t="s">
        <v>417</v>
      </c>
      <c r="C46" s="20">
        <f>18397.8+336.8+208.6</f>
        <v>18943.199999999997</v>
      </c>
      <c r="D46" s="12"/>
      <c r="E46" s="17"/>
      <c r="F46" s="24"/>
      <c r="G46" s="12"/>
    </row>
    <row r="47" spans="1:7" ht="12.6" customHeight="1" x14ac:dyDescent="0.2">
      <c r="A47" s="10">
        <v>15</v>
      </c>
      <c r="B47" s="19" t="s">
        <v>327</v>
      </c>
      <c r="C47" s="30">
        <f>+C48</f>
        <v>688.4</v>
      </c>
      <c r="D47" s="12"/>
      <c r="E47" s="17"/>
      <c r="F47" s="24"/>
      <c r="G47" s="12"/>
    </row>
    <row r="48" spans="1:7" ht="12.6" customHeight="1" x14ac:dyDescent="0.2">
      <c r="A48" s="31" t="s">
        <v>176</v>
      </c>
      <c r="B48" s="22" t="s">
        <v>328</v>
      </c>
      <c r="C48" s="20">
        <v>688.4</v>
      </c>
      <c r="D48" s="12"/>
      <c r="F48" s="24"/>
      <c r="G48" s="12"/>
    </row>
    <row r="49" spans="1:14" ht="12.6" customHeight="1" x14ac:dyDescent="0.2">
      <c r="A49" s="10">
        <v>16</v>
      </c>
      <c r="B49" s="7" t="s">
        <v>329</v>
      </c>
      <c r="C49" s="14">
        <f>SUM(C50:C85)</f>
        <v>12304.799999999997</v>
      </c>
      <c r="D49" s="12"/>
      <c r="E49" s="12"/>
    </row>
    <row r="50" spans="1:14" ht="12.6" customHeight="1" x14ac:dyDescent="0.2">
      <c r="A50" s="10" t="s">
        <v>353</v>
      </c>
      <c r="B50" s="19" t="s">
        <v>650</v>
      </c>
      <c r="C50" s="20">
        <v>261.60000000000002</v>
      </c>
      <c r="D50" s="12"/>
      <c r="E50" s="12"/>
    </row>
    <row r="51" spans="1:14" x14ac:dyDescent="0.2">
      <c r="A51" s="10" t="s">
        <v>591</v>
      </c>
      <c r="B51" s="22" t="s">
        <v>626</v>
      </c>
      <c r="C51" s="20">
        <v>24.7</v>
      </c>
      <c r="E51" s="12"/>
    </row>
    <row r="52" spans="1:14" ht="25.5" x14ac:dyDescent="0.2">
      <c r="A52" s="10" t="s">
        <v>592</v>
      </c>
      <c r="B52" s="22" t="s">
        <v>625</v>
      </c>
      <c r="C52" s="20">
        <v>160.69999999999999</v>
      </c>
      <c r="D52" s="12"/>
      <c r="E52" s="12"/>
    </row>
    <row r="53" spans="1:14" ht="25.5" x14ac:dyDescent="0.2">
      <c r="A53" s="10" t="s">
        <v>610</v>
      </c>
      <c r="B53" s="22" t="s">
        <v>593</v>
      </c>
      <c r="C53" s="20">
        <f>102.6-8.9-4.6</f>
        <v>89.1</v>
      </c>
      <c r="D53" s="12"/>
      <c r="E53" s="12"/>
    </row>
    <row r="54" spans="1:14" x14ac:dyDescent="0.2">
      <c r="A54" s="10" t="s">
        <v>611</v>
      </c>
      <c r="B54" s="22" t="s">
        <v>608</v>
      </c>
      <c r="C54" s="20">
        <f>132.8-65.1</f>
        <v>67.700000000000017</v>
      </c>
      <c r="D54" s="12"/>
      <c r="E54" s="12"/>
    </row>
    <row r="55" spans="1:14" ht="25.5" x14ac:dyDescent="0.2">
      <c r="A55" s="10" t="s">
        <v>612</v>
      </c>
      <c r="B55" s="22" t="s">
        <v>607</v>
      </c>
      <c r="C55" s="20">
        <v>0.7</v>
      </c>
      <c r="D55" s="12"/>
      <c r="E55" s="12"/>
    </row>
    <row r="56" spans="1:14" ht="51" x14ac:dyDescent="0.2">
      <c r="A56" s="10" t="s">
        <v>613</v>
      </c>
      <c r="B56" s="22" t="s">
        <v>627</v>
      </c>
      <c r="C56" s="20">
        <f>0.6+1+1</f>
        <v>2.6</v>
      </c>
      <c r="D56" s="12"/>
      <c r="E56" s="12"/>
    </row>
    <row r="57" spans="1:14" ht="25.5" x14ac:dyDescent="0.2">
      <c r="A57" s="10" t="s">
        <v>624</v>
      </c>
      <c r="B57" s="22" t="s">
        <v>649</v>
      </c>
      <c r="C57" s="20">
        <f>24.9+22.6+16.5+19+23.3+23.7+20.6+23.9+25.9+27.1</f>
        <v>227.5</v>
      </c>
      <c r="D57" s="12"/>
      <c r="E57" s="12"/>
      <c r="F57" s="27"/>
    </row>
    <row r="58" spans="1:14" x14ac:dyDescent="0.2">
      <c r="A58" s="10" t="s">
        <v>648</v>
      </c>
      <c r="B58" s="19" t="s">
        <v>606</v>
      </c>
      <c r="C58" s="20">
        <v>54.6</v>
      </c>
      <c r="D58" s="12"/>
      <c r="E58" s="12"/>
    </row>
    <row r="59" spans="1:14" ht="25.5" customHeight="1" x14ac:dyDescent="0.2">
      <c r="A59" s="10" t="s">
        <v>651</v>
      </c>
      <c r="B59" s="22" t="s">
        <v>609</v>
      </c>
      <c r="C59" s="20">
        <v>282</v>
      </c>
      <c r="D59" s="12"/>
      <c r="E59" s="12"/>
      <c r="G59" s="32"/>
      <c r="H59" s="32"/>
      <c r="I59" s="32"/>
      <c r="J59" s="32"/>
      <c r="K59" s="32"/>
      <c r="L59" s="32"/>
      <c r="M59" s="32"/>
      <c r="N59" s="32"/>
    </row>
    <row r="60" spans="1:14" ht="25.5" x14ac:dyDescent="0.2">
      <c r="A60" s="10" t="s">
        <v>746</v>
      </c>
      <c r="B60" s="22" t="s">
        <v>730</v>
      </c>
      <c r="C60" s="20">
        <v>0.1</v>
      </c>
      <c r="D60" s="12"/>
      <c r="E60" s="12"/>
      <c r="G60" s="32"/>
      <c r="H60" s="32"/>
      <c r="I60" s="32"/>
      <c r="J60" s="32"/>
      <c r="K60" s="32"/>
      <c r="L60" s="32"/>
      <c r="M60" s="32"/>
      <c r="N60" s="32"/>
    </row>
    <row r="61" spans="1:14" x14ac:dyDescent="0.2">
      <c r="A61" s="10" t="s">
        <v>747</v>
      </c>
      <c r="B61" s="22" t="s">
        <v>732</v>
      </c>
      <c r="C61" s="20">
        <v>28.7</v>
      </c>
      <c r="D61" s="12"/>
      <c r="E61" s="12"/>
      <c r="G61" s="32"/>
      <c r="H61" s="32"/>
      <c r="I61" s="32"/>
      <c r="J61" s="32"/>
      <c r="K61" s="32"/>
      <c r="L61" s="32"/>
      <c r="M61" s="32"/>
      <c r="N61" s="32"/>
    </row>
    <row r="62" spans="1:14" ht="25.5" x14ac:dyDescent="0.2">
      <c r="A62" s="10" t="s">
        <v>748</v>
      </c>
      <c r="B62" s="22" t="s">
        <v>736</v>
      </c>
      <c r="C62" s="20">
        <v>18</v>
      </c>
      <c r="D62" s="12"/>
      <c r="E62" s="12"/>
      <c r="G62" s="32"/>
      <c r="H62" s="32"/>
      <c r="I62" s="32"/>
      <c r="J62" s="32"/>
      <c r="K62" s="32"/>
      <c r="L62" s="32"/>
      <c r="M62" s="32"/>
      <c r="N62" s="32"/>
    </row>
    <row r="63" spans="1:14" x14ac:dyDescent="0.2">
      <c r="A63" s="10" t="s">
        <v>749</v>
      </c>
      <c r="B63" s="22" t="s">
        <v>737</v>
      </c>
      <c r="C63" s="20">
        <f>300+484</f>
        <v>784</v>
      </c>
      <c r="D63" s="12"/>
      <c r="E63" s="12"/>
      <c r="G63" s="32"/>
      <c r="H63" s="32"/>
      <c r="I63" s="32"/>
      <c r="J63" s="32"/>
      <c r="K63" s="32"/>
      <c r="L63" s="32"/>
      <c r="M63" s="32"/>
      <c r="N63" s="32"/>
    </row>
    <row r="64" spans="1:14" x14ac:dyDescent="0.2">
      <c r="A64" s="10" t="s">
        <v>750</v>
      </c>
      <c r="B64" s="22" t="s">
        <v>745</v>
      </c>
      <c r="C64" s="20">
        <f>2878.6+117</f>
        <v>2995.6</v>
      </c>
      <c r="D64" s="12"/>
      <c r="E64" s="12"/>
      <c r="G64" s="32"/>
      <c r="H64" s="32"/>
      <c r="I64" s="32"/>
      <c r="J64" s="32"/>
      <c r="K64" s="32"/>
      <c r="L64" s="32"/>
      <c r="M64" s="32"/>
      <c r="N64" s="32"/>
    </row>
    <row r="65" spans="1:14" ht="25.5" x14ac:dyDescent="0.2">
      <c r="A65" s="10" t="s">
        <v>752</v>
      </c>
      <c r="B65" s="22" t="s">
        <v>762</v>
      </c>
      <c r="C65" s="20">
        <v>232</v>
      </c>
      <c r="D65" s="12"/>
      <c r="E65" s="12"/>
      <c r="G65" s="32"/>
      <c r="H65" s="32"/>
      <c r="I65" s="32"/>
      <c r="J65" s="32"/>
      <c r="K65" s="32"/>
      <c r="L65" s="32"/>
      <c r="M65" s="32"/>
      <c r="N65" s="32"/>
    </row>
    <row r="66" spans="1:14" ht="25.5" x14ac:dyDescent="0.2">
      <c r="A66" s="10" t="s">
        <v>753</v>
      </c>
      <c r="B66" s="22" t="s">
        <v>751</v>
      </c>
      <c r="C66" s="20">
        <f>18.5+18.7+38.8</f>
        <v>76</v>
      </c>
      <c r="D66" s="12"/>
      <c r="E66" s="12"/>
      <c r="G66" s="32"/>
      <c r="H66" s="32"/>
      <c r="I66" s="32"/>
      <c r="J66" s="32"/>
      <c r="K66" s="32"/>
      <c r="L66" s="32"/>
      <c r="M66" s="32"/>
      <c r="N66" s="32"/>
    </row>
    <row r="67" spans="1:14" ht="25.5" customHeight="1" x14ac:dyDescent="0.2">
      <c r="A67" s="10" t="s">
        <v>755</v>
      </c>
      <c r="B67" s="22" t="s">
        <v>754</v>
      </c>
      <c r="C67" s="20">
        <v>14.1</v>
      </c>
      <c r="D67" s="12"/>
      <c r="E67" s="12"/>
      <c r="G67" s="32"/>
      <c r="H67" s="32"/>
      <c r="I67" s="32"/>
      <c r="J67" s="32"/>
      <c r="K67" s="32"/>
      <c r="L67" s="32"/>
      <c r="M67" s="32"/>
      <c r="N67" s="32"/>
    </row>
    <row r="68" spans="1:14" ht="25.5" customHeight="1" x14ac:dyDescent="0.2">
      <c r="A68" s="10" t="s">
        <v>779</v>
      </c>
      <c r="B68" s="22" t="s">
        <v>764</v>
      </c>
      <c r="C68" s="20">
        <f>1639.3+639.7</f>
        <v>2279</v>
      </c>
      <c r="D68" s="12"/>
      <c r="E68" s="12"/>
      <c r="G68" s="32"/>
      <c r="H68" s="32"/>
      <c r="I68" s="32"/>
      <c r="J68" s="32"/>
      <c r="K68" s="32"/>
      <c r="L68" s="32"/>
      <c r="M68" s="32"/>
      <c r="N68" s="32"/>
    </row>
    <row r="69" spans="1:14" ht="25.5" customHeight="1" x14ac:dyDescent="0.2">
      <c r="A69" s="10" t="s">
        <v>780</v>
      </c>
      <c r="B69" s="22" t="s">
        <v>786</v>
      </c>
      <c r="C69" s="20">
        <v>300</v>
      </c>
      <c r="D69" s="12"/>
      <c r="E69" s="12"/>
      <c r="G69" s="32"/>
      <c r="H69" s="32"/>
      <c r="I69" s="32"/>
      <c r="J69" s="32"/>
      <c r="K69" s="32"/>
      <c r="L69" s="32"/>
      <c r="M69" s="32"/>
      <c r="N69" s="32"/>
    </row>
    <row r="70" spans="1:14" ht="25.5" customHeight="1" x14ac:dyDescent="0.2">
      <c r="A70" s="10" t="s">
        <v>781</v>
      </c>
      <c r="B70" s="22" t="s">
        <v>766</v>
      </c>
      <c r="C70" s="20">
        <f>8.6+10.5+4.1</f>
        <v>23.200000000000003</v>
      </c>
      <c r="D70" s="12"/>
      <c r="E70" s="12"/>
      <c r="G70" s="32"/>
      <c r="H70" s="32"/>
      <c r="I70" s="32"/>
      <c r="J70" s="32"/>
      <c r="K70" s="32"/>
      <c r="L70" s="32"/>
      <c r="M70" s="32"/>
      <c r="N70" s="32"/>
    </row>
    <row r="71" spans="1:14" ht="25.5" customHeight="1" x14ac:dyDescent="0.2">
      <c r="A71" s="10" t="s">
        <v>782</v>
      </c>
      <c r="B71" s="22" t="s">
        <v>768</v>
      </c>
      <c r="C71" s="20">
        <v>13.6</v>
      </c>
      <c r="D71" s="12"/>
      <c r="E71" s="12"/>
      <c r="G71" s="32"/>
      <c r="H71" s="32"/>
      <c r="I71" s="32"/>
      <c r="J71" s="32"/>
      <c r="K71" s="32"/>
      <c r="L71" s="32"/>
      <c r="M71" s="32"/>
      <c r="N71" s="32"/>
    </row>
    <row r="72" spans="1:14" ht="25.5" customHeight="1" x14ac:dyDescent="0.2">
      <c r="A72" s="10" t="s">
        <v>783</v>
      </c>
      <c r="B72" s="22" t="s">
        <v>770</v>
      </c>
      <c r="C72" s="20">
        <v>15.4</v>
      </c>
      <c r="D72" s="12"/>
      <c r="E72" s="12"/>
      <c r="G72" s="32"/>
      <c r="H72" s="32"/>
      <c r="I72" s="32"/>
      <c r="J72" s="32"/>
      <c r="K72" s="32"/>
      <c r="L72" s="32"/>
      <c r="M72" s="32"/>
      <c r="N72" s="32"/>
    </row>
    <row r="73" spans="1:14" ht="25.5" customHeight="1" x14ac:dyDescent="0.2">
      <c r="A73" s="10" t="s">
        <v>784</v>
      </c>
      <c r="B73" s="22" t="s">
        <v>772</v>
      </c>
      <c r="C73" s="20">
        <v>27.8</v>
      </c>
      <c r="D73" s="12"/>
      <c r="E73" s="12"/>
      <c r="G73" s="32"/>
      <c r="H73" s="32"/>
      <c r="I73" s="32"/>
      <c r="J73" s="32"/>
      <c r="K73" s="32"/>
      <c r="L73" s="32"/>
      <c r="M73" s="32"/>
      <c r="N73" s="32"/>
    </row>
    <row r="74" spans="1:14" ht="25.5" customHeight="1" x14ac:dyDescent="0.2">
      <c r="A74" s="10" t="s">
        <v>785</v>
      </c>
      <c r="B74" s="22" t="s">
        <v>788</v>
      </c>
      <c r="C74" s="20">
        <v>30</v>
      </c>
      <c r="D74" s="12"/>
      <c r="E74" s="12"/>
      <c r="G74" s="32"/>
      <c r="H74" s="32"/>
      <c r="I74" s="32"/>
      <c r="J74" s="32"/>
      <c r="K74" s="32"/>
      <c r="L74" s="32"/>
      <c r="M74" s="32"/>
      <c r="N74" s="32"/>
    </row>
    <row r="75" spans="1:14" ht="25.5" customHeight="1" x14ac:dyDescent="0.2">
      <c r="A75" s="10" t="s">
        <v>787</v>
      </c>
      <c r="B75" s="22" t="s">
        <v>792</v>
      </c>
      <c r="C75" s="20">
        <v>32</v>
      </c>
      <c r="D75" s="12"/>
      <c r="E75" s="12"/>
      <c r="G75" s="32"/>
      <c r="H75" s="32"/>
      <c r="I75" s="32"/>
      <c r="J75" s="32"/>
      <c r="K75" s="32"/>
      <c r="L75" s="32"/>
      <c r="M75" s="32"/>
      <c r="N75" s="32"/>
    </row>
    <row r="76" spans="1:14" ht="51" x14ac:dyDescent="0.2">
      <c r="A76" s="10" t="s">
        <v>795</v>
      </c>
      <c r="B76" s="22" t="s">
        <v>814</v>
      </c>
      <c r="C76" s="20">
        <f>5.8+10.2</f>
        <v>16</v>
      </c>
      <c r="D76" s="12"/>
      <c r="E76" s="12"/>
      <c r="G76" s="32"/>
      <c r="H76" s="32"/>
      <c r="I76" s="32"/>
      <c r="J76" s="32"/>
      <c r="K76" s="32"/>
      <c r="L76" s="32"/>
      <c r="M76" s="32"/>
      <c r="N76" s="32"/>
    </row>
    <row r="77" spans="1:14" ht="51" x14ac:dyDescent="0.2">
      <c r="A77" s="10" t="s">
        <v>796</v>
      </c>
      <c r="B77" s="22" t="s">
        <v>815</v>
      </c>
      <c r="C77" s="20">
        <f>51.7+46</f>
        <v>97.7</v>
      </c>
      <c r="D77" s="12"/>
      <c r="E77" s="12"/>
      <c r="G77" s="32"/>
      <c r="H77" s="32"/>
      <c r="I77" s="32"/>
      <c r="J77" s="32"/>
      <c r="K77" s="32"/>
      <c r="L77" s="32"/>
      <c r="M77" s="32"/>
      <c r="N77" s="32"/>
    </row>
    <row r="78" spans="1:14" ht="51" x14ac:dyDescent="0.2">
      <c r="A78" s="10" t="s">
        <v>797</v>
      </c>
      <c r="B78" s="22" t="s">
        <v>816</v>
      </c>
      <c r="C78" s="20">
        <f>0.4+0.6</f>
        <v>1</v>
      </c>
      <c r="D78" s="12"/>
      <c r="E78" s="12"/>
      <c r="G78" s="32"/>
      <c r="H78" s="32"/>
      <c r="I78" s="32"/>
      <c r="J78" s="32"/>
      <c r="K78" s="32"/>
      <c r="L78" s="32"/>
      <c r="M78" s="32"/>
      <c r="N78" s="32"/>
    </row>
    <row r="79" spans="1:14" ht="25.5" x14ac:dyDescent="0.2">
      <c r="A79" s="10" t="s">
        <v>799</v>
      </c>
      <c r="B79" s="22" t="s">
        <v>800</v>
      </c>
      <c r="C79" s="20">
        <v>147.19999999999999</v>
      </c>
      <c r="D79" s="12"/>
      <c r="E79" s="12"/>
      <c r="G79" s="32"/>
      <c r="H79" s="32"/>
      <c r="I79" s="32"/>
      <c r="J79" s="32"/>
      <c r="K79" s="32"/>
      <c r="L79" s="32"/>
      <c r="M79" s="32"/>
      <c r="N79" s="32"/>
    </row>
    <row r="80" spans="1:14" ht="38.25" x14ac:dyDescent="0.2">
      <c r="A80" s="10" t="s">
        <v>802</v>
      </c>
      <c r="B80" s="22" t="s">
        <v>807</v>
      </c>
      <c r="C80" s="20">
        <v>1482.4</v>
      </c>
      <c r="D80" s="12"/>
      <c r="E80" s="12"/>
      <c r="G80" s="32"/>
      <c r="H80" s="32"/>
      <c r="I80" s="32"/>
      <c r="J80" s="32"/>
      <c r="K80" s="32"/>
      <c r="L80" s="32"/>
      <c r="M80" s="32"/>
      <c r="N80" s="32"/>
    </row>
    <row r="81" spans="1:14" ht="25.5" x14ac:dyDescent="0.2">
      <c r="A81" s="10" t="s">
        <v>803</v>
      </c>
      <c r="B81" s="22" t="s">
        <v>804</v>
      </c>
      <c r="C81" s="20">
        <v>2496.5</v>
      </c>
      <c r="D81" s="12"/>
      <c r="E81" s="12"/>
      <c r="G81" s="32"/>
      <c r="H81" s="32"/>
      <c r="I81" s="32"/>
      <c r="J81" s="32"/>
      <c r="K81" s="32"/>
      <c r="L81" s="32"/>
      <c r="M81" s="32"/>
      <c r="N81" s="32"/>
    </row>
    <row r="82" spans="1:14" ht="38.25" x14ac:dyDescent="0.2">
      <c r="A82" s="10" t="s">
        <v>820</v>
      </c>
      <c r="B82" s="22" t="s">
        <v>821</v>
      </c>
      <c r="C82" s="20">
        <f>0.5+0.3</f>
        <v>0.8</v>
      </c>
      <c r="D82" s="12"/>
      <c r="E82" s="12"/>
      <c r="G82" s="32"/>
      <c r="H82" s="32"/>
      <c r="I82" s="32"/>
      <c r="J82" s="32"/>
      <c r="K82" s="32"/>
      <c r="L82" s="32"/>
      <c r="M82" s="32"/>
      <c r="N82" s="32"/>
    </row>
    <row r="83" spans="1:14" x14ac:dyDescent="0.2">
      <c r="A83" s="10" t="s">
        <v>826</v>
      </c>
      <c r="B83" s="22" t="s">
        <v>827</v>
      </c>
      <c r="C83" s="20">
        <v>6.3</v>
      </c>
      <c r="D83" s="12"/>
      <c r="E83" s="12"/>
      <c r="G83" s="32"/>
      <c r="H83" s="32"/>
      <c r="I83" s="32"/>
      <c r="J83" s="32"/>
      <c r="K83" s="32"/>
      <c r="L83" s="32"/>
      <c r="M83" s="32"/>
      <c r="N83" s="32"/>
    </row>
    <row r="84" spans="1:14" x14ac:dyDescent="0.2">
      <c r="A84" s="10" t="s">
        <v>831</v>
      </c>
      <c r="B84" s="22" t="s">
        <v>834</v>
      </c>
      <c r="C84" s="20">
        <v>7.3</v>
      </c>
      <c r="D84" s="12"/>
      <c r="E84" s="12"/>
      <c r="G84" s="32"/>
      <c r="H84" s="32"/>
      <c r="I84" s="32"/>
      <c r="J84" s="32"/>
      <c r="K84" s="32"/>
      <c r="L84" s="32"/>
      <c r="M84" s="32"/>
      <c r="N84" s="32"/>
    </row>
    <row r="85" spans="1:14" ht="25.5" x14ac:dyDescent="0.2">
      <c r="A85" s="10" t="s">
        <v>836</v>
      </c>
      <c r="B85" s="22" t="s">
        <v>872</v>
      </c>
      <c r="C85" s="20">
        <v>8.9</v>
      </c>
      <c r="D85" s="12"/>
      <c r="E85" s="12"/>
      <c r="G85" s="32"/>
      <c r="H85" s="32"/>
      <c r="I85" s="32"/>
      <c r="J85" s="32"/>
      <c r="K85" s="32"/>
      <c r="L85" s="32"/>
      <c r="M85" s="32"/>
      <c r="N85" s="32"/>
    </row>
    <row r="86" spans="1:14" x14ac:dyDescent="0.2">
      <c r="A86" s="10">
        <v>17</v>
      </c>
      <c r="B86" s="7" t="s">
        <v>418</v>
      </c>
      <c r="C86" s="14">
        <f>C87+C92+C96+C99+C100+C102</f>
        <v>5006.5</v>
      </c>
      <c r="D86" s="12"/>
      <c r="G86" s="13"/>
    </row>
    <row r="87" spans="1:14" x14ac:dyDescent="0.2">
      <c r="A87" s="10">
        <v>18</v>
      </c>
      <c r="B87" s="7" t="s">
        <v>419</v>
      </c>
      <c r="C87" s="14">
        <f>C89+C90+C91+C88</f>
        <v>720</v>
      </c>
      <c r="D87" s="17"/>
    </row>
    <row r="88" spans="1:14" x14ac:dyDescent="0.2">
      <c r="A88" s="10">
        <v>19</v>
      </c>
      <c r="B88" s="33" t="s">
        <v>330</v>
      </c>
      <c r="C88" s="20">
        <v>20</v>
      </c>
      <c r="D88" s="12"/>
    </row>
    <row r="89" spans="1:14" ht="25.5" x14ac:dyDescent="0.2">
      <c r="A89" s="10">
        <v>20</v>
      </c>
      <c r="B89" s="22" t="s">
        <v>331</v>
      </c>
      <c r="C89" s="20">
        <v>600</v>
      </c>
      <c r="D89" s="12"/>
    </row>
    <row r="90" spans="1:14" x14ac:dyDescent="0.2">
      <c r="A90" s="10">
        <v>21</v>
      </c>
      <c r="B90" s="19" t="s">
        <v>332</v>
      </c>
      <c r="C90" s="20">
        <v>50</v>
      </c>
      <c r="D90" s="17"/>
    </row>
    <row r="91" spans="1:14" x14ac:dyDescent="0.2">
      <c r="A91" s="10">
        <v>22</v>
      </c>
      <c r="B91" s="34" t="s">
        <v>183</v>
      </c>
      <c r="C91" s="20">
        <v>50</v>
      </c>
      <c r="D91" s="17"/>
    </row>
    <row r="92" spans="1:14" x14ac:dyDescent="0.2">
      <c r="A92" s="10">
        <v>23</v>
      </c>
      <c r="B92" s="7" t="s">
        <v>420</v>
      </c>
      <c r="C92" s="14">
        <f>+C94+C93+C95</f>
        <v>2157.5</v>
      </c>
      <c r="D92" s="12"/>
    </row>
    <row r="93" spans="1:14" x14ac:dyDescent="0.2">
      <c r="A93" s="10">
        <v>24</v>
      </c>
      <c r="B93" s="19" t="s">
        <v>333</v>
      </c>
      <c r="C93" s="20">
        <f>259.1+20.4</f>
        <v>279.5</v>
      </c>
      <c r="D93" s="12"/>
      <c r="E93" s="17"/>
      <c r="F93" s="24"/>
    </row>
    <row r="94" spans="1:14" x14ac:dyDescent="0.2">
      <c r="A94" s="10">
        <v>25</v>
      </c>
      <c r="B94" s="19" t="s">
        <v>334</v>
      </c>
      <c r="C94" s="20">
        <f>148.7+4.9</f>
        <v>153.6</v>
      </c>
      <c r="D94" s="12"/>
      <c r="E94" s="17"/>
      <c r="F94" s="24"/>
    </row>
    <row r="95" spans="1:14" x14ac:dyDescent="0.2">
      <c r="A95" s="10">
        <v>26</v>
      </c>
      <c r="B95" s="19" t="s">
        <v>335</v>
      </c>
      <c r="C95" s="20">
        <f>1675.2+49.2</f>
        <v>1724.4</v>
      </c>
      <c r="D95" s="12"/>
      <c r="E95" s="17"/>
      <c r="F95" s="24"/>
    </row>
    <row r="96" spans="1:14" x14ac:dyDescent="0.2">
      <c r="A96" s="10">
        <v>27</v>
      </c>
      <c r="B96" s="7" t="s">
        <v>421</v>
      </c>
      <c r="C96" s="11">
        <f>+C97+C98</f>
        <v>1745</v>
      </c>
      <c r="D96" s="12"/>
      <c r="E96" s="24"/>
      <c r="F96" s="24"/>
    </row>
    <row r="97" spans="1:8" x14ac:dyDescent="0.2">
      <c r="A97" s="10">
        <v>28</v>
      </c>
      <c r="B97" s="19" t="s">
        <v>336</v>
      </c>
      <c r="C97" s="20">
        <v>45</v>
      </c>
      <c r="D97" s="12"/>
      <c r="G97" s="13"/>
    </row>
    <row r="98" spans="1:8" x14ac:dyDescent="0.2">
      <c r="A98" s="10">
        <v>29</v>
      </c>
      <c r="B98" s="19" t="s">
        <v>337</v>
      </c>
      <c r="C98" s="20">
        <f>1600+100</f>
        <v>1700</v>
      </c>
      <c r="E98" s="17"/>
    </row>
    <row r="99" spans="1:8" x14ac:dyDescent="0.2">
      <c r="A99" s="10">
        <v>30</v>
      </c>
      <c r="B99" s="7" t="s">
        <v>338</v>
      </c>
      <c r="C99" s="14">
        <v>50</v>
      </c>
      <c r="D99" s="12"/>
      <c r="E99" s="24"/>
      <c r="F99" s="24"/>
    </row>
    <row r="100" spans="1:8" x14ac:dyDescent="0.2">
      <c r="A100" s="10">
        <v>31</v>
      </c>
      <c r="B100" s="7" t="s">
        <v>619</v>
      </c>
      <c r="C100" s="14">
        <f>8+C101</f>
        <v>233</v>
      </c>
      <c r="D100" s="12"/>
      <c r="E100" s="12"/>
    </row>
    <row r="101" spans="1:8" x14ac:dyDescent="0.2">
      <c r="A101" s="10" t="s">
        <v>497</v>
      </c>
      <c r="B101" s="19" t="s">
        <v>618</v>
      </c>
      <c r="C101" s="20">
        <v>225</v>
      </c>
      <c r="D101" s="12"/>
      <c r="E101" s="12"/>
    </row>
    <row r="102" spans="1:8" x14ac:dyDescent="0.2">
      <c r="A102" s="10">
        <v>32</v>
      </c>
      <c r="B102" s="7" t="s">
        <v>339</v>
      </c>
      <c r="C102" s="14">
        <v>101</v>
      </c>
      <c r="D102" s="12"/>
    </row>
    <row r="103" spans="1:8" ht="13.5" x14ac:dyDescent="0.25">
      <c r="A103" s="10">
        <v>33</v>
      </c>
      <c r="B103" s="35" t="s">
        <v>422</v>
      </c>
      <c r="C103" s="14">
        <f>+C8+C17+C86</f>
        <v>91817.9</v>
      </c>
      <c r="D103" s="36"/>
      <c r="E103" s="12"/>
      <c r="G103" s="37"/>
      <c r="H103" s="38"/>
    </row>
    <row r="104" spans="1:8" ht="12.6" customHeight="1" x14ac:dyDescent="0.2">
      <c r="A104" s="10">
        <v>34</v>
      </c>
      <c r="B104" s="16" t="s">
        <v>340</v>
      </c>
      <c r="C104" s="11">
        <f>1836.7+426+532+1046</f>
        <v>3840.7</v>
      </c>
      <c r="D104" s="21"/>
      <c r="F104" s="12"/>
    </row>
    <row r="105" spans="1:8" ht="12.6" customHeight="1" x14ac:dyDescent="0.2">
      <c r="A105" s="10">
        <v>35</v>
      </c>
      <c r="B105" s="35" t="s">
        <v>423</v>
      </c>
      <c r="C105" s="14">
        <f>+C103+C104</f>
        <v>95658.599999999991</v>
      </c>
      <c r="D105" s="12"/>
      <c r="E105" s="12"/>
      <c r="F105" s="12"/>
      <c r="G105" s="12"/>
    </row>
    <row r="106" spans="1:8" ht="12.6" customHeight="1" x14ac:dyDescent="0.2">
      <c r="A106" s="10">
        <v>36</v>
      </c>
      <c r="B106" s="7" t="s">
        <v>495</v>
      </c>
      <c r="C106" s="14">
        <f>+C107+C109+C108+C110+C111+C112+C113+C114+C115</f>
        <v>7372.4</v>
      </c>
      <c r="E106" s="12"/>
      <c r="F106" s="12"/>
      <c r="G106" s="12"/>
    </row>
    <row r="107" spans="1:8" x14ac:dyDescent="0.2">
      <c r="A107" s="10">
        <v>37</v>
      </c>
      <c r="B107" s="19" t="s">
        <v>341</v>
      </c>
      <c r="C107" s="20">
        <v>6100.4</v>
      </c>
      <c r="D107" s="12"/>
      <c r="E107" s="12"/>
      <c r="F107" s="23"/>
      <c r="G107" s="23"/>
      <c r="H107" s="13"/>
    </row>
    <row r="108" spans="1:8" ht="12.6" customHeight="1" x14ac:dyDescent="0.2">
      <c r="A108" s="10">
        <v>38</v>
      </c>
      <c r="B108" s="19" t="s">
        <v>342</v>
      </c>
      <c r="C108" s="20">
        <v>109.5</v>
      </c>
      <c r="D108" s="17"/>
      <c r="E108" s="17"/>
      <c r="F108" s="12"/>
      <c r="G108" s="12"/>
    </row>
    <row r="109" spans="1:8" ht="12.6" customHeight="1" x14ac:dyDescent="0.2">
      <c r="A109" s="10">
        <v>39</v>
      </c>
      <c r="B109" s="19" t="s">
        <v>343</v>
      </c>
      <c r="C109" s="20">
        <v>49.3</v>
      </c>
      <c r="D109" s="17"/>
      <c r="E109" s="17"/>
      <c r="F109" s="12"/>
      <c r="G109" s="12"/>
    </row>
    <row r="110" spans="1:8" ht="12.6" customHeight="1" x14ac:dyDescent="0.2">
      <c r="A110" s="10">
        <v>40</v>
      </c>
      <c r="B110" s="22" t="s">
        <v>344</v>
      </c>
      <c r="C110" s="20">
        <v>193.8</v>
      </c>
      <c r="D110" s="17"/>
      <c r="E110" s="17"/>
      <c r="F110" s="12"/>
      <c r="G110" s="12"/>
    </row>
    <row r="111" spans="1:8" ht="12.6" customHeight="1" x14ac:dyDescent="0.2">
      <c r="A111" s="10">
        <v>41</v>
      </c>
      <c r="B111" s="19" t="s">
        <v>345</v>
      </c>
      <c r="C111" s="20">
        <v>331.2</v>
      </c>
      <c r="D111" s="12"/>
      <c r="G111" s="12"/>
    </row>
    <row r="112" spans="1:8" ht="12.6" customHeight="1" x14ac:dyDescent="0.2">
      <c r="A112" s="10">
        <v>42</v>
      </c>
      <c r="B112" s="19" t="s">
        <v>346</v>
      </c>
      <c r="C112" s="20">
        <v>13</v>
      </c>
      <c r="D112" s="12"/>
      <c r="E112" s="17"/>
      <c r="F112" s="12"/>
      <c r="G112" s="12"/>
    </row>
    <row r="113" spans="1:11" ht="12.6" customHeight="1" x14ac:dyDescent="0.2">
      <c r="A113" s="10">
        <v>43</v>
      </c>
      <c r="B113" s="19" t="s">
        <v>347</v>
      </c>
      <c r="C113" s="20">
        <f>+(224.1+69.8-57.3)+(295.8+10.2-181)</f>
        <v>361.59999999999997</v>
      </c>
      <c r="D113" s="12"/>
      <c r="E113" s="39"/>
      <c r="F113" s="12"/>
      <c r="G113" s="12"/>
    </row>
    <row r="114" spans="1:11" ht="12.6" customHeight="1" x14ac:dyDescent="0.2">
      <c r="A114" s="10">
        <v>44</v>
      </c>
      <c r="B114" s="28" t="s">
        <v>310</v>
      </c>
      <c r="C114" s="20">
        <v>213.2</v>
      </c>
      <c r="D114" s="12"/>
      <c r="E114" s="17"/>
      <c r="F114" s="17"/>
      <c r="G114" s="12"/>
      <c r="K114" s="13"/>
    </row>
    <row r="115" spans="1:11" ht="12.6" customHeight="1" x14ac:dyDescent="0.2">
      <c r="A115" s="10">
        <v>45</v>
      </c>
      <c r="B115" s="28" t="s">
        <v>348</v>
      </c>
      <c r="C115" s="20">
        <v>0.4</v>
      </c>
      <c r="D115" s="12"/>
      <c r="E115" s="17"/>
      <c r="F115" s="17"/>
      <c r="G115" s="12"/>
    </row>
    <row r="116" spans="1:11" ht="12.6" customHeight="1" x14ac:dyDescent="0.2">
      <c r="A116" s="10">
        <v>46</v>
      </c>
      <c r="B116" s="35" t="s">
        <v>349</v>
      </c>
      <c r="C116" s="40">
        <f>+C105+C106</f>
        <v>103030.99999999999</v>
      </c>
      <c r="D116" s="18"/>
      <c r="E116" s="18"/>
      <c r="G116" s="13"/>
    </row>
    <row r="117" spans="1:11" ht="12.6" customHeight="1" x14ac:dyDescent="0.2">
      <c r="A117" s="1"/>
      <c r="B117" s="41" t="s">
        <v>350</v>
      </c>
      <c r="C117" s="42"/>
    </row>
    <row r="118" spans="1:11" ht="12.6" customHeight="1" x14ac:dyDescent="0.2">
      <c r="A118" s="1"/>
      <c r="B118" s="41"/>
      <c r="C118" s="21"/>
    </row>
    <row r="119" spans="1:11" ht="12.6" customHeight="1" x14ac:dyDescent="0.2">
      <c r="A119" s="1"/>
      <c r="B119" s="41"/>
      <c r="C119" s="21"/>
    </row>
    <row r="120" spans="1:11" x14ac:dyDescent="0.2">
      <c r="B120" s="43"/>
      <c r="G120" s="13"/>
    </row>
    <row r="121" spans="1:11" x14ac:dyDescent="0.2">
      <c r="B121" s="43"/>
      <c r="C121" s="21"/>
      <c r="G121" s="13"/>
    </row>
    <row r="122" spans="1:11" x14ac:dyDescent="0.2">
      <c r="B122" s="43"/>
      <c r="C122" s="21"/>
      <c r="G122" s="13"/>
    </row>
    <row r="123" spans="1:11" x14ac:dyDescent="0.2">
      <c r="B123" s="43"/>
      <c r="C123" s="21"/>
      <c r="G123" s="13"/>
    </row>
    <row r="124" spans="1:11" x14ac:dyDescent="0.2">
      <c r="B124" s="43"/>
      <c r="C124" s="13"/>
      <c r="D124" s="21"/>
      <c r="F124" s="12"/>
      <c r="G124" s="13"/>
    </row>
    <row r="125" spans="1:11" x14ac:dyDescent="0.2">
      <c r="B125" s="43"/>
      <c r="C125" s="21"/>
      <c r="D125" s="13"/>
    </row>
    <row r="126" spans="1:11" x14ac:dyDescent="0.2">
      <c r="B126" s="43"/>
      <c r="C126" s="21"/>
      <c r="D126" s="220"/>
    </row>
    <row r="127" spans="1:11" x14ac:dyDescent="0.2">
      <c r="B127" s="43"/>
      <c r="C127" s="21"/>
      <c r="D127" s="221"/>
    </row>
    <row r="128" spans="1:11" ht="15.75" x14ac:dyDescent="0.25">
      <c r="B128" s="45"/>
      <c r="C128" s="46"/>
      <c r="G128" s="13"/>
    </row>
    <row r="134" spans="5:7" x14ac:dyDescent="0.2">
      <c r="G134" s="13"/>
    </row>
    <row r="136" spans="5:7" ht="12" customHeight="1" x14ac:dyDescent="0.2"/>
    <row r="137" spans="5:7" ht="12" customHeight="1" x14ac:dyDescent="0.2"/>
    <row r="138" spans="5:7" ht="12" customHeight="1" x14ac:dyDescent="0.2"/>
    <row r="139" spans="5:7" ht="12" customHeight="1" x14ac:dyDescent="0.2"/>
    <row r="140" spans="5:7" ht="12" customHeight="1" x14ac:dyDescent="0.2"/>
    <row r="141" spans="5:7" ht="12" customHeight="1" x14ac:dyDescent="0.2"/>
    <row r="142" spans="5:7" ht="12" customHeight="1" x14ac:dyDescent="0.2"/>
    <row r="143" spans="5:7" ht="12" customHeight="1" x14ac:dyDescent="0.2"/>
    <row r="144" spans="5:7" x14ac:dyDescent="0.2">
      <c r="E144" s="26"/>
    </row>
  </sheetData>
  <mergeCells count="4">
    <mergeCell ref="D126:D127"/>
    <mergeCell ref="A3:C3"/>
    <mergeCell ref="B1:C1"/>
    <mergeCell ref="B2:C2"/>
  </mergeCells>
  <phoneticPr fontId="13" type="noConversion"/>
  <pageMargins left="0.31496062992125984" right="0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6"/>
  <sheetViews>
    <sheetView topLeftCell="A96" zoomScaleNormal="100" workbookViewId="0">
      <selection activeCell="N101" sqref="N101"/>
    </sheetView>
  </sheetViews>
  <sheetFormatPr defaultColWidth="9.140625" defaultRowHeight="12.75" x14ac:dyDescent="0.2"/>
  <cols>
    <col min="1" max="1" width="4.7109375" style="9" customWidth="1"/>
    <col min="2" max="2" width="7" style="68" customWidth="1"/>
    <col min="3" max="3" width="48.140625" style="182" customWidth="1"/>
    <col min="4" max="4" width="10.5703125" style="67" customWidth="1"/>
    <col min="5" max="5" width="10.42578125" style="66" customWidth="1"/>
    <col min="6" max="6" width="11.28515625" style="66" customWidth="1"/>
    <col min="7" max="8" width="9.140625" style="12" customWidth="1"/>
    <col min="9" max="16384" width="9.140625" style="2"/>
  </cols>
  <sheetData>
    <row r="1" spans="1:8" ht="15.75" x14ac:dyDescent="0.25">
      <c r="C1" s="256" t="s">
        <v>879</v>
      </c>
      <c r="D1" s="256"/>
      <c r="E1" s="256"/>
      <c r="F1" s="256"/>
    </row>
    <row r="2" spans="1:8" ht="15" customHeight="1" x14ac:dyDescent="0.25">
      <c r="C2" s="228" t="s">
        <v>870</v>
      </c>
      <c r="D2" s="228"/>
      <c r="E2" s="228"/>
      <c r="F2" s="228"/>
    </row>
    <row r="3" spans="1:8" ht="15.75" x14ac:dyDescent="0.25">
      <c r="C3" s="47"/>
      <c r="D3" s="47"/>
      <c r="E3" s="252" t="s">
        <v>361</v>
      </c>
      <c r="F3" s="252"/>
    </row>
    <row r="4" spans="1:8" ht="15.75" x14ac:dyDescent="0.2">
      <c r="E4" s="69"/>
      <c r="F4" s="69"/>
    </row>
    <row r="5" spans="1:8" ht="35.25" customHeight="1" x14ac:dyDescent="0.2">
      <c r="A5" s="230" t="s">
        <v>442</v>
      </c>
      <c r="B5" s="230"/>
      <c r="C5" s="230"/>
      <c r="D5" s="230"/>
      <c r="E5" s="230"/>
      <c r="F5" s="230"/>
    </row>
    <row r="6" spans="1:8" x14ac:dyDescent="0.2">
      <c r="A6" s="48"/>
      <c r="B6" s="48"/>
      <c r="C6" s="48"/>
      <c r="D6" s="48"/>
      <c r="E6" s="48"/>
      <c r="F6" s="48"/>
    </row>
    <row r="7" spans="1:8" x14ac:dyDescent="0.2">
      <c r="A7" s="184"/>
      <c r="B7" s="185"/>
      <c r="C7" s="186"/>
      <c r="D7" s="187"/>
      <c r="E7" s="188"/>
      <c r="F7" s="72" t="s">
        <v>129</v>
      </c>
    </row>
    <row r="8" spans="1:8" ht="38.25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8" s="44" customFormat="1" ht="12.75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172"/>
      <c r="H9" s="172"/>
    </row>
    <row r="10" spans="1:8" s="44" customFormat="1" ht="12.75" customHeight="1" x14ac:dyDescent="0.2">
      <c r="A10" s="76">
        <v>1</v>
      </c>
      <c r="B10" s="75" t="s">
        <v>56</v>
      </c>
      <c r="C10" s="77" t="s">
        <v>57</v>
      </c>
      <c r="D10" s="49"/>
      <c r="E10" s="78">
        <f>+E11+E13+E16+E34+E41</f>
        <v>844.1</v>
      </c>
      <c r="F10" s="78">
        <f>+F11+F13+F16+F34+F41</f>
        <v>47.5</v>
      </c>
      <c r="G10" s="172"/>
      <c r="H10" s="172"/>
    </row>
    <row r="11" spans="1:8" s="44" customFormat="1" ht="12.75" customHeight="1" x14ac:dyDescent="0.2">
      <c r="A11" s="76">
        <v>2</v>
      </c>
      <c r="B11" s="82" t="s">
        <v>295</v>
      </c>
      <c r="C11" s="189" t="s">
        <v>652</v>
      </c>
      <c r="D11" s="98"/>
      <c r="E11" s="176">
        <f>+E12</f>
        <v>261.60000000000002</v>
      </c>
      <c r="F11" s="176">
        <f>+F12</f>
        <v>0</v>
      </c>
      <c r="G11" s="172"/>
      <c r="H11" s="12"/>
    </row>
    <row r="12" spans="1:8" s="44" customFormat="1" ht="12.75" customHeight="1" x14ac:dyDescent="0.2">
      <c r="A12" s="76">
        <v>3</v>
      </c>
      <c r="B12" s="80"/>
      <c r="C12" s="164" t="s">
        <v>211</v>
      </c>
      <c r="D12" s="82" t="s">
        <v>653</v>
      </c>
      <c r="E12" s="81">
        <f>253.8+7.8</f>
        <v>261.60000000000002</v>
      </c>
      <c r="F12" s="81"/>
      <c r="G12" s="172"/>
      <c r="H12" s="172"/>
    </row>
    <row r="13" spans="1:8" s="44" customFormat="1" ht="12.75" customHeight="1" x14ac:dyDescent="0.2">
      <c r="A13" s="76">
        <v>4</v>
      </c>
      <c r="B13" s="80" t="s">
        <v>296</v>
      </c>
      <c r="C13" s="189" t="s">
        <v>742</v>
      </c>
      <c r="D13" s="98"/>
      <c r="E13" s="176">
        <f>+E14</f>
        <v>484</v>
      </c>
      <c r="F13" s="176">
        <f>+F14</f>
        <v>0</v>
      </c>
      <c r="G13" s="172"/>
      <c r="H13" s="172"/>
    </row>
    <row r="14" spans="1:8" s="44" customFormat="1" ht="12.75" customHeight="1" x14ac:dyDescent="0.2">
      <c r="A14" s="76">
        <v>5</v>
      </c>
      <c r="B14" s="80"/>
      <c r="C14" s="54" t="s">
        <v>654</v>
      </c>
      <c r="D14" s="80"/>
      <c r="E14" s="81">
        <f>+E15</f>
        <v>484</v>
      </c>
      <c r="F14" s="81">
        <f>+F15</f>
        <v>0</v>
      </c>
      <c r="G14" s="172"/>
      <c r="H14" s="172"/>
    </row>
    <row r="15" spans="1:8" s="44" customFormat="1" ht="27" customHeight="1" x14ac:dyDescent="0.2">
      <c r="A15" s="76">
        <v>6</v>
      </c>
      <c r="B15" s="80"/>
      <c r="C15" s="164" t="s">
        <v>740</v>
      </c>
      <c r="D15" s="80" t="s">
        <v>60</v>
      </c>
      <c r="E15" s="81">
        <v>484</v>
      </c>
      <c r="F15" s="81"/>
      <c r="G15" s="172"/>
      <c r="H15" s="172"/>
    </row>
    <row r="16" spans="1:8" s="44" customFormat="1" ht="38.25" x14ac:dyDescent="0.2">
      <c r="A16" s="76">
        <v>7</v>
      </c>
      <c r="B16" s="80" t="s">
        <v>759</v>
      </c>
      <c r="C16" s="100" t="s">
        <v>758</v>
      </c>
      <c r="D16" s="80"/>
      <c r="E16" s="176">
        <f>SUM(E17:E33)</f>
        <v>75.999999999999986</v>
      </c>
      <c r="F16" s="176">
        <f>SUM(F17:F33)</f>
        <v>45</v>
      </c>
      <c r="G16" s="172"/>
      <c r="H16" s="172"/>
    </row>
    <row r="17" spans="1:10" s="44" customFormat="1" ht="12.75" customHeight="1" x14ac:dyDescent="0.2">
      <c r="A17" s="76">
        <v>8</v>
      </c>
      <c r="B17" s="80"/>
      <c r="C17" s="52" t="s">
        <v>165</v>
      </c>
      <c r="D17" s="80" t="s">
        <v>58</v>
      </c>
      <c r="E17" s="81">
        <f>1.9+1.8+3.2</f>
        <v>6.9</v>
      </c>
      <c r="F17" s="81">
        <f>0.3+0.2+0.5</f>
        <v>1</v>
      </c>
      <c r="G17" s="172"/>
      <c r="H17" s="172"/>
    </row>
    <row r="18" spans="1:10" s="44" customFormat="1" ht="12.75" customHeight="1" x14ac:dyDescent="0.2">
      <c r="A18" s="76">
        <v>9</v>
      </c>
      <c r="B18" s="80"/>
      <c r="C18" s="52" t="s">
        <v>156</v>
      </c>
      <c r="D18" s="80" t="s">
        <v>58</v>
      </c>
      <c r="E18" s="81">
        <f>0.7+0.7+1.4</f>
        <v>2.8</v>
      </c>
      <c r="F18" s="81">
        <f>0.1+0.1+0.2</f>
        <v>0.4</v>
      </c>
      <c r="G18" s="172"/>
      <c r="H18" s="172"/>
    </row>
    <row r="19" spans="1:10" s="44" customFormat="1" ht="12.75" customHeight="1" x14ac:dyDescent="0.2">
      <c r="A19" s="76">
        <v>10</v>
      </c>
      <c r="B19" s="80"/>
      <c r="C19" s="52" t="s">
        <v>157</v>
      </c>
      <c r="D19" s="80" t="s">
        <v>58</v>
      </c>
      <c r="E19" s="81">
        <f>0.7+0.5+3.3</f>
        <v>4.5</v>
      </c>
      <c r="F19" s="81">
        <f>0.1+0.1+1.5</f>
        <v>1.7</v>
      </c>
      <c r="G19" s="172"/>
      <c r="H19" s="172"/>
    </row>
    <row r="20" spans="1:10" s="44" customFormat="1" ht="12.75" customHeight="1" x14ac:dyDescent="0.2">
      <c r="A20" s="76">
        <v>11</v>
      </c>
      <c r="B20" s="80"/>
      <c r="C20" s="52" t="s">
        <v>158</v>
      </c>
      <c r="D20" s="80" t="s">
        <v>58</v>
      </c>
      <c r="E20" s="81">
        <f>1+1+2</f>
        <v>4</v>
      </c>
      <c r="F20" s="81">
        <f>0.4+0.4+0.8</f>
        <v>1.6</v>
      </c>
      <c r="G20" s="172"/>
      <c r="H20" s="172"/>
    </row>
    <row r="21" spans="1:10" s="44" customFormat="1" ht="12.75" customHeight="1" x14ac:dyDescent="0.2">
      <c r="A21" s="76">
        <v>12</v>
      </c>
      <c r="B21" s="80"/>
      <c r="C21" s="52" t="s">
        <v>159</v>
      </c>
      <c r="D21" s="80" t="s">
        <v>58</v>
      </c>
      <c r="E21" s="81">
        <f>2.6+2.6+5.2</f>
        <v>10.4</v>
      </c>
      <c r="F21" s="81">
        <f>1.4+1.3+2.8</f>
        <v>5.5</v>
      </c>
      <c r="G21" s="172"/>
      <c r="H21" s="172"/>
    </row>
    <row r="22" spans="1:10" s="44" customFormat="1" ht="12.75" customHeight="1" x14ac:dyDescent="0.2">
      <c r="A22" s="76">
        <v>13</v>
      </c>
      <c r="B22" s="80"/>
      <c r="C22" s="52" t="s">
        <v>160</v>
      </c>
      <c r="D22" s="80" t="s">
        <v>58</v>
      </c>
      <c r="E22" s="81">
        <f>0.7+1.2+3.3</f>
        <v>5.1999999999999993</v>
      </c>
      <c r="F22" s="81">
        <f>0.1+0.4+1.5</f>
        <v>2</v>
      </c>
      <c r="G22" s="172"/>
      <c r="H22" s="172"/>
    </row>
    <row r="23" spans="1:10" s="44" customFormat="1" ht="12.75" customHeight="1" x14ac:dyDescent="0.2">
      <c r="A23" s="76">
        <v>14</v>
      </c>
      <c r="B23" s="80"/>
      <c r="C23" s="52" t="s">
        <v>164</v>
      </c>
      <c r="D23" s="84" t="s">
        <v>60</v>
      </c>
      <c r="E23" s="81">
        <f>0.6+1.3+1.2</f>
        <v>3.0999999999999996</v>
      </c>
      <c r="F23" s="81">
        <f>0.6+1.2+1.2</f>
        <v>3</v>
      </c>
      <c r="G23" s="172"/>
      <c r="H23" s="172"/>
      <c r="J23" s="172"/>
    </row>
    <row r="24" spans="1:10" s="44" customFormat="1" ht="12.75" customHeight="1" x14ac:dyDescent="0.2">
      <c r="A24" s="76">
        <v>15</v>
      </c>
      <c r="B24" s="80"/>
      <c r="C24" s="55" t="s">
        <v>134</v>
      </c>
      <c r="D24" s="84" t="s">
        <v>60</v>
      </c>
      <c r="E24" s="81">
        <f>0.6+0.2+0.4</f>
        <v>1.2000000000000002</v>
      </c>
      <c r="F24" s="81">
        <f>0.3+0.1</f>
        <v>0.4</v>
      </c>
      <c r="G24" s="172"/>
      <c r="H24" s="172"/>
    </row>
    <row r="25" spans="1:10" s="44" customFormat="1" ht="12.75" customHeight="1" x14ac:dyDescent="0.2">
      <c r="A25" s="76">
        <v>16</v>
      </c>
      <c r="B25" s="80"/>
      <c r="C25" s="55" t="s">
        <v>135</v>
      </c>
      <c r="D25" s="84" t="s">
        <v>60</v>
      </c>
      <c r="E25" s="81">
        <f>0.2+0.1</f>
        <v>0.30000000000000004</v>
      </c>
      <c r="F25" s="81">
        <v>0.1</v>
      </c>
      <c r="G25" s="172"/>
      <c r="H25" s="172"/>
    </row>
    <row r="26" spans="1:10" s="44" customFormat="1" ht="12.75" customHeight="1" x14ac:dyDescent="0.2">
      <c r="A26" s="76">
        <v>17</v>
      </c>
      <c r="B26" s="80"/>
      <c r="C26" s="55" t="s">
        <v>40</v>
      </c>
      <c r="D26" s="84" t="s">
        <v>60</v>
      </c>
      <c r="E26" s="201">
        <f>0.4+0.3+1.7</f>
        <v>2.4</v>
      </c>
      <c r="F26" s="201">
        <f>0.1+0.7</f>
        <v>0.79999999999999993</v>
      </c>
      <c r="G26" s="172"/>
      <c r="H26" s="172"/>
    </row>
    <row r="27" spans="1:10" s="44" customFormat="1" ht="12.75" customHeight="1" x14ac:dyDescent="0.2">
      <c r="A27" s="76">
        <v>18</v>
      </c>
      <c r="B27" s="80"/>
      <c r="C27" s="52" t="s">
        <v>137</v>
      </c>
      <c r="D27" s="84" t="s">
        <v>60</v>
      </c>
      <c r="E27" s="201">
        <f>2.2+2.2+2.8</f>
        <v>7.2</v>
      </c>
      <c r="F27" s="201">
        <f>1.9+1.8+2.5</f>
        <v>6.2</v>
      </c>
      <c r="G27" s="172"/>
      <c r="H27" s="172"/>
    </row>
    <row r="28" spans="1:10" s="44" customFormat="1" ht="12.75" customHeight="1" x14ac:dyDescent="0.2">
      <c r="A28" s="76">
        <v>19</v>
      </c>
      <c r="B28" s="80"/>
      <c r="C28" s="55" t="s">
        <v>162</v>
      </c>
      <c r="D28" s="84" t="s">
        <v>61</v>
      </c>
      <c r="E28" s="201">
        <f>1.9+3.1+7.4</f>
        <v>12.4</v>
      </c>
      <c r="F28" s="201">
        <f>1.8+3.1+7.3</f>
        <v>12.2</v>
      </c>
      <c r="G28" s="172"/>
      <c r="H28" s="172"/>
    </row>
    <row r="29" spans="1:10" s="44" customFormat="1" ht="12.75" customHeight="1" x14ac:dyDescent="0.2">
      <c r="A29" s="76">
        <v>20</v>
      </c>
      <c r="B29" s="80"/>
      <c r="C29" s="52" t="s">
        <v>163</v>
      </c>
      <c r="D29" s="85" t="s">
        <v>216</v>
      </c>
      <c r="E29" s="201">
        <f>3.1+1.9+3.7</f>
        <v>8.6999999999999993</v>
      </c>
      <c r="F29" s="201">
        <f>3+1.9+3.7</f>
        <v>8.6000000000000014</v>
      </c>
      <c r="G29" s="172"/>
      <c r="H29" s="172"/>
    </row>
    <row r="30" spans="1:10" s="44" customFormat="1" ht="12.75" customHeight="1" x14ac:dyDescent="0.2">
      <c r="A30" s="76">
        <v>21</v>
      </c>
      <c r="B30" s="80"/>
      <c r="C30" s="55" t="s">
        <v>120</v>
      </c>
      <c r="D30" s="85" t="s">
        <v>216</v>
      </c>
      <c r="E30" s="201">
        <f>0.5+0.5+1.1</f>
        <v>2.1</v>
      </c>
      <c r="F30" s="201">
        <f>0.1+0.1+0.1</f>
        <v>0.30000000000000004</v>
      </c>
      <c r="G30" s="172"/>
      <c r="H30" s="172"/>
    </row>
    <row r="31" spans="1:10" s="44" customFormat="1" ht="12.75" customHeight="1" x14ac:dyDescent="0.2">
      <c r="A31" s="76">
        <v>22</v>
      </c>
      <c r="B31" s="80"/>
      <c r="C31" s="55" t="s">
        <v>136</v>
      </c>
      <c r="D31" s="84" t="s">
        <v>61</v>
      </c>
      <c r="E31" s="201">
        <f>0.7+0.7+1.4</f>
        <v>2.8</v>
      </c>
      <c r="F31" s="201">
        <f>0.1+0.1+0.2</f>
        <v>0.4</v>
      </c>
      <c r="G31" s="172"/>
      <c r="H31" s="172"/>
    </row>
    <row r="32" spans="1:10" s="44" customFormat="1" ht="12" customHeight="1" x14ac:dyDescent="0.2">
      <c r="A32" s="76">
        <v>23</v>
      </c>
      <c r="B32" s="80"/>
      <c r="C32" s="196" t="s">
        <v>15</v>
      </c>
      <c r="D32" s="80" t="s">
        <v>58</v>
      </c>
      <c r="E32" s="201">
        <f>0.4+0.3+0.7</f>
        <v>1.4</v>
      </c>
      <c r="F32" s="201">
        <f>0.1+0.1</f>
        <v>0.2</v>
      </c>
      <c r="G32" s="172"/>
      <c r="H32" s="172"/>
    </row>
    <row r="33" spans="1:8" s="44" customFormat="1" ht="12" customHeight="1" x14ac:dyDescent="0.2">
      <c r="A33" s="76">
        <v>24</v>
      </c>
      <c r="B33" s="80"/>
      <c r="C33" s="196" t="s">
        <v>278</v>
      </c>
      <c r="D33" s="80" t="s">
        <v>58</v>
      </c>
      <c r="E33" s="201">
        <f>0.3+0.3</f>
        <v>0.6</v>
      </c>
      <c r="F33" s="201">
        <f>0.3+0.3</f>
        <v>0.6</v>
      </c>
      <c r="G33" s="172"/>
      <c r="H33" s="172"/>
    </row>
    <row r="34" spans="1:8" s="44" customFormat="1" ht="38.25" x14ac:dyDescent="0.2">
      <c r="A34" s="76">
        <v>25</v>
      </c>
      <c r="B34" s="80" t="s">
        <v>763</v>
      </c>
      <c r="C34" s="202" t="s">
        <v>769</v>
      </c>
      <c r="D34" s="80"/>
      <c r="E34" s="203">
        <f>SUM(E35:E40)</f>
        <v>13.6</v>
      </c>
      <c r="F34" s="203">
        <f>SUM(F35:F40)</f>
        <v>0</v>
      </c>
      <c r="G34" s="172"/>
      <c r="H34" s="172"/>
    </row>
    <row r="35" spans="1:8" s="44" customFormat="1" ht="12" customHeight="1" x14ac:dyDescent="0.2">
      <c r="A35" s="76">
        <v>26</v>
      </c>
      <c r="B35" s="80"/>
      <c r="C35" s="54" t="s">
        <v>134</v>
      </c>
      <c r="D35" s="80" t="s">
        <v>60</v>
      </c>
      <c r="E35" s="201">
        <f>0.9+0.5</f>
        <v>1.4</v>
      </c>
      <c r="F35" s="204">
        <f>0.9-0.9</f>
        <v>0</v>
      </c>
      <c r="G35" s="172"/>
      <c r="H35" s="172"/>
    </row>
    <row r="36" spans="1:8" s="44" customFormat="1" ht="12" customHeight="1" x14ac:dyDescent="0.2">
      <c r="A36" s="76">
        <v>27</v>
      </c>
      <c r="B36" s="80"/>
      <c r="C36" s="54" t="s">
        <v>40</v>
      </c>
      <c r="D36" s="80" t="s">
        <v>60</v>
      </c>
      <c r="E36" s="201">
        <f>1.8-1.8</f>
        <v>0</v>
      </c>
      <c r="F36" s="204">
        <f>1.8-1.8</f>
        <v>0</v>
      </c>
      <c r="G36" s="172"/>
      <c r="H36" s="172"/>
    </row>
    <row r="37" spans="1:8" s="44" customFormat="1" ht="12" customHeight="1" x14ac:dyDescent="0.2">
      <c r="A37" s="76">
        <v>28</v>
      </c>
      <c r="B37" s="80"/>
      <c r="C37" s="60" t="s">
        <v>163</v>
      </c>
      <c r="D37" s="80" t="s">
        <v>61</v>
      </c>
      <c r="E37" s="201">
        <f>3.2+2</f>
        <v>5.2</v>
      </c>
      <c r="F37" s="204">
        <f>3.1-3.1</f>
        <v>0</v>
      </c>
      <c r="G37" s="172"/>
      <c r="H37" s="172"/>
    </row>
    <row r="38" spans="1:8" x14ac:dyDescent="0.2">
      <c r="A38" s="76">
        <v>29</v>
      </c>
      <c r="C38" s="54" t="s">
        <v>41</v>
      </c>
      <c r="D38" s="80" t="s">
        <v>61</v>
      </c>
      <c r="E38" s="76">
        <f>2.1-2.1</f>
        <v>0</v>
      </c>
      <c r="F38" s="205">
        <f>2.1-2.1</f>
        <v>0</v>
      </c>
      <c r="G38" s="172"/>
      <c r="H38" s="172"/>
    </row>
    <row r="39" spans="1:8" s="44" customFormat="1" ht="12" customHeight="1" x14ac:dyDescent="0.2">
      <c r="A39" s="76">
        <v>30</v>
      </c>
      <c r="B39" s="80"/>
      <c r="C39" s="54" t="s">
        <v>42</v>
      </c>
      <c r="D39" s="80" t="s">
        <v>61</v>
      </c>
      <c r="E39" s="201">
        <f>1.8+1.1</f>
        <v>2.9000000000000004</v>
      </c>
      <c r="F39" s="204">
        <f>1.7-1.7</f>
        <v>0</v>
      </c>
      <c r="G39" s="172"/>
      <c r="H39" s="172"/>
    </row>
    <row r="40" spans="1:8" s="44" customFormat="1" ht="56.25" customHeight="1" x14ac:dyDescent="0.2">
      <c r="A40" s="76">
        <v>31</v>
      </c>
      <c r="B40" s="80"/>
      <c r="C40" s="54" t="s">
        <v>111</v>
      </c>
      <c r="D40" s="82" t="s">
        <v>352</v>
      </c>
      <c r="E40" s="201">
        <f>3.8+0.3</f>
        <v>4.0999999999999996</v>
      </c>
      <c r="F40" s="204">
        <f>3.7-3.7</f>
        <v>0</v>
      </c>
      <c r="G40" s="172"/>
      <c r="H40" s="172"/>
    </row>
    <row r="41" spans="1:8" s="44" customFormat="1" ht="38.25" x14ac:dyDescent="0.2">
      <c r="A41" s="76">
        <v>32</v>
      </c>
      <c r="B41" s="80" t="s">
        <v>838</v>
      </c>
      <c r="C41" s="100" t="s">
        <v>837</v>
      </c>
      <c r="D41" s="82"/>
      <c r="E41" s="203">
        <f>SUM(E42:E44)</f>
        <v>8.9</v>
      </c>
      <c r="F41" s="203">
        <f>SUM(F42:F44)</f>
        <v>2.5</v>
      </c>
      <c r="G41" s="172"/>
      <c r="H41" s="172"/>
    </row>
    <row r="42" spans="1:8" s="44" customFormat="1" ht="15" customHeight="1" x14ac:dyDescent="0.2">
      <c r="A42" s="76">
        <v>33</v>
      </c>
      <c r="B42" s="80"/>
      <c r="C42" s="60" t="s">
        <v>156</v>
      </c>
      <c r="D42" s="80" t="s">
        <v>58</v>
      </c>
      <c r="E42" s="201">
        <v>1.8</v>
      </c>
      <c r="F42" s="204">
        <v>1.5</v>
      </c>
      <c r="G42" s="172"/>
      <c r="H42" s="172"/>
    </row>
    <row r="43" spans="1:8" s="44" customFormat="1" ht="15" customHeight="1" x14ac:dyDescent="0.2">
      <c r="A43" s="76">
        <v>34</v>
      </c>
      <c r="B43" s="80"/>
      <c r="C43" s="60" t="s">
        <v>159</v>
      </c>
      <c r="D43" s="80" t="s">
        <v>58</v>
      </c>
      <c r="E43" s="201">
        <v>1.8</v>
      </c>
      <c r="F43" s="204">
        <v>1</v>
      </c>
      <c r="G43" s="172"/>
      <c r="H43" s="172"/>
    </row>
    <row r="44" spans="1:8" s="44" customFormat="1" ht="15" customHeight="1" x14ac:dyDescent="0.2">
      <c r="A44" s="76">
        <v>35</v>
      </c>
      <c r="B44" s="80"/>
      <c r="C44" s="60" t="s">
        <v>160</v>
      </c>
      <c r="D44" s="80" t="s">
        <v>58</v>
      </c>
      <c r="E44" s="201">
        <v>5.3</v>
      </c>
      <c r="F44" s="204"/>
      <c r="G44" s="172"/>
      <c r="H44" s="172"/>
    </row>
    <row r="45" spans="1:8" ht="18" customHeight="1" x14ac:dyDescent="0.2">
      <c r="A45" s="76">
        <v>36</v>
      </c>
      <c r="B45" s="75" t="s">
        <v>21</v>
      </c>
      <c r="C45" s="99" t="s">
        <v>22</v>
      </c>
      <c r="D45" s="82"/>
      <c r="E45" s="63">
        <f>+E46+E48+E50+E52+E54+E56+E58+E60+E62+E64+E69+E75+E81+E83+E85+E87</f>
        <v>3161.5</v>
      </c>
      <c r="F45" s="63">
        <f>+F46+F48+F50+F52+F54+F56+F58+F60+F62+F64+F69+F75+F81+F83+F85+F87</f>
        <v>196.00000000000003</v>
      </c>
    </row>
    <row r="46" spans="1:8" ht="25.5" x14ac:dyDescent="0.2">
      <c r="A46" s="76">
        <v>37</v>
      </c>
      <c r="B46" s="80" t="s">
        <v>232</v>
      </c>
      <c r="C46" s="189" t="s">
        <v>494</v>
      </c>
      <c r="D46" s="82"/>
      <c r="E46" s="176">
        <f>+E47</f>
        <v>24.7</v>
      </c>
      <c r="F46" s="176">
        <f>+F47</f>
        <v>21.400000000000002</v>
      </c>
    </row>
    <row r="47" spans="1:8" x14ac:dyDescent="0.2">
      <c r="A47" s="76">
        <v>38</v>
      </c>
      <c r="B47" s="80"/>
      <c r="C47" s="150" t="s">
        <v>147</v>
      </c>
      <c r="D47" s="82" t="s">
        <v>23</v>
      </c>
      <c r="E47" s="81">
        <v>24.7</v>
      </c>
      <c r="F47" s="81">
        <f>24.3-2.9</f>
        <v>21.400000000000002</v>
      </c>
    </row>
    <row r="48" spans="1:8" ht="25.5" x14ac:dyDescent="0.2">
      <c r="A48" s="76">
        <v>39</v>
      </c>
      <c r="B48" s="80" t="s">
        <v>234</v>
      </c>
      <c r="C48" s="189" t="s">
        <v>595</v>
      </c>
      <c r="D48" s="82"/>
      <c r="E48" s="176">
        <f>+E49</f>
        <v>160.69999999999999</v>
      </c>
      <c r="F48" s="176">
        <f>+F49</f>
        <v>3.1</v>
      </c>
    </row>
    <row r="49" spans="1:9" x14ac:dyDescent="0.2">
      <c r="A49" s="76">
        <v>40</v>
      </c>
      <c r="B49" s="80"/>
      <c r="C49" s="150" t="s">
        <v>3</v>
      </c>
      <c r="D49" s="82" t="s">
        <v>23</v>
      </c>
      <c r="E49" s="81">
        <v>160.69999999999999</v>
      </c>
      <c r="F49" s="81">
        <v>3.1</v>
      </c>
    </row>
    <row r="50" spans="1:9" ht="38.25" x14ac:dyDescent="0.2">
      <c r="A50" s="76">
        <v>41</v>
      </c>
      <c r="B50" s="80" t="s">
        <v>236</v>
      </c>
      <c r="C50" s="100" t="s">
        <v>594</v>
      </c>
      <c r="D50" s="206"/>
      <c r="E50" s="176">
        <f>+E51</f>
        <v>89.1</v>
      </c>
      <c r="F50" s="176">
        <f>+F51</f>
        <v>2.6</v>
      </c>
    </row>
    <row r="51" spans="1:9" x14ac:dyDescent="0.2">
      <c r="A51" s="76">
        <v>42</v>
      </c>
      <c r="B51" s="80"/>
      <c r="C51" s="150" t="s">
        <v>3</v>
      </c>
      <c r="D51" s="82" t="s">
        <v>573</v>
      </c>
      <c r="E51" s="81">
        <f>102.6-8.9-4.6</f>
        <v>89.1</v>
      </c>
      <c r="F51" s="81">
        <f>3-0.3-0.1</f>
        <v>2.6</v>
      </c>
    </row>
    <row r="52" spans="1:9" ht="25.5" x14ac:dyDescent="0.2">
      <c r="A52" s="76">
        <v>43</v>
      </c>
      <c r="B52" s="80" t="s">
        <v>239</v>
      </c>
      <c r="C52" s="100" t="s">
        <v>616</v>
      </c>
      <c r="D52" s="206"/>
      <c r="E52" s="176">
        <f>+E53</f>
        <v>67.700000000000017</v>
      </c>
      <c r="F52" s="176">
        <f>+F53</f>
        <v>1.3</v>
      </c>
    </row>
    <row r="53" spans="1:9" x14ac:dyDescent="0.2">
      <c r="A53" s="76">
        <v>44</v>
      </c>
      <c r="B53" s="80"/>
      <c r="C53" s="54" t="s">
        <v>3</v>
      </c>
      <c r="D53" s="82" t="s">
        <v>573</v>
      </c>
      <c r="E53" s="81">
        <f>132.8-65.1</f>
        <v>67.700000000000017</v>
      </c>
      <c r="F53" s="81">
        <f>2.6-1.3</f>
        <v>1.3</v>
      </c>
    </row>
    <row r="54" spans="1:9" ht="25.5" x14ac:dyDescent="0.2">
      <c r="A54" s="76">
        <v>45</v>
      </c>
      <c r="B54" s="80" t="s">
        <v>241</v>
      </c>
      <c r="C54" s="100" t="s">
        <v>617</v>
      </c>
      <c r="D54" s="206"/>
      <c r="E54" s="176">
        <f>+E55</f>
        <v>0.7</v>
      </c>
      <c r="F54" s="176">
        <f>+F55</f>
        <v>0</v>
      </c>
    </row>
    <row r="55" spans="1:9" x14ac:dyDescent="0.2">
      <c r="A55" s="76">
        <v>46</v>
      </c>
      <c r="B55" s="80"/>
      <c r="C55" s="54" t="s">
        <v>3</v>
      </c>
      <c r="D55" s="82" t="s">
        <v>573</v>
      </c>
      <c r="E55" s="81">
        <v>0.7</v>
      </c>
      <c r="F55" s="81"/>
    </row>
    <row r="56" spans="1:9" ht="63.75" x14ac:dyDescent="0.2">
      <c r="A56" s="76">
        <v>47</v>
      </c>
      <c r="B56" s="80" t="s">
        <v>431</v>
      </c>
      <c r="C56" s="100" t="s">
        <v>628</v>
      </c>
      <c r="D56" s="206"/>
      <c r="E56" s="176">
        <f>+E57</f>
        <v>2.6</v>
      </c>
      <c r="F56" s="176">
        <f>+F57</f>
        <v>0</v>
      </c>
    </row>
    <row r="57" spans="1:9" x14ac:dyDescent="0.2">
      <c r="A57" s="76">
        <v>48</v>
      </c>
      <c r="B57" s="80"/>
      <c r="C57" s="54" t="s">
        <v>3</v>
      </c>
      <c r="D57" s="82" t="s">
        <v>573</v>
      </c>
      <c r="E57" s="81">
        <f>0.6+1+1</f>
        <v>2.6</v>
      </c>
      <c r="F57" s="81"/>
      <c r="I57" s="12"/>
    </row>
    <row r="58" spans="1:9" ht="38.25" x14ac:dyDescent="0.2">
      <c r="A58" s="76">
        <v>49</v>
      </c>
      <c r="B58" s="80" t="s">
        <v>586</v>
      </c>
      <c r="C58" s="100" t="s">
        <v>647</v>
      </c>
      <c r="D58" s="82"/>
      <c r="E58" s="176">
        <f>+E59</f>
        <v>227.5</v>
      </c>
      <c r="F58" s="176">
        <f>+F59</f>
        <v>3.8000000000000003</v>
      </c>
      <c r="G58" s="2"/>
      <c r="H58" s="2"/>
    </row>
    <row r="59" spans="1:9" x14ac:dyDescent="0.2">
      <c r="A59" s="76">
        <v>50</v>
      </c>
      <c r="B59" s="80"/>
      <c r="C59" s="54" t="s">
        <v>3</v>
      </c>
      <c r="D59" s="82" t="s">
        <v>573</v>
      </c>
      <c r="E59" s="81">
        <f>24.9+22.6+16.5+19+23.3+23.7+20.6+23.9+25.9+27.1</f>
        <v>227.5</v>
      </c>
      <c r="F59" s="81">
        <f>0.5+0.3+0.3+0.3+0.5+0.5+0.4+0.5+0.5</f>
        <v>3.8000000000000003</v>
      </c>
    </row>
    <row r="60" spans="1:9" ht="25.5" x14ac:dyDescent="0.2">
      <c r="A60" s="76">
        <v>51</v>
      </c>
      <c r="B60" s="80" t="s">
        <v>734</v>
      </c>
      <c r="C60" s="100" t="s">
        <v>731</v>
      </c>
      <c r="D60" s="82"/>
      <c r="E60" s="81">
        <f>+E61</f>
        <v>0.1</v>
      </c>
      <c r="F60" s="81">
        <f>+F61</f>
        <v>0</v>
      </c>
    </row>
    <row r="61" spans="1:9" x14ac:dyDescent="0.2">
      <c r="A61" s="76">
        <v>52</v>
      </c>
      <c r="B61" s="80"/>
      <c r="C61" s="54" t="s">
        <v>3</v>
      </c>
      <c r="D61" s="82" t="s">
        <v>573</v>
      </c>
      <c r="E61" s="81">
        <v>0.1</v>
      </c>
      <c r="F61" s="81"/>
    </row>
    <row r="62" spans="1:9" ht="25.5" x14ac:dyDescent="0.2">
      <c r="A62" s="76">
        <v>53</v>
      </c>
      <c r="B62" s="80" t="s">
        <v>735</v>
      </c>
      <c r="C62" s="100" t="s">
        <v>733</v>
      </c>
      <c r="D62" s="82"/>
      <c r="E62" s="81">
        <f>+E63</f>
        <v>28.7</v>
      </c>
      <c r="F62" s="81">
        <f>+F63</f>
        <v>1.1000000000000001</v>
      </c>
    </row>
    <row r="63" spans="1:9" x14ac:dyDescent="0.2">
      <c r="A63" s="76">
        <v>54</v>
      </c>
      <c r="B63" s="80"/>
      <c r="C63" s="54" t="s">
        <v>654</v>
      </c>
      <c r="D63" s="82" t="s">
        <v>573</v>
      </c>
      <c r="E63" s="81">
        <v>28.7</v>
      </c>
      <c r="F63" s="81">
        <v>1.1000000000000001</v>
      </c>
    </row>
    <row r="64" spans="1:9" ht="25.5" x14ac:dyDescent="0.2">
      <c r="A64" s="76">
        <v>55</v>
      </c>
      <c r="B64" s="80" t="s">
        <v>738</v>
      </c>
      <c r="C64" s="189" t="s">
        <v>739</v>
      </c>
      <c r="D64" s="206"/>
      <c r="E64" s="176">
        <f>SUM(E65:E68)</f>
        <v>18</v>
      </c>
      <c r="F64" s="176">
        <f>SUM(F65:F68)</f>
        <v>17.600000000000001</v>
      </c>
    </row>
    <row r="65" spans="1:11" ht="38.25" x14ac:dyDescent="0.2">
      <c r="A65" s="76">
        <v>56</v>
      </c>
      <c r="B65" s="80"/>
      <c r="C65" s="89" t="s">
        <v>1</v>
      </c>
      <c r="D65" s="82" t="s">
        <v>70</v>
      </c>
      <c r="E65" s="81">
        <v>5.2</v>
      </c>
      <c r="F65" s="81">
        <v>5</v>
      </c>
    </row>
    <row r="66" spans="1:11" x14ac:dyDescent="0.2">
      <c r="A66" s="76">
        <v>57</v>
      </c>
      <c r="B66" s="80"/>
      <c r="C66" s="94" t="s">
        <v>2</v>
      </c>
      <c r="D66" s="108" t="s">
        <v>71</v>
      </c>
      <c r="E66" s="81">
        <v>4.5</v>
      </c>
      <c r="F66" s="81">
        <v>4.4000000000000004</v>
      </c>
    </row>
    <row r="67" spans="1:11" x14ac:dyDescent="0.2">
      <c r="A67" s="76">
        <v>58</v>
      </c>
      <c r="B67" s="80"/>
      <c r="C67" s="88" t="s">
        <v>15</v>
      </c>
      <c r="D67" s="82" t="s">
        <v>103</v>
      </c>
      <c r="E67" s="81">
        <v>2.1</v>
      </c>
      <c r="F67" s="81">
        <v>2.1</v>
      </c>
    </row>
    <row r="68" spans="1:11" x14ac:dyDescent="0.2">
      <c r="A68" s="76">
        <v>59</v>
      </c>
      <c r="B68" s="80"/>
      <c r="C68" s="94" t="s">
        <v>147</v>
      </c>
      <c r="D68" s="82" t="s">
        <v>23</v>
      </c>
      <c r="E68" s="81">
        <v>6.2</v>
      </c>
      <c r="F68" s="81">
        <v>6.1</v>
      </c>
    </row>
    <row r="69" spans="1:11" ht="38.25" x14ac:dyDescent="0.2">
      <c r="A69" s="76">
        <v>60</v>
      </c>
      <c r="B69" s="80" t="s">
        <v>778</v>
      </c>
      <c r="C69" s="177" t="s">
        <v>765</v>
      </c>
      <c r="D69" s="82"/>
      <c r="E69" s="176">
        <f>+E70+E71+E72+E73+E74</f>
        <v>2279</v>
      </c>
      <c r="F69" s="176">
        <f>+F70+F71+F72+F73+F74</f>
        <v>0</v>
      </c>
      <c r="G69" s="2"/>
      <c r="J69" s="12"/>
    </row>
    <row r="70" spans="1:11" x14ac:dyDescent="0.2">
      <c r="A70" s="76">
        <v>61</v>
      </c>
      <c r="B70" s="80"/>
      <c r="C70" s="54" t="s">
        <v>3</v>
      </c>
      <c r="D70" s="82" t="s">
        <v>73</v>
      </c>
      <c r="E70" s="81">
        <f>1639.3-30</f>
        <v>1609.3</v>
      </c>
      <c r="F70" s="81"/>
      <c r="G70" s="2"/>
      <c r="J70" s="12"/>
    </row>
    <row r="71" spans="1:11" ht="25.5" x14ac:dyDescent="0.2">
      <c r="A71" s="76">
        <v>62</v>
      </c>
      <c r="B71" s="80"/>
      <c r="C71" s="94" t="s">
        <v>8</v>
      </c>
      <c r="D71" s="82" t="s">
        <v>839</v>
      </c>
      <c r="E71" s="81">
        <v>300</v>
      </c>
      <c r="F71" s="81"/>
      <c r="G71" s="2"/>
      <c r="J71" s="12"/>
    </row>
    <row r="72" spans="1:11" ht="25.5" x14ac:dyDescent="0.2">
      <c r="A72" s="76">
        <v>63</v>
      </c>
      <c r="B72" s="80"/>
      <c r="C72" s="54" t="s">
        <v>4</v>
      </c>
      <c r="D72" s="82" t="s">
        <v>839</v>
      </c>
      <c r="E72" s="81">
        <v>200</v>
      </c>
      <c r="F72" s="81"/>
      <c r="G72" s="2"/>
      <c r="J72" s="12"/>
    </row>
    <row r="73" spans="1:11" ht="25.5" x14ac:dyDescent="0.2">
      <c r="A73" s="76">
        <v>64</v>
      </c>
      <c r="B73" s="80"/>
      <c r="C73" s="54" t="s">
        <v>5</v>
      </c>
      <c r="D73" s="82" t="s">
        <v>839</v>
      </c>
      <c r="E73" s="81">
        <v>100</v>
      </c>
      <c r="F73" s="81"/>
      <c r="G73" s="2"/>
      <c r="J73" s="12"/>
    </row>
    <row r="74" spans="1:11" ht="25.5" x14ac:dyDescent="0.2">
      <c r="A74" s="76">
        <v>65</v>
      </c>
      <c r="B74" s="80"/>
      <c r="C74" s="54" t="s">
        <v>14</v>
      </c>
      <c r="D74" s="82" t="s">
        <v>839</v>
      </c>
      <c r="E74" s="81">
        <v>69.7</v>
      </c>
      <c r="F74" s="81"/>
      <c r="G74" s="2"/>
      <c r="J74" s="12"/>
    </row>
    <row r="75" spans="1:11" ht="38.25" x14ac:dyDescent="0.2">
      <c r="A75" s="76">
        <v>66</v>
      </c>
      <c r="B75" s="80" t="s">
        <v>798</v>
      </c>
      <c r="C75" s="100" t="s">
        <v>801</v>
      </c>
      <c r="D75" s="206"/>
      <c r="E75" s="81">
        <f>SUM(E76:E80)</f>
        <v>147.20000000000002</v>
      </c>
      <c r="F75" s="81">
        <f>SUM(F76:F80)</f>
        <v>145.10000000000002</v>
      </c>
      <c r="G75" s="2"/>
      <c r="J75" s="12"/>
      <c r="K75" s="207"/>
    </row>
    <row r="76" spans="1:11" ht="38.25" x14ac:dyDescent="0.2">
      <c r="A76" s="76">
        <v>67</v>
      </c>
      <c r="B76" s="80"/>
      <c r="C76" s="60" t="s">
        <v>1</v>
      </c>
      <c r="D76" s="82" t="s">
        <v>70</v>
      </c>
      <c r="E76" s="81">
        <v>60.9</v>
      </c>
      <c r="F76" s="81">
        <v>60</v>
      </c>
      <c r="G76" s="2"/>
      <c r="J76" s="12"/>
    </row>
    <row r="77" spans="1:11" x14ac:dyDescent="0.2">
      <c r="A77" s="76">
        <v>68</v>
      </c>
      <c r="B77" s="80"/>
      <c r="C77" s="107" t="s">
        <v>2</v>
      </c>
      <c r="D77" s="82" t="s">
        <v>71</v>
      </c>
      <c r="E77" s="81">
        <v>7</v>
      </c>
      <c r="F77" s="81">
        <v>6.9</v>
      </c>
      <c r="J77" s="12"/>
    </row>
    <row r="78" spans="1:11" x14ac:dyDescent="0.2">
      <c r="A78" s="76">
        <v>69</v>
      </c>
      <c r="B78" s="80"/>
      <c r="C78" s="88" t="s">
        <v>15</v>
      </c>
      <c r="D78" s="82" t="s">
        <v>103</v>
      </c>
      <c r="E78" s="81">
        <v>12.7</v>
      </c>
      <c r="F78" s="81">
        <v>12.5</v>
      </c>
      <c r="G78" s="2"/>
      <c r="J78" s="12"/>
    </row>
    <row r="79" spans="1:11" x14ac:dyDescent="0.2">
      <c r="A79" s="76">
        <v>70</v>
      </c>
      <c r="B79" s="80"/>
      <c r="C79" s="88" t="s">
        <v>19</v>
      </c>
      <c r="D79" s="82" t="s">
        <v>71</v>
      </c>
      <c r="E79" s="81">
        <v>9.5</v>
      </c>
      <c r="F79" s="81">
        <v>9.4</v>
      </c>
      <c r="G79" s="2"/>
      <c r="J79" s="12"/>
    </row>
    <row r="80" spans="1:11" x14ac:dyDescent="0.2">
      <c r="A80" s="76">
        <v>71</v>
      </c>
      <c r="B80" s="80"/>
      <c r="C80" s="60" t="s">
        <v>147</v>
      </c>
      <c r="D80" s="82" t="s">
        <v>23</v>
      </c>
      <c r="E80" s="81">
        <v>57.1</v>
      </c>
      <c r="F80" s="81">
        <v>56.3</v>
      </c>
      <c r="G80" s="2"/>
      <c r="J80" s="12"/>
    </row>
    <row r="81" spans="1:10" ht="51" x14ac:dyDescent="0.2">
      <c r="A81" s="76">
        <v>72</v>
      </c>
      <c r="B81" s="80" t="s">
        <v>808</v>
      </c>
      <c r="C81" s="100" t="s">
        <v>817</v>
      </c>
      <c r="D81" s="82"/>
      <c r="E81" s="81">
        <f>+E82</f>
        <v>16</v>
      </c>
      <c r="F81" s="81">
        <f>+F82</f>
        <v>0</v>
      </c>
      <c r="G81" s="2"/>
      <c r="J81" s="12"/>
    </row>
    <row r="82" spans="1:10" x14ac:dyDescent="0.2">
      <c r="A82" s="76">
        <v>73</v>
      </c>
      <c r="B82" s="80"/>
      <c r="C82" s="150" t="s">
        <v>3</v>
      </c>
      <c r="D82" s="82" t="s">
        <v>31</v>
      </c>
      <c r="E82" s="81">
        <f>5.8+10.2</f>
        <v>16</v>
      </c>
      <c r="F82" s="81"/>
      <c r="G82" s="2"/>
      <c r="J82" s="12"/>
    </row>
    <row r="83" spans="1:10" ht="63.75" x14ac:dyDescent="0.2">
      <c r="A83" s="76">
        <v>74</v>
      </c>
      <c r="B83" s="80" t="s">
        <v>809</v>
      </c>
      <c r="C83" s="100" t="s">
        <v>818</v>
      </c>
      <c r="D83" s="82"/>
      <c r="E83" s="81">
        <f>+E84</f>
        <v>97.7</v>
      </c>
      <c r="F83" s="81">
        <f>+F84</f>
        <v>0</v>
      </c>
      <c r="G83" s="2"/>
      <c r="J83" s="12"/>
    </row>
    <row r="84" spans="1:10" x14ac:dyDescent="0.2">
      <c r="A84" s="76">
        <v>75</v>
      </c>
      <c r="B84" s="80"/>
      <c r="C84" s="54" t="s">
        <v>3</v>
      </c>
      <c r="D84" s="82" t="s">
        <v>573</v>
      </c>
      <c r="E84" s="81">
        <f>51.7+46</f>
        <v>97.7</v>
      </c>
      <c r="F84" s="81"/>
      <c r="G84" s="2"/>
      <c r="J84" s="12"/>
    </row>
    <row r="85" spans="1:10" ht="63.75" x14ac:dyDescent="0.2">
      <c r="A85" s="76">
        <v>76</v>
      </c>
      <c r="B85" s="80" t="s">
        <v>810</v>
      </c>
      <c r="C85" s="100" t="s">
        <v>819</v>
      </c>
      <c r="D85" s="82"/>
      <c r="E85" s="81">
        <f>+E86</f>
        <v>1</v>
      </c>
      <c r="F85" s="81">
        <f>+F86</f>
        <v>0</v>
      </c>
      <c r="G85" s="2"/>
      <c r="J85" s="12"/>
    </row>
    <row r="86" spans="1:10" x14ac:dyDescent="0.2">
      <c r="A86" s="76">
        <v>77</v>
      </c>
      <c r="B86" s="80"/>
      <c r="C86" s="54" t="s">
        <v>3</v>
      </c>
      <c r="D86" s="82" t="s">
        <v>573</v>
      </c>
      <c r="E86" s="81">
        <f>0.4+0.6</f>
        <v>1</v>
      </c>
      <c r="F86" s="81"/>
      <c r="G86" s="2"/>
      <c r="J86" s="12"/>
    </row>
    <row r="87" spans="1:10" ht="51" x14ac:dyDescent="0.2">
      <c r="A87" s="76">
        <v>78</v>
      </c>
      <c r="B87" s="80" t="s">
        <v>822</v>
      </c>
      <c r="C87" s="100" t="s">
        <v>823</v>
      </c>
      <c r="D87" s="82"/>
      <c r="E87" s="81">
        <f>+E88</f>
        <v>0.8</v>
      </c>
      <c r="F87" s="81">
        <f>+F88</f>
        <v>0</v>
      </c>
      <c r="G87" s="2"/>
      <c r="J87" s="12"/>
    </row>
    <row r="88" spans="1:10" x14ac:dyDescent="0.2">
      <c r="A88" s="76">
        <v>79</v>
      </c>
      <c r="B88" s="80"/>
      <c r="C88" s="54" t="s">
        <v>3</v>
      </c>
      <c r="D88" s="82" t="s">
        <v>573</v>
      </c>
      <c r="E88" s="81">
        <f>0.5+0.3</f>
        <v>0.8</v>
      </c>
      <c r="F88" s="81"/>
      <c r="G88" s="2"/>
      <c r="J88" s="12"/>
    </row>
    <row r="89" spans="1:10" x14ac:dyDescent="0.2">
      <c r="A89" s="76">
        <v>80</v>
      </c>
      <c r="B89" s="75" t="s">
        <v>76</v>
      </c>
      <c r="C89" s="99" t="s">
        <v>193</v>
      </c>
      <c r="D89" s="82"/>
      <c r="E89" s="63">
        <f t="shared" ref="E89:F91" si="0">+E90</f>
        <v>232</v>
      </c>
      <c r="F89" s="63">
        <f t="shared" si="0"/>
        <v>0</v>
      </c>
      <c r="G89" s="2"/>
      <c r="J89" s="12"/>
    </row>
    <row r="90" spans="1:10" s="44" customFormat="1" ht="27" customHeight="1" x14ac:dyDescent="0.2">
      <c r="A90" s="76">
        <v>81</v>
      </c>
      <c r="B90" s="80" t="s">
        <v>301</v>
      </c>
      <c r="C90" s="189" t="s">
        <v>824</v>
      </c>
      <c r="D90" s="80"/>
      <c r="E90" s="176">
        <f t="shared" si="0"/>
        <v>232</v>
      </c>
      <c r="F90" s="176">
        <f t="shared" si="0"/>
        <v>0</v>
      </c>
      <c r="G90" s="172"/>
      <c r="H90" s="172"/>
    </row>
    <row r="91" spans="1:10" s="44" customFormat="1" ht="14.25" customHeight="1" x14ac:dyDescent="0.2">
      <c r="A91" s="76">
        <v>82</v>
      </c>
      <c r="B91" s="80"/>
      <c r="C91" s="54" t="s">
        <v>654</v>
      </c>
      <c r="D91" s="80"/>
      <c r="E91" s="81">
        <f t="shared" si="0"/>
        <v>232</v>
      </c>
      <c r="F91" s="81">
        <f t="shared" si="0"/>
        <v>0</v>
      </c>
      <c r="G91" s="172"/>
      <c r="H91" s="172"/>
    </row>
    <row r="92" spans="1:10" s="44" customFormat="1" ht="27" customHeight="1" x14ac:dyDescent="0.2">
      <c r="A92" s="76">
        <v>83</v>
      </c>
      <c r="B92" s="80"/>
      <c r="C92" s="164" t="s">
        <v>761</v>
      </c>
      <c r="D92" s="80" t="s">
        <v>216</v>
      </c>
      <c r="E92" s="81">
        <v>232</v>
      </c>
      <c r="F92" s="81"/>
      <c r="G92" s="172"/>
      <c r="H92" s="172"/>
    </row>
    <row r="93" spans="1:10" x14ac:dyDescent="0.2">
      <c r="A93" s="76">
        <v>84</v>
      </c>
      <c r="B93" s="75" t="s">
        <v>78</v>
      </c>
      <c r="C93" s="99" t="s">
        <v>79</v>
      </c>
      <c r="D93" s="98"/>
      <c r="E93" s="208">
        <f>+E94+E96+E99</f>
        <v>386.6</v>
      </c>
      <c r="F93" s="208">
        <f>+F94+F96+F99</f>
        <v>0.6</v>
      </c>
    </row>
    <row r="94" spans="1:10" ht="25.5" x14ac:dyDescent="0.2">
      <c r="A94" s="76">
        <v>85</v>
      </c>
      <c r="B94" s="80" t="s">
        <v>605</v>
      </c>
      <c r="C94" s="189" t="s">
        <v>883</v>
      </c>
      <c r="D94" s="98"/>
      <c r="E94" s="81">
        <f>+E95</f>
        <v>54.6</v>
      </c>
      <c r="F94" s="81">
        <f>+F95</f>
        <v>0</v>
      </c>
    </row>
    <row r="95" spans="1:10" ht="25.5" x14ac:dyDescent="0.2">
      <c r="A95" s="76">
        <v>86</v>
      </c>
      <c r="B95" s="80"/>
      <c r="C95" s="54" t="s">
        <v>53</v>
      </c>
      <c r="D95" s="80" t="s">
        <v>81</v>
      </c>
      <c r="E95" s="81">
        <v>54.6</v>
      </c>
      <c r="F95" s="81"/>
    </row>
    <row r="96" spans="1:10" ht="25.5" x14ac:dyDescent="0.2">
      <c r="A96" s="76">
        <v>87</v>
      </c>
      <c r="B96" s="80" t="s">
        <v>743</v>
      </c>
      <c r="C96" s="189" t="s">
        <v>742</v>
      </c>
      <c r="D96" s="98"/>
      <c r="E96" s="176">
        <f>+E97</f>
        <v>300</v>
      </c>
      <c r="F96" s="176">
        <f>+F97</f>
        <v>0</v>
      </c>
    </row>
    <row r="97" spans="1:10" x14ac:dyDescent="0.2">
      <c r="A97" s="76">
        <v>88</v>
      </c>
      <c r="B97" s="80"/>
      <c r="C97" s="54" t="s">
        <v>3</v>
      </c>
      <c r="D97" s="98"/>
      <c r="E97" s="81">
        <f>+E98</f>
        <v>300</v>
      </c>
      <c r="F97" s="81">
        <f>+F98</f>
        <v>0</v>
      </c>
    </row>
    <row r="98" spans="1:10" ht="25.5" x14ac:dyDescent="0.2">
      <c r="A98" s="76">
        <v>89</v>
      </c>
      <c r="B98" s="80"/>
      <c r="C98" s="164" t="s">
        <v>741</v>
      </c>
      <c r="D98" s="98" t="s">
        <v>80</v>
      </c>
      <c r="E98" s="81">
        <v>300</v>
      </c>
      <c r="F98" s="81"/>
    </row>
    <row r="99" spans="1:10" ht="25.5" x14ac:dyDescent="0.2">
      <c r="A99" s="76">
        <v>90</v>
      </c>
      <c r="B99" s="80" t="s">
        <v>789</v>
      </c>
      <c r="C99" s="189" t="s">
        <v>790</v>
      </c>
      <c r="D99" s="98"/>
      <c r="E99" s="81">
        <f>+E100</f>
        <v>32</v>
      </c>
      <c r="F99" s="81">
        <f>+F100</f>
        <v>0.6</v>
      </c>
    </row>
    <row r="100" spans="1:10" x14ac:dyDescent="0.2">
      <c r="A100" s="76">
        <v>91</v>
      </c>
      <c r="B100" s="80"/>
      <c r="C100" s="164" t="s">
        <v>3</v>
      </c>
      <c r="D100" s="98" t="s">
        <v>791</v>
      </c>
      <c r="E100" s="81">
        <v>32</v>
      </c>
      <c r="F100" s="81">
        <v>0.6</v>
      </c>
    </row>
    <row r="101" spans="1:10" ht="21" customHeight="1" x14ac:dyDescent="0.2">
      <c r="A101" s="76">
        <v>92</v>
      </c>
      <c r="B101" s="75" t="s">
        <v>84</v>
      </c>
      <c r="C101" s="113" t="s">
        <v>85</v>
      </c>
      <c r="D101" s="80"/>
      <c r="E101" s="63">
        <f>+E102</f>
        <v>2995.6</v>
      </c>
      <c r="F101" s="63">
        <f>+F102</f>
        <v>0</v>
      </c>
    </row>
    <row r="102" spans="1:10" ht="25.5" x14ac:dyDescent="0.2">
      <c r="A102" s="76">
        <v>93</v>
      </c>
      <c r="B102" s="80" t="s">
        <v>756</v>
      </c>
      <c r="C102" s="100" t="s">
        <v>757</v>
      </c>
      <c r="D102" s="80"/>
      <c r="E102" s="81">
        <f>+E103</f>
        <v>2995.6</v>
      </c>
      <c r="F102" s="81">
        <f>+F103</f>
        <v>0</v>
      </c>
    </row>
    <row r="103" spans="1:10" x14ac:dyDescent="0.2">
      <c r="A103" s="76">
        <v>94</v>
      </c>
      <c r="B103" s="75"/>
      <c r="C103" s="54" t="s">
        <v>3</v>
      </c>
      <c r="D103" s="80" t="s">
        <v>601</v>
      </c>
      <c r="E103" s="81">
        <f>2878.6+117</f>
        <v>2995.6</v>
      </c>
      <c r="F103" s="81"/>
    </row>
    <row r="104" spans="1:10" x14ac:dyDescent="0.2">
      <c r="A104" s="76">
        <v>95</v>
      </c>
      <c r="B104" s="75" t="s">
        <v>89</v>
      </c>
      <c r="C104" s="99" t="s">
        <v>90</v>
      </c>
      <c r="D104" s="80"/>
      <c r="E104" s="63">
        <f>+E105+E107+E109+E111+E113</f>
        <v>107.49999999999999</v>
      </c>
      <c r="F104" s="63">
        <f>+F105+F107+F109+F111+F113</f>
        <v>0</v>
      </c>
    </row>
    <row r="105" spans="1:10" ht="38.25" x14ac:dyDescent="0.2">
      <c r="A105" s="76">
        <v>96</v>
      </c>
      <c r="B105" s="80" t="s">
        <v>614</v>
      </c>
      <c r="C105" s="209" t="s">
        <v>760</v>
      </c>
      <c r="D105" s="80"/>
      <c r="E105" s="81">
        <f>+E106</f>
        <v>14.1</v>
      </c>
      <c r="F105" s="81">
        <f>+F106</f>
        <v>0</v>
      </c>
      <c r="J105" s="13"/>
    </row>
    <row r="106" spans="1:10" x14ac:dyDescent="0.2">
      <c r="A106" s="76">
        <v>97</v>
      </c>
      <c r="B106" s="75"/>
      <c r="C106" s="150" t="s">
        <v>3</v>
      </c>
      <c r="D106" s="80" t="s">
        <v>143</v>
      </c>
      <c r="E106" s="81">
        <v>14.1</v>
      </c>
      <c r="F106" s="81"/>
    </row>
    <row r="107" spans="1:10" ht="25.5" x14ac:dyDescent="0.2">
      <c r="A107" s="76">
        <v>98</v>
      </c>
      <c r="B107" s="80" t="s">
        <v>774</v>
      </c>
      <c r="C107" s="209" t="s">
        <v>771</v>
      </c>
      <c r="D107" s="80"/>
      <c r="E107" s="81">
        <f>+E108</f>
        <v>15.4</v>
      </c>
      <c r="F107" s="81">
        <f>+F108</f>
        <v>0</v>
      </c>
    </row>
    <row r="108" spans="1:10" x14ac:dyDescent="0.2">
      <c r="A108" s="76">
        <v>99</v>
      </c>
      <c r="B108" s="80"/>
      <c r="C108" s="150" t="s">
        <v>3</v>
      </c>
      <c r="D108" s="122" t="s">
        <v>92</v>
      </c>
      <c r="E108" s="81">
        <v>15.4</v>
      </c>
      <c r="F108" s="81"/>
    </row>
    <row r="109" spans="1:10" ht="25.5" x14ac:dyDescent="0.2">
      <c r="A109" s="76">
        <v>100</v>
      </c>
      <c r="B109" s="80" t="s">
        <v>775</v>
      </c>
      <c r="C109" s="209" t="s">
        <v>773</v>
      </c>
      <c r="D109" s="80"/>
      <c r="E109" s="81">
        <f>+E110</f>
        <v>27.8</v>
      </c>
      <c r="F109" s="81">
        <f>+F110</f>
        <v>0</v>
      </c>
    </row>
    <row r="110" spans="1:10" x14ac:dyDescent="0.2">
      <c r="A110" s="76">
        <v>101</v>
      </c>
      <c r="B110" s="75"/>
      <c r="C110" s="150" t="s">
        <v>3</v>
      </c>
      <c r="D110" s="122" t="s">
        <v>92</v>
      </c>
      <c r="E110" s="81">
        <v>27.8</v>
      </c>
      <c r="F110" s="81"/>
    </row>
    <row r="111" spans="1:10" x14ac:dyDescent="0.2">
      <c r="A111" s="76">
        <v>102</v>
      </c>
      <c r="B111" s="80" t="s">
        <v>777</v>
      </c>
      <c r="C111" s="210" t="s">
        <v>776</v>
      </c>
      <c r="D111" s="122"/>
      <c r="E111" s="81">
        <f>+E112</f>
        <v>42.9</v>
      </c>
      <c r="F111" s="81">
        <f>+F112</f>
        <v>0</v>
      </c>
    </row>
    <row r="112" spans="1:10" x14ac:dyDescent="0.2">
      <c r="A112" s="76">
        <v>103</v>
      </c>
      <c r="B112" s="75"/>
      <c r="C112" s="150" t="s">
        <v>3</v>
      </c>
      <c r="D112" s="122" t="s">
        <v>92</v>
      </c>
      <c r="E112" s="81">
        <f>12.9+30</f>
        <v>42.9</v>
      </c>
      <c r="F112" s="81"/>
    </row>
    <row r="113" spans="1:6" ht="25.5" x14ac:dyDescent="0.2">
      <c r="A113" s="76">
        <v>104</v>
      </c>
      <c r="B113" s="80" t="s">
        <v>832</v>
      </c>
      <c r="C113" s="100" t="s">
        <v>833</v>
      </c>
      <c r="D113" s="80"/>
      <c r="E113" s="81">
        <f>+E114</f>
        <v>7.3</v>
      </c>
      <c r="F113" s="81">
        <f>+F114</f>
        <v>0</v>
      </c>
    </row>
    <row r="114" spans="1:6" x14ac:dyDescent="0.2">
      <c r="A114" s="76">
        <v>105</v>
      </c>
      <c r="B114" s="75"/>
      <c r="C114" s="150" t="s">
        <v>3</v>
      </c>
      <c r="D114" s="80" t="s">
        <v>131</v>
      </c>
      <c r="E114" s="81">
        <v>7.3</v>
      </c>
      <c r="F114" s="81"/>
    </row>
    <row r="115" spans="1:6" x14ac:dyDescent="0.2">
      <c r="A115" s="76">
        <v>106</v>
      </c>
      <c r="B115" s="75" t="s">
        <v>32</v>
      </c>
      <c r="C115" s="99" t="s">
        <v>33</v>
      </c>
      <c r="D115" s="80"/>
      <c r="E115" s="63">
        <f>+E116+E118</f>
        <v>582</v>
      </c>
      <c r="F115" s="63">
        <f>+F116+F118</f>
        <v>0</v>
      </c>
    </row>
    <row r="116" spans="1:6" ht="38.25" x14ac:dyDescent="0.2">
      <c r="A116" s="76">
        <v>107</v>
      </c>
      <c r="B116" s="80" t="s">
        <v>243</v>
      </c>
      <c r="C116" s="209" t="s">
        <v>615</v>
      </c>
      <c r="D116" s="82"/>
      <c r="E116" s="81">
        <f>+E117</f>
        <v>282</v>
      </c>
      <c r="F116" s="81">
        <f>+F117</f>
        <v>0</v>
      </c>
    </row>
    <row r="117" spans="1:6" x14ac:dyDescent="0.2">
      <c r="A117" s="76">
        <v>108</v>
      </c>
      <c r="B117" s="80"/>
      <c r="C117" s="150" t="s">
        <v>3</v>
      </c>
      <c r="D117" s="82" t="s">
        <v>143</v>
      </c>
      <c r="E117" s="81">
        <v>282</v>
      </c>
      <c r="F117" s="81"/>
    </row>
    <row r="118" spans="1:6" ht="51" x14ac:dyDescent="0.2">
      <c r="A118" s="76">
        <v>109</v>
      </c>
      <c r="B118" s="80" t="s">
        <v>246</v>
      </c>
      <c r="C118" s="209" t="s">
        <v>884</v>
      </c>
      <c r="D118" s="82"/>
      <c r="E118" s="81">
        <f>+E119</f>
        <v>300</v>
      </c>
      <c r="F118" s="81">
        <f>+F119</f>
        <v>0</v>
      </c>
    </row>
    <row r="119" spans="1:6" x14ac:dyDescent="0.2">
      <c r="A119" s="76">
        <v>110</v>
      </c>
      <c r="B119" s="80"/>
      <c r="C119" s="150" t="s">
        <v>3</v>
      </c>
      <c r="D119" s="80" t="s">
        <v>248</v>
      </c>
      <c r="E119" s="81">
        <v>300</v>
      </c>
      <c r="F119" s="81"/>
    </row>
    <row r="120" spans="1:6" x14ac:dyDescent="0.2">
      <c r="A120" s="76">
        <v>111</v>
      </c>
      <c r="B120" s="75" t="s">
        <v>95</v>
      </c>
      <c r="C120" s="99" t="s">
        <v>96</v>
      </c>
      <c r="D120" s="80"/>
      <c r="E120" s="63">
        <f>+E121+E123</f>
        <v>3978.9</v>
      </c>
      <c r="F120" s="63">
        <f>+F121+F123</f>
        <v>0</v>
      </c>
    </row>
    <row r="121" spans="1:6" ht="63.75" x14ac:dyDescent="0.2">
      <c r="A121" s="76">
        <v>112</v>
      </c>
      <c r="B121" s="80" t="s">
        <v>570</v>
      </c>
      <c r="C121" s="209" t="s">
        <v>806</v>
      </c>
      <c r="D121" s="80"/>
      <c r="E121" s="81">
        <f>+E122</f>
        <v>1482.4</v>
      </c>
      <c r="F121" s="81">
        <f>+F122</f>
        <v>0</v>
      </c>
    </row>
    <row r="122" spans="1:6" x14ac:dyDescent="0.2">
      <c r="A122" s="76">
        <v>113</v>
      </c>
      <c r="B122" s="80"/>
      <c r="C122" s="150" t="s">
        <v>3</v>
      </c>
      <c r="D122" s="80" t="s">
        <v>248</v>
      </c>
      <c r="E122" s="81">
        <v>1482.4</v>
      </c>
      <c r="F122" s="81"/>
    </row>
    <row r="123" spans="1:6" ht="38.25" x14ac:dyDescent="0.2">
      <c r="A123" s="76">
        <v>114</v>
      </c>
      <c r="B123" s="80" t="s">
        <v>623</v>
      </c>
      <c r="C123" s="209" t="s">
        <v>805</v>
      </c>
      <c r="D123" s="80"/>
      <c r="E123" s="81">
        <f>+E124</f>
        <v>2496.5</v>
      </c>
      <c r="F123" s="81">
        <f>+F124</f>
        <v>0</v>
      </c>
    </row>
    <row r="124" spans="1:6" x14ac:dyDescent="0.2">
      <c r="A124" s="76">
        <v>115</v>
      </c>
      <c r="B124" s="80"/>
      <c r="C124" s="150" t="s">
        <v>3</v>
      </c>
      <c r="D124" s="80" t="s">
        <v>601</v>
      </c>
      <c r="E124" s="81">
        <v>2496.5</v>
      </c>
      <c r="F124" s="81"/>
    </row>
    <row r="125" spans="1:6" x14ac:dyDescent="0.2">
      <c r="A125" s="76">
        <v>116</v>
      </c>
      <c r="B125" s="75" t="s">
        <v>25</v>
      </c>
      <c r="C125" s="99" t="s">
        <v>26</v>
      </c>
      <c r="D125" s="82"/>
      <c r="E125" s="63">
        <f>+E126+E128</f>
        <v>29.500000000000004</v>
      </c>
      <c r="F125" s="63">
        <f>+F126+F128</f>
        <v>6.2</v>
      </c>
    </row>
    <row r="126" spans="1:6" ht="51" x14ac:dyDescent="0.2">
      <c r="A126" s="76">
        <v>117</v>
      </c>
      <c r="B126" s="80"/>
      <c r="C126" s="189" t="s">
        <v>767</v>
      </c>
      <c r="D126" s="98"/>
      <c r="E126" s="81">
        <f>+E127</f>
        <v>23.200000000000003</v>
      </c>
      <c r="F126" s="81">
        <f>+F127</f>
        <v>0</v>
      </c>
    </row>
    <row r="127" spans="1:6" x14ac:dyDescent="0.2">
      <c r="A127" s="76">
        <v>118</v>
      </c>
      <c r="B127" s="80"/>
      <c r="C127" s="164" t="s">
        <v>3</v>
      </c>
      <c r="D127" s="98">
        <v>10</v>
      </c>
      <c r="E127" s="81">
        <f>8.6+10.5+4.1</f>
        <v>23.200000000000003</v>
      </c>
      <c r="F127" s="81"/>
    </row>
    <row r="128" spans="1:6" x14ac:dyDescent="0.2">
      <c r="A128" s="76">
        <v>119</v>
      </c>
      <c r="B128" s="80"/>
      <c r="C128" s="189" t="s">
        <v>828</v>
      </c>
      <c r="D128" s="98"/>
      <c r="E128" s="81">
        <f>+E129</f>
        <v>6.3</v>
      </c>
      <c r="F128" s="81">
        <f>+F129</f>
        <v>6.2</v>
      </c>
    </row>
    <row r="129" spans="1:10" x14ac:dyDescent="0.2">
      <c r="A129" s="76">
        <v>120</v>
      </c>
      <c r="B129" s="80"/>
      <c r="C129" s="164" t="s">
        <v>3</v>
      </c>
      <c r="D129" s="80" t="s">
        <v>56</v>
      </c>
      <c r="E129" s="81">
        <v>6.3</v>
      </c>
      <c r="F129" s="81">
        <v>6.2</v>
      </c>
    </row>
    <row r="130" spans="1:10" x14ac:dyDescent="0.2">
      <c r="A130" s="76">
        <v>121</v>
      </c>
      <c r="B130" s="75"/>
      <c r="C130" s="145" t="s">
        <v>20</v>
      </c>
      <c r="D130" s="80"/>
      <c r="E130" s="63">
        <f>+E10+E45+E89+E93+E101+E104+E115+E120+E125</f>
        <v>12317.7</v>
      </c>
      <c r="F130" s="63">
        <f>+F10+F45+F89+F93+F101+F104+F115+F120+F125</f>
        <v>250.3</v>
      </c>
      <c r="G130" s="18"/>
      <c r="H130" s="18"/>
      <c r="I130" s="12"/>
      <c r="J130" s="12"/>
    </row>
    <row r="131" spans="1:10" x14ac:dyDescent="0.2">
      <c r="C131" s="182" t="s">
        <v>113</v>
      </c>
      <c r="D131" s="68"/>
      <c r="E131" s="146"/>
      <c r="F131" s="146"/>
      <c r="G131" s="18"/>
      <c r="H131" s="18"/>
    </row>
    <row r="132" spans="1:10" ht="13.5" customHeight="1" x14ac:dyDescent="0.2">
      <c r="C132" s="211"/>
      <c r="E132" s="146"/>
      <c r="F132" s="146"/>
    </row>
    <row r="133" spans="1:10" x14ac:dyDescent="0.2">
      <c r="C133" s="211"/>
      <c r="D133" s="2"/>
      <c r="E133" s="132"/>
      <c r="F133" s="132"/>
    </row>
    <row r="134" spans="1:10" x14ac:dyDescent="0.2">
      <c r="D134" s="66"/>
      <c r="E134" s="132"/>
      <c r="F134" s="132"/>
    </row>
    <row r="135" spans="1:10" x14ac:dyDescent="0.2">
      <c r="C135" s="212"/>
      <c r="E135" s="132"/>
      <c r="F135" s="132"/>
    </row>
    <row r="136" spans="1:10" x14ac:dyDescent="0.2">
      <c r="C136" s="213"/>
      <c r="E136" s="132"/>
      <c r="F136" s="132"/>
    </row>
    <row r="137" spans="1:10" x14ac:dyDescent="0.2">
      <c r="C137" s="214"/>
      <c r="E137" s="146"/>
    </row>
    <row r="138" spans="1:10" x14ac:dyDescent="0.2">
      <c r="C138" s="212"/>
    </row>
    <row r="139" spans="1:10" x14ac:dyDescent="0.2">
      <c r="C139" s="215"/>
      <c r="E139" s="132"/>
    </row>
    <row r="143" spans="1:10" x14ac:dyDescent="0.2">
      <c r="E143" s="132"/>
    </row>
    <row r="144" spans="1:10" x14ac:dyDescent="0.2">
      <c r="E144" s="132"/>
    </row>
    <row r="146" spans="5:5" x14ac:dyDescent="0.2">
      <c r="E146" s="132"/>
    </row>
  </sheetData>
  <mergeCells count="4">
    <mergeCell ref="A5:F5"/>
    <mergeCell ref="C1:F1"/>
    <mergeCell ref="E3:F3"/>
    <mergeCell ref="C2:F2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8"/>
  <sheetViews>
    <sheetView zoomScaleNormal="100" workbookViewId="0">
      <selection activeCell="I27" sqref="I27"/>
    </sheetView>
  </sheetViews>
  <sheetFormatPr defaultColWidth="9.140625" defaultRowHeight="12.75" x14ac:dyDescent="0.2"/>
  <cols>
    <col min="1" max="1" width="4.7109375" style="66" customWidth="1"/>
    <col min="2" max="2" width="6.7109375" style="68" customWidth="1"/>
    <col min="3" max="3" width="53.7109375" style="182" customWidth="1"/>
    <col min="4" max="4" width="11.140625" style="67" customWidth="1"/>
    <col min="5" max="5" width="11" style="66" customWidth="1"/>
    <col min="6" max="6" width="11.28515625" style="66" customWidth="1"/>
    <col min="7" max="8" width="9.28515625" style="2" customWidth="1"/>
    <col min="9" max="16384" width="9.140625" style="2"/>
  </cols>
  <sheetData>
    <row r="1" spans="1:15" ht="15.75" x14ac:dyDescent="0.25">
      <c r="C1" s="256" t="s">
        <v>437</v>
      </c>
      <c r="D1" s="256"/>
      <c r="E1" s="256"/>
      <c r="F1" s="256"/>
    </row>
    <row r="2" spans="1:15" ht="15.75" x14ac:dyDescent="0.25">
      <c r="C2" s="228" t="s">
        <v>869</v>
      </c>
      <c r="D2" s="228"/>
      <c r="E2" s="228"/>
      <c r="F2" s="228"/>
    </row>
    <row r="3" spans="1:15" ht="15.75" x14ac:dyDescent="0.25">
      <c r="C3" s="47"/>
      <c r="D3" s="47"/>
      <c r="E3" s="252" t="s">
        <v>438</v>
      </c>
      <c r="F3" s="252"/>
    </row>
    <row r="4" spans="1:15" ht="15.75" x14ac:dyDescent="0.2">
      <c r="E4" s="69"/>
      <c r="F4" s="69"/>
    </row>
    <row r="5" spans="1:15" ht="31.5" customHeight="1" x14ac:dyDescent="0.2">
      <c r="A5" s="230" t="s">
        <v>441</v>
      </c>
      <c r="B5" s="230"/>
      <c r="C5" s="230"/>
      <c r="D5" s="230"/>
      <c r="E5" s="230"/>
      <c r="F5" s="230"/>
    </row>
    <row r="6" spans="1:15" x14ac:dyDescent="0.2">
      <c r="A6" s="48"/>
      <c r="B6" s="48"/>
      <c r="C6" s="48"/>
      <c r="D6" s="48"/>
      <c r="E6" s="48"/>
      <c r="F6" s="48"/>
    </row>
    <row r="7" spans="1:15" x14ac:dyDescent="0.2">
      <c r="A7" s="188"/>
      <c r="B7" s="185"/>
      <c r="C7" s="186"/>
      <c r="D7" s="187"/>
      <c r="E7" s="188"/>
      <c r="F7" s="72" t="s">
        <v>129</v>
      </c>
    </row>
    <row r="8" spans="1:15" ht="39.7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  <c r="G8" s="12"/>
      <c r="H8" s="12"/>
      <c r="O8" s="44"/>
    </row>
    <row r="9" spans="1:15" s="44" customFormat="1" ht="12.75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12"/>
      <c r="H9" s="12"/>
    </row>
    <row r="10" spans="1:15" s="44" customFormat="1" ht="18" customHeight="1" x14ac:dyDescent="0.2">
      <c r="A10" s="76">
        <v>1</v>
      </c>
      <c r="B10" s="75" t="s">
        <v>56</v>
      </c>
      <c r="C10" s="77" t="s">
        <v>57</v>
      </c>
      <c r="D10" s="49"/>
      <c r="E10" s="78">
        <f>+E11</f>
        <v>2.7</v>
      </c>
      <c r="F10" s="78">
        <f>+F11</f>
        <v>0</v>
      </c>
      <c r="G10" s="12"/>
      <c r="H10" s="12"/>
      <c r="I10" s="216"/>
      <c r="J10" s="65"/>
      <c r="K10" s="65"/>
      <c r="L10" s="65"/>
    </row>
    <row r="11" spans="1:15" s="44" customFormat="1" ht="12.75" customHeight="1" x14ac:dyDescent="0.2">
      <c r="A11" s="76">
        <v>2</v>
      </c>
      <c r="B11" s="73"/>
      <c r="C11" s="89" t="s">
        <v>180</v>
      </c>
      <c r="D11" s="49"/>
      <c r="E11" s="53">
        <f>+E12+E13</f>
        <v>2.7</v>
      </c>
      <c r="F11" s="53">
        <f>+F12</f>
        <v>0</v>
      </c>
      <c r="G11" s="12"/>
      <c r="H11" s="12"/>
      <c r="I11" s="216"/>
      <c r="J11" s="65"/>
      <c r="K11" s="65"/>
      <c r="L11" s="65"/>
    </row>
    <row r="12" spans="1:15" s="44" customFormat="1" ht="25.5" x14ac:dyDescent="0.2">
      <c r="A12" s="76" t="s">
        <v>563</v>
      </c>
      <c r="B12" s="73"/>
      <c r="C12" s="164" t="s">
        <v>149</v>
      </c>
      <c r="D12" s="80" t="s">
        <v>61</v>
      </c>
      <c r="E12" s="90">
        <v>1.9</v>
      </c>
      <c r="F12" s="81"/>
      <c r="G12" s="12"/>
      <c r="H12" s="12"/>
      <c r="I12" s="216"/>
      <c r="J12" s="65"/>
      <c r="K12" s="65"/>
      <c r="L12" s="65"/>
    </row>
    <row r="13" spans="1:15" s="44" customFormat="1" ht="25.5" x14ac:dyDescent="0.2">
      <c r="A13" s="76" t="s">
        <v>564</v>
      </c>
      <c r="B13" s="73"/>
      <c r="C13" s="164" t="s">
        <v>436</v>
      </c>
      <c r="D13" s="80" t="s">
        <v>58</v>
      </c>
      <c r="E13" s="90">
        <v>0.8</v>
      </c>
      <c r="F13" s="81"/>
      <c r="G13" s="12"/>
      <c r="H13" s="12"/>
      <c r="I13" s="216"/>
      <c r="J13" s="65"/>
      <c r="K13" s="65"/>
      <c r="L13" s="65"/>
    </row>
    <row r="14" spans="1:15" s="44" customFormat="1" ht="18" customHeight="1" x14ac:dyDescent="0.2">
      <c r="A14" s="76">
        <v>3</v>
      </c>
      <c r="B14" s="75" t="s">
        <v>65</v>
      </c>
      <c r="C14" s="99" t="s">
        <v>66</v>
      </c>
      <c r="D14" s="80"/>
      <c r="E14" s="162">
        <f>+E17+E15</f>
        <v>9.7999999999999989</v>
      </c>
      <c r="F14" s="162">
        <f>+F17+F15</f>
        <v>0.1</v>
      </c>
      <c r="G14" s="12"/>
      <c r="H14" s="12"/>
      <c r="I14" s="216"/>
      <c r="J14" s="65"/>
      <c r="K14" s="65"/>
      <c r="L14" s="65"/>
    </row>
    <row r="15" spans="1:15" s="44" customFormat="1" x14ac:dyDescent="0.2">
      <c r="A15" s="76">
        <v>4</v>
      </c>
      <c r="B15" s="75"/>
      <c r="C15" s="54" t="s">
        <v>168</v>
      </c>
      <c r="D15" s="80"/>
      <c r="E15" s="90">
        <f>+E16</f>
        <v>8.6999999999999993</v>
      </c>
      <c r="F15" s="90">
        <f>+F16</f>
        <v>0.1</v>
      </c>
      <c r="G15" s="12"/>
      <c r="H15" s="12"/>
      <c r="I15" s="216"/>
      <c r="J15" s="65"/>
      <c r="K15" s="65"/>
      <c r="L15" s="65"/>
    </row>
    <row r="16" spans="1:15" s="44" customFormat="1" ht="25.5" x14ac:dyDescent="0.2">
      <c r="A16" s="76" t="s">
        <v>568</v>
      </c>
      <c r="B16" s="75"/>
      <c r="C16" s="163" t="s">
        <v>848</v>
      </c>
      <c r="D16" s="80" t="s">
        <v>218</v>
      </c>
      <c r="E16" s="90">
        <v>8.6999999999999993</v>
      </c>
      <c r="F16" s="90">
        <v>0.1</v>
      </c>
      <c r="G16" s="12"/>
      <c r="H16" s="12"/>
      <c r="I16" s="216"/>
      <c r="J16" s="65"/>
      <c r="K16" s="65"/>
      <c r="L16" s="65"/>
    </row>
    <row r="17" spans="1:12" s="44" customFormat="1" ht="12.6" customHeight="1" x14ac:dyDescent="0.2">
      <c r="A17" s="76">
        <v>5</v>
      </c>
      <c r="B17" s="75"/>
      <c r="C17" s="89" t="s">
        <v>180</v>
      </c>
      <c r="D17" s="80"/>
      <c r="E17" s="90">
        <f>+E18</f>
        <v>1.1000000000000001</v>
      </c>
      <c r="F17" s="90">
        <f>+F18</f>
        <v>0</v>
      </c>
      <c r="G17" s="12"/>
      <c r="H17" s="12"/>
      <c r="I17" s="216"/>
      <c r="J17" s="65"/>
      <c r="K17" s="65"/>
      <c r="L17" s="65"/>
    </row>
    <row r="18" spans="1:12" s="44" customFormat="1" ht="25.5" x14ac:dyDescent="0.2">
      <c r="A18" s="76" t="s">
        <v>853</v>
      </c>
      <c r="B18" s="75"/>
      <c r="C18" s="164" t="s">
        <v>194</v>
      </c>
      <c r="D18" s="82" t="s">
        <v>195</v>
      </c>
      <c r="E18" s="90">
        <v>1.1000000000000001</v>
      </c>
      <c r="F18" s="90"/>
      <c r="G18" s="12"/>
      <c r="H18" s="12"/>
      <c r="I18" s="216"/>
      <c r="J18" s="65"/>
      <c r="K18" s="65"/>
      <c r="L18" s="65"/>
    </row>
    <row r="19" spans="1:12" s="44" customFormat="1" ht="32.450000000000003" customHeight="1" x14ac:dyDescent="0.2">
      <c r="A19" s="76">
        <v>6</v>
      </c>
      <c r="B19" s="75" t="s">
        <v>104</v>
      </c>
      <c r="C19" s="113" t="s">
        <v>105</v>
      </c>
      <c r="D19" s="80"/>
      <c r="E19" s="162">
        <f>+E20</f>
        <v>20.3</v>
      </c>
      <c r="F19" s="162">
        <f>+F20</f>
        <v>0</v>
      </c>
      <c r="G19" s="12"/>
      <c r="H19" s="12"/>
      <c r="I19" s="216"/>
      <c r="J19" s="65"/>
      <c r="K19" s="65"/>
      <c r="L19" s="65"/>
    </row>
    <row r="20" spans="1:12" s="44" customFormat="1" x14ac:dyDescent="0.2">
      <c r="A20" s="76">
        <v>7</v>
      </c>
      <c r="B20" s="80"/>
      <c r="C20" s="158" t="s">
        <v>180</v>
      </c>
      <c r="D20" s="80"/>
      <c r="E20" s="90">
        <f>+E21</f>
        <v>20.3</v>
      </c>
      <c r="F20" s="90">
        <f>+F21</f>
        <v>0</v>
      </c>
      <c r="G20" s="12"/>
      <c r="H20" s="12"/>
      <c r="I20" s="216"/>
      <c r="J20" s="65"/>
      <c r="K20" s="65"/>
      <c r="L20" s="65"/>
    </row>
    <row r="21" spans="1:12" s="44" customFormat="1" ht="25.5" x14ac:dyDescent="0.2">
      <c r="A21" s="76" t="s">
        <v>854</v>
      </c>
      <c r="B21" s="75"/>
      <c r="C21" s="158" t="s">
        <v>602</v>
      </c>
      <c r="D21" s="80" t="s">
        <v>155</v>
      </c>
      <c r="E21" s="90">
        <v>20.3</v>
      </c>
      <c r="F21" s="90"/>
      <c r="G21" s="12"/>
      <c r="H21" s="12"/>
      <c r="I21" s="216"/>
      <c r="J21" s="65"/>
      <c r="K21" s="65"/>
      <c r="L21" s="65"/>
    </row>
    <row r="22" spans="1:12" x14ac:dyDescent="0.2">
      <c r="A22" s="160" t="s">
        <v>603</v>
      </c>
      <c r="B22" s="75" t="s">
        <v>32</v>
      </c>
      <c r="C22" s="99" t="s">
        <v>33</v>
      </c>
      <c r="D22" s="82"/>
      <c r="E22" s="162">
        <f>+E23</f>
        <v>14</v>
      </c>
      <c r="F22" s="162">
        <f>+F23</f>
        <v>0</v>
      </c>
      <c r="G22" s="12"/>
      <c r="H22" s="12"/>
      <c r="I22" s="216"/>
      <c r="J22" s="65"/>
      <c r="K22" s="65"/>
      <c r="L22" s="65"/>
    </row>
    <row r="23" spans="1:12" x14ac:dyDescent="0.2">
      <c r="A23" s="160" t="s">
        <v>857</v>
      </c>
      <c r="B23" s="80"/>
      <c r="C23" s="158" t="s">
        <v>180</v>
      </c>
      <c r="D23" s="82"/>
      <c r="E23" s="90">
        <f>+E24</f>
        <v>14</v>
      </c>
      <c r="F23" s="90">
        <f>+F24</f>
        <v>0</v>
      </c>
      <c r="G23" s="12"/>
      <c r="H23" s="12"/>
      <c r="I23" s="216"/>
      <c r="J23" s="65"/>
      <c r="K23" s="65"/>
      <c r="L23" s="65"/>
    </row>
    <row r="24" spans="1:12" ht="38.25" x14ac:dyDescent="0.2">
      <c r="A24" s="76" t="s">
        <v>858</v>
      </c>
      <c r="B24" s="80"/>
      <c r="C24" s="166" t="s">
        <v>490</v>
      </c>
      <c r="D24" s="82" t="s">
        <v>144</v>
      </c>
      <c r="E24" s="20">
        <v>14</v>
      </c>
      <c r="F24" s="20"/>
      <c r="G24" s="12"/>
      <c r="H24" s="12"/>
      <c r="I24" s="216"/>
      <c r="J24" s="65"/>
      <c r="K24" s="65"/>
      <c r="L24" s="65"/>
    </row>
    <row r="25" spans="1:12" ht="12.75" customHeight="1" x14ac:dyDescent="0.2">
      <c r="A25" s="76">
        <v>10</v>
      </c>
      <c r="B25" s="75"/>
      <c r="C25" s="145" t="s">
        <v>20</v>
      </c>
      <c r="D25" s="80"/>
      <c r="E25" s="63">
        <f>+E10+E14+E19+E22</f>
        <v>46.8</v>
      </c>
      <c r="F25" s="63">
        <f>+F10+F14+F22</f>
        <v>0.1</v>
      </c>
      <c r="G25" s="12"/>
      <c r="H25" s="12"/>
      <c r="I25" s="12"/>
      <c r="J25" s="12"/>
      <c r="K25" s="12"/>
      <c r="L25" s="12"/>
    </row>
    <row r="26" spans="1:12" x14ac:dyDescent="0.2">
      <c r="A26" s="171"/>
      <c r="C26" s="182" t="s">
        <v>113</v>
      </c>
      <c r="D26" s="68"/>
      <c r="E26" s="146"/>
      <c r="F26" s="146"/>
    </row>
    <row r="27" spans="1:12" x14ac:dyDescent="0.2">
      <c r="C27" s="217"/>
      <c r="D27" s="68"/>
      <c r="E27" s="146"/>
      <c r="F27" s="146"/>
    </row>
    <row r="28" spans="1:12" x14ac:dyDescent="0.2">
      <c r="C28" s="66"/>
      <c r="E28" s="146"/>
      <c r="F28" s="146"/>
      <c r="K28" s="12"/>
    </row>
    <row r="29" spans="1:12" x14ac:dyDescent="0.2">
      <c r="C29" s="66"/>
      <c r="E29" s="146"/>
      <c r="F29" s="146"/>
      <c r="K29" s="12"/>
    </row>
    <row r="30" spans="1:12" x14ac:dyDescent="0.2">
      <c r="C30" s="66"/>
      <c r="E30" s="134"/>
      <c r="F30" s="134"/>
    </row>
    <row r="31" spans="1:12" x14ac:dyDescent="0.2">
      <c r="C31" s="171"/>
      <c r="E31" s="134"/>
      <c r="F31" s="134"/>
    </row>
    <row r="32" spans="1:12" x14ac:dyDescent="0.2">
      <c r="C32" s="66"/>
      <c r="E32" s="134"/>
      <c r="F32" s="134"/>
    </row>
    <row r="33" spans="3:7" x14ac:dyDescent="0.2">
      <c r="C33" s="218"/>
      <c r="E33" s="134"/>
      <c r="F33" s="134"/>
      <c r="G33" s="12"/>
    </row>
    <row r="34" spans="3:7" x14ac:dyDescent="0.2">
      <c r="C34" s="171"/>
      <c r="E34" s="134"/>
      <c r="F34" s="134"/>
    </row>
    <row r="35" spans="3:7" x14ac:dyDescent="0.2">
      <c r="C35" s="171"/>
      <c r="E35" s="146"/>
      <c r="F35" s="146"/>
    </row>
    <row r="36" spans="3:7" x14ac:dyDescent="0.2">
      <c r="C36" s="171"/>
      <c r="E36" s="134"/>
      <c r="F36" s="134"/>
    </row>
    <row r="37" spans="3:7" x14ac:dyDescent="0.2">
      <c r="E37" s="134"/>
      <c r="F37" s="134"/>
    </row>
    <row r="38" spans="3:7" x14ac:dyDescent="0.2">
      <c r="E38" s="134"/>
      <c r="F38" s="134"/>
    </row>
    <row r="39" spans="3:7" x14ac:dyDescent="0.2">
      <c r="C39" s="171"/>
      <c r="E39" s="134"/>
      <c r="F39" s="134"/>
    </row>
    <row r="40" spans="3:7" x14ac:dyDescent="0.2">
      <c r="C40" s="171"/>
      <c r="E40" s="134"/>
      <c r="F40" s="134"/>
    </row>
    <row r="41" spans="3:7" x14ac:dyDescent="0.2">
      <c r="C41" s="171"/>
      <c r="E41" s="9"/>
      <c r="F41" s="9"/>
    </row>
    <row r="42" spans="3:7" x14ac:dyDescent="0.2">
      <c r="C42" s="171"/>
      <c r="E42" s="9"/>
      <c r="F42" s="9"/>
    </row>
    <row r="43" spans="3:7" x14ac:dyDescent="0.2">
      <c r="C43" s="168"/>
      <c r="D43" s="125"/>
    </row>
    <row r="44" spans="3:7" x14ac:dyDescent="0.2">
      <c r="C44" s="169"/>
      <c r="D44" s="125"/>
    </row>
    <row r="45" spans="3:7" x14ac:dyDescent="0.2">
      <c r="C45" s="171"/>
    </row>
    <row r="46" spans="3:7" x14ac:dyDescent="0.2">
      <c r="C46" s="215"/>
      <c r="D46" s="66"/>
    </row>
    <row r="47" spans="3:7" x14ac:dyDescent="0.2">
      <c r="D47" s="66"/>
    </row>
    <row r="48" spans="3:7" x14ac:dyDescent="0.2">
      <c r="C48" s="171"/>
      <c r="D48" s="140"/>
    </row>
  </sheetData>
  <mergeCells count="4">
    <mergeCell ref="C1:F1"/>
    <mergeCell ref="E3:F3"/>
    <mergeCell ref="A5:F5"/>
    <mergeCell ref="C2:F2"/>
  </mergeCells>
  <phoneticPr fontId="5" type="noConversion"/>
  <pageMargins left="0.51181102362204722" right="0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5"/>
  <sheetViews>
    <sheetView zoomScaleNormal="100" workbookViewId="0">
      <selection activeCell="I41" sqref="I41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43" customWidth="1"/>
    <col min="6" max="6" width="12.42578125" style="2" customWidth="1"/>
    <col min="7" max="7" width="9.140625" style="2" customWidth="1"/>
    <col min="8" max="8" width="9.42578125" style="24" customWidth="1"/>
    <col min="9" max="9" width="11.42578125" style="2" customWidth="1"/>
    <col min="10" max="10" width="7.42578125" style="2" customWidth="1"/>
    <col min="11" max="15" width="9.140625" style="2" customWidth="1"/>
    <col min="16" max="16384" width="9.140625" style="2"/>
  </cols>
  <sheetData>
    <row r="1" spans="1:15" ht="15.75" customHeight="1" x14ac:dyDescent="0.25">
      <c r="B1" s="228" t="s">
        <v>873</v>
      </c>
      <c r="C1" s="228"/>
      <c r="D1" s="228"/>
      <c r="E1" s="228"/>
      <c r="F1" s="228"/>
    </row>
    <row r="2" spans="1:15" ht="15.75" customHeight="1" x14ac:dyDescent="0.25">
      <c r="B2" s="228" t="s">
        <v>866</v>
      </c>
      <c r="C2" s="228"/>
      <c r="D2" s="228"/>
      <c r="E2" s="228"/>
      <c r="F2" s="228"/>
    </row>
    <row r="3" spans="1:15" ht="15.75" x14ac:dyDescent="0.25">
      <c r="B3" s="45"/>
      <c r="C3" s="45"/>
      <c r="D3" s="45"/>
      <c r="E3" s="229" t="s">
        <v>202</v>
      </c>
      <c r="F3" s="229"/>
    </row>
    <row r="5" spans="1:15" ht="42" customHeight="1" x14ac:dyDescent="0.2">
      <c r="A5" s="230" t="s">
        <v>450</v>
      </c>
      <c r="B5" s="230"/>
      <c r="C5" s="230"/>
      <c r="D5" s="230"/>
      <c r="E5" s="230"/>
      <c r="F5" s="230"/>
    </row>
    <row r="6" spans="1:15" x14ac:dyDescent="0.2">
      <c r="F6" s="43" t="s">
        <v>129</v>
      </c>
    </row>
    <row r="7" spans="1:15" ht="12.6" customHeight="1" x14ac:dyDescent="0.2">
      <c r="A7" s="231" t="s">
        <v>0</v>
      </c>
      <c r="B7" s="231" t="s">
        <v>203</v>
      </c>
      <c r="C7" s="231" t="s">
        <v>17</v>
      </c>
      <c r="D7" s="225" t="s">
        <v>204</v>
      </c>
      <c r="E7" s="226"/>
      <c r="F7" s="227"/>
    </row>
    <row r="8" spans="1:15" ht="76.5" x14ac:dyDescent="0.2">
      <c r="A8" s="232"/>
      <c r="B8" s="232"/>
      <c r="C8" s="232"/>
      <c r="D8" s="49" t="s">
        <v>205</v>
      </c>
      <c r="E8" s="49" t="s">
        <v>206</v>
      </c>
      <c r="F8" s="49" t="s">
        <v>207</v>
      </c>
    </row>
    <row r="9" spans="1:15" x14ac:dyDescent="0.2">
      <c r="A9" s="49">
        <v>1</v>
      </c>
      <c r="B9" s="50">
        <v>2</v>
      </c>
      <c r="C9" s="49">
        <v>3</v>
      </c>
      <c r="D9" s="49">
        <v>4</v>
      </c>
      <c r="E9" s="49">
        <v>5</v>
      </c>
      <c r="F9" s="49">
        <v>6</v>
      </c>
      <c r="G9" s="24"/>
    </row>
    <row r="10" spans="1:15" ht="12.6" customHeight="1" x14ac:dyDescent="0.2">
      <c r="A10" s="51">
        <v>1</v>
      </c>
      <c r="B10" s="52" t="s">
        <v>208</v>
      </c>
      <c r="C10" s="20">
        <f t="shared" ref="C10:C65" si="0">+E10+D10+F10</f>
        <v>55.4</v>
      </c>
      <c r="D10" s="20"/>
      <c r="E10" s="53">
        <v>1.1000000000000001</v>
      </c>
      <c r="F10" s="20">
        <v>54.3</v>
      </c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6" customHeight="1" x14ac:dyDescent="0.2">
      <c r="A11" s="51">
        <v>2</v>
      </c>
      <c r="B11" s="52" t="s">
        <v>156</v>
      </c>
      <c r="C11" s="20">
        <f t="shared" si="0"/>
        <v>49.3</v>
      </c>
      <c r="D11" s="20"/>
      <c r="E11" s="53">
        <f>1.2-0.2</f>
        <v>1</v>
      </c>
      <c r="F11" s="20">
        <f>57-8.7</f>
        <v>48.3</v>
      </c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6" customHeight="1" x14ac:dyDescent="0.2">
      <c r="A12" s="51">
        <v>3</v>
      </c>
      <c r="B12" s="52" t="s">
        <v>157</v>
      </c>
      <c r="C12" s="20">
        <f t="shared" si="0"/>
        <v>75</v>
      </c>
      <c r="D12" s="20"/>
      <c r="E12" s="53">
        <v>3</v>
      </c>
      <c r="F12" s="20">
        <v>72</v>
      </c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6" customHeight="1" x14ac:dyDescent="0.2">
      <c r="A13" s="51">
        <v>4</v>
      </c>
      <c r="B13" s="52" t="s">
        <v>161</v>
      </c>
      <c r="C13" s="20">
        <f t="shared" si="0"/>
        <v>77.7</v>
      </c>
      <c r="D13" s="20"/>
      <c r="E13" s="53">
        <f>3-1.3</f>
        <v>1.7</v>
      </c>
      <c r="F13" s="20">
        <v>76</v>
      </c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6" customHeight="1" x14ac:dyDescent="0.2">
      <c r="A14" s="51">
        <v>5</v>
      </c>
      <c r="B14" s="52" t="s">
        <v>158</v>
      </c>
      <c r="C14" s="20">
        <f t="shared" si="0"/>
        <v>63.6</v>
      </c>
      <c r="D14" s="20"/>
      <c r="E14" s="53">
        <f>2.5-0.6</f>
        <v>1.9</v>
      </c>
      <c r="F14" s="20">
        <f>87-25.3</f>
        <v>61.7</v>
      </c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6" customHeight="1" x14ac:dyDescent="0.2">
      <c r="A15" s="51">
        <v>6</v>
      </c>
      <c r="B15" s="52" t="s">
        <v>159</v>
      </c>
      <c r="C15" s="20">
        <f t="shared" si="0"/>
        <v>37.9</v>
      </c>
      <c r="D15" s="20"/>
      <c r="E15" s="53">
        <f>2-1.6</f>
        <v>0.39999999999999991</v>
      </c>
      <c r="F15" s="20">
        <f>48-10.5</f>
        <v>37.5</v>
      </c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6" customHeight="1" x14ac:dyDescent="0.2">
      <c r="A16" s="51">
        <v>7</v>
      </c>
      <c r="B16" s="52" t="s">
        <v>160</v>
      </c>
      <c r="C16" s="20">
        <f t="shared" si="0"/>
        <v>71.5</v>
      </c>
      <c r="D16" s="20"/>
      <c r="E16" s="53">
        <v>1.5</v>
      </c>
      <c r="F16" s="20">
        <f>61+9</f>
        <v>70</v>
      </c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6" customHeight="1" x14ac:dyDescent="0.2">
      <c r="A17" s="51">
        <v>8</v>
      </c>
      <c r="B17" s="54" t="s">
        <v>184</v>
      </c>
      <c r="C17" s="20">
        <f t="shared" si="0"/>
        <v>55.900000000000006</v>
      </c>
      <c r="D17" s="20"/>
      <c r="E17" s="53"/>
      <c r="F17" s="20">
        <f>64.2-8.3</f>
        <v>55.900000000000006</v>
      </c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2.6" customHeight="1" x14ac:dyDescent="0.2">
      <c r="A18" s="51">
        <v>9</v>
      </c>
      <c r="B18" s="52" t="s">
        <v>164</v>
      </c>
      <c r="C18" s="20">
        <f t="shared" si="0"/>
        <v>19</v>
      </c>
      <c r="D18" s="20">
        <v>9</v>
      </c>
      <c r="E18" s="53">
        <v>10</v>
      </c>
      <c r="F18" s="20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2.6" customHeight="1" x14ac:dyDescent="0.2">
      <c r="A19" s="51">
        <v>10</v>
      </c>
      <c r="B19" s="52" t="s">
        <v>46</v>
      </c>
      <c r="C19" s="20">
        <f t="shared" si="0"/>
        <v>10.6</v>
      </c>
      <c r="D19" s="20">
        <v>0.5</v>
      </c>
      <c r="E19" s="53">
        <v>0.1</v>
      </c>
      <c r="F19" s="20">
        <v>10</v>
      </c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6" customHeight="1" x14ac:dyDescent="0.2">
      <c r="A20" s="51">
        <v>11</v>
      </c>
      <c r="B20" s="55" t="s">
        <v>134</v>
      </c>
      <c r="C20" s="20">
        <f t="shared" si="0"/>
        <v>35.5</v>
      </c>
      <c r="D20" s="20">
        <f>0.8+0.1+1</f>
        <v>1.9</v>
      </c>
      <c r="E20" s="53">
        <f>1.2+0.1</f>
        <v>1.3</v>
      </c>
      <c r="F20" s="20">
        <v>32.299999999999997</v>
      </c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6" customHeight="1" x14ac:dyDescent="0.2">
      <c r="A21" s="51">
        <v>12</v>
      </c>
      <c r="B21" s="55" t="s">
        <v>135</v>
      </c>
      <c r="C21" s="20">
        <f t="shared" si="0"/>
        <v>3.8</v>
      </c>
      <c r="D21" s="20">
        <v>1.5</v>
      </c>
      <c r="E21" s="53">
        <v>0.3</v>
      </c>
      <c r="F21" s="20">
        <v>2</v>
      </c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2.6" customHeight="1" x14ac:dyDescent="0.2">
      <c r="A22" s="51">
        <v>13</v>
      </c>
      <c r="B22" s="55" t="s">
        <v>40</v>
      </c>
      <c r="C22" s="20">
        <f t="shared" si="0"/>
        <v>15.5</v>
      </c>
      <c r="D22" s="20">
        <v>2.5</v>
      </c>
      <c r="E22" s="53">
        <v>0.2</v>
      </c>
      <c r="F22" s="20">
        <f>15.3-2.5</f>
        <v>12.8</v>
      </c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6" customHeight="1" x14ac:dyDescent="0.2">
      <c r="A23" s="51">
        <v>14</v>
      </c>
      <c r="B23" s="52" t="s">
        <v>209</v>
      </c>
      <c r="C23" s="20">
        <f t="shared" si="0"/>
        <v>2.6999999999999997</v>
      </c>
      <c r="D23" s="20">
        <f>2-1.6</f>
        <v>0.39999999999999991</v>
      </c>
      <c r="E23" s="53">
        <f>1-0.4</f>
        <v>0.6</v>
      </c>
      <c r="F23" s="20">
        <f>5.3-3.6</f>
        <v>1.6999999999999997</v>
      </c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2.6" customHeight="1" x14ac:dyDescent="0.2">
      <c r="A24" s="51">
        <v>15</v>
      </c>
      <c r="B24" s="55" t="s">
        <v>162</v>
      </c>
      <c r="C24" s="20">
        <f t="shared" si="0"/>
        <v>20.8</v>
      </c>
      <c r="D24" s="20">
        <f>25-7</f>
        <v>18</v>
      </c>
      <c r="E24" s="53">
        <f>3-1.2</f>
        <v>1.8</v>
      </c>
      <c r="F24" s="20">
        <f>3.5-2.5</f>
        <v>1</v>
      </c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5" customHeight="1" x14ac:dyDescent="0.2">
      <c r="A25" s="51">
        <v>16</v>
      </c>
      <c r="B25" s="52" t="s">
        <v>163</v>
      </c>
      <c r="C25" s="20">
        <f t="shared" si="0"/>
        <v>3.6</v>
      </c>
      <c r="D25" s="20">
        <v>2</v>
      </c>
      <c r="E25" s="53">
        <f>0.1+0.5</f>
        <v>0.6</v>
      </c>
      <c r="F25" s="20">
        <f>2-1</f>
        <v>1</v>
      </c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6" customHeight="1" x14ac:dyDescent="0.2">
      <c r="A26" s="51">
        <v>17</v>
      </c>
      <c r="B26" s="55" t="s">
        <v>120</v>
      </c>
      <c r="C26" s="20">
        <f t="shared" si="0"/>
        <v>12.299999999999999</v>
      </c>
      <c r="D26" s="20"/>
      <c r="E26" s="53">
        <f>4+0.6</f>
        <v>4.5999999999999996</v>
      </c>
      <c r="F26" s="20">
        <f>6.3+1.4</f>
        <v>7.6999999999999993</v>
      </c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2.6" customHeight="1" x14ac:dyDescent="0.2">
      <c r="A27" s="51">
        <v>18</v>
      </c>
      <c r="B27" s="55" t="s">
        <v>41</v>
      </c>
      <c r="C27" s="20">
        <f t="shared" si="0"/>
        <v>0.7</v>
      </c>
      <c r="D27" s="20">
        <f>0.4-0.2</f>
        <v>0.2</v>
      </c>
      <c r="E27" s="53">
        <f>0.3-0.2</f>
        <v>9.9999999999999978E-2</v>
      </c>
      <c r="F27" s="20">
        <f>0.5-0.1</f>
        <v>0.4</v>
      </c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2.6" customHeight="1" x14ac:dyDescent="0.2">
      <c r="A28" s="51">
        <v>19</v>
      </c>
      <c r="B28" s="55" t="s">
        <v>136</v>
      </c>
      <c r="C28" s="20">
        <f t="shared" si="0"/>
        <v>54</v>
      </c>
      <c r="D28" s="20"/>
      <c r="E28" s="53">
        <v>2</v>
      </c>
      <c r="F28" s="20">
        <f>48+4</f>
        <v>52</v>
      </c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2.6" customHeight="1" x14ac:dyDescent="0.2">
      <c r="A29" s="51">
        <v>20</v>
      </c>
      <c r="B29" s="56" t="s">
        <v>210</v>
      </c>
      <c r="C29" s="20">
        <f>+E29+D29+F29</f>
        <v>0.1</v>
      </c>
      <c r="D29" s="20">
        <f>0.2-0.1</f>
        <v>0.1</v>
      </c>
      <c r="E29" s="53"/>
      <c r="F29" s="20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12.6" customHeight="1" x14ac:dyDescent="0.2">
      <c r="A30" s="51">
        <v>21</v>
      </c>
      <c r="B30" s="56" t="s">
        <v>42</v>
      </c>
      <c r="C30" s="20">
        <f t="shared" si="0"/>
        <v>2.5</v>
      </c>
      <c r="D30" s="20">
        <f>0.3-0.2</f>
        <v>9.9999999999999978E-2</v>
      </c>
      <c r="E30" s="53">
        <v>0.1</v>
      </c>
      <c r="F30" s="20">
        <v>2.2999999999999998</v>
      </c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12.6" customHeight="1" x14ac:dyDescent="0.2">
      <c r="A31" s="51">
        <v>22</v>
      </c>
      <c r="B31" s="55" t="s">
        <v>111</v>
      </c>
      <c r="C31" s="20">
        <f t="shared" si="0"/>
        <v>94.2</v>
      </c>
      <c r="D31" s="20">
        <f>33+23</f>
        <v>56</v>
      </c>
      <c r="E31" s="53"/>
      <c r="F31" s="20">
        <v>38.200000000000003</v>
      </c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12.6" customHeight="1" x14ac:dyDescent="0.2">
      <c r="A32" s="51">
        <v>23</v>
      </c>
      <c r="B32" s="52" t="s">
        <v>358</v>
      </c>
      <c r="C32" s="20">
        <f t="shared" si="0"/>
        <v>13</v>
      </c>
      <c r="D32" s="20">
        <f>2+1</f>
        <v>3</v>
      </c>
      <c r="E32" s="53"/>
      <c r="F32" s="20">
        <f>12-2</f>
        <v>10</v>
      </c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12.6" customHeight="1" x14ac:dyDescent="0.2">
      <c r="A33" s="51">
        <v>24</v>
      </c>
      <c r="B33" s="57" t="s">
        <v>54</v>
      </c>
      <c r="C33" s="20">
        <f t="shared" si="0"/>
        <v>70.5</v>
      </c>
      <c r="D33" s="20"/>
      <c r="E33" s="53"/>
      <c r="F33" s="20">
        <v>70.5</v>
      </c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6" customHeight="1" x14ac:dyDescent="0.2">
      <c r="A34" s="51">
        <v>25</v>
      </c>
      <c r="B34" s="57" t="s">
        <v>47</v>
      </c>
      <c r="C34" s="20">
        <f t="shared" si="0"/>
        <v>56.5</v>
      </c>
      <c r="D34" s="20">
        <v>0.4</v>
      </c>
      <c r="E34" s="53">
        <v>0.1</v>
      </c>
      <c r="F34" s="20">
        <f>53+3</f>
        <v>56</v>
      </c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2.6" customHeight="1" x14ac:dyDescent="0.2">
      <c r="A35" s="51">
        <v>26</v>
      </c>
      <c r="B35" s="52" t="s">
        <v>48</v>
      </c>
      <c r="C35" s="20">
        <f t="shared" si="0"/>
        <v>64.599999999999994</v>
      </c>
      <c r="D35" s="20">
        <f>0.2+0.1</f>
        <v>0.30000000000000004</v>
      </c>
      <c r="E35" s="53">
        <v>5.3</v>
      </c>
      <c r="F35" s="20">
        <v>59</v>
      </c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2.6" customHeight="1" x14ac:dyDescent="0.2">
      <c r="A36" s="51">
        <v>27</v>
      </c>
      <c r="B36" s="57" t="s">
        <v>211</v>
      </c>
      <c r="C36" s="20">
        <f t="shared" si="0"/>
        <v>15.700000000000001</v>
      </c>
      <c r="D36" s="20">
        <v>14.9</v>
      </c>
      <c r="E36" s="53">
        <v>0.8</v>
      </c>
      <c r="F36" s="20"/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12.6" customHeight="1" x14ac:dyDescent="0.2">
      <c r="A37" s="51">
        <v>28</v>
      </c>
      <c r="B37" s="52" t="s">
        <v>112</v>
      </c>
      <c r="C37" s="20">
        <f>+E37+D37+F37</f>
        <v>84.5</v>
      </c>
      <c r="D37" s="20">
        <v>23</v>
      </c>
      <c r="E37" s="53">
        <f>36+8</f>
        <v>44</v>
      </c>
      <c r="F37" s="20">
        <v>17.5</v>
      </c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2.6" customHeight="1" x14ac:dyDescent="0.2">
      <c r="A38" s="51">
        <v>29</v>
      </c>
      <c r="B38" s="57" t="s">
        <v>44</v>
      </c>
      <c r="C38" s="20">
        <f t="shared" si="0"/>
        <v>12</v>
      </c>
      <c r="D38" s="20">
        <f>8+1</f>
        <v>9</v>
      </c>
      <c r="E38" s="53">
        <v>3</v>
      </c>
      <c r="F38" s="20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2.6" customHeight="1" x14ac:dyDescent="0.2">
      <c r="A39" s="51">
        <v>30</v>
      </c>
      <c r="B39" s="58" t="s">
        <v>49</v>
      </c>
      <c r="C39" s="20">
        <f t="shared" si="0"/>
        <v>2.5999999999999996</v>
      </c>
      <c r="D39" s="20">
        <f>0.8-0.5</f>
        <v>0.30000000000000004</v>
      </c>
      <c r="E39" s="53">
        <f>1.5+0.8</f>
        <v>2.2999999999999998</v>
      </c>
      <c r="F39" s="20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12.6" customHeight="1" x14ac:dyDescent="0.2">
      <c r="A40" s="51">
        <v>31</v>
      </c>
      <c r="B40" s="57" t="s">
        <v>50</v>
      </c>
      <c r="C40" s="20">
        <f t="shared" si="0"/>
        <v>2</v>
      </c>
      <c r="D40" s="20">
        <f>0.5+0.5</f>
        <v>1</v>
      </c>
      <c r="E40" s="53">
        <f>0.5+0.5</f>
        <v>1</v>
      </c>
      <c r="F40" s="20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12.6" customHeight="1" x14ac:dyDescent="0.2">
      <c r="A41" s="51">
        <v>32</v>
      </c>
      <c r="B41" s="57" t="s">
        <v>45</v>
      </c>
      <c r="C41" s="20">
        <f t="shared" si="0"/>
        <v>2.2999999999999998</v>
      </c>
      <c r="D41" s="20">
        <v>1.2</v>
      </c>
      <c r="E41" s="53">
        <v>1.1000000000000001</v>
      </c>
      <c r="F41" s="20"/>
      <c r="G41" s="12"/>
      <c r="H41" s="12"/>
      <c r="I41" s="12"/>
      <c r="J41" s="12"/>
      <c r="K41" s="12"/>
      <c r="L41" s="12"/>
      <c r="M41" s="12"/>
      <c r="N41" s="12"/>
      <c r="O41" s="12"/>
    </row>
    <row r="42" spans="1:15" ht="12.6" customHeight="1" x14ac:dyDescent="0.2">
      <c r="A42" s="51">
        <v>33</v>
      </c>
      <c r="B42" s="57" t="s">
        <v>51</v>
      </c>
      <c r="C42" s="20">
        <f t="shared" si="0"/>
        <v>0.5</v>
      </c>
      <c r="D42" s="20">
        <f>0.3+0.1</f>
        <v>0.4</v>
      </c>
      <c r="E42" s="53">
        <v>0.1</v>
      </c>
      <c r="F42" s="20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">
      <c r="A43" s="51">
        <v>34</v>
      </c>
      <c r="B43" s="57" t="s">
        <v>52</v>
      </c>
      <c r="C43" s="20">
        <f t="shared" si="0"/>
        <v>0.5</v>
      </c>
      <c r="D43" s="20">
        <v>0.3</v>
      </c>
      <c r="E43" s="53">
        <v>0.2</v>
      </c>
      <c r="F43" s="20"/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25.5" x14ac:dyDescent="0.2">
      <c r="A44" s="51">
        <v>35</v>
      </c>
      <c r="B44" s="56" t="s">
        <v>53</v>
      </c>
      <c r="C44" s="20">
        <f t="shared" si="0"/>
        <v>6.5</v>
      </c>
      <c r="D44" s="20">
        <v>1</v>
      </c>
      <c r="E44" s="53">
        <v>5.5</v>
      </c>
      <c r="F44" s="20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12.6" customHeight="1" x14ac:dyDescent="0.2">
      <c r="A45" s="51">
        <v>36</v>
      </c>
      <c r="B45" s="57" t="s">
        <v>43</v>
      </c>
      <c r="C45" s="20">
        <f t="shared" si="0"/>
        <v>25.2</v>
      </c>
      <c r="D45" s="20">
        <v>25</v>
      </c>
      <c r="E45" s="53">
        <v>0.2</v>
      </c>
      <c r="F45" s="20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12.6" customHeight="1" x14ac:dyDescent="0.2">
      <c r="A46" s="51">
        <v>37</v>
      </c>
      <c r="B46" s="55" t="s">
        <v>27</v>
      </c>
      <c r="C46" s="20">
        <f t="shared" si="0"/>
        <v>1</v>
      </c>
      <c r="D46" s="20">
        <v>1</v>
      </c>
      <c r="E46" s="53"/>
      <c r="F46" s="20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2.6" customHeight="1" x14ac:dyDescent="0.2">
      <c r="A47" s="51">
        <v>38</v>
      </c>
      <c r="B47" s="59" t="s">
        <v>1</v>
      </c>
      <c r="C47" s="20">
        <f t="shared" si="0"/>
        <v>84</v>
      </c>
      <c r="D47" s="20">
        <f>79.8+4.2</f>
        <v>84</v>
      </c>
      <c r="E47" s="53"/>
      <c r="F47" s="20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2.6" customHeight="1" x14ac:dyDescent="0.2">
      <c r="A48" s="51">
        <v>39</v>
      </c>
      <c r="B48" s="57" t="s">
        <v>2</v>
      </c>
      <c r="C48" s="20">
        <f t="shared" si="0"/>
        <v>346.4</v>
      </c>
      <c r="D48" s="20"/>
      <c r="E48" s="53"/>
      <c r="F48" s="20">
        <f>306.4+40</f>
        <v>346.4</v>
      </c>
      <c r="G48" s="12"/>
      <c r="H48" s="12"/>
      <c r="I48" s="12"/>
      <c r="J48" s="12"/>
      <c r="K48" s="12"/>
      <c r="L48" s="12"/>
      <c r="M48" s="12"/>
      <c r="N48" s="12"/>
      <c r="O48" s="12"/>
    </row>
    <row r="49" spans="1:15" ht="12.6" customHeight="1" x14ac:dyDescent="0.2">
      <c r="A49" s="51">
        <v>40</v>
      </c>
      <c r="B49" s="57" t="s">
        <v>15</v>
      </c>
      <c r="C49" s="20">
        <f t="shared" si="0"/>
        <v>249.9</v>
      </c>
      <c r="D49" s="20"/>
      <c r="E49" s="53"/>
      <c r="F49" s="20">
        <f>229.6+20.3</f>
        <v>249.9</v>
      </c>
      <c r="G49" s="12"/>
      <c r="H49" s="12"/>
      <c r="I49" s="12"/>
      <c r="J49" s="12"/>
      <c r="K49" s="12"/>
      <c r="L49" s="12"/>
      <c r="M49" s="12"/>
      <c r="N49" s="12"/>
      <c r="O49" s="12"/>
    </row>
    <row r="50" spans="1:15" ht="12.6" customHeight="1" x14ac:dyDescent="0.2">
      <c r="A50" s="51">
        <v>41</v>
      </c>
      <c r="B50" s="57" t="s">
        <v>212</v>
      </c>
      <c r="C50" s="20">
        <f t="shared" si="0"/>
        <v>266</v>
      </c>
      <c r="D50" s="20"/>
      <c r="E50" s="53"/>
      <c r="F50" s="20">
        <f>230+36</f>
        <v>266</v>
      </c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12.6" customHeight="1" x14ac:dyDescent="0.2">
      <c r="A51" s="51">
        <v>42</v>
      </c>
      <c r="B51" s="60" t="s">
        <v>147</v>
      </c>
      <c r="C51" s="20">
        <f t="shared" si="0"/>
        <v>12</v>
      </c>
      <c r="D51" s="20"/>
      <c r="E51" s="53"/>
      <c r="F51" s="20">
        <v>12</v>
      </c>
      <c r="G51" s="12"/>
      <c r="H51" s="12"/>
      <c r="I51" s="12"/>
      <c r="J51" s="12"/>
      <c r="K51" s="12"/>
      <c r="L51" s="12"/>
      <c r="M51" s="12"/>
      <c r="N51" s="12"/>
      <c r="O51" s="12"/>
    </row>
    <row r="52" spans="1:15" ht="12.6" customHeight="1" x14ac:dyDescent="0.2">
      <c r="A52" s="51">
        <v>43</v>
      </c>
      <c r="B52" s="56" t="s">
        <v>213</v>
      </c>
      <c r="C52" s="20">
        <f t="shared" si="0"/>
        <v>13.2</v>
      </c>
      <c r="D52" s="20">
        <v>13.2</v>
      </c>
      <c r="E52" s="53"/>
      <c r="F52" s="20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2">
      <c r="A53" s="51">
        <v>44</v>
      </c>
      <c r="B53" s="61" t="s">
        <v>3</v>
      </c>
      <c r="C53" s="20">
        <f t="shared" si="0"/>
        <v>22.9</v>
      </c>
      <c r="D53" s="20"/>
      <c r="E53" s="53">
        <v>22.9</v>
      </c>
      <c r="F53" s="20"/>
      <c r="G53" s="12"/>
      <c r="H53" s="12"/>
      <c r="I53" s="12"/>
      <c r="J53" s="12"/>
      <c r="K53" s="12"/>
      <c r="L53" s="12"/>
      <c r="M53" s="12"/>
      <c r="N53" s="12"/>
      <c r="O53" s="12"/>
    </row>
    <row r="54" spans="1:15" ht="25.5" x14ac:dyDescent="0.2">
      <c r="A54" s="51">
        <v>45</v>
      </c>
      <c r="B54" s="56" t="s">
        <v>8</v>
      </c>
      <c r="C54" s="20">
        <f t="shared" si="0"/>
        <v>13.4</v>
      </c>
      <c r="D54" s="20">
        <v>0.3</v>
      </c>
      <c r="E54" s="53">
        <v>13.1</v>
      </c>
      <c r="F54" s="20"/>
      <c r="G54" s="12"/>
      <c r="H54" s="12"/>
      <c r="I54" s="12"/>
      <c r="J54" s="12"/>
      <c r="K54" s="12"/>
      <c r="L54" s="12"/>
      <c r="M54" s="12"/>
      <c r="N54" s="12"/>
      <c r="O54" s="12"/>
    </row>
    <row r="55" spans="1:15" ht="12.6" customHeight="1" x14ac:dyDescent="0.2">
      <c r="A55" s="51">
        <v>46</v>
      </c>
      <c r="B55" s="56" t="s">
        <v>4</v>
      </c>
      <c r="C55" s="20">
        <f t="shared" si="0"/>
        <v>2.9</v>
      </c>
      <c r="D55" s="20"/>
      <c r="E55" s="53">
        <v>2.9</v>
      </c>
      <c r="F55" s="20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12.6" customHeight="1" x14ac:dyDescent="0.2">
      <c r="A56" s="51">
        <v>47</v>
      </c>
      <c r="B56" s="56" t="s">
        <v>5</v>
      </c>
      <c r="C56" s="20">
        <f t="shared" si="0"/>
        <v>4.9000000000000004</v>
      </c>
      <c r="D56" s="20">
        <v>2.7</v>
      </c>
      <c r="E56" s="53">
        <v>2.2000000000000002</v>
      </c>
      <c r="F56" s="20"/>
      <c r="G56" s="12"/>
      <c r="H56" s="12"/>
      <c r="I56" s="12"/>
      <c r="J56" s="12"/>
      <c r="K56" s="12"/>
      <c r="L56" s="12"/>
      <c r="M56" s="12"/>
      <c r="N56" s="12"/>
      <c r="O56" s="12"/>
    </row>
    <row r="57" spans="1:15" ht="12.6" customHeight="1" x14ac:dyDescent="0.2">
      <c r="A57" s="51">
        <v>48</v>
      </c>
      <c r="B57" s="56" t="s">
        <v>7</v>
      </c>
      <c r="C57" s="20">
        <f t="shared" si="0"/>
        <v>11.2</v>
      </c>
      <c r="D57" s="20">
        <v>3</v>
      </c>
      <c r="E57" s="53">
        <v>8.1999999999999993</v>
      </c>
      <c r="F57" s="20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12.6" customHeight="1" x14ac:dyDescent="0.2">
      <c r="A58" s="51">
        <v>49</v>
      </c>
      <c r="B58" s="56" t="s">
        <v>6</v>
      </c>
      <c r="C58" s="20">
        <f t="shared" si="0"/>
        <v>1.6</v>
      </c>
      <c r="D58" s="20">
        <v>0.6</v>
      </c>
      <c r="E58" s="53">
        <v>1</v>
      </c>
      <c r="F58" s="20"/>
      <c r="G58" s="12"/>
      <c r="H58" s="12"/>
      <c r="I58" s="12"/>
      <c r="J58" s="12"/>
      <c r="K58" s="12"/>
      <c r="L58" s="12"/>
      <c r="M58" s="12"/>
      <c r="N58" s="12"/>
      <c r="O58" s="12"/>
    </row>
    <row r="59" spans="1:15" ht="12.6" customHeight="1" x14ac:dyDescent="0.2">
      <c r="A59" s="51">
        <v>50</v>
      </c>
      <c r="B59" s="56" t="s">
        <v>9</v>
      </c>
      <c r="C59" s="20">
        <f t="shared" si="0"/>
        <v>3.4</v>
      </c>
      <c r="D59" s="20"/>
      <c r="E59" s="53">
        <v>3.4</v>
      </c>
      <c r="F59" s="20"/>
      <c r="G59" s="12"/>
      <c r="H59" s="12"/>
      <c r="I59" s="12"/>
      <c r="J59" s="12"/>
      <c r="K59" s="12"/>
      <c r="L59" s="12"/>
      <c r="M59" s="12"/>
      <c r="N59" s="12"/>
      <c r="O59" s="12"/>
    </row>
    <row r="60" spans="1:15" ht="12.6" customHeight="1" x14ac:dyDescent="0.2">
      <c r="A60" s="51">
        <v>51</v>
      </c>
      <c r="B60" s="59" t="s">
        <v>10</v>
      </c>
      <c r="C60" s="20">
        <f t="shared" si="0"/>
        <v>0.6</v>
      </c>
      <c r="D60" s="20"/>
      <c r="E60" s="53">
        <v>0.6</v>
      </c>
      <c r="F60" s="20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12.6" customHeight="1" x14ac:dyDescent="0.2">
      <c r="A61" s="51">
        <v>52</v>
      </c>
      <c r="B61" s="56" t="s">
        <v>12</v>
      </c>
      <c r="C61" s="20">
        <f t="shared" si="0"/>
        <v>1.1000000000000001</v>
      </c>
      <c r="D61" s="20">
        <v>0.1</v>
      </c>
      <c r="E61" s="53">
        <v>1</v>
      </c>
      <c r="F61" s="20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12.6" customHeight="1" x14ac:dyDescent="0.2">
      <c r="A62" s="51">
        <v>53</v>
      </c>
      <c r="B62" s="56" t="s">
        <v>11</v>
      </c>
      <c r="C62" s="20">
        <f t="shared" si="0"/>
        <v>1.2</v>
      </c>
      <c r="D62" s="20">
        <v>0.6</v>
      </c>
      <c r="E62" s="53">
        <v>0.6</v>
      </c>
      <c r="F62" s="20"/>
      <c r="G62" s="12"/>
      <c r="H62" s="12"/>
      <c r="I62" s="12"/>
      <c r="J62" s="12"/>
      <c r="K62" s="12"/>
      <c r="L62" s="12"/>
      <c r="M62" s="12"/>
      <c r="N62" s="12"/>
      <c r="O62" s="12"/>
    </row>
    <row r="63" spans="1:15" ht="12.6" customHeight="1" x14ac:dyDescent="0.2">
      <c r="A63" s="51">
        <v>54</v>
      </c>
      <c r="B63" s="56" t="s">
        <v>13</v>
      </c>
      <c r="C63" s="20">
        <f t="shared" si="0"/>
        <v>3.3</v>
      </c>
      <c r="D63" s="20">
        <v>2</v>
      </c>
      <c r="E63" s="53">
        <v>1.3</v>
      </c>
      <c r="F63" s="20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12.6" customHeight="1" x14ac:dyDescent="0.2">
      <c r="A64" s="51">
        <v>55</v>
      </c>
      <c r="B64" s="56" t="s">
        <v>14</v>
      </c>
      <c r="C64" s="20">
        <f t="shared" si="0"/>
        <v>0.5</v>
      </c>
      <c r="D64" s="20"/>
      <c r="E64" s="53">
        <v>0.5</v>
      </c>
      <c r="F64" s="20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2">
      <c r="A65" s="51">
        <v>56</v>
      </c>
      <c r="B65" s="62" t="s">
        <v>214</v>
      </c>
      <c r="C65" s="63">
        <f t="shared" si="0"/>
        <v>2157.5</v>
      </c>
      <c r="D65" s="63">
        <f>SUM(D10:D64)</f>
        <v>279.50000000000006</v>
      </c>
      <c r="E65" s="63">
        <f>SUM(E10:E64)</f>
        <v>153.59999999999997</v>
      </c>
      <c r="F65" s="63">
        <f>SUM(F10:F64)</f>
        <v>1724.4</v>
      </c>
      <c r="G65" s="64"/>
      <c r="H65" s="64"/>
      <c r="I65" s="64"/>
      <c r="J65" s="12"/>
      <c r="K65" s="12"/>
      <c r="L65" s="12"/>
      <c r="M65" s="12"/>
      <c r="N65" s="12"/>
      <c r="O65" s="12"/>
    </row>
    <row r="66" spans="1:15" x14ac:dyDescent="0.2">
      <c r="E66" s="65"/>
    </row>
    <row r="67" spans="1:15" x14ac:dyDescent="0.2">
      <c r="A67" s="221" t="s">
        <v>215</v>
      </c>
      <c r="B67" s="221"/>
      <c r="C67" s="221"/>
      <c r="D67" s="221"/>
      <c r="E67" s="221"/>
      <c r="F67" s="221"/>
    </row>
    <row r="68" spans="1:15" x14ac:dyDescent="0.2">
      <c r="C68" s="12"/>
      <c r="D68" s="12"/>
      <c r="E68" s="65"/>
      <c r="F68" s="12"/>
    </row>
    <row r="69" spans="1:15" x14ac:dyDescent="0.2">
      <c r="C69" s="12"/>
      <c r="D69" s="12"/>
      <c r="E69" s="12"/>
      <c r="F69" s="12"/>
    </row>
    <row r="70" spans="1:15" x14ac:dyDescent="0.2">
      <c r="C70" s="12"/>
      <c r="D70" s="12"/>
      <c r="E70" s="12"/>
      <c r="F70" s="12"/>
      <c r="G70" s="12"/>
      <c r="H70" s="12"/>
      <c r="I70" s="12"/>
    </row>
    <row r="71" spans="1:15" x14ac:dyDescent="0.2">
      <c r="C71" s="12"/>
      <c r="D71" s="12"/>
      <c r="E71" s="12"/>
      <c r="F71" s="12"/>
      <c r="H71" s="12"/>
    </row>
    <row r="72" spans="1:15" x14ac:dyDescent="0.2">
      <c r="H72" s="12"/>
    </row>
    <row r="75" spans="1:15" x14ac:dyDescent="0.2">
      <c r="B75" s="44"/>
    </row>
  </sheetData>
  <mergeCells count="9">
    <mergeCell ref="D7:F7"/>
    <mergeCell ref="B1:F1"/>
    <mergeCell ref="A67:F67"/>
    <mergeCell ref="E3:F3"/>
    <mergeCell ref="A5:F5"/>
    <mergeCell ref="A7:A8"/>
    <mergeCell ref="B7:B8"/>
    <mergeCell ref="C7:C8"/>
    <mergeCell ref="B2:F2"/>
  </mergeCells>
  <pageMargins left="0.51181102362204722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6"/>
  <sheetViews>
    <sheetView tabSelected="1" zoomScaleNormal="100" workbookViewId="0">
      <selection activeCell="E285" sqref="E285"/>
    </sheetView>
  </sheetViews>
  <sheetFormatPr defaultColWidth="9.140625" defaultRowHeight="12.75" x14ac:dyDescent="0.2"/>
  <cols>
    <col min="1" max="1" width="5.85546875" style="66" customWidth="1"/>
    <col min="2" max="2" width="6.7109375" style="67" customWidth="1"/>
    <col min="3" max="3" width="51.28515625" style="9" customWidth="1"/>
    <col min="4" max="4" width="11.42578125" style="68" customWidth="1"/>
    <col min="5" max="5" width="9.7109375" style="9" customWidth="1"/>
    <col min="6" max="6" width="11" style="9" customWidth="1"/>
    <col min="7" max="12" width="9.140625" style="2" customWidth="1"/>
    <col min="13" max="16384" width="9.140625" style="2"/>
  </cols>
  <sheetData>
    <row r="1" spans="1:11" ht="15.75" customHeight="1" x14ac:dyDescent="0.25">
      <c r="C1" s="228" t="s">
        <v>830</v>
      </c>
      <c r="D1" s="228"/>
      <c r="E1" s="228"/>
      <c r="F1" s="228"/>
    </row>
    <row r="2" spans="1:11" ht="15.75" x14ac:dyDescent="0.25">
      <c r="C2" s="228" t="s">
        <v>874</v>
      </c>
      <c r="D2" s="228"/>
      <c r="E2" s="228"/>
      <c r="F2" s="228"/>
    </row>
    <row r="3" spans="1:11" ht="14.25" customHeight="1" x14ac:dyDescent="0.2">
      <c r="B3" s="68"/>
      <c r="E3" s="252" t="s">
        <v>115</v>
      </c>
      <c r="F3" s="252"/>
      <c r="K3" s="70"/>
    </row>
    <row r="4" spans="1:11" ht="15.75" x14ac:dyDescent="0.2">
      <c r="B4" s="68"/>
      <c r="E4" s="69"/>
      <c r="F4" s="69"/>
    </row>
    <row r="5" spans="1:11" ht="25.5" customHeight="1" x14ac:dyDescent="0.2">
      <c r="A5" s="253" t="s">
        <v>449</v>
      </c>
      <c r="B5" s="253"/>
      <c r="C5" s="253"/>
      <c r="D5" s="253"/>
      <c r="E5" s="253"/>
      <c r="F5" s="253"/>
    </row>
    <row r="6" spans="1:11" x14ac:dyDescent="0.2">
      <c r="A6" s="71"/>
      <c r="B6" s="71"/>
      <c r="C6" s="71"/>
      <c r="D6" s="71"/>
      <c r="E6" s="71"/>
      <c r="F6" s="71"/>
    </row>
    <row r="7" spans="1:11" x14ac:dyDescent="0.2">
      <c r="B7" s="68"/>
      <c r="E7" s="66"/>
      <c r="F7" s="72" t="s">
        <v>129</v>
      </c>
    </row>
    <row r="8" spans="1:11" ht="43.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  <c r="G8" s="12"/>
      <c r="H8" s="12"/>
    </row>
    <row r="9" spans="1:1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12"/>
      <c r="H9" s="12"/>
    </row>
    <row r="10" spans="1:11" ht="20.100000000000001" customHeight="1" x14ac:dyDescent="0.2">
      <c r="A10" s="76">
        <v>1</v>
      </c>
      <c r="B10" s="75" t="s">
        <v>56</v>
      </c>
      <c r="C10" s="77" t="s">
        <v>57</v>
      </c>
      <c r="D10" s="73"/>
      <c r="E10" s="78">
        <f>+E11+E12+E13+E14+E15+E16+E17+E18+E19+E20+E21+E22+E23+E24+E25+E26+E27+E28+E29+E30+E31+E32+E33+E34+E35+E37+E38+E40+E41+E42</f>
        <v>16354.5</v>
      </c>
      <c r="F10" s="78">
        <f>+F11+F12+F13+F14+F15+F16+F17+F18+F19+F20+F21+F22+F23+F24+F25+F26+F27+F28+F29+F30+F31+F32+F33+F34+F35+F37+F38+F40+F41+F42</f>
        <v>11184.099999999999</v>
      </c>
      <c r="G10" s="12"/>
      <c r="H10" s="12"/>
      <c r="I10" s="79"/>
      <c r="J10" s="79"/>
    </row>
    <row r="11" spans="1:11" ht="12.6" customHeight="1" x14ac:dyDescent="0.2">
      <c r="A11" s="76">
        <v>2</v>
      </c>
      <c r="B11" s="80"/>
      <c r="C11" s="60" t="s">
        <v>165</v>
      </c>
      <c r="D11" s="80" t="s">
        <v>58</v>
      </c>
      <c r="E11" s="81">
        <f>447.7+32.9+0.7</f>
        <v>481.29999999999995</v>
      </c>
      <c r="F11" s="81">
        <f>354.9+32.2+12.3+0.7</f>
        <v>400.09999999999997</v>
      </c>
      <c r="G11" s="12"/>
      <c r="H11" s="12"/>
    </row>
    <row r="12" spans="1:11" ht="12.6" customHeight="1" x14ac:dyDescent="0.2">
      <c r="A12" s="76">
        <v>3</v>
      </c>
      <c r="B12" s="80"/>
      <c r="C12" s="60" t="s">
        <v>156</v>
      </c>
      <c r="D12" s="80" t="s">
        <v>58</v>
      </c>
      <c r="E12" s="81">
        <f>486.3+35.9</f>
        <v>522.20000000000005</v>
      </c>
      <c r="F12" s="81">
        <f>387.8+35.2</f>
        <v>423</v>
      </c>
      <c r="G12" s="12"/>
      <c r="H12" s="12"/>
    </row>
    <row r="13" spans="1:11" ht="12.6" customHeight="1" x14ac:dyDescent="0.2">
      <c r="A13" s="76">
        <v>4</v>
      </c>
      <c r="B13" s="80"/>
      <c r="C13" s="60" t="s">
        <v>157</v>
      </c>
      <c r="D13" s="80" t="s">
        <v>58</v>
      </c>
      <c r="E13" s="81">
        <f>448.2+32.6+4.9+1.1</f>
        <v>486.8</v>
      </c>
      <c r="F13" s="81">
        <f>351.9+31.9-21</f>
        <v>362.79999999999995</v>
      </c>
      <c r="G13" s="12"/>
      <c r="H13" s="12"/>
    </row>
    <row r="14" spans="1:11" ht="12.6" customHeight="1" x14ac:dyDescent="0.2">
      <c r="A14" s="76">
        <v>5</v>
      </c>
      <c r="B14" s="80"/>
      <c r="C14" s="60" t="s">
        <v>161</v>
      </c>
      <c r="D14" s="80" t="s">
        <v>58</v>
      </c>
      <c r="E14" s="81">
        <f>450.2+32.7</f>
        <v>482.9</v>
      </c>
      <c r="F14" s="81">
        <f>352.9+32</f>
        <v>384.9</v>
      </c>
      <c r="G14" s="12"/>
      <c r="H14" s="12"/>
    </row>
    <row r="15" spans="1:11" ht="12.6" customHeight="1" x14ac:dyDescent="0.2">
      <c r="A15" s="76">
        <v>6</v>
      </c>
      <c r="B15" s="80"/>
      <c r="C15" s="60" t="s">
        <v>158</v>
      </c>
      <c r="D15" s="80" t="s">
        <v>58</v>
      </c>
      <c r="E15" s="81">
        <f>468.8+34.3+2.1</f>
        <v>505.20000000000005</v>
      </c>
      <c r="F15" s="81">
        <f>369.8+33.6-2</f>
        <v>401.40000000000003</v>
      </c>
      <c r="G15" s="12"/>
      <c r="H15" s="12"/>
    </row>
    <row r="16" spans="1:11" ht="12.6" customHeight="1" x14ac:dyDescent="0.2">
      <c r="A16" s="76">
        <v>7</v>
      </c>
      <c r="B16" s="80"/>
      <c r="C16" s="60" t="s">
        <v>159</v>
      </c>
      <c r="D16" s="80" t="s">
        <v>58</v>
      </c>
      <c r="E16" s="81">
        <f>541.5+40.3+2.9</f>
        <v>584.69999999999993</v>
      </c>
      <c r="F16" s="81">
        <f>435.1+39.5+2.9</f>
        <v>477.5</v>
      </c>
      <c r="G16" s="12"/>
      <c r="H16" s="12"/>
    </row>
    <row r="17" spans="1:8" ht="12.6" customHeight="1" x14ac:dyDescent="0.2">
      <c r="A17" s="76">
        <v>8</v>
      </c>
      <c r="B17" s="80"/>
      <c r="C17" s="60" t="s">
        <v>160</v>
      </c>
      <c r="D17" s="80" t="s">
        <v>58</v>
      </c>
      <c r="E17" s="81">
        <f>510+36.7+0.7</f>
        <v>547.40000000000009</v>
      </c>
      <c r="F17" s="81">
        <f>396.3+36+0.7</f>
        <v>433</v>
      </c>
      <c r="G17" s="12"/>
      <c r="H17" s="12"/>
    </row>
    <row r="18" spans="1:8" ht="12.6" customHeight="1" x14ac:dyDescent="0.2">
      <c r="A18" s="76">
        <v>9</v>
      </c>
      <c r="B18" s="80"/>
      <c r="C18" s="54" t="s">
        <v>184</v>
      </c>
      <c r="D18" s="80" t="s">
        <v>59</v>
      </c>
      <c r="E18" s="81">
        <f>444.6+32.1+1.8</f>
        <v>478.50000000000006</v>
      </c>
      <c r="F18" s="81">
        <f>346.2+31.4-4.9</f>
        <v>372.7</v>
      </c>
      <c r="G18" s="12"/>
      <c r="H18" s="12"/>
    </row>
    <row r="19" spans="1:8" ht="12.6" customHeight="1" x14ac:dyDescent="0.2">
      <c r="A19" s="76">
        <v>10</v>
      </c>
      <c r="B19" s="80"/>
      <c r="C19" s="60" t="s">
        <v>164</v>
      </c>
      <c r="D19" s="80" t="s">
        <v>60</v>
      </c>
      <c r="E19" s="81">
        <f>459.3+28.5+3+1.3</f>
        <v>492.1</v>
      </c>
      <c r="F19" s="81">
        <f>307.8+27.9+1.3</f>
        <v>337</v>
      </c>
      <c r="G19" s="12"/>
      <c r="H19" s="12"/>
    </row>
    <row r="20" spans="1:8" ht="25.5" x14ac:dyDescent="0.2">
      <c r="A20" s="76">
        <v>11</v>
      </c>
      <c r="B20" s="80"/>
      <c r="C20" s="60" t="s">
        <v>46</v>
      </c>
      <c r="D20" s="82" t="s">
        <v>119</v>
      </c>
      <c r="E20" s="81">
        <f>420+28.4+1+6</f>
        <v>455.4</v>
      </c>
      <c r="F20" s="81">
        <f>258+23.4+3.8+1</f>
        <v>286.2</v>
      </c>
      <c r="G20" s="12"/>
      <c r="H20" s="12"/>
    </row>
    <row r="21" spans="1:8" ht="12.6" customHeight="1" x14ac:dyDescent="0.2">
      <c r="A21" s="76">
        <v>12</v>
      </c>
      <c r="B21" s="80"/>
      <c r="C21" s="54" t="s">
        <v>134</v>
      </c>
      <c r="D21" s="80" t="s">
        <v>60</v>
      </c>
      <c r="E21" s="81">
        <f>944.7+63+12.2+78.8-6</f>
        <v>1092.7</v>
      </c>
      <c r="F21" s="81">
        <f>679.6+61.8+12+38.1-1.5-5.9</f>
        <v>784.1</v>
      </c>
      <c r="G21" s="12"/>
      <c r="H21" s="12"/>
    </row>
    <row r="22" spans="1:8" ht="12.6" customHeight="1" x14ac:dyDescent="0.2">
      <c r="A22" s="76">
        <v>13</v>
      </c>
      <c r="B22" s="80"/>
      <c r="C22" s="54" t="s">
        <v>135</v>
      </c>
      <c r="D22" s="80" t="s">
        <v>60</v>
      </c>
      <c r="E22" s="81">
        <f>407+25.9+14.9</f>
        <v>447.79999999999995</v>
      </c>
      <c r="F22" s="81">
        <f>278.6+25.4-2.3+12</f>
        <v>313.7</v>
      </c>
      <c r="G22" s="12"/>
      <c r="H22" s="12"/>
    </row>
    <row r="23" spans="1:8" ht="12.6" customHeight="1" x14ac:dyDescent="0.2">
      <c r="A23" s="76">
        <v>14</v>
      </c>
      <c r="B23" s="80"/>
      <c r="C23" s="54" t="s">
        <v>40</v>
      </c>
      <c r="D23" s="80" t="s">
        <v>60</v>
      </c>
      <c r="E23" s="81">
        <f>948.2+60.7</f>
        <v>1008.9000000000001</v>
      </c>
      <c r="F23" s="81">
        <f>655.1+59.5</f>
        <v>714.6</v>
      </c>
      <c r="G23" s="12"/>
      <c r="H23" s="12"/>
    </row>
    <row r="24" spans="1:8" ht="12.6" customHeight="1" x14ac:dyDescent="0.2">
      <c r="A24" s="76">
        <v>15</v>
      </c>
      <c r="B24" s="80"/>
      <c r="C24" s="60" t="s">
        <v>137</v>
      </c>
      <c r="D24" s="80" t="s">
        <v>60</v>
      </c>
      <c r="E24" s="81">
        <f>672.6+17.5+40.3+1.8+1</f>
        <v>733.19999999999993</v>
      </c>
      <c r="F24" s="81">
        <f>435+39.5+4+1.8+1</f>
        <v>481.3</v>
      </c>
      <c r="G24" s="12"/>
      <c r="H24" s="12"/>
    </row>
    <row r="25" spans="1:8" ht="12.6" customHeight="1" x14ac:dyDescent="0.2">
      <c r="A25" s="76">
        <v>16</v>
      </c>
      <c r="B25" s="80"/>
      <c r="C25" s="54" t="s">
        <v>162</v>
      </c>
      <c r="D25" s="80" t="s">
        <v>61</v>
      </c>
      <c r="E25" s="81">
        <f>638.7+37.1</f>
        <v>675.80000000000007</v>
      </c>
      <c r="F25" s="81">
        <f>400.9+36.4+4</f>
        <v>441.29999999999995</v>
      </c>
      <c r="G25" s="12"/>
      <c r="H25" s="12"/>
    </row>
    <row r="26" spans="1:8" ht="12.6" customHeight="1" x14ac:dyDescent="0.2">
      <c r="A26" s="76">
        <v>17</v>
      </c>
      <c r="B26" s="80"/>
      <c r="C26" s="60" t="s">
        <v>163</v>
      </c>
      <c r="D26" s="80" t="s">
        <v>61</v>
      </c>
      <c r="E26" s="81">
        <f>478.1+29+2.5</f>
        <v>509.6</v>
      </c>
      <c r="F26" s="81">
        <f>312.5+28.5-1.7+2.5</f>
        <v>341.8</v>
      </c>
      <c r="G26" s="12"/>
      <c r="H26" s="12"/>
    </row>
    <row r="27" spans="1:8" ht="12.6" customHeight="1" x14ac:dyDescent="0.2">
      <c r="A27" s="76">
        <v>18</v>
      </c>
      <c r="B27" s="80"/>
      <c r="C27" s="54" t="s">
        <v>120</v>
      </c>
      <c r="D27" s="80" t="s">
        <v>61</v>
      </c>
      <c r="E27" s="81">
        <f>485.9+28.8+1.7</f>
        <v>516.4</v>
      </c>
      <c r="F27" s="81">
        <f>311.2+28.3+15+1.7</f>
        <v>356.2</v>
      </c>
      <c r="G27" s="12"/>
      <c r="H27" s="12"/>
    </row>
    <row r="28" spans="1:8" ht="12.6" customHeight="1" x14ac:dyDescent="0.2">
      <c r="A28" s="76">
        <v>19</v>
      </c>
      <c r="B28" s="80"/>
      <c r="C28" s="54" t="s">
        <v>41</v>
      </c>
      <c r="D28" s="80" t="s">
        <v>61</v>
      </c>
      <c r="E28" s="81">
        <f>321.6+19.8</f>
        <v>341.40000000000003</v>
      </c>
      <c r="F28" s="81">
        <f>214+19.4</f>
        <v>233.4</v>
      </c>
      <c r="G28" s="12"/>
      <c r="H28" s="12"/>
    </row>
    <row r="29" spans="1:8" ht="12.6" customHeight="1" x14ac:dyDescent="0.2">
      <c r="A29" s="76">
        <v>20</v>
      </c>
      <c r="B29" s="80"/>
      <c r="C29" s="54" t="s">
        <v>136</v>
      </c>
      <c r="D29" s="80" t="s">
        <v>61</v>
      </c>
      <c r="E29" s="81">
        <f>850.1+52.9+3</f>
        <v>906</v>
      </c>
      <c r="F29" s="81">
        <f>569.7+51.9+2.9</f>
        <v>624.5</v>
      </c>
      <c r="G29" s="12"/>
      <c r="H29" s="12"/>
    </row>
    <row r="30" spans="1:8" ht="12.6" customHeight="1" x14ac:dyDescent="0.2">
      <c r="A30" s="76">
        <v>21</v>
      </c>
      <c r="B30" s="80"/>
      <c r="C30" s="54" t="s">
        <v>146</v>
      </c>
      <c r="D30" s="80" t="s">
        <v>61</v>
      </c>
      <c r="E30" s="81">
        <f>213.7-78.8</f>
        <v>134.89999999999998</v>
      </c>
      <c r="F30" s="81">
        <f>131.1-38.1</f>
        <v>93</v>
      </c>
      <c r="G30" s="12"/>
      <c r="H30" s="12"/>
    </row>
    <row r="31" spans="1:8" ht="12.6" customHeight="1" x14ac:dyDescent="0.2">
      <c r="A31" s="76">
        <v>22</v>
      </c>
      <c r="B31" s="80"/>
      <c r="C31" s="54" t="s">
        <v>42</v>
      </c>
      <c r="D31" s="80" t="s">
        <v>61</v>
      </c>
      <c r="E31" s="81">
        <f>272.4+19.3</f>
        <v>291.7</v>
      </c>
      <c r="F31" s="81">
        <f>207.5+18.9-9</f>
        <v>217.4</v>
      </c>
      <c r="G31" s="12"/>
      <c r="H31" s="12"/>
    </row>
    <row r="32" spans="1:8" ht="51" x14ac:dyDescent="0.2">
      <c r="A32" s="76">
        <v>23</v>
      </c>
      <c r="B32" s="80"/>
      <c r="C32" s="54" t="s">
        <v>111</v>
      </c>
      <c r="D32" s="82" t="s">
        <v>352</v>
      </c>
      <c r="E32" s="81">
        <f>555+31.7</f>
        <v>586.70000000000005</v>
      </c>
      <c r="F32" s="81">
        <f>342.8+31.1+48</f>
        <v>421.90000000000003</v>
      </c>
      <c r="G32" s="12"/>
      <c r="H32" s="12"/>
    </row>
    <row r="33" spans="1:8" ht="12.6" customHeight="1" x14ac:dyDescent="0.2">
      <c r="A33" s="76">
        <v>24</v>
      </c>
      <c r="B33" s="80"/>
      <c r="C33" s="52" t="s">
        <v>358</v>
      </c>
      <c r="D33" s="82" t="s">
        <v>61</v>
      </c>
      <c r="E33" s="81">
        <f>0.3+37.5+0.6</f>
        <v>38.4</v>
      </c>
      <c r="F33" s="81"/>
      <c r="G33" s="12"/>
      <c r="H33" s="12"/>
    </row>
    <row r="34" spans="1:8" ht="12.6" customHeight="1" x14ac:dyDescent="0.2">
      <c r="A34" s="76">
        <v>25</v>
      </c>
      <c r="B34" s="80"/>
      <c r="C34" s="60" t="s">
        <v>54</v>
      </c>
      <c r="D34" s="80" t="s">
        <v>62</v>
      </c>
      <c r="E34" s="81">
        <f>337.5+28.6+7.6</f>
        <v>373.70000000000005</v>
      </c>
      <c r="F34" s="81">
        <f>308.6+28.1+7.5</f>
        <v>344.20000000000005</v>
      </c>
      <c r="G34" s="12"/>
      <c r="H34" s="12"/>
    </row>
    <row r="35" spans="1:8" ht="12.6" customHeight="1" x14ac:dyDescent="0.2">
      <c r="A35" s="233">
        <v>26</v>
      </c>
      <c r="B35" s="80"/>
      <c r="C35" s="60" t="s">
        <v>47</v>
      </c>
      <c r="D35" s="235" t="s">
        <v>62</v>
      </c>
      <c r="E35" s="81">
        <f>+E36+366+32.3-3</f>
        <v>409.3</v>
      </c>
      <c r="F35" s="81">
        <f>347.8+31.6-3</f>
        <v>376.40000000000003</v>
      </c>
      <c r="G35" s="12"/>
      <c r="H35" s="12"/>
    </row>
    <row r="36" spans="1:8" ht="25.5" x14ac:dyDescent="0.2">
      <c r="A36" s="234"/>
      <c r="B36" s="80"/>
      <c r="C36" s="54" t="s">
        <v>655</v>
      </c>
      <c r="D36" s="236"/>
      <c r="E36" s="81">
        <f>11+3</f>
        <v>14</v>
      </c>
      <c r="F36" s="81"/>
      <c r="G36" s="12"/>
      <c r="H36" s="12"/>
    </row>
    <row r="37" spans="1:8" ht="12.6" customHeight="1" x14ac:dyDescent="0.2">
      <c r="A37" s="76">
        <v>27</v>
      </c>
      <c r="B37" s="80"/>
      <c r="C37" s="60" t="s">
        <v>48</v>
      </c>
      <c r="D37" s="80" t="s">
        <v>62</v>
      </c>
      <c r="E37" s="81">
        <f>951.3+84.7</f>
        <v>1036</v>
      </c>
      <c r="F37" s="81">
        <f>913.9+83.1+5.4</f>
        <v>1002.4</v>
      </c>
      <c r="G37" s="12"/>
      <c r="H37" s="12"/>
    </row>
    <row r="38" spans="1:8" ht="38.25" customHeight="1" x14ac:dyDescent="0.2">
      <c r="A38" s="250">
        <v>28</v>
      </c>
      <c r="B38" s="235"/>
      <c r="C38" s="60" t="s">
        <v>133</v>
      </c>
      <c r="D38" s="245" t="s">
        <v>148</v>
      </c>
      <c r="E38" s="81">
        <f>139.6+30.2+10.4+1.7+0.5</f>
        <v>182.39999999999998</v>
      </c>
      <c r="F38" s="81">
        <f>113+10.3+0.5</f>
        <v>123.8</v>
      </c>
      <c r="G38" s="12"/>
      <c r="H38" s="12"/>
    </row>
    <row r="39" spans="1:8" x14ac:dyDescent="0.2">
      <c r="A39" s="251"/>
      <c r="B39" s="236"/>
      <c r="C39" s="86" t="s">
        <v>645</v>
      </c>
      <c r="D39" s="254"/>
      <c r="E39" s="81">
        <v>30.2</v>
      </c>
      <c r="F39" s="81"/>
      <c r="G39" s="12"/>
      <c r="H39" s="12"/>
    </row>
    <row r="40" spans="1:8" ht="12.6" customHeight="1" x14ac:dyDescent="0.2">
      <c r="A40" s="76">
        <v>29</v>
      </c>
      <c r="B40" s="80"/>
      <c r="C40" s="88" t="s">
        <v>15</v>
      </c>
      <c r="D40" s="80" t="s">
        <v>58</v>
      </c>
      <c r="E40" s="81">
        <f>165+12+10</f>
        <v>187</v>
      </c>
      <c r="F40" s="81">
        <f>134.3+11.8</f>
        <v>146.10000000000002</v>
      </c>
      <c r="G40" s="12"/>
      <c r="H40" s="12"/>
    </row>
    <row r="41" spans="1:8" ht="12.6" customHeight="1" x14ac:dyDescent="0.2">
      <c r="A41" s="76">
        <v>30</v>
      </c>
      <c r="B41" s="80"/>
      <c r="C41" s="88" t="s">
        <v>19</v>
      </c>
      <c r="D41" s="80" t="s">
        <v>58</v>
      </c>
      <c r="E41" s="81">
        <f>174.6+0.7+12.6+10</f>
        <v>197.89999999999998</v>
      </c>
      <c r="F41" s="81">
        <f>136+12.4</f>
        <v>148.4</v>
      </c>
      <c r="G41" s="12"/>
      <c r="H41" s="12"/>
    </row>
    <row r="42" spans="1:8" ht="12.6" customHeight="1" x14ac:dyDescent="0.2">
      <c r="A42" s="76">
        <v>31</v>
      </c>
      <c r="B42" s="80"/>
      <c r="C42" s="89" t="s">
        <v>166</v>
      </c>
      <c r="D42" s="80"/>
      <c r="E42" s="90">
        <f>+E43+E47+E44+E45+E46</f>
        <v>1648.2</v>
      </c>
      <c r="F42" s="90">
        <f>+F43+F47+F44+F45+F46</f>
        <v>141</v>
      </c>
      <c r="G42" s="12"/>
      <c r="H42" s="12"/>
    </row>
    <row r="43" spans="1:8" ht="15" customHeight="1" x14ac:dyDescent="0.2">
      <c r="A43" s="91" t="s">
        <v>497</v>
      </c>
      <c r="B43" s="80"/>
      <c r="C43" s="60" t="s">
        <v>3</v>
      </c>
      <c r="D43" s="82" t="s">
        <v>138</v>
      </c>
      <c r="E43" s="90">
        <f>181.7-8.2</f>
        <v>173.5</v>
      </c>
      <c r="F43" s="90">
        <f>149.2-8.2</f>
        <v>141</v>
      </c>
      <c r="G43" s="12"/>
      <c r="H43" s="12"/>
    </row>
    <row r="44" spans="1:8" ht="25.5" x14ac:dyDescent="0.2">
      <c r="A44" s="91" t="s">
        <v>498</v>
      </c>
      <c r="B44" s="80"/>
      <c r="C44" s="54" t="s">
        <v>596</v>
      </c>
      <c r="D44" s="82" t="s">
        <v>154</v>
      </c>
      <c r="E44" s="90">
        <v>95</v>
      </c>
      <c r="F44" s="81"/>
      <c r="G44" s="12"/>
      <c r="H44" s="12"/>
    </row>
    <row r="45" spans="1:8" ht="25.5" x14ac:dyDescent="0.2">
      <c r="A45" s="91" t="s">
        <v>499</v>
      </c>
      <c r="B45" s="80"/>
      <c r="C45" s="86" t="s">
        <v>281</v>
      </c>
      <c r="D45" s="80" t="s">
        <v>63</v>
      </c>
      <c r="E45" s="90">
        <v>50</v>
      </c>
      <c r="F45" s="81"/>
      <c r="G45" s="12"/>
      <c r="H45" s="12"/>
    </row>
    <row r="46" spans="1:8" ht="12.6" customHeight="1" x14ac:dyDescent="0.2">
      <c r="A46" s="91" t="s">
        <v>500</v>
      </c>
      <c r="B46" s="80"/>
      <c r="C46" s="86" t="s">
        <v>167</v>
      </c>
      <c r="D46" s="80" t="s">
        <v>64</v>
      </c>
      <c r="E46" s="90">
        <f>17-8</f>
        <v>9</v>
      </c>
      <c r="F46" s="81"/>
      <c r="G46" s="12"/>
      <c r="H46" s="12"/>
    </row>
    <row r="47" spans="1:8" ht="39" customHeight="1" x14ac:dyDescent="0.2">
      <c r="A47" s="91" t="s">
        <v>501</v>
      </c>
      <c r="B47" s="80"/>
      <c r="C47" s="92" t="s">
        <v>452</v>
      </c>
      <c r="D47" s="80"/>
      <c r="E47" s="93">
        <f>SUM(E48:E61)</f>
        <v>1320.7</v>
      </c>
      <c r="F47" s="93">
        <f>SUM(F48:F61)</f>
        <v>0</v>
      </c>
      <c r="G47" s="12"/>
      <c r="H47" s="12"/>
    </row>
    <row r="48" spans="1:8" ht="25.5" x14ac:dyDescent="0.2">
      <c r="A48" s="91" t="s">
        <v>502</v>
      </c>
      <c r="B48" s="80"/>
      <c r="C48" s="94" t="s">
        <v>149</v>
      </c>
      <c r="D48" s="80" t="s">
        <v>61</v>
      </c>
      <c r="E48" s="90">
        <f>89+82</f>
        <v>171</v>
      </c>
      <c r="F48" s="81"/>
      <c r="G48" s="12"/>
      <c r="H48" s="12"/>
    </row>
    <row r="49" spans="1:8" ht="15.75" customHeight="1" x14ac:dyDescent="0.2">
      <c r="A49" s="91" t="s">
        <v>503</v>
      </c>
      <c r="B49" s="80"/>
      <c r="C49" s="95" t="s">
        <v>463</v>
      </c>
      <c r="D49" s="82" t="s">
        <v>154</v>
      </c>
      <c r="E49" s="90">
        <f>30-20</f>
        <v>10</v>
      </c>
      <c r="F49" s="81"/>
      <c r="G49" s="12"/>
      <c r="H49" s="12"/>
    </row>
    <row r="50" spans="1:8" ht="25.5" x14ac:dyDescent="0.2">
      <c r="A50" s="91" t="s">
        <v>504</v>
      </c>
      <c r="B50" s="80"/>
      <c r="C50" s="96" t="s">
        <v>362</v>
      </c>
      <c r="D50" s="80" t="s">
        <v>61</v>
      </c>
      <c r="E50" s="90">
        <f>20</f>
        <v>20</v>
      </c>
      <c r="F50" s="81"/>
      <c r="G50" s="12"/>
      <c r="H50" s="12"/>
    </row>
    <row r="51" spans="1:8" ht="25.5" x14ac:dyDescent="0.2">
      <c r="A51" s="91" t="s">
        <v>505</v>
      </c>
      <c r="B51" s="80"/>
      <c r="C51" s="86" t="s">
        <v>460</v>
      </c>
      <c r="D51" s="80" t="s">
        <v>60</v>
      </c>
      <c r="E51" s="90">
        <v>15.7</v>
      </c>
      <c r="F51" s="81"/>
      <c r="G51" s="12"/>
      <c r="H51" s="12"/>
    </row>
    <row r="52" spans="1:8" ht="25.5" x14ac:dyDescent="0.2">
      <c r="A52" s="91" t="s">
        <v>506</v>
      </c>
      <c r="B52" s="80"/>
      <c r="C52" s="97" t="s">
        <v>283</v>
      </c>
      <c r="D52" s="82" t="s">
        <v>154</v>
      </c>
      <c r="E52" s="90">
        <f>50+13</f>
        <v>63</v>
      </c>
      <c r="F52" s="81"/>
      <c r="G52" s="12"/>
      <c r="H52" s="12"/>
    </row>
    <row r="53" spans="1:8" ht="25.5" x14ac:dyDescent="0.2">
      <c r="A53" s="91" t="s">
        <v>507</v>
      </c>
      <c r="B53" s="98"/>
      <c r="C53" s="94" t="s">
        <v>284</v>
      </c>
      <c r="D53" s="82" t="s">
        <v>154</v>
      </c>
      <c r="E53" s="20">
        <v>30</v>
      </c>
      <c r="F53" s="20"/>
      <c r="G53" s="12"/>
      <c r="H53" s="12"/>
    </row>
    <row r="54" spans="1:8" ht="25.5" x14ac:dyDescent="0.2">
      <c r="A54" s="91" t="s">
        <v>508</v>
      </c>
      <c r="B54" s="80"/>
      <c r="C54" s="86" t="s">
        <v>599</v>
      </c>
      <c r="D54" s="82" t="s">
        <v>154</v>
      </c>
      <c r="E54" s="90">
        <f>20-15</f>
        <v>5</v>
      </c>
      <c r="F54" s="81"/>
      <c r="G54" s="12"/>
      <c r="H54" s="12"/>
    </row>
    <row r="55" spans="1:8" ht="25.5" x14ac:dyDescent="0.2">
      <c r="A55" s="91" t="s">
        <v>509</v>
      </c>
      <c r="B55" s="80"/>
      <c r="C55" s="86" t="s">
        <v>464</v>
      </c>
      <c r="D55" s="82" t="s">
        <v>32</v>
      </c>
      <c r="E55" s="90">
        <f>30-20</f>
        <v>10</v>
      </c>
      <c r="F55" s="81"/>
      <c r="G55" s="12"/>
      <c r="H55" s="12"/>
    </row>
    <row r="56" spans="1:8" ht="25.5" x14ac:dyDescent="0.2">
      <c r="A56" s="91" t="s">
        <v>510</v>
      </c>
      <c r="B56" s="80"/>
      <c r="C56" s="86" t="s">
        <v>436</v>
      </c>
      <c r="D56" s="80" t="s">
        <v>58</v>
      </c>
      <c r="E56" s="90">
        <v>1</v>
      </c>
      <c r="F56" s="81"/>
      <c r="G56" s="12"/>
      <c r="H56" s="12"/>
    </row>
    <row r="57" spans="1:8" ht="31.5" customHeight="1" x14ac:dyDescent="0.2">
      <c r="A57" s="91" t="s">
        <v>511</v>
      </c>
      <c r="B57" s="80"/>
      <c r="C57" s="86" t="s">
        <v>660</v>
      </c>
      <c r="D57" s="82" t="s">
        <v>154</v>
      </c>
      <c r="E57" s="90">
        <v>18</v>
      </c>
      <c r="F57" s="81"/>
      <c r="G57" s="12"/>
      <c r="H57" s="12"/>
    </row>
    <row r="58" spans="1:8" x14ac:dyDescent="0.2">
      <c r="A58" s="91" t="s">
        <v>598</v>
      </c>
      <c r="B58" s="80"/>
      <c r="C58" s="86" t="s">
        <v>635</v>
      </c>
      <c r="D58" s="82" t="s">
        <v>154</v>
      </c>
      <c r="E58" s="90">
        <v>50</v>
      </c>
      <c r="F58" s="81"/>
      <c r="G58" s="12"/>
      <c r="H58" s="12"/>
    </row>
    <row r="59" spans="1:8" ht="31.5" customHeight="1" x14ac:dyDescent="0.2">
      <c r="A59" s="91" t="s">
        <v>646</v>
      </c>
      <c r="B59" s="80"/>
      <c r="C59" s="95" t="s">
        <v>636</v>
      </c>
      <c r="D59" s="80" t="s">
        <v>62</v>
      </c>
      <c r="E59" s="90">
        <f>5+2</f>
        <v>7</v>
      </c>
      <c r="F59" s="81"/>
      <c r="G59" s="12"/>
      <c r="H59" s="12"/>
    </row>
    <row r="60" spans="1:8" ht="39" customHeight="1" x14ac:dyDescent="0.2">
      <c r="A60" s="91" t="s">
        <v>811</v>
      </c>
      <c r="B60" s="80"/>
      <c r="C60" s="95" t="s">
        <v>461</v>
      </c>
      <c r="D60" s="80" t="s">
        <v>58</v>
      </c>
      <c r="E60" s="90">
        <f>50+170+100</f>
        <v>320</v>
      </c>
      <c r="F60" s="81"/>
      <c r="G60" s="12"/>
      <c r="H60" s="12"/>
    </row>
    <row r="61" spans="1:8" ht="38.25" x14ac:dyDescent="0.2">
      <c r="A61" s="91" t="s">
        <v>829</v>
      </c>
      <c r="B61" s="80"/>
      <c r="C61" s="95" t="s">
        <v>462</v>
      </c>
      <c r="D61" s="80" t="s">
        <v>58</v>
      </c>
      <c r="E61" s="90">
        <f>150+300+150</f>
        <v>600</v>
      </c>
      <c r="F61" s="81"/>
      <c r="G61" s="12"/>
      <c r="H61" s="12"/>
    </row>
    <row r="62" spans="1:8" ht="20.100000000000001" customHeight="1" x14ac:dyDescent="0.2">
      <c r="A62" s="76">
        <v>32</v>
      </c>
      <c r="B62" s="75" t="s">
        <v>65</v>
      </c>
      <c r="C62" s="99" t="s">
        <v>66</v>
      </c>
      <c r="D62" s="73"/>
      <c r="E62" s="63">
        <f>+E63+E65</f>
        <v>911.2</v>
      </c>
      <c r="F62" s="63">
        <f>+F63+F65</f>
        <v>82</v>
      </c>
      <c r="G62" s="12"/>
      <c r="H62" s="12"/>
    </row>
    <row r="63" spans="1:8" ht="25.5" x14ac:dyDescent="0.2">
      <c r="A63" s="233">
        <v>33</v>
      </c>
      <c r="B63" s="75"/>
      <c r="C63" s="54" t="s">
        <v>168</v>
      </c>
      <c r="D63" s="245" t="s">
        <v>169</v>
      </c>
      <c r="E63" s="81">
        <f>+E64+81.6-3.7+7.3</f>
        <v>101.19999999999999</v>
      </c>
      <c r="F63" s="81">
        <f>78.5-3.7+7.2</f>
        <v>82</v>
      </c>
      <c r="G63" s="12"/>
      <c r="H63" s="12"/>
    </row>
    <row r="64" spans="1:8" ht="25.5" x14ac:dyDescent="0.2">
      <c r="A64" s="237"/>
      <c r="B64" s="75"/>
      <c r="C64" s="100" t="s">
        <v>424</v>
      </c>
      <c r="D64" s="246"/>
      <c r="E64" s="81">
        <v>16</v>
      </c>
      <c r="F64" s="81"/>
      <c r="G64" s="12"/>
      <c r="H64" s="12"/>
    </row>
    <row r="65" spans="1:8" ht="12.6" customHeight="1" x14ac:dyDescent="0.2">
      <c r="A65" s="76">
        <v>34</v>
      </c>
      <c r="B65" s="80"/>
      <c r="C65" s="89" t="s">
        <v>166</v>
      </c>
      <c r="D65" s="82"/>
      <c r="E65" s="81">
        <f>SUM(E66:E84)+E85</f>
        <v>810</v>
      </c>
      <c r="F65" s="81">
        <f>SUM(F66:F84)</f>
        <v>0</v>
      </c>
      <c r="G65" s="12"/>
      <c r="H65" s="12"/>
    </row>
    <row r="66" spans="1:8" ht="12.6" customHeight="1" x14ac:dyDescent="0.2">
      <c r="A66" s="91" t="s">
        <v>512</v>
      </c>
      <c r="B66" s="80"/>
      <c r="C66" s="60" t="s">
        <v>3</v>
      </c>
      <c r="D66" s="80" t="s">
        <v>109</v>
      </c>
      <c r="E66" s="81">
        <v>3</v>
      </c>
      <c r="F66" s="81"/>
      <c r="G66" s="12"/>
      <c r="H66" s="12"/>
    </row>
    <row r="67" spans="1:8" ht="42" customHeight="1" x14ac:dyDescent="0.2">
      <c r="A67" s="91" t="s">
        <v>513</v>
      </c>
      <c r="B67" s="80"/>
      <c r="C67" s="101" t="s">
        <v>363</v>
      </c>
      <c r="D67" s="82" t="s">
        <v>67</v>
      </c>
      <c r="E67" s="81">
        <v>20</v>
      </c>
      <c r="F67" s="81"/>
      <c r="G67" s="12"/>
      <c r="H67" s="12"/>
    </row>
    <row r="68" spans="1:8" ht="30" customHeight="1" x14ac:dyDescent="0.2">
      <c r="A68" s="91" t="s">
        <v>514</v>
      </c>
      <c r="B68" s="80"/>
      <c r="C68" s="102" t="s">
        <v>465</v>
      </c>
      <c r="D68" s="82" t="s">
        <v>68</v>
      </c>
      <c r="E68" s="81">
        <v>1.8</v>
      </c>
      <c r="F68" s="81"/>
      <c r="G68" s="12"/>
      <c r="H68" s="12"/>
    </row>
    <row r="69" spans="1:8" ht="38.25" x14ac:dyDescent="0.2">
      <c r="A69" s="91" t="s">
        <v>515</v>
      </c>
      <c r="B69" s="80"/>
      <c r="C69" s="101" t="s">
        <v>466</v>
      </c>
      <c r="D69" s="82" t="s">
        <v>127</v>
      </c>
      <c r="E69" s="81">
        <f>65+10</f>
        <v>75</v>
      </c>
      <c r="F69" s="81"/>
      <c r="G69" s="12"/>
      <c r="H69" s="12"/>
    </row>
    <row r="70" spans="1:8" ht="45" customHeight="1" x14ac:dyDescent="0.2">
      <c r="A70" s="91" t="s">
        <v>516</v>
      </c>
      <c r="B70" s="80"/>
      <c r="C70" s="101" t="s">
        <v>170</v>
      </c>
      <c r="D70" s="82" t="s">
        <v>177</v>
      </c>
      <c r="E70" s="81">
        <v>7</v>
      </c>
      <c r="F70" s="81"/>
      <c r="G70" s="12"/>
      <c r="H70" s="12"/>
    </row>
    <row r="71" spans="1:8" ht="25.5" x14ac:dyDescent="0.2">
      <c r="A71" s="91" t="s">
        <v>517</v>
      </c>
      <c r="B71" s="80"/>
      <c r="C71" s="101" t="s">
        <v>199</v>
      </c>
      <c r="D71" s="82" t="s">
        <v>68</v>
      </c>
      <c r="E71" s="81">
        <v>21.1</v>
      </c>
      <c r="F71" s="81"/>
      <c r="G71" s="12"/>
      <c r="H71" s="12"/>
    </row>
    <row r="72" spans="1:8" ht="25.5" x14ac:dyDescent="0.2">
      <c r="A72" s="91" t="s">
        <v>518</v>
      </c>
      <c r="B72" s="80"/>
      <c r="C72" s="101" t="s">
        <v>271</v>
      </c>
      <c r="D72" s="82" t="s">
        <v>68</v>
      </c>
      <c r="E72" s="81">
        <v>19.100000000000001</v>
      </c>
      <c r="F72" s="81"/>
      <c r="G72" s="12"/>
      <c r="H72" s="12"/>
    </row>
    <row r="73" spans="1:8" ht="27.6" customHeight="1" x14ac:dyDescent="0.2">
      <c r="A73" s="91" t="s">
        <v>519</v>
      </c>
      <c r="B73" s="80"/>
      <c r="C73" s="102" t="s">
        <v>364</v>
      </c>
      <c r="D73" s="82" t="s">
        <v>177</v>
      </c>
      <c r="E73" s="81">
        <f>25.9+50</f>
        <v>75.900000000000006</v>
      </c>
      <c r="F73" s="81"/>
      <c r="G73" s="12"/>
      <c r="H73" s="12"/>
    </row>
    <row r="74" spans="1:8" ht="27.6" customHeight="1" x14ac:dyDescent="0.2">
      <c r="A74" s="91" t="s">
        <v>520</v>
      </c>
      <c r="B74" s="80"/>
      <c r="C74" s="102" t="s">
        <v>365</v>
      </c>
      <c r="D74" s="82" t="s">
        <v>177</v>
      </c>
      <c r="E74" s="81">
        <v>28.5</v>
      </c>
      <c r="F74" s="81"/>
      <c r="G74" s="12"/>
      <c r="H74" s="12"/>
    </row>
    <row r="75" spans="1:8" ht="25.5" x14ac:dyDescent="0.2">
      <c r="A75" s="91" t="s">
        <v>521</v>
      </c>
      <c r="B75" s="80"/>
      <c r="C75" s="102" t="s">
        <v>467</v>
      </c>
      <c r="D75" s="82" t="s">
        <v>195</v>
      </c>
      <c r="E75" s="81">
        <v>4.8</v>
      </c>
      <c r="F75" s="81"/>
      <c r="G75" s="12"/>
      <c r="H75" s="12"/>
    </row>
    <row r="76" spans="1:8" ht="25.5" x14ac:dyDescent="0.2">
      <c r="A76" s="91" t="s">
        <v>522</v>
      </c>
      <c r="B76" s="80"/>
      <c r="C76" s="102" t="s">
        <v>575</v>
      </c>
      <c r="D76" s="82" t="s">
        <v>177</v>
      </c>
      <c r="E76" s="81">
        <v>122.1</v>
      </c>
      <c r="F76" s="81"/>
      <c r="G76" s="12"/>
      <c r="H76" s="12"/>
    </row>
    <row r="77" spans="1:8" ht="38.25" x14ac:dyDescent="0.2">
      <c r="A77" s="91" t="s">
        <v>523</v>
      </c>
      <c r="B77" s="80"/>
      <c r="C77" s="101" t="s">
        <v>468</v>
      </c>
      <c r="D77" s="82" t="s">
        <v>67</v>
      </c>
      <c r="E77" s="81">
        <v>15</v>
      </c>
      <c r="F77" s="81"/>
      <c r="G77" s="12"/>
      <c r="H77" s="12"/>
    </row>
    <row r="78" spans="1:8" ht="25.5" x14ac:dyDescent="0.2">
      <c r="A78" s="91" t="s">
        <v>524</v>
      </c>
      <c r="B78" s="80"/>
      <c r="C78" s="101" t="s">
        <v>663</v>
      </c>
      <c r="D78" s="82" t="s">
        <v>69</v>
      </c>
      <c r="E78" s="81">
        <v>3</v>
      </c>
      <c r="F78" s="81"/>
      <c r="G78" s="12"/>
      <c r="H78" s="12"/>
    </row>
    <row r="79" spans="1:8" ht="25.5" x14ac:dyDescent="0.2">
      <c r="A79" s="91" t="s">
        <v>525</v>
      </c>
      <c r="B79" s="80"/>
      <c r="C79" s="101" t="s">
        <v>835</v>
      </c>
      <c r="D79" s="103" t="s">
        <v>109</v>
      </c>
      <c r="E79" s="81">
        <f>120-50</f>
        <v>70</v>
      </c>
      <c r="F79" s="81"/>
      <c r="G79" s="12"/>
      <c r="H79" s="12"/>
    </row>
    <row r="80" spans="1:8" ht="38.25" x14ac:dyDescent="0.2">
      <c r="A80" s="91" t="s">
        <v>667</v>
      </c>
      <c r="B80" s="80"/>
      <c r="C80" s="101" t="s">
        <v>729</v>
      </c>
      <c r="D80" s="103" t="s">
        <v>109</v>
      </c>
      <c r="E80" s="81">
        <f>105.1-56.1</f>
        <v>48.999999999999993</v>
      </c>
      <c r="F80" s="81"/>
      <c r="G80" s="12"/>
      <c r="H80" s="12"/>
    </row>
    <row r="81" spans="1:10" ht="25.5" x14ac:dyDescent="0.2">
      <c r="A81" s="91" t="s">
        <v>668</v>
      </c>
      <c r="B81" s="80"/>
      <c r="C81" s="101" t="s">
        <v>664</v>
      </c>
      <c r="D81" s="103" t="s">
        <v>68</v>
      </c>
      <c r="E81" s="81">
        <v>53.3</v>
      </c>
      <c r="F81" s="81"/>
      <c r="G81" s="12"/>
      <c r="H81" s="12"/>
    </row>
    <row r="82" spans="1:10" ht="38.25" x14ac:dyDescent="0.2">
      <c r="A82" s="91" t="s">
        <v>669</v>
      </c>
      <c r="B82" s="80"/>
      <c r="C82" s="101" t="s">
        <v>665</v>
      </c>
      <c r="D82" s="103" t="s">
        <v>109</v>
      </c>
      <c r="E82" s="81">
        <v>50.7</v>
      </c>
      <c r="F82" s="81"/>
      <c r="G82" s="12"/>
      <c r="H82" s="12"/>
    </row>
    <row r="83" spans="1:10" ht="38.25" x14ac:dyDescent="0.2">
      <c r="A83" s="91" t="s">
        <v>670</v>
      </c>
      <c r="B83" s="80"/>
      <c r="C83" s="101" t="s">
        <v>666</v>
      </c>
      <c r="D83" s="103" t="s">
        <v>109</v>
      </c>
      <c r="E83" s="81">
        <v>37.700000000000003</v>
      </c>
      <c r="F83" s="81"/>
      <c r="G83" s="12"/>
      <c r="H83" s="12"/>
    </row>
    <row r="84" spans="1:10" ht="29.25" customHeight="1" x14ac:dyDescent="0.2">
      <c r="A84" s="91" t="s">
        <v>671</v>
      </c>
      <c r="B84" s="80"/>
      <c r="C84" s="104" t="s">
        <v>270</v>
      </c>
      <c r="D84" s="87" t="s">
        <v>69</v>
      </c>
      <c r="E84" s="105">
        <f>132.4+16.6</f>
        <v>149</v>
      </c>
      <c r="F84" s="105"/>
      <c r="G84" s="12"/>
      <c r="H84" s="12"/>
    </row>
    <row r="85" spans="1:10" ht="38.450000000000003" customHeight="1" x14ac:dyDescent="0.2">
      <c r="A85" s="91" t="s">
        <v>672</v>
      </c>
      <c r="B85" s="80"/>
      <c r="C85" s="92" t="s">
        <v>452</v>
      </c>
      <c r="D85" s="82"/>
      <c r="E85" s="93">
        <f>+E86+E87</f>
        <v>4</v>
      </c>
      <c r="F85" s="93">
        <f>+F86+F87</f>
        <v>0</v>
      </c>
      <c r="G85" s="12"/>
      <c r="H85" s="12"/>
    </row>
    <row r="86" spans="1:10" ht="25.5" x14ac:dyDescent="0.2">
      <c r="A86" s="91" t="s">
        <v>673</v>
      </c>
      <c r="B86" s="80"/>
      <c r="C86" s="101" t="s">
        <v>179</v>
      </c>
      <c r="D86" s="82" t="s">
        <v>127</v>
      </c>
      <c r="E86" s="81">
        <v>0.6</v>
      </c>
      <c r="F86" s="81"/>
      <c r="G86" s="12"/>
      <c r="H86" s="12"/>
    </row>
    <row r="87" spans="1:10" ht="25.5" x14ac:dyDescent="0.2">
      <c r="A87" s="91" t="s">
        <v>674</v>
      </c>
      <c r="B87" s="80"/>
      <c r="C87" s="95" t="s">
        <v>171</v>
      </c>
      <c r="D87" s="82" t="s">
        <v>68</v>
      </c>
      <c r="E87" s="81">
        <v>3.4</v>
      </c>
      <c r="F87" s="81"/>
      <c r="G87" s="12"/>
      <c r="H87" s="12"/>
    </row>
    <row r="88" spans="1:10" ht="21.75" customHeight="1" x14ac:dyDescent="0.2">
      <c r="A88" s="76">
        <v>35</v>
      </c>
      <c r="B88" s="75" t="s">
        <v>21</v>
      </c>
      <c r="C88" s="99" t="s">
        <v>22</v>
      </c>
      <c r="D88" s="73"/>
      <c r="E88" s="63">
        <f>+E89+E91+E92+E93+E94+E95+E116+E118+E120+E121+E123+E125+E126+E128+E130+E132+E134</f>
        <v>12629.5</v>
      </c>
      <c r="F88" s="63">
        <f>+F89+F91+F92+F93+F94+F95+F116+F118+F120+F121+F123+F125+F126+F128+F130+F132+F134</f>
        <v>3589.9999999999995</v>
      </c>
      <c r="G88" s="12"/>
      <c r="H88" s="12"/>
    </row>
    <row r="89" spans="1:10" ht="12.6" customHeight="1" x14ac:dyDescent="0.2">
      <c r="A89" s="247">
        <v>36</v>
      </c>
      <c r="B89" s="248"/>
      <c r="C89" s="60" t="s">
        <v>1</v>
      </c>
      <c r="D89" s="249" t="s">
        <v>70</v>
      </c>
      <c r="E89" s="81">
        <f>1378.8-60.9+99.9+14</f>
        <v>1431.8</v>
      </c>
      <c r="F89" s="81">
        <f>1078-60+98</f>
        <v>1116</v>
      </c>
      <c r="G89" s="12"/>
      <c r="H89" s="12"/>
    </row>
    <row r="90" spans="1:10" ht="12.6" customHeight="1" x14ac:dyDescent="0.2">
      <c r="A90" s="247"/>
      <c r="B90" s="248"/>
      <c r="C90" s="106" t="s">
        <v>453</v>
      </c>
      <c r="D90" s="249"/>
      <c r="E90" s="81">
        <f>201.9+12.4+14</f>
        <v>228.3</v>
      </c>
      <c r="F90" s="81"/>
      <c r="G90" s="12"/>
      <c r="H90" s="12"/>
      <c r="J90" s="27"/>
    </row>
    <row r="91" spans="1:10" ht="12.6" customHeight="1" x14ac:dyDescent="0.2">
      <c r="A91" s="76">
        <v>37</v>
      </c>
      <c r="B91" s="80"/>
      <c r="C91" s="107" t="s">
        <v>2</v>
      </c>
      <c r="D91" s="108" t="s">
        <v>71</v>
      </c>
      <c r="E91" s="81">
        <f>335.7-7+20.1+6.4</f>
        <v>355.2</v>
      </c>
      <c r="F91" s="81">
        <f>216.2-6.9+19.7+6.3</f>
        <v>235.29999999999998</v>
      </c>
      <c r="G91" s="12"/>
      <c r="H91" s="12"/>
    </row>
    <row r="92" spans="1:10" ht="12.6" customHeight="1" x14ac:dyDescent="0.2">
      <c r="A92" s="76">
        <v>38</v>
      </c>
      <c r="B92" s="80"/>
      <c r="C92" s="88" t="s">
        <v>15</v>
      </c>
      <c r="D92" s="82" t="s">
        <v>103</v>
      </c>
      <c r="E92" s="81">
        <f>352.1-12.7+28+18+3.9</f>
        <v>389.3</v>
      </c>
      <c r="F92" s="20">
        <f>296.6-12.5+27.4+3.9</f>
        <v>315.39999999999998</v>
      </c>
      <c r="G92" s="12"/>
      <c r="H92" s="12"/>
    </row>
    <row r="93" spans="1:10" ht="12.6" customHeight="1" x14ac:dyDescent="0.2">
      <c r="A93" s="76">
        <v>39</v>
      </c>
      <c r="B93" s="80"/>
      <c r="C93" s="88" t="s">
        <v>19</v>
      </c>
      <c r="D93" s="109" t="s">
        <v>71</v>
      </c>
      <c r="E93" s="81">
        <f>395.5+2.4-9.5+29.6+17</f>
        <v>435</v>
      </c>
      <c r="F93" s="81">
        <f>318.9-9.4+29.2</f>
        <v>338.7</v>
      </c>
      <c r="G93" s="12"/>
      <c r="H93" s="12"/>
    </row>
    <row r="94" spans="1:10" ht="12.6" customHeight="1" x14ac:dyDescent="0.2">
      <c r="A94" s="76">
        <v>40</v>
      </c>
      <c r="B94" s="80"/>
      <c r="C94" s="60" t="s">
        <v>147</v>
      </c>
      <c r="D94" s="108" t="s">
        <v>23</v>
      </c>
      <c r="E94" s="81">
        <f>1498.1-57.1+100.5</f>
        <v>1541.5</v>
      </c>
      <c r="F94" s="81">
        <f>1084.8-56.3+98.6</f>
        <v>1127.0999999999999</v>
      </c>
      <c r="G94" s="12"/>
      <c r="H94" s="12"/>
    </row>
    <row r="95" spans="1:10" ht="12" customHeight="1" x14ac:dyDescent="0.2">
      <c r="A95" s="76">
        <v>41</v>
      </c>
      <c r="B95" s="80"/>
      <c r="C95" s="89" t="s">
        <v>166</v>
      </c>
      <c r="D95" s="80"/>
      <c r="E95" s="90">
        <f>+E97+E98+E99+E100+E101+E102+E103+E104+E105+E106+E107+E108+E109+E111+E96+E110</f>
        <v>3093.8999999999996</v>
      </c>
      <c r="F95" s="90">
        <f>+F97+F98+F99+F100+F101+F102+F103+F104+F105+F106+F107+F108+F109+F111+F96</f>
        <v>82</v>
      </c>
      <c r="G95" s="12"/>
      <c r="H95" s="12"/>
    </row>
    <row r="96" spans="1:10" ht="63.75" x14ac:dyDescent="0.2">
      <c r="A96" s="91" t="s">
        <v>526</v>
      </c>
      <c r="B96" s="80"/>
      <c r="C96" s="89" t="s">
        <v>3</v>
      </c>
      <c r="D96" s="109" t="s">
        <v>439</v>
      </c>
      <c r="E96" s="81">
        <f>1467.9+5+9.3+107.5-(569.5+5+164)</f>
        <v>851.2</v>
      </c>
      <c r="F96" s="81">
        <f>68.8+9.2+4</f>
        <v>82</v>
      </c>
      <c r="G96" s="12"/>
      <c r="H96" s="12"/>
    </row>
    <row r="97" spans="1:8" ht="27.6" customHeight="1" x14ac:dyDescent="0.2">
      <c r="A97" s="91" t="s">
        <v>527</v>
      </c>
      <c r="B97" s="80"/>
      <c r="C97" s="96" t="s">
        <v>366</v>
      </c>
      <c r="D97" s="110" t="s">
        <v>72</v>
      </c>
      <c r="E97" s="81">
        <f>75+19</f>
        <v>94</v>
      </c>
      <c r="F97" s="81"/>
      <c r="G97" s="12"/>
      <c r="H97" s="12"/>
    </row>
    <row r="98" spans="1:8" ht="26.25" customHeight="1" x14ac:dyDescent="0.2">
      <c r="A98" s="91" t="s">
        <v>528</v>
      </c>
      <c r="B98" s="80"/>
      <c r="C98" s="101" t="s">
        <v>367</v>
      </c>
      <c r="D98" s="110" t="s">
        <v>72</v>
      </c>
      <c r="E98" s="81">
        <v>240</v>
      </c>
      <c r="F98" s="81"/>
      <c r="G98" s="12"/>
      <c r="H98" s="12"/>
    </row>
    <row r="99" spans="1:8" ht="28.5" customHeight="1" x14ac:dyDescent="0.2">
      <c r="A99" s="91" t="s">
        <v>529</v>
      </c>
      <c r="B99" s="80"/>
      <c r="C99" s="94" t="s">
        <v>368</v>
      </c>
      <c r="D99" s="80" t="s">
        <v>107</v>
      </c>
      <c r="E99" s="20">
        <v>58.5</v>
      </c>
      <c r="F99" s="20"/>
      <c r="G99" s="12"/>
      <c r="H99" s="12"/>
    </row>
    <row r="100" spans="1:8" ht="12.6" customHeight="1" x14ac:dyDescent="0.2">
      <c r="A100" s="91" t="s">
        <v>530</v>
      </c>
      <c r="B100" s="80"/>
      <c r="C100" s="94" t="s">
        <v>369</v>
      </c>
      <c r="D100" s="108" t="s">
        <v>73</v>
      </c>
      <c r="E100" s="81">
        <f>153.5-54</f>
        <v>99.5</v>
      </c>
      <c r="F100" s="81"/>
      <c r="G100" s="12"/>
      <c r="H100" s="12"/>
    </row>
    <row r="101" spans="1:8" ht="26.25" customHeight="1" x14ac:dyDescent="0.2">
      <c r="A101" s="91" t="s">
        <v>531</v>
      </c>
      <c r="B101" s="80"/>
      <c r="C101" s="94" t="s">
        <v>370</v>
      </c>
      <c r="D101" s="110" t="s">
        <v>73</v>
      </c>
      <c r="E101" s="81">
        <f>170-9.3</f>
        <v>160.69999999999999</v>
      </c>
      <c r="F101" s="81"/>
      <c r="G101" s="12"/>
      <c r="H101" s="12"/>
    </row>
    <row r="102" spans="1:8" ht="39" customHeight="1" x14ac:dyDescent="0.2">
      <c r="A102" s="91" t="s">
        <v>532</v>
      </c>
      <c r="B102" s="80"/>
      <c r="C102" s="94" t="s">
        <v>371</v>
      </c>
      <c r="D102" s="110" t="s">
        <v>74</v>
      </c>
      <c r="E102" s="20">
        <f>807-99.8+70+92</f>
        <v>869.2</v>
      </c>
      <c r="F102" s="20"/>
      <c r="G102" s="12"/>
      <c r="H102" s="12"/>
    </row>
    <row r="103" spans="1:8" ht="38.25" x14ac:dyDescent="0.2">
      <c r="A103" s="91" t="s">
        <v>533</v>
      </c>
      <c r="B103" s="80"/>
      <c r="C103" s="94" t="s">
        <v>657</v>
      </c>
      <c r="D103" s="80" t="s">
        <v>75</v>
      </c>
      <c r="E103" s="20">
        <v>90</v>
      </c>
      <c r="F103" s="20"/>
      <c r="G103" s="12"/>
      <c r="H103" s="12"/>
    </row>
    <row r="104" spans="1:8" ht="25.5" x14ac:dyDescent="0.2">
      <c r="A104" s="91" t="s">
        <v>534</v>
      </c>
      <c r="B104" s="80"/>
      <c r="C104" s="94" t="s">
        <v>470</v>
      </c>
      <c r="D104" s="80" t="s">
        <v>573</v>
      </c>
      <c r="E104" s="20">
        <v>15</v>
      </c>
      <c r="F104" s="20"/>
      <c r="G104" s="12"/>
      <c r="H104" s="12"/>
    </row>
    <row r="105" spans="1:8" ht="25.5" x14ac:dyDescent="0.2">
      <c r="A105" s="91" t="s">
        <v>535</v>
      </c>
      <c r="B105" s="80"/>
      <c r="C105" s="94" t="s">
        <v>471</v>
      </c>
      <c r="D105" s="80" t="s">
        <v>573</v>
      </c>
      <c r="E105" s="20">
        <v>10</v>
      </c>
      <c r="F105" s="20"/>
      <c r="G105" s="12"/>
      <c r="H105" s="12"/>
    </row>
    <row r="106" spans="1:8" x14ac:dyDescent="0.2">
      <c r="A106" s="91" t="s">
        <v>536</v>
      </c>
      <c r="B106" s="80"/>
      <c r="C106" s="94" t="s">
        <v>185</v>
      </c>
      <c r="D106" s="108" t="s">
        <v>23</v>
      </c>
      <c r="E106" s="20">
        <v>117.1</v>
      </c>
      <c r="F106" s="20"/>
      <c r="G106" s="12"/>
      <c r="H106" s="12"/>
    </row>
    <row r="107" spans="1:8" ht="25.5" x14ac:dyDescent="0.2">
      <c r="A107" s="91" t="s">
        <v>537</v>
      </c>
      <c r="B107" s="80"/>
      <c r="C107" s="94" t="s">
        <v>282</v>
      </c>
      <c r="D107" s="108" t="s">
        <v>23</v>
      </c>
      <c r="E107" s="20">
        <v>30</v>
      </c>
      <c r="F107" s="20"/>
      <c r="G107" s="12"/>
      <c r="H107" s="12"/>
    </row>
    <row r="108" spans="1:8" ht="25.5" x14ac:dyDescent="0.2">
      <c r="A108" s="91" t="s">
        <v>538</v>
      </c>
      <c r="B108" s="80"/>
      <c r="C108" s="94" t="s">
        <v>469</v>
      </c>
      <c r="D108" s="108" t="s">
        <v>31</v>
      </c>
      <c r="E108" s="20">
        <v>18.399999999999999</v>
      </c>
      <c r="F108" s="20"/>
      <c r="G108" s="12"/>
      <c r="H108" s="12"/>
    </row>
    <row r="109" spans="1:8" ht="38.25" x14ac:dyDescent="0.2">
      <c r="A109" s="91" t="s">
        <v>539</v>
      </c>
      <c r="B109" s="80"/>
      <c r="C109" s="94" t="s">
        <v>472</v>
      </c>
      <c r="D109" s="108" t="s">
        <v>573</v>
      </c>
      <c r="E109" s="20">
        <v>10.8</v>
      </c>
      <c r="F109" s="20"/>
      <c r="G109" s="12"/>
      <c r="H109" s="12"/>
    </row>
    <row r="110" spans="1:8" x14ac:dyDescent="0.2">
      <c r="A110" s="91" t="s">
        <v>540</v>
      </c>
      <c r="B110" s="80"/>
      <c r="C110" s="94" t="s">
        <v>629</v>
      </c>
      <c r="D110" s="108" t="s">
        <v>573</v>
      </c>
      <c r="E110" s="20">
        <v>2</v>
      </c>
      <c r="F110" s="20"/>
      <c r="G110" s="12"/>
      <c r="H110" s="12"/>
    </row>
    <row r="111" spans="1:8" ht="39" customHeight="1" x14ac:dyDescent="0.2">
      <c r="A111" s="91" t="s">
        <v>630</v>
      </c>
      <c r="B111" s="80"/>
      <c r="C111" s="92" t="s">
        <v>452</v>
      </c>
      <c r="D111" s="75"/>
      <c r="E111" s="111">
        <f>SUM(E112:E115)</f>
        <v>427.5</v>
      </c>
      <c r="F111" s="111">
        <f>SUM(F112:F114)</f>
        <v>0</v>
      </c>
      <c r="G111" s="12"/>
      <c r="H111" s="12"/>
    </row>
    <row r="112" spans="1:8" ht="12.6" customHeight="1" x14ac:dyDescent="0.2">
      <c r="A112" s="91" t="s">
        <v>631</v>
      </c>
      <c r="B112" s="80"/>
      <c r="C112" s="94" t="s">
        <v>150</v>
      </c>
      <c r="D112" s="80" t="s">
        <v>88</v>
      </c>
      <c r="E112" s="20">
        <v>220</v>
      </c>
      <c r="F112" s="20"/>
      <c r="G112" s="12"/>
      <c r="H112" s="12"/>
    </row>
    <row r="113" spans="1:11" ht="25.5" x14ac:dyDescent="0.2">
      <c r="A113" s="91" t="s">
        <v>632</v>
      </c>
      <c r="B113" s="80"/>
      <c r="C113" s="94" t="s">
        <v>372</v>
      </c>
      <c r="D113" s="82" t="s">
        <v>178</v>
      </c>
      <c r="E113" s="20">
        <v>150</v>
      </c>
      <c r="F113" s="20"/>
      <c r="G113" s="12"/>
      <c r="H113" s="12"/>
    </row>
    <row r="114" spans="1:11" ht="25.5" x14ac:dyDescent="0.2">
      <c r="A114" s="91" t="s">
        <v>633</v>
      </c>
      <c r="B114" s="80"/>
      <c r="C114" s="94" t="s">
        <v>186</v>
      </c>
      <c r="D114" s="80" t="s">
        <v>75</v>
      </c>
      <c r="E114" s="20">
        <v>42</v>
      </c>
      <c r="F114" s="20"/>
      <c r="G114" s="12"/>
      <c r="H114" s="12"/>
    </row>
    <row r="115" spans="1:11" ht="25.5" x14ac:dyDescent="0.2">
      <c r="A115" s="91" t="s">
        <v>634</v>
      </c>
      <c r="B115" s="84"/>
      <c r="C115" s="95" t="s">
        <v>597</v>
      </c>
      <c r="D115" s="80" t="s">
        <v>88</v>
      </c>
      <c r="E115" s="20">
        <f>15+0.5</f>
        <v>15.5</v>
      </c>
      <c r="F115" s="20"/>
      <c r="G115" s="12"/>
      <c r="H115" s="12"/>
      <c r="K115" s="13"/>
    </row>
    <row r="116" spans="1:11" ht="51" x14ac:dyDescent="0.2">
      <c r="A116" s="233">
        <v>42</v>
      </c>
      <c r="B116" s="235"/>
      <c r="C116" s="54" t="s">
        <v>8</v>
      </c>
      <c r="D116" s="82" t="s">
        <v>587</v>
      </c>
      <c r="E116" s="81">
        <f>1753.6+E117-140</f>
        <v>1635.6999999999998</v>
      </c>
      <c r="F116" s="81">
        <f>108+F117</f>
        <v>129.80000000000001</v>
      </c>
      <c r="G116" s="12"/>
      <c r="H116" s="12"/>
    </row>
    <row r="117" spans="1:11" x14ac:dyDescent="0.2">
      <c r="A117" s="234"/>
      <c r="B117" s="236"/>
      <c r="C117" s="54" t="s">
        <v>294</v>
      </c>
      <c r="D117" s="82" t="s">
        <v>39</v>
      </c>
      <c r="E117" s="81">
        <v>22.1</v>
      </c>
      <c r="F117" s="81">
        <v>21.8</v>
      </c>
      <c r="G117" s="12"/>
      <c r="H117" s="12"/>
      <c r="J117" s="13"/>
    </row>
    <row r="118" spans="1:11" ht="54" customHeight="1" x14ac:dyDescent="0.2">
      <c r="A118" s="233">
        <v>43</v>
      </c>
      <c r="B118" s="235"/>
      <c r="C118" s="54" t="s">
        <v>4</v>
      </c>
      <c r="D118" s="82" t="s">
        <v>588</v>
      </c>
      <c r="E118" s="81">
        <f>692.6+E119+0.5+0.6</f>
        <v>701.1</v>
      </c>
      <c r="F118" s="81">
        <f>32+F119+0.5+0.8</f>
        <v>40.599999999999994</v>
      </c>
      <c r="G118" s="12"/>
      <c r="H118" s="12"/>
    </row>
    <row r="119" spans="1:11" x14ac:dyDescent="0.2">
      <c r="A119" s="234"/>
      <c r="B119" s="236"/>
      <c r="C119" s="54" t="s">
        <v>294</v>
      </c>
      <c r="D119" s="82" t="s">
        <v>39</v>
      </c>
      <c r="E119" s="81">
        <v>7.4</v>
      </c>
      <c r="F119" s="81">
        <v>7.3</v>
      </c>
      <c r="G119" s="12"/>
      <c r="H119" s="12"/>
    </row>
    <row r="120" spans="1:11" ht="39.75" customHeight="1" x14ac:dyDescent="0.2">
      <c r="A120" s="76">
        <v>44</v>
      </c>
      <c r="B120" s="80"/>
      <c r="C120" s="54" t="s">
        <v>5</v>
      </c>
      <c r="D120" s="82" t="s">
        <v>114</v>
      </c>
      <c r="E120" s="81">
        <f>380+2.1-0.6-150</f>
        <v>231.5</v>
      </c>
      <c r="F120" s="81">
        <f>13.2+2.1-0.6</f>
        <v>14.7</v>
      </c>
      <c r="G120" s="12"/>
      <c r="H120" s="12"/>
    </row>
    <row r="121" spans="1:11" ht="51" customHeight="1" x14ac:dyDescent="0.2">
      <c r="A121" s="233">
        <v>45</v>
      </c>
      <c r="B121" s="235"/>
      <c r="C121" s="54" t="s">
        <v>7</v>
      </c>
      <c r="D121" s="82" t="s">
        <v>588</v>
      </c>
      <c r="E121" s="81">
        <f>329.4+E122+1.1-0.1+60</f>
        <v>394.09999999999997</v>
      </c>
      <c r="F121" s="81">
        <f>18+F122+1.1</f>
        <v>22.700000000000003</v>
      </c>
      <c r="G121" s="12"/>
      <c r="H121" s="12"/>
    </row>
    <row r="122" spans="1:11" x14ac:dyDescent="0.2">
      <c r="A122" s="234"/>
      <c r="B122" s="236"/>
      <c r="C122" s="54" t="s">
        <v>294</v>
      </c>
      <c r="D122" s="82" t="s">
        <v>39</v>
      </c>
      <c r="E122" s="81">
        <v>3.7</v>
      </c>
      <c r="F122" s="81">
        <v>3.6</v>
      </c>
      <c r="G122" s="12"/>
      <c r="H122" s="12"/>
    </row>
    <row r="123" spans="1:11" ht="50.25" customHeight="1" x14ac:dyDescent="0.2">
      <c r="A123" s="233">
        <v>46</v>
      </c>
      <c r="B123" s="235"/>
      <c r="C123" s="54" t="s">
        <v>6</v>
      </c>
      <c r="D123" s="82" t="s">
        <v>588</v>
      </c>
      <c r="E123" s="81">
        <f>357.4+E124-0.3+60</f>
        <v>420.79999999999995</v>
      </c>
      <c r="F123" s="81">
        <f>27.8+F124-0.2</f>
        <v>31.200000000000003</v>
      </c>
      <c r="G123" s="12"/>
      <c r="H123" s="12"/>
    </row>
    <row r="124" spans="1:11" x14ac:dyDescent="0.2">
      <c r="A124" s="234"/>
      <c r="B124" s="236"/>
      <c r="C124" s="54" t="s">
        <v>294</v>
      </c>
      <c r="D124" s="82" t="s">
        <v>39</v>
      </c>
      <c r="E124" s="81">
        <v>3.7</v>
      </c>
      <c r="F124" s="81">
        <v>3.6</v>
      </c>
      <c r="G124" s="12"/>
      <c r="H124" s="12"/>
    </row>
    <row r="125" spans="1:11" ht="40.5" customHeight="1" x14ac:dyDescent="0.2">
      <c r="A125" s="83">
        <v>47</v>
      </c>
      <c r="B125" s="84"/>
      <c r="C125" s="54" t="s">
        <v>9</v>
      </c>
      <c r="D125" s="82" t="s">
        <v>590</v>
      </c>
      <c r="E125" s="81">
        <f>426.9+0.3+0.1</f>
        <v>427.3</v>
      </c>
      <c r="F125" s="81">
        <f>17.6+0.3</f>
        <v>17.900000000000002</v>
      </c>
      <c r="G125" s="12"/>
      <c r="H125" s="12"/>
    </row>
    <row r="126" spans="1:11" ht="51.75" customHeight="1" x14ac:dyDescent="0.2">
      <c r="A126" s="233">
        <v>48</v>
      </c>
      <c r="B126" s="235"/>
      <c r="C126" s="89" t="s">
        <v>10</v>
      </c>
      <c r="D126" s="82" t="s">
        <v>588</v>
      </c>
      <c r="E126" s="81">
        <f>323.6+E127+2.4</f>
        <v>329.7</v>
      </c>
      <c r="F126" s="81">
        <f>14.8+F127+2.3</f>
        <v>20.700000000000003</v>
      </c>
      <c r="G126" s="12"/>
      <c r="H126" s="12"/>
    </row>
    <row r="127" spans="1:11" x14ac:dyDescent="0.2">
      <c r="A127" s="234"/>
      <c r="B127" s="236"/>
      <c r="C127" s="54" t="s">
        <v>294</v>
      </c>
      <c r="D127" s="82" t="s">
        <v>39</v>
      </c>
      <c r="E127" s="81">
        <v>3.7</v>
      </c>
      <c r="F127" s="81">
        <v>3.6</v>
      </c>
      <c r="G127" s="12"/>
      <c r="H127" s="12"/>
    </row>
    <row r="128" spans="1:11" ht="52.5" customHeight="1" x14ac:dyDescent="0.2">
      <c r="A128" s="233">
        <v>49</v>
      </c>
      <c r="B128" s="235"/>
      <c r="C128" s="54" t="s">
        <v>12</v>
      </c>
      <c r="D128" s="82" t="s">
        <v>588</v>
      </c>
      <c r="E128" s="81">
        <f>302.6+E129+2.2+30</f>
        <v>338.5</v>
      </c>
      <c r="F128" s="81">
        <f>14.3+F129+2.2-0.1</f>
        <v>20</v>
      </c>
      <c r="G128" s="12"/>
      <c r="H128" s="12"/>
    </row>
    <row r="129" spans="1:8" x14ac:dyDescent="0.2">
      <c r="A129" s="234"/>
      <c r="B129" s="236"/>
      <c r="C129" s="54" t="s">
        <v>294</v>
      </c>
      <c r="D129" s="82" t="s">
        <v>39</v>
      </c>
      <c r="E129" s="81">
        <v>3.7</v>
      </c>
      <c r="F129" s="81">
        <v>3.6</v>
      </c>
      <c r="G129" s="12"/>
      <c r="H129" s="12"/>
    </row>
    <row r="130" spans="1:8" ht="51" x14ac:dyDescent="0.2">
      <c r="A130" s="233">
        <v>50</v>
      </c>
      <c r="B130" s="235"/>
      <c r="C130" s="54" t="s">
        <v>11</v>
      </c>
      <c r="D130" s="82" t="s">
        <v>588</v>
      </c>
      <c r="E130" s="81">
        <f>344.5+E131+1</f>
        <v>349.2</v>
      </c>
      <c r="F130" s="81">
        <f>18.5+F131+1</f>
        <v>23.1</v>
      </c>
      <c r="G130" s="12"/>
      <c r="H130" s="12"/>
    </row>
    <row r="131" spans="1:8" x14ac:dyDescent="0.2">
      <c r="A131" s="234"/>
      <c r="B131" s="236"/>
      <c r="C131" s="54" t="s">
        <v>294</v>
      </c>
      <c r="D131" s="82" t="s">
        <v>39</v>
      </c>
      <c r="E131" s="81">
        <v>3.7</v>
      </c>
      <c r="F131" s="81">
        <v>3.6</v>
      </c>
      <c r="G131" s="12"/>
      <c r="H131" s="12"/>
    </row>
    <row r="132" spans="1:8" ht="53.25" customHeight="1" x14ac:dyDescent="0.2">
      <c r="A132" s="250">
        <v>51</v>
      </c>
      <c r="B132" s="235"/>
      <c r="C132" s="54" t="s">
        <v>13</v>
      </c>
      <c r="D132" s="82" t="s">
        <v>588</v>
      </c>
      <c r="E132" s="81">
        <f>170.5+E133-1.4+90</f>
        <v>262.79999999999995</v>
      </c>
      <c r="F132" s="81">
        <f>15.6+F133-0.9</f>
        <v>18.3</v>
      </c>
      <c r="G132" s="12"/>
      <c r="H132" s="12"/>
    </row>
    <row r="133" spans="1:8" x14ac:dyDescent="0.2">
      <c r="A133" s="251"/>
      <c r="B133" s="236"/>
      <c r="C133" s="54" t="s">
        <v>294</v>
      </c>
      <c r="D133" s="82" t="s">
        <v>39</v>
      </c>
      <c r="E133" s="81">
        <v>3.7</v>
      </c>
      <c r="F133" s="81">
        <v>3.6</v>
      </c>
      <c r="G133" s="12"/>
      <c r="H133" s="12"/>
    </row>
    <row r="134" spans="1:8" ht="54" customHeight="1" x14ac:dyDescent="0.2">
      <c r="A134" s="233">
        <v>52</v>
      </c>
      <c r="B134" s="235"/>
      <c r="C134" s="54" t="s">
        <v>14</v>
      </c>
      <c r="D134" s="82" t="s">
        <v>588</v>
      </c>
      <c r="E134" s="81">
        <f>232.2+E135+2.5+50</f>
        <v>292.10000000000002</v>
      </c>
      <c r="F134" s="81">
        <f>26.7+F135+2.5</f>
        <v>36.5</v>
      </c>
      <c r="G134" s="12"/>
      <c r="H134" s="12"/>
    </row>
    <row r="135" spans="1:8" x14ac:dyDescent="0.2">
      <c r="A135" s="234"/>
      <c r="B135" s="236"/>
      <c r="C135" s="54" t="s">
        <v>294</v>
      </c>
      <c r="D135" s="82" t="s">
        <v>39</v>
      </c>
      <c r="E135" s="81">
        <v>7.4</v>
      </c>
      <c r="F135" s="81">
        <v>7.3</v>
      </c>
      <c r="G135" s="12"/>
      <c r="H135" s="12"/>
    </row>
    <row r="136" spans="1:8" ht="20.100000000000001" customHeight="1" x14ac:dyDescent="0.2">
      <c r="A136" s="76">
        <v>53</v>
      </c>
      <c r="B136" s="75" t="s">
        <v>76</v>
      </c>
      <c r="C136" s="99" t="s">
        <v>193</v>
      </c>
      <c r="D136" s="80"/>
      <c r="E136" s="63">
        <f>+E138+E154+E155+E156+E157+E158+E159+E160+E161+E162+E137</f>
        <v>2043.8000000000002</v>
      </c>
      <c r="F136" s="63">
        <f>+F138+F154+F155+F156+F157+F158+F159+F160+F161+F162+F137</f>
        <v>800.4</v>
      </c>
      <c r="G136" s="12"/>
      <c r="H136" s="12"/>
    </row>
    <row r="137" spans="1:8" ht="12.6" customHeight="1" x14ac:dyDescent="0.2">
      <c r="A137" s="76">
        <v>54</v>
      </c>
      <c r="B137" s="80"/>
      <c r="C137" s="60" t="s">
        <v>112</v>
      </c>
      <c r="D137" s="80" t="s">
        <v>77</v>
      </c>
      <c r="E137" s="81">
        <f>1083.9+8+59.5+22</f>
        <v>1173.4000000000001</v>
      </c>
      <c r="F137" s="81">
        <f>642.1+58.4+26</f>
        <v>726.5</v>
      </c>
      <c r="G137" s="12"/>
      <c r="H137" s="12"/>
    </row>
    <row r="138" spans="1:8" ht="12.6" customHeight="1" x14ac:dyDescent="0.2">
      <c r="A138" s="76">
        <v>55</v>
      </c>
      <c r="B138" s="75"/>
      <c r="C138" s="89" t="s">
        <v>166</v>
      </c>
      <c r="D138" s="80"/>
      <c r="E138" s="81">
        <f>+E139+E140+E147+E150+E148+E149</f>
        <v>839.9</v>
      </c>
      <c r="F138" s="81">
        <f>+F139+F140+F147+F150+F148+F149</f>
        <v>44.6</v>
      </c>
      <c r="G138" s="12"/>
      <c r="H138" s="12"/>
    </row>
    <row r="139" spans="1:8" ht="12.6" customHeight="1" x14ac:dyDescent="0.2">
      <c r="A139" s="91" t="s">
        <v>541</v>
      </c>
      <c r="B139" s="80"/>
      <c r="C139" s="89" t="s">
        <v>3</v>
      </c>
      <c r="D139" s="80" t="s">
        <v>132</v>
      </c>
      <c r="E139" s="81">
        <f>108.6+12-3</f>
        <v>117.6</v>
      </c>
      <c r="F139" s="81">
        <f>47.6-3</f>
        <v>44.6</v>
      </c>
      <c r="G139" s="12"/>
      <c r="H139" s="12"/>
    </row>
    <row r="140" spans="1:8" ht="12.6" customHeight="1" x14ac:dyDescent="0.2">
      <c r="A140" s="242" t="s">
        <v>542</v>
      </c>
      <c r="B140" s="235"/>
      <c r="C140" s="101" t="s">
        <v>559</v>
      </c>
      <c r="D140" s="235" t="s">
        <v>77</v>
      </c>
      <c r="E140" s="81">
        <f>+E141+E142+E143+E144+E145+E146</f>
        <v>515</v>
      </c>
      <c r="F140" s="81">
        <f>+F141+F142+F143+F144+F145</f>
        <v>0</v>
      </c>
      <c r="G140" s="12"/>
      <c r="H140" s="12"/>
    </row>
    <row r="141" spans="1:8" ht="25.5" x14ac:dyDescent="0.2">
      <c r="A141" s="243"/>
      <c r="B141" s="241"/>
      <c r="C141" s="112" t="s">
        <v>480</v>
      </c>
      <c r="D141" s="241"/>
      <c r="E141" s="81">
        <v>220</v>
      </c>
      <c r="F141" s="81"/>
      <c r="G141" s="12"/>
      <c r="H141" s="12"/>
    </row>
    <row r="142" spans="1:8" ht="12.6" customHeight="1" x14ac:dyDescent="0.2">
      <c r="A142" s="243"/>
      <c r="B142" s="241"/>
      <c r="C142" s="112" t="s">
        <v>475</v>
      </c>
      <c r="D142" s="241"/>
      <c r="E142" s="81">
        <f>100+20</f>
        <v>120</v>
      </c>
      <c r="F142" s="81"/>
      <c r="G142" s="12"/>
      <c r="H142" s="12"/>
    </row>
    <row r="143" spans="1:8" ht="12.6" customHeight="1" x14ac:dyDescent="0.2">
      <c r="A143" s="243"/>
      <c r="B143" s="241"/>
      <c r="C143" s="112" t="s">
        <v>474</v>
      </c>
      <c r="D143" s="241"/>
      <c r="E143" s="81">
        <v>15</v>
      </c>
      <c r="F143" s="81"/>
      <c r="G143" s="12"/>
      <c r="H143" s="12"/>
    </row>
    <row r="144" spans="1:8" ht="25.5" x14ac:dyDescent="0.2">
      <c r="A144" s="243"/>
      <c r="B144" s="241"/>
      <c r="C144" s="112" t="s">
        <v>473</v>
      </c>
      <c r="D144" s="241"/>
      <c r="E144" s="81">
        <v>120</v>
      </c>
      <c r="F144" s="81"/>
      <c r="G144" s="12"/>
      <c r="H144" s="12"/>
    </row>
    <row r="145" spans="1:8" x14ac:dyDescent="0.2">
      <c r="A145" s="243"/>
      <c r="B145" s="241"/>
      <c r="C145" s="112" t="s">
        <v>476</v>
      </c>
      <c r="D145" s="241"/>
      <c r="E145" s="81">
        <v>20</v>
      </c>
      <c r="F145" s="81"/>
      <c r="G145" s="12"/>
      <c r="H145" s="12"/>
    </row>
    <row r="146" spans="1:8" x14ac:dyDescent="0.2">
      <c r="A146" s="244"/>
      <c r="B146" s="236"/>
      <c r="C146" s="112" t="s">
        <v>477</v>
      </c>
      <c r="D146" s="236"/>
      <c r="E146" s="81">
        <f>10+10</f>
        <v>20</v>
      </c>
      <c r="F146" s="81"/>
      <c r="G146" s="12"/>
      <c r="H146" s="12"/>
    </row>
    <row r="147" spans="1:8" ht="12.6" customHeight="1" x14ac:dyDescent="0.2">
      <c r="A147" s="91" t="s">
        <v>543</v>
      </c>
      <c r="B147" s="80"/>
      <c r="C147" s="101" t="s">
        <v>478</v>
      </c>
      <c r="D147" s="80" t="s">
        <v>77</v>
      </c>
      <c r="E147" s="81">
        <v>55</v>
      </c>
      <c r="F147" s="81"/>
      <c r="G147" s="12"/>
      <c r="H147" s="12"/>
    </row>
    <row r="148" spans="1:8" ht="25.5" x14ac:dyDescent="0.2">
      <c r="A148" s="91" t="s">
        <v>544</v>
      </c>
      <c r="B148" s="80"/>
      <c r="C148" s="101" t="s">
        <v>658</v>
      </c>
      <c r="D148" s="80" t="s">
        <v>77</v>
      </c>
      <c r="E148" s="81">
        <v>10.3</v>
      </c>
      <c r="F148" s="81"/>
      <c r="G148" s="12"/>
      <c r="H148" s="12"/>
    </row>
    <row r="149" spans="1:8" ht="25.5" x14ac:dyDescent="0.2">
      <c r="A149" s="91" t="s">
        <v>545</v>
      </c>
      <c r="B149" s="80"/>
      <c r="C149" s="101" t="s">
        <v>432</v>
      </c>
      <c r="D149" s="80" t="s">
        <v>155</v>
      </c>
      <c r="E149" s="81">
        <v>10</v>
      </c>
      <c r="F149" s="81"/>
      <c r="G149" s="12"/>
      <c r="H149" s="12"/>
    </row>
    <row r="150" spans="1:8" ht="42" customHeight="1" x14ac:dyDescent="0.2">
      <c r="A150" s="91" t="s">
        <v>546</v>
      </c>
      <c r="B150" s="80"/>
      <c r="C150" s="92" t="s">
        <v>452</v>
      </c>
      <c r="D150" s="75"/>
      <c r="E150" s="93">
        <f>+E151+E152+E153</f>
        <v>132</v>
      </c>
      <c r="F150" s="93">
        <f>+F151+F152+F153</f>
        <v>0</v>
      </c>
      <c r="G150" s="12"/>
      <c r="H150" s="12"/>
    </row>
    <row r="151" spans="1:8" ht="25.5" x14ac:dyDescent="0.2">
      <c r="A151" s="91" t="s">
        <v>547</v>
      </c>
      <c r="B151" s="80"/>
      <c r="C151" s="54" t="s">
        <v>479</v>
      </c>
      <c r="D151" s="84" t="s">
        <v>77</v>
      </c>
      <c r="E151" s="81">
        <v>22</v>
      </c>
      <c r="F151" s="81"/>
      <c r="G151" s="12"/>
      <c r="H151" s="12"/>
    </row>
    <row r="152" spans="1:8" ht="38.25" x14ac:dyDescent="0.2">
      <c r="A152" s="91" t="s">
        <v>548</v>
      </c>
      <c r="B152" s="80"/>
      <c r="C152" s="54" t="s">
        <v>285</v>
      </c>
      <c r="D152" s="80" t="s">
        <v>77</v>
      </c>
      <c r="E152" s="81">
        <v>50</v>
      </c>
      <c r="F152" s="81"/>
      <c r="G152" s="12"/>
      <c r="H152" s="12"/>
    </row>
    <row r="153" spans="1:8" ht="25.5" x14ac:dyDescent="0.2">
      <c r="A153" s="91" t="s">
        <v>813</v>
      </c>
      <c r="B153" s="80"/>
      <c r="C153" s="54" t="s">
        <v>761</v>
      </c>
      <c r="D153" s="80" t="s">
        <v>61</v>
      </c>
      <c r="E153" s="81">
        <v>60</v>
      </c>
      <c r="F153" s="81"/>
      <c r="G153" s="12"/>
      <c r="H153" s="12"/>
    </row>
    <row r="154" spans="1:8" ht="25.5" x14ac:dyDescent="0.2">
      <c r="A154" s="76">
        <v>56</v>
      </c>
      <c r="B154" s="80"/>
      <c r="C154" s="54" t="s">
        <v>5</v>
      </c>
      <c r="D154" s="80" t="s">
        <v>77</v>
      </c>
      <c r="E154" s="81">
        <f>3.5+0.1-0.5</f>
        <v>3.1</v>
      </c>
      <c r="F154" s="81">
        <f>3.1+0.1-0.2</f>
        <v>3</v>
      </c>
      <c r="G154" s="12"/>
      <c r="H154" s="12"/>
    </row>
    <row r="155" spans="1:8" ht="12.6" customHeight="1" x14ac:dyDescent="0.2">
      <c r="A155" s="76">
        <v>57</v>
      </c>
      <c r="B155" s="80"/>
      <c r="C155" s="89" t="s">
        <v>7</v>
      </c>
      <c r="D155" s="80" t="s">
        <v>77</v>
      </c>
      <c r="E155" s="81">
        <f>3.4+0.3</f>
        <v>3.6999999999999997</v>
      </c>
      <c r="F155" s="81">
        <f>3.3+0.3</f>
        <v>3.5999999999999996</v>
      </c>
      <c r="G155" s="12"/>
      <c r="H155" s="12"/>
    </row>
    <row r="156" spans="1:8" ht="12.6" customHeight="1" x14ac:dyDescent="0.2">
      <c r="A156" s="76">
        <v>58</v>
      </c>
      <c r="B156" s="80"/>
      <c r="C156" s="54" t="s">
        <v>6</v>
      </c>
      <c r="D156" s="80" t="s">
        <v>77</v>
      </c>
      <c r="E156" s="81">
        <f>3.6+1.7-1.6</f>
        <v>3.6999999999999997</v>
      </c>
      <c r="F156" s="81">
        <f>3.5+1.7-1.6</f>
        <v>3.6</v>
      </c>
      <c r="G156" s="12"/>
      <c r="H156" s="12"/>
    </row>
    <row r="157" spans="1:8" ht="12.6" customHeight="1" x14ac:dyDescent="0.2">
      <c r="A157" s="76">
        <v>59</v>
      </c>
      <c r="B157" s="80"/>
      <c r="C157" s="54" t="s">
        <v>9</v>
      </c>
      <c r="D157" s="80" t="s">
        <v>77</v>
      </c>
      <c r="E157" s="81">
        <f>3.3+0.4-0.6</f>
        <v>3.0999999999999996</v>
      </c>
      <c r="F157" s="81">
        <f>3.2+0.3-0.5</f>
        <v>3</v>
      </c>
      <c r="G157" s="12"/>
      <c r="H157" s="12"/>
    </row>
    <row r="158" spans="1:8" ht="12.6" customHeight="1" x14ac:dyDescent="0.2">
      <c r="A158" s="76">
        <v>60</v>
      </c>
      <c r="B158" s="80"/>
      <c r="C158" s="89" t="s">
        <v>10</v>
      </c>
      <c r="D158" s="80" t="s">
        <v>77</v>
      </c>
      <c r="E158" s="81">
        <f>3.2+0.4</f>
        <v>3.6</v>
      </c>
      <c r="F158" s="81">
        <f>3.1+0.4</f>
        <v>3.5</v>
      </c>
      <c r="G158" s="12"/>
      <c r="H158" s="12"/>
    </row>
    <row r="159" spans="1:8" ht="12.6" customHeight="1" x14ac:dyDescent="0.2">
      <c r="A159" s="76">
        <v>61</v>
      </c>
      <c r="B159" s="80"/>
      <c r="C159" s="54" t="s">
        <v>12</v>
      </c>
      <c r="D159" s="80" t="s">
        <v>77</v>
      </c>
      <c r="E159" s="81">
        <f>3.2+0.8</f>
        <v>4</v>
      </c>
      <c r="F159" s="81">
        <f>3.1+0.5</f>
        <v>3.6</v>
      </c>
      <c r="G159" s="12"/>
      <c r="H159" s="12"/>
    </row>
    <row r="160" spans="1:8" ht="12.6" customHeight="1" x14ac:dyDescent="0.2">
      <c r="A160" s="76">
        <v>62</v>
      </c>
      <c r="B160" s="80"/>
      <c r="C160" s="54" t="s">
        <v>11</v>
      </c>
      <c r="D160" s="80" t="s">
        <v>77</v>
      </c>
      <c r="E160" s="81">
        <v>3</v>
      </c>
      <c r="F160" s="81">
        <v>2.9</v>
      </c>
      <c r="G160" s="12"/>
      <c r="H160" s="12"/>
    </row>
    <row r="161" spans="1:8" ht="12.6" customHeight="1" x14ac:dyDescent="0.2">
      <c r="A161" s="76">
        <v>63</v>
      </c>
      <c r="B161" s="80"/>
      <c r="C161" s="54" t="s">
        <v>13</v>
      </c>
      <c r="D161" s="80" t="s">
        <v>77</v>
      </c>
      <c r="E161" s="81">
        <f>2.9+0.4</f>
        <v>3.3</v>
      </c>
      <c r="F161" s="81">
        <f>2.8+0.4</f>
        <v>3.1999999999999997</v>
      </c>
      <c r="G161" s="12"/>
      <c r="H161" s="12"/>
    </row>
    <row r="162" spans="1:8" ht="12.6" customHeight="1" x14ac:dyDescent="0.2">
      <c r="A162" s="76">
        <v>64</v>
      </c>
      <c r="B162" s="80"/>
      <c r="C162" s="54" t="s">
        <v>14</v>
      </c>
      <c r="D162" s="80" t="s">
        <v>77</v>
      </c>
      <c r="E162" s="81">
        <v>3</v>
      </c>
      <c r="F162" s="81">
        <v>2.9</v>
      </c>
      <c r="G162" s="12"/>
      <c r="H162" s="12"/>
    </row>
    <row r="163" spans="1:8" ht="12.6" customHeight="1" x14ac:dyDescent="0.2">
      <c r="A163" s="76">
        <v>65</v>
      </c>
      <c r="B163" s="75" t="s">
        <v>78</v>
      </c>
      <c r="C163" s="99" t="s">
        <v>79</v>
      </c>
      <c r="D163" s="73"/>
      <c r="E163" s="63">
        <f>+E164+E165+E166+E167+E168+E169+E170+E171+E173+E184</f>
        <v>5033.9000000000005</v>
      </c>
      <c r="F163" s="63">
        <f>+F164+F165+F166+F167+F168+F169+F170+F171+F173+F184</f>
        <v>3300.9</v>
      </c>
      <c r="G163" s="12"/>
      <c r="H163" s="12"/>
    </row>
    <row r="164" spans="1:8" ht="24.75" customHeight="1" x14ac:dyDescent="0.2">
      <c r="A164" s="76">
        <v>66</v>
      </c>
      <c r="B164" s="80"/>
      <c r="C164" s="60" t="s">
        <v>44</v>
      </c>
      <c r="D164" s="80" t="s">
        <v>80</v>
      </c>
      <c r="E164" s="81">
        <f>951.3+60.6+5</f>
        <v>1016.9</v>
      </c>
      <c r="F164" s="81">
        <f>653.1+59.4+3</f>
        <v>715.5</v>
      </c>
      <c r="G164" s="12"/>
      <c r="H164" s="12"/>
    </row>
    <row r="165" spans="1:8" ht="12.6" customHeight="1" x14ac:dyDescent="0.2">
      <c r="A165" s="76">
        <v>67</v>
      </c>
      <c r="B165" s="80"/>
      <c r="C165" s="107" t="s">
        <v>49</v>
      </c>
      <c r="D165" s="80" t="s">
        <v>80</v>
      </c>
      <c r="E165" s="81">
        <f>293.8+20.3</f>
        <v>314.10000000000002</v>
      </c>
      <c r="F165" s="81">
        <f>218.5+19.9</f>
        <v>238.4</v>
      </c>
      <c r="G165" s="12"/>
      <c r="H165" s="12"/>
    </row>
    <row r="166" spans="1:8" ht="12.6" customHeight="1" x14ac:dyDescent="0.2">
      <c r="A166" s="76">
        <v>68</v>
      </c>
      <c r="B166" s="80"/>
      <c r="C166" s="107" t="s">
        <v>50</v>
      </c>
      <c r="D166" s="80" t="s">
        <v>80</v>
      </c>
      <c r="E166" s="81">
        <f>227.3+14.6</f>
        <v>241.9</v>
      </c>
      <c r="F166" s="81">
        <f>158+14.3+8.5</f>
        <v>180.8</v>
      </c>
      <c r="G166" s="12"/>
      <c r="H166" s="12"/>
    </row>
    <row r="167" spans="1:8" ht="12.6" customHeight="1" x14ac:dyDescent="0.2">
      <c r="A167" s="76">
        <v>69</v>
      </c>
      <c r="B167" s="80"/>
      <c r="C167" s="107" t="s">
        <v>45</v>
      </c>
      <c r="D167" s="80" t="s">
        <v>80</v>
      </c>
      <c r="E167" s="81">
        <f>209.9+13.8</f>
        <v>223.70000000000002</v>
      </c>
      <c r="F167" s="81">
        <f>148.8+13.5+3.2</f>
        <v>165.5</v>
      </c>
      <c r="G167" s="12"/>
      <c r="H167" s="12"/>
    </row>
    <row r="168" spans="1:8" ht="12.6" customHeight="1" x14ac:dyDescent="0.2">
      <c r="A168" s="76">
        <v>70</v>
      </c>
      <c r="B168" s="80"/>
      <c r="C168" s="107" t="s">
        <v>51</v>
      </c>
      <c r="D168" s="80" t="s">
        <v>80</v>
      </c>
      <c r="E168" s="81">
        <f>141.2+10.6</f>
        <v>151.79999999999998</v>
      </c>
      <c r="F168" s="81">
        <f>114.8+10.4-7.6</f>
        <v>117.60000000000001</v>
      </c>
      <c r="G168" s="12"/>
      <c r="H168" s="12"/>
    </row>
    <row r="169" spans="1:8" ht="12.6" customHeight="1" x14ac:dyDescent="0.2">
      <c r="A169" s="76">
        <v>71</v>
      </c>
      <c r="B169" s="80"/>
      <c r="C169" s="107" t="s">
        <v>52</v>
      </c>
      <c r="D169" s="80" t="s">
        <v>80</v>
      </c>
      <c r="E169" s="81">
        <f>128.5+8.6</f>
        <v>137.1</v>
      </c>
      <c r="F169" s="81">
        <f>93.1+8.5</f>
        <v>101.6</v>
      </c>
      <c r="G169" s="12"/>
      <c r="H169" s="12"/>
    </row>
    <row r="170" spans="1:8" ht="12.6" customHeight="1" x14ac:dyDescent="0.2">
      <c r="A170" s="76">
        <v>72</v>
      </c>
      <c r="B170" s="80"/>
      <c r="C170" s="54" t="s">
        <v>53</v>
      </c>
      <c r="D170" s="80" t="s">
        <v>81</v>
      </c>
      <c r="E170" s="81">
        <f>1257.7+95.6</f>
        <v>1353.3</v>
      </c>
      <c r="F170" s="81">
        <f>1030.7+93.7</f>
        <v>1124.4000000000001</v>
      </c>
      <c r="G170" s="12"/>
      <c r="H170" s="12"/>
    </row>
    <row r="171" spans="1:8" ht="12.6" customHeight="1" x14ac:dyDescent="0.2">
      <c r="A171" s="233">
        <v>73</v>
      </c>
      <c r="B171" s="235"/>
      <c r="C171" s="107" t="s">
        <v>43</v>
      </c>
      <c r="D171" s="80" t="s">
        <v>82</v>
      </c>
      <c r="E171" s="81">
        <f>+E172+646.2+44.9+29.6</f>
        <v>725.90000000000009</v>
      </c>
      <c r="F171" s="81">
        <f>484.4+44.1+29.1</f>
        <v>557.6</v>
      </c>
      <c r="G171" s="12"/>
      <c r="H171" s="12"/>
    </row>
    <row r="172" spans="1:8" ht="12.6" customHeight="1" x14ac:dyDescent="0.2">
      <c r="A172" s="234"/>
      <c r="B172" s="236"/>
      <c r="C172" s="88" t="s">
        <v>481</v>
      </c>
      <c r="D172" s="80" t="s">
        <v>126</v>
      </c>
      <c r="E172" s="81">
        <v>5.2</v>
      </c>
      <c r="F172" s="81"/>
      <c r="G172" s="12"/>
      <c r="H172" s="12"/>
    </row>
    <row r="173" spans="1:8" ht="42.75" customHeight="1" x14ac:dyDescent="0.2">
      <c r="A173" s="76">
        <v>74</v>
      </c>
      <c r="B173" s="80"/>
      <c r="C173" s="89" t="s">
        <v>166</v>
      </c>
      <c r="D173" s="80"/>
      <c r="E173" s="81">
        <f>+E174+E175+E176+E177+E180+E178+E179</f>
        <v>860.2</v>
      </c>
      <c r="F173" s="81">
        <f>+F174+F175+F176+F177+F180+F178+F179</f>
        <v>90.9</v>
      </c>
      <c r="G173" s="12"/>
      <c r="H173" s="12"/>
    </row>
    <row r="174" spans="1:8" ht="12.6" customHeight="1" x14ac:dyDescent="0.2">
      <c r="A174" s="91" t="s">
        <v>549</v>
      </c>
      <c r="B174" s="80"/>
      <c r="C174" s="89" t="s">
        <v>3</v>
      </c>
      <c r="D174" s="82" t="s">
        <v>141</v>
      </c>
      <c r="E174" s="81">
        <f>434.9+15.2+1.2</f>
        <v>451.29999999999995</v>
      </c>
      <c r="F174" s="81">
        <f>74.7+15+1.2</f>
        <v>90.9</v>
      </c>
      <c r="G174" s="12"/>
      <c r="H174" s="12"/>
    </row>
    <row r="175" spans="1:8" ht="51" x14ac:dyDescent="0.2">
      <c r="A175" s="91" t="s">
        <v>550</v>
      </c>
      <c r="B175" s="80"/>
      <c r="C175" s="94" t="s">
        <v>187</v>
      </c>
      <c r="D175" s="82" t="s">
        <v>83</v>
      </c>
      <c r="E175" s="81">
        <v>27</v>
      </c>
      <c r="F175" s="81"/>
      <c r="G175" s="12"/>
      <c r="H175" s="12"/>
    </row>
    <row r="176" spans="1:8" x14ac:dyDescent="0.2">
      <c r="A176" s="91" t="s">
        <v>551</v>
      </c>
      <c r="B176" s="80"/>
      <c r="C176" s="94" t="s">
        <v>373</v>
      </c>
      <c r="D176" s="82" t="s">
        <v>83</v>
      </c>
      <c r="E176" s="81">
        <v>25</v>
      </c>
      <c r="F176" s="81"/>
      <c r="G176" s="12"/>
      <c r="H176" s="12"/>
    </row>
    <row r="177" spans="1:8" ht="25.5" x14ac:dyDescent="0.2">
      <c r="A177" s="91" t="s">
        <v>552</v>
      </c>
      <c r="B177" s="80"/>
      <c r="C177" s="94" t="s">
        <v>374</v>
      </c>
      <c r="D177" s="82" t="s">
        <v>83</v>
      </c>
      <c r="E177" s="81">
        <v>10</v>
      </c>
      <c r="F177" s="81"/>
      <c r="G177" s="12"/>
      <c r="H177" s="12"/>
    </row>
    <row r="178" spans="1:8" ht="25.5" x14ac:dyDescent="0.2">
      <c r="A178" s="91" t="s">
        <v>553</v>
      </c>
      <c r="B178" s="80"/>
      <c r="C178" s="95" t="s">
        <v>286</v>
      </c>
      <c r="D178" s="82" t="s">
        <v>155</v>
      </c>
      <c r="E178" s="81">
        <v>36</v>
      </c>
      <c r="F178" s="81"/>
      <c r="G178" s="12"/>
      <c r="H178" s="12"/>
    </row>
    <row r="179" spans="1:8" ht="51" x14ac:dyDescent="0.2">
      <c r="A179" s="91" t="s">
        <v>554</v>
      </c>
      <c r="B179" s="80"/>
      <c r="C179" s="95" t="s">
        <v>659</v>
      </c>
      <c r="D179" s="82" t="s">
        <v>155</v>
      </c>
      <c r="E179" s="81">
        <v>19</v>
      </c>
      <c r="F179" s="81"/>
      <c r="G179" s="12"/>
      <c r="H179" s="12"/>
    </row>
    <row r="180" spans="1:8" ht="40.5" x14ac:dyDescent="0.2">
      <c r="A180" s="91" t="s">
        <v>555</v>
      </c>
      <c r="B180" s="80"/>
      <c r="C180" s="92" t="s">
        <v>452</v>
      </c>
      <c r="D180" s="73"/>
      <c r="E180" s="93">
        <f>SUM(E181:E183)</f>
        <v>291.90000000000003</v>
      </c>
      <c r="F180" s="93">
        <f>SUM(F181:F183)</f>
        <v>0</v>
      </c>
      <c r="G180" s="12"/>
      <c r="H180" s="12"/>
    </row>
    <row r="181" spans="1:8" ht="39" customHeight="1" x14ac:dyDescent="0.2">
      <c r="A181" s="91" t="s">
        <v>556</v>
      </c>
      <c r="B181" s="80"/>
      <c r="C181" s="95" t="s">
        <v>172</v>
      </c>
      <c r="D181" s="80" t="s">
        <v>82</v>
      </c>
      <c r="E181" s="81">
        <v>10</v>
      </c>
      <c r="F181" s="81"/>
      <c r="G181" s="12"/>
      <c r="H181" s="12"/>
    </row>
    <row r="182" spans="1:8" x14ac:dyDescent="0.2">
      <c r="A182" s="91" t="s">
        <v>557</v>
      </c>
      <c r="B182" s="80"/>
      <c r="C182" s="95" t="s">
        <v>482</v>
      </c>
      <c r="D182" s="80" t="s">
        <v>82</v>
      </c>
      <c r="E182" s="81">
        <v>267.3</v>
      </c>
      <c r="F182" s="81"/>
      <c r="G182" s="12"/>
      <c r="H182" s="12"/>
    </row>
    <row r="183" spans="1:8" x14ac:dyDescent="0.2">
      <c r="A183" s="91" t="s">
        <v>812</v>
      </c>
      <c r="B183" s="80"/>
      <c r="C183" s="54" t="s">
        <v>744</v>
      </c>
      <c r="D183" s="80" t="s">
        <v>80</v>
      </c>
      <c r="E183" s="81">
        <v>14.6</v>
      </c>
      <c r="F183" s="81"/>
      <c r="G183" s="12"/>
      <c r="H183" s="12"/>
    </row>
    <row r="184" spans="1:8" ht="12.6" customHeight="1" x14ac:dyDescent="0.2">
      <c r="A184" s="76">
        <v>75</v>
      </c>
      <c r="B184" s="80"/>
      <c r="C184" s="54" t="s">
        <v>6</v>
      </c>
      <c r="D184" s="80" t="s">
        <v>82</v>
      </c>
      <c r="E184" s="81">
        <f>8.5+0.2+0.3</f>
        <v>9</v>
      </c>
      <c r="F184" s="81">
        <f>8.3+0.3</f>
        <v>8.6000000000000014</v>
      </c>
      <c r="G184" s="12"/>
      <c r="H184" s="12"/>
    </row>
    <row r="185" spans="1:8" ht="12.6" customHeight="1" x14ac:dyDescent="0.2">
      <c r="A185" s="76">
        <v>76</v>
      </c>
      <c r="B185" s="75" t="s">
        <v>104</v>
      </c>
      <c r="C185" s="113" t="s">
        <v>105</v>
      </c>
      <c r="D185" s="80"/>
      <c r="E185" s="63">
        <f>+E189+E186</f>
        <v>384.4</v>
      </c>
      <c r="F185" s="63">
        <f>+F189</f>
        <v>0</v>
      </c>
      <c r="G185" s="12"/>
      <c r="H185" s="12"/>
    </row>
    <row r="186" spans="1:8" ht="30" customHeight="1" x14ac:dyDescent="0.2">
      <c r="A186" s="233">
        <v>77</v>
      </c>
      <c r="B186" s="238"/>
      <c r="C186" s="107" t="s">
        <v>291</v>
      </c>
      <c r="D186" s="235" t="s">
        <v>106</v>
      </c>
      <c r="E186" s="81">
        <f>+E187+E188</f>
        <v>41</v>
      </c>
      <c r="F186" s="63"/>
      <c r="G186" s="12"/>
      <c r="H186" s="12"/>
    </row>
    <row r="187" spans="1:8" ht="12.6" customHeight="1" x14ac:dyDescent="0.2">
      <c r="A187" s="237"/>
      <c r="B187" s="239"/>
      <c r="C187" s="100" t="s">
        <v>297</v>
      </c>
      <c r="D187" s="241"/>
      <c r="E187" s="81">
        <v>30</v>
      </c>
      <c r="F187" s="81"/>
      <c r="G187" s="12"/>
      <c r="H187" s="12"/>
    </row>
    <row r="188" spans="1:8" ht="25.5" x14ac:dyDescent="0.2">
      <c r="A188" s="234"/>
      <c r="B188" s="240"/>
      <c r="C188" s="100" t="s">
        <v>589</v>
      </c>
      <c r="D188" s="236"/>
      <c r="E188" s="81">
        <v>11</v>
      </c>
      <c r="F188" s="81"/>
      <c r="G188" s="12"/>
      <c r="H188" s="12"/>
    </row>
    <row r="189" spans="1:8" x14ac:dyDescent="0.2">
      <c r="A189" s="76">
        <v>78</v>
      </c>
      <c r="B189" s="80"/>
      <c r="C189" s="89" t="s">
        <v>166</v>
      </c>
      <c r="D189" s="80"/>
      <c r="E189" s="81">
        <f>+E190+E191+E194+E192+E193</f>
        <v>343.4</v>
      </c>
      <c r="F189" s="81">
        <f>+F190+F191+F194</f>
        <v>0</v>
      </c>
      <c r="G189" s="12"/>
      <c r="H189" s="12"/>
    </row>
    <row r="190" spans="1:8" ht="12.6" customHeight="1" x14ac:dyDescent="0.2">
      <c r="A190" s="115" t="s">
        <v>558</v>
      </c>
      <c r="B190" s="80"/>
      <c r="C190" s="94" t="s">
        <v>181</v>
      </c>
      <c r="D190" s="80" t="s">
        <v>106</v>
      </c>
      <c r="E190" s="81">
        <f>85-4.6</f>
        <v>80.400000000000006</v>
      </c>
      <c r="F190" s="81"/>
      <c r="G190" s="12"/>
      <c r="H190" s="12"/>
    </row>
    <row r="191" spans="1:8" ht="27.6" customHeight="1" x14ac:dyDescent="0.2">
      <c r="A191" s="115" t="s">
        <v>560</v>
      </c>
      <c r="B191" s="80"/>
      <c r="C191" s="94" t="s">
        <v>140</v>
      </c>
      <c r="D191" s="80" t="s">
        <v>142</v>
      </c>
      <c r="E191" s="81">
        <v>50</v>
      </c>
      <c r="F191" s="81"/>
      <c r="G191" s="12"/>
      <c r="H191" s="12"/>
    </row>
    <row r="192" spans="1:8" ht="51" x14ac:dyDescent="0.2">
      <c r="A192" s="115" t="s">
        <v>561</v>
      </c>
      <c r="B192" s="80"/>
      <c r="C192" s="96" t="s">
        <v>430</v>
      </c>
      <c r="D192" s="84" t="s">
        <v>106</v>
      </c>
      <c r="E192" s="81">
        <v>20</v>
      </c>
      <c r="F192" s="81"/>
      <c r="G192" s="12"/>
      <c r="H192" s="12"/>
    </row>
    <row r="193" spans="1:12" ht="25.5" x14ac:dyDescent="0.2">
      <c r="A193" s="115" t="s">
        <v>562</v>
      </c>
      <c r="B193" s="80"/>
      <c r="C193" s="96" t="s">
        <v>270</v>
      </c>
      <c r="D193" s="84" t="s">
        <v>116</v>
      </c>
      <c r="E193" s="81">
        <v>23</v>
      </c>
      <c r="F193" s="81"/>
      <c r="G193" s="12"/>
      <c r="H193" s="12"/>
    </row>
    <row r="194" spans="1:12" ht="40.5" x14ac:dyDescent="0.2">
      <c r="A194" s="115" t="s">
        <v>638</v>
      </c>
      <c r="B194" s="80"/>
      <c r="C194" s="92" t="s">
        <v>452</v>
      </c>
      <c r="D194" s="75"/>
      <c r="E194" s="93">
        <f>SUM(E195:E200)</f>
        <v>170</v>
      </c>
      <c r="F194" s="93">
        <f>SUM(F195:F200)</f>
        <v>0</v>
      </c>
      <c r="G194" s="12"/>
      <c r="H194" s="12"/>
    </row>
    <row r="195" spans="1:12" ht="41.45" customHeight="1" x14ac:dyDescent="0.2">
      <c r="A195" s="91" t="s">
        <v>639</v>
      </c>
      <c r="B195" s="80"/>
      <c r="C195" s="96" t="s">
        <v>287</v>
      </c>
      <c r="D195" s="80" t="s">
        <v>116</v>
      </c>
      <c r="E195" s="81">
        <f>47</f>
        <v>47</v>
      </c>
      <c r="F195" s="81"/>
      <c r="G195" s="12"/>
      <c r="H195" s="12"/>
    </row>
    <row r="196" spans="1:12" ht="25.5" x14ac:dyDescent="0.2">
      <c r="A196" s="91" t="s">
        <v>640</v>
      </c>
      <c r="B196" s="80"/>
      <c r="C196" s="96" t="s">
        <v>288</v>
      </c>
      <c r="D196" s="82" t="s">
        <v>126</v>
      </c>
      <c r="E196" s="81">
        <v>11</v>
      </c>
      <c r="F196" s="81"/>
      <c r="G196" s="12"/>
      <c r="H196" s="12"/>
    </row>
    <row r="197" spans="1:12" ht="38.25" x14ac:dyDescent="0.2">
      <c r="A197" s="91" t="s">
        <v>641</v>
      </c>
      <c r="B197" s="80"/>
      <c r="C197" s="96" t="s">
        <v>376</v>
      </c>
      <c r="D197" s="84" t="s">
        <v>116</v>
      </c>
      <c r="E197" s="81">
        <f>3</f>
        <v>3</v>
      </c>
      <c r="F197" s="81"/>
      <c r="G197" s="12"/>
      <c r="H197" s="12"/>
    </row>
    <row r="198" spans="1:12" ht="51" x14ac:dyDescent="0.2">
      <c r="A198" s="91" t="s">
        <v>642</v>
      </c>
      <c r="B198" s="80"/>
      <c r="C198" s="96" t="s">
        <v>484</v>
      </c>
      <c r="D198" s="84" t="s">
        <v>116</v>
      </c>
      <c r="E198" s="81">
        <v>80</v>
      </c>
      <c r="F198" s="81"/>
      <c r="G198" s="12"/>
      <c r="H198" s="12"/>
    </row>
    <row r="199" spans="1:12" ht="38.25" x14ac:dyDescent="0.2">
      <c r="A199" s="91" t="s">
        <v>643</v>
      </c>
      <c r="B199" s="80"/>
      <c r="C199" s="96" t="s">
        <v>483</v>
      </c>
      <c r="D199" s="80" t="s">
        <v>116</v>
      </c>
      <c r="E199" s="81">
        <v>6</v>
      </c>
      <c r="F199" s="81"/>
      <c r="G199" s="12"/>
      <c r="H199" s="12"/>
    </row>
    <row r="200" spans="1:12" x14ac:dyDescent="0.2">
      <c r="A200" s="91" t="s">
        <v>644</v>
      </c>
      <c r="B200" s="80"/>
      <c r="C200" s="96" t="s">
        <v>637</v>
      </c>
      <c r="D200" s="84" t="s">
        <v>116</v>
      </c>
      <c r="E200" s="81">
        <v>23</v>
      </c>
      <c r="F200" s="81"/>
      <c r="G200" s="12"/>
      <c r="H200" s="12"/>
    </row>
    <row r="201" spans="1:12" x14ac:dyDescent="0.2">
      <c r="A201" s="76">
        <v>79</v>
      </c>
      <c r="B201" s="75" t="s">
        <v>84</v>
      </c>
      <c r="C201" s="116" t="s">
        <v>85</v>
      </c>
      <c r="D201" s="73"/>
      <c r="E201" s="78">
        <f>+E202+E203+E228+E229+E230+E231+E232+E233+E234+E235+E236+E237+E238</f>
        <v>2516.3999999999996</v>
      </c>
      <c r="F201" s="78">
        <f>+F202+F203+F228+F229+F230+F231+F232+F233+F234+F235+F236+F237+F238</f>
        <v>0</v>
      </c>
      <c r="G201" s="12"/>
      <c r="H201" s="12"/>
    </row>
    <row r="202" spans="1:12" ht="27" customHeight="1" x14ac:dyDescent="0.2">
      <c r="A202" s="76">
        <v>80</v>
      </c>
      <c r="B202" s="75"/>
      <c r="C202" s="117" t="s">
        <v>270</v>
      </c>
      <c r="D202" s="82" t="s">
        <v>131</v>
      </c>
      <c r="E202" s="118">
        <f>142-16.2+66.2</f>
        <v>192</v>
      </c>
      <c r="F202" s="118"/>
      <c r="G202" s="12"/>
      <c r="H202" s="12"/>
    </row>
    <row r="203" spans="1:12" ht="27" customHeight="1" x14ac:dyDescent="0.2">
      <c r="A203" s="76">
        <v>81</v>
      </c>
      <c r="B203" s="80"/>
      <c r="C203" s="89" t="s">
        <v>173</v>
      </c>
      <c r="D203" s="82"/>
      <c r="E203" s="81">
        <f>E204</f>
        <v>1344.6</v>
      </c>
      <c r="F203" s="81">
        <f>F204</f>
        <v>0</v>
      </c>
      <c r="G203" s="12"/>
      <c r="H203" s="12"/>
    </row>
    <row r="204" spans="1:12" ht="12.6" customHeight="1" x14ac:dyDescent="0.2">
      <c r="A204" s="91" t="s">
        <v>675</v>
      </c>
      <c r="B204" s="80"/>
      <c r="C204" s="92" t="s">
        <v>452</v>
      </c>
      <c r="D204" s="82"/>
      <c r="E204" s="93">
        <f>SUM(E205:E227)</f>
        <v>1344.6</v>
      </c>
      <c r="F204" s="93">
        <f>SUM(F205:F225)</f>
        <v>0</v>
      </c>
      <c r="G204" s="12"/>
      <c r="H204" s="12"/>
    </row>
    <row r="205" spans="1:12" ht="39" customHeight="1" x14ac:dyDescent="0.2">
      <c r="A205" s="91" t="s">
        <v>676</v>
      </c>
      <c r="B205" s="80"/>
      <c r="C205" s="95" t="s">
        <v>380</v>
      </c>
      <c r="D205" s="82" t="s">
        <v>128</v>
      </c>
      <c r="E205" s="81">
        <v>75</v>
      </c>
      <c r="F205" s="81"/>
      <c r="G205" s="12"/>
      <c r="H205" s="12"/>
    </row>
    <row r="206" spans="1:12" ht="27.6" customHeight="1" x14ac:dyDescent="0.2">
      <c r="A206" s="91" t="s">
        <v>677</v>
      </c>
      <c r="B206" s="80"/>
      <c r="C206" s="95" t="s">
        <v>433</v>
      </c>
      <c r="D206" s="82" t="s">
        <v>128</v>
      </c>
      <c r="E206" s="81">
        <v>50</v>
      </c>
      <c r="F206" s="81"/>
      <c r="G206" s="12"/>
      <c r="H206" s="12"/>
      <c r="J206" s="9"/>
      <c r="K206" s="9"/>
      <c r="L206" s="9"/>
    </row>
    <row r="207" spans="1:12" ht="25.5" x14ac:dyDescent="0.2">
      <c r="A207" s="91" t="s">
        <v>678</v>
      </c>
      <c r="B207" s="80"/>
      <c r="C207" s="96" t="s">
        <v>381</v>
      </c>
      <c r="D207" s="82" t="s">
        <v>38</v>
      </c>
      <c r="E207" s="81">
        <f>25+5</f>
        <v>30</v>
      </c>
      <c r="F207" s="81"/>
      <c r="G207" s="12"/>
      <c r="H207" s="12"/>
      <c r="J207" s="9"/>
      <c r="K207" s="9"/>
      <c r="L207" s="9"/>
    </row>
    <row r="208" spans="1:12" ht="38.25" x14ac:dyDescent="0.2">
      <c r="A208" s="91" t="s">
        <v>679</v>
      </c>
      <c r="B208" s="80"/>
      <c r="C208" s="89" t="s">
        <v>139</v>
      </c>
      <c r="D208" s="82" t="s">
        <v>128</v>
      </c>
      <c r="E208" s="81">
        <v>60</v>
      </c>
      <c r="F208" s="81"/>
      <c r="G208" s="12"/>
      <c r="H208" s="12"/>
    </row>
    <row r="209" spans="1:8" ht="40.15" customHeight="1" x14ac:dyDescent="0.2">
      <c r="A209" s="91" t="s">
        <v>680</v>
      </c>
      <c r="B209" s="80"/>
      <c r="C209" s="89" t="s">
        <v>485</v>
      </c>
      <c r="D209" s="119" t="s">
        <v>196</v>
      </c>
      <c r="E209" s="81">
        <f>60+23.1</f>
        <v>83.1</v>
      </c>
      <c r="F209" s="81"/>
      <c r="G209" s="12"/>
      <c r="H209" s="12"/>
    </row>
    <row r="210" spans="1:8" ht="38.25" x14ac:dyDescent="0.2">
      <c r="A210" s="91" t="s">
        <v>681</v>
      </c>
      <c r="B210" s="80"/>
      <c r="C210" s="54" t="s">
        <v>153</v>
      </c>
      <c r="D210" s="82" t="s">
        <v>152</v>
      </c>
      <c r="E210" s="81">
        <f>145.3</f>
        <v>145.30000000000001</v>
      </c>
      <c r="F210" s="81"/>
      <c r="G210" s="12"/>
      <c r="H210" s="12"/>
    </row>
    <row r="211" spans="1:8" x14ac:dyDescent="0.2">
      <c r="A211" s="91" t="s">
        <v>682</v>
      </c>
      <c r="B211" s="80"/>
      <c r="C211" s="54" t="s">
        <v>200</v>
      </c>
      <c r="D211" s="120" t="s">
        <v>197</v>
      </c>
      <c r="E211" s="81">
        <v>39.5</v>
      </c>
      <c r="F211" s="81"/>
      <c r="G211" s="12"/>
      <c r="H211" s="12"/>
    </row>
    <row r="212" spans="1:8" ht="12.6" customHeight="1" x14ac:dyDescent="0.2">
      <c r="A212" s="91" t="s">
        <v>683</v>
      </c>
      <c r="B212" s="80"/>
      <c r="C212" s="54" t="s">
        <v>382</v>
      </c>
      <c r="D212" s="119" t="s">
        <v>196</v>
      </c>
      <c r="E212" s="81">
        <f>13.5+4.2</f>
        <v>17.7</v>
      </c>
      <c r="F212" s="81"/>
      <c r="G212" s="12"/>
      <c r="H212" s="12"/>
    </row>
    <row r="213" spans="1:8" ht="25.5" x14ac:dyDescent="0.2">
      <c r="A213" s="91" t="s">
        <v>684</v>
      </c>
      <c r="B213" s="80"/>
      <c r="C213" s="54" t="s">
        <v>487</v>
      </c>
      <c r="D213" s="82" t="s">
        <v>144</v>
      </c>
      <c r="E213" s="81">
        <f>10</f>
        <v>10</v>
      </c>
      <c r="F213" s="81"/>
      <c r="G213" s="12"/>
      <c r="H213" s="12"/>
    </row>
    <row r="214" spans="1:8" x14ac:dyDescent="0.2">
      <c r="A214" s="91" t="s">
        <v>685</v>
      </c>
      <c r="B214" s="80"/>
      <c r="C214" s="96" t="s">
        <v>486</v>
      </c>
      <c r="D214" s="82" t="s">
        <v>144</v>
      </c>
      <c r="E214" s="81">
        <v>15</v>
      </c>
      <c r="F214" s="81"/>
      <c r="G214" s="12"/>
      <c r="H214" s="12"/>
    </row>
    <row r="215" spans="1:8" ht="12.6" customHeight="1" x14ac:dyDescent="0.2">
      <c r="A215" s="91" t="s">
        <v>686</v>
      </c>
      <c r="B215" s="80"/>
      <c r="C215" s="96" t="s">
        <v>383</v>
      </c>
      <c r="D215" s="82" t="s">
        <v>144</v>
      </c>
      <c r="E215" s="81">
        <v>4</v>
      </c>
      <c r="F215" s="81"/>
      <c r="G215" s="12"/>
      <c r="H215" s="12"/>
    </row>
    <row r="216" spans="1:8" ht="25.5" x14ac:dyDescent="0.2">
      <c r="A216" s="91" t="s">
        <v>687</v>
      </c>
      <c r="B216" s="80"/>
      <c r="C216" s="96" t="s">
        <v>488</v>
      </c>
      <c r="D216" s="82" t="s">
        <v>144</v>
      </c>
      <c r="E216" s="81">
        <f>17-12</f>
        <v>5</v>
      </c>
      <c r="F216" s="81"/>
      <c r="G216" s="12"/>
      <c r="H216" s="12"/>
    </row>
    <row r="217" spans="1:8" ht="25.5" x14ac:dyDescent="0.2">
      <c r="A217" s="91" t="s">
        <v>688</v>
      </c>
      <c r="B217" s="80"/>
      <c r="C217" s="96" t="s">
        <v>426</v>
      </c>
      <c r="D217" s="82" t="s">
        <v>144</v>
      </c>
      <c r="E217" s="81">
        <f>20-15</f>
        <v>5</v>
      </c>
      <c r="F217" s="81"/>
      <c r="G217" s="12"/>
      <c r="H217" s="12"/>
    </row>
    <row r="218" spans="1:8" ht="25.5" x14ac:dyDescent="0.2">
      <c r="A218" s="91" t="s">
        <v>689</v>
      </c>
      <c r="B218" s="80"/>
      <c r="C218" s="96" t="s">
        <v>122</v>
      </c>
      <c r="D218" s="82" t="s">
        <v>155</v>
      </c>
      <c r="E218" s="81">
        <f>40+40</f>
        <v>80</v>
      </c>
      <c r="F218" s="81"/>
      <c r="G218" s="12"/>
      <c r="H218" s="12"/>
    </row>
    <row r="219" spans="1:8" ht="12.75" customHeight="1" x14ac:dyDescent="0.2">
      <c r="A219" s="91" t="s">
        <v>690</v>
      </c>
      <c r="B219" s="80"/>
      <c r="C219" s="96" t="s">
        <v>123</v>
      </c>
      <c r="D219" s="82" t="s">
        <v>155</v>
      </c>
      <c r="E219" s="81">
        <v>40</v>
      </c>
      <c r="F219" s="81"/>
      <c r="G219" s="12"/>
      <c r="H219" s="12"/>
    </row>
    <row r="220" spans="1:8" ht="12.6" customHeight="1" x14ac:dyDescent="0.2">
      <c r="A220" s="91" t="s">
        <v>691</v>
      </c>
      <c r="B220" s="80"/>
      <c r="C220" s="54" t="s">
        <v>289</v>
      </c>
      <c r="D220" s="82" t="s">
        <v>86</v>
      </c>
      <c r="E220" s="81">
        <f>75-10</f>
        <v>65</v>
      </c>
      <c r="F220" s="81"/>
      <c r="G220" s="12"/>
      <c r="H220" s="12"/>
    </row>
    <row r="221" spans="1:8" ht="25.5" x14ac:dyDescent="0.2">
      <c r="A221" s="91" t="s">
        <v>692</v>
      </c>
      <c r="B221" s="80"/>
      <c r="C221" s="96" t="s">
        <v>440</v>
      </c>
      <c r="D221" s="82" t="s">
        <v>86</v>
      </c>
      <c r="E221" s="81">
        <f>60+10</f>
        <v>70</v>
      </c>
      <c r="F221" s="81"/>
      <c r="G221" s="12"/>
      <c r="H221" s="12"/>
    </row>
    <row r="222" spans="1:8" x14ac:dyDescent="0.2">
      <c r="A222" s="91" t="s">
        <v>693</v>
      </c>
      <c r="B222" s="80"/>
      <c r="C222" s="96" t="s">
        <v>124</v>
      </c>
      <c r="D222" s="82" t="s">
        <v>155</v>
      </c>
      <c r="E222" s="81">
        <v>70</v>
      </c>
      <c r="F222" s="81"/>
      <c r="G222" s="12"/>
      <c r="H222" s="12"/>
    </row>
    <row r="223" spans="1:8" ht="12.6" customHeight="1" x14ac:dyDescent="0.2">
      <c r="A223" s="91" t="s">
        <v>694</v>
      </c>
      <c r="B223" s="80"/>
      <c r="C223" s="96" t="s">
        <v>384</v>
      </c>
      <c r="D223" s="82" t="s">
        <v>155</v>
      </c>
      <c r="E223" s="81">
        <f>100+5+60</f>
        <v>165</v>
      </c>
      <c r="F223" s="81"/>
      <c r="G223" s="12"/>
      <c r="H223" s="12"/>
    </row>
    <row r="224" spans="1:8" ht="12.6" customHeight="1" x14ac:dyDescent="0.2">
      <c r="A224" s="91" t="s">
        <v>695</v>
      </c>
      <c r="B224" s="80"/>
      <c r="C224" s="96" t="s">
        <v>125</v>
      </c>
      <c r="D224" s="82" t="s">
        <v>155</v>
      </c>
      <c r="E224" s="81">
        <v>50</v>
      </c>
      <c r="F224" s="81"/>
      <c r="G224" s="12"/>
      <c r="H224" s="12"/>
    </row>
    <row r="225" spans="1:8" ht="12.6" customHeight="1" x14ac:dyDescent="0.2">
      <c r="A225" s="91" t="s">
        <v>696</v>
      </c>
      <c r="B225" s="80"/>
      <c r="C225" s="54" t="s">
        <v>385</v>
      </c>
      <c r="D225" s="82" t="s">
        <v>155</v>
      </c>
      <c r="E225" s="81">
        <f>80-40</f>
        <v>40</v>
      </c>
      <c r="F225" s="81"/>
      <c r="G225" s="12"/>
      <c r="H225" s="12"/>
    </row>
    <row r="226" spans="1:8" x14ac:dyDescent="0.2">
      <c r="A226" s="91" t="s">
        <v>697</v>
      </c>
      <c r="B226" s="80"/>
      <c r="C226" s="54" t="s">
        <v>621</v>
      </c>
      <c r="D226" s="82" t="s">
        <v>155</v>
      </c>
      <c r="E226" s="81">
        <v>50</v>
      </c>
      <c r="F226" s="81"/>
      <c r="G226" s="12"/>
      <c r="H226" s="12"/>
    </row>
    <row r="227" spans="1:8" ht="25.5" x14ac:dyDescent="0.2">
      <c r="A227" s="91" t="s">
        <v>698</v>
      </c>
      <c r="B227" s="80"/>
      <c r="C227" s="54" t="s">
        <v>622</v>
      </c>
      <c r="D227" s="82" t="s">
        <v>155</v>
      </c>
      <c r="E227" s="81">
        <v>175</v>
      </c>
      <c r="F227" s="81"/>
      <c r="G227" s="12"/>
      <c r="H227" s="12"/>
    </row>
    <row r="228" spans="1:8" ht="25.5" x14ac:dyDescent="0.2">
      <c r="A228" s="76">
        <v>82</v>
      </c>
      <c r="B228" s="75"/>
      <c r="C228" s="54" t="s">
        <v>8</v>
      </c>
      <c r="D228" s="82" t="s">
        <v>87</v>
      </c>
      <c r="E228" s="81">
        <f>788.8-76</f>
        <v>712.8</v>
      </c>
      <c r="F228" s="81"/>
      <c r="G228" s="12"/>
      <c r="H228" s="12"/>
    </row>
    <row r="229" spans="1:8" ht="25.5" x14ac:dyDescent="0.2">
      <c r="A229" s="76">
        <v>83</v>
      </c>
      <c r="B229" s="75"/>
      <c r="C229" s="54" t="s">
        <v>4</v>
      </c>
      <c r="D229" s="82" t="s">
        <v>86</v>
      </c>
      <c r="E229" s="81">
        <f>40+7</f>
        <v>47</v>
      </c>
      <c r="F229" s="81"/>
      <c r="G229" s="12"/>
      <c r="H229" s="12"/>
    </row>
    <row r="230" spans="1:8" ht="12.6" customHeight="1" x14ac:dyDescent="0.2">
      <c r="A230" s="76">
        <v>84</v>
      </c>
      <c r="B230" s="75"/>
      <c r="C230" s="54" t="s">
        <v>5</v>
      </c>
      <c r="D230" s="82" t="s">
        <v>86</v>
      </c>
      <c r="E230" s="81">
        <f>12.9+3.1</f>
        <v>16</v>
      </c>
      <c r="F230" s="81"/>
      <c r="G230" s="12"/>
      <c r="H230" s="12"/>
    </row>
    <row r="231" spans="1:8" ht="12.6" customHeight="1" x14ac:dyDescent="0.2">
      <c r="A231" s="76">
        <v>85</v>
      </c>
      <c r="B231" s="75"/>
      <c r="C231" s="89" t="s">
        <v>7</v>
      </c>
      <c r="D231" s="82" t="s">
        <v>86</v>
      </c>
      <c r="E231" s="81">
        <v>30</v>
      </c>
      <c r="F231" s="81"/>
      <c r="G231" s="12"/>
      <c r="H231" s="12"/>
    </row>
    <row r="232" spans="1:8" ht="12.6" customHeight="1" x14ac:dyDescent="0.2">
      <c r="A232" s="76">
        <v>86</v>
      </c>
      <c r="B232" s="75"/>
      <c r="C232" s="54" t="s">
        <v>6</v>
      </c>
      <c r="D232" s="82" t="s">
        <v>86</v>
      </c>
      <c r="E232" s="81">
        <f>21.4+3</f>
        <v>24.4</v>
      </c>
      <c r="F232" s="81"/>
      <c r="G232" s="12"/>
      <c r="H232" s="12"/>
    </row>
    <row r="233" spans="1:8" ht="12.6" customHeight="1" x14ac:dyDescent="0.2">
      <c r="A233" s="76">
        <v>87</v>
      </c>
      <c r="B233" s="75"/>
      <c r="C233" s="54" t="s">
        <v>9</v>
      </c>
      <c r="D233" s="82" t="s">
        <v>86</v>
      </c>
      <c r="E233" s="81">
        <v>35</v>
      </c>
      <c r="F233" s="81"/>
      <c r="G233" s="12"/>
      <c r="H233" s="12"/>
    </row>
    <row r="234" spans="1:8" ht="12.6" customHeight="1" x14ac:dyDescent="0.2">
      <c r="A234" s="76">
        <v>88</v>
      </c>
      <c r="B234" s="75"/>
      <c r="C234" s="89" t="s">
        <v>10</v>
      </c>
      <c r="D234" s="82" t="s">
        <v>86</v>
      </c>
      <c r="E234" s="81">
        <v>20</v>
      </c>
      <c r="F234" s="81"/>
      <c r="G234" s="12"/>
      <c r="H234" s="12"/>
    </row>
    <row r="235" spans="1:8" ht="12.6" customHeight="1" x14ac:dyDescent="0.2">
      <c r="A235" s="76">
        <v>89</v>
      </c>
      <c r="B235" s="75"/>
      <c r="C235" s="54" t="s">
        <v>12</v>
      </c>
      <c r="D235" s="82" t="s">
        <v>86</v>
      </c>
      <c r="E235" s="81">
        <v>22</v>
      </c>
      <c r="F235" s="81"/>
      <c r="G235" s="12"/>
      <c r="H235" s="12"/>
    </row>
    <row r="236" spans="1:8" ht="12.6" customHeight="1" x14ac:dyDescent="0.2">
      <c r="A236" s="76">
        <v>90</v>
      </c>
      <c r="B236" s="75"/>
      <c r="C236" s="54" t="s">
        <v>11</v>
      </c>
      <c r="D236" s="82" t="s">
        <v>86</v>
      </c>
      <c r="E236" s="81">
        <v>15.7</v>
      </c>
      <c r="F236" s="81"/>
      <c r="G236" s="12"/>
      <c r="H236" s="12"/>
    </row>
    <row r="237" spans="1:8" ht="12.6" customHeight="1" x14ac:dyDescent="0.2">
      <c r="A237" s="76">
        <v>91</v>
      </c>
      <c r="B237" s="75"/>
      <c r="C237" s="54" t="s">
        <v>13</v>
      </c>
      <c r="D237" s="82" t="s">
        <v>86</v>
      </c>
      <c r="E237" s="81">
        <f>9.8+4.5+8</f>
        <v>22.3</v>
      </c>
      <c r="F237" s="81"/>
      <c r="G237" s="12"/>
      <c r="H237" s="12"/>
    </row>
    <row r="238" spans="1:8" ht="12.6" customHeight="1" x14ac:dyDescent="0.2">
      <c r="A238" s="76">
        <v>92</v>
      </c>
      <c r="B238" s="80"/>
      <c r="C238" s="54" t="s">
        <v>14</v>
      </c>
      <c r="D238" s="82" t="s">
        <v>86</v>
      </c>
      <c r="E238" s="81">
        <v>34.6</v>
      </c>
      <c r="F238" s="81"/>
      <c r="G238" s="12"/>
      <c r="H238" s="12"/>
    </row>
    <row r="239" spans="1:8" ht="12.6" customHeight="1" x14ac:dyDescent="0.2">
      <c r="A239" s="76">
        <v>93</v>
      </c>
      <c r="B239" s="75" t="s">
        <v>89</v>
      </c>
      <c r="C239" s="99" t="s">
        <v>90</v>
      </c>
      <c r="D239" s="73"/>
      <c r="E239" s="63">
        <f>+E253+E254+E256+E255+E252+E257+E258+E260+E259+E261+E262+E240</f>
        <v>6026.7999999999993</v>
      </c>
      <c r="F239" s="63">
        <f>+F253+F254+F256+F255+F252+F257+F258+F260+F259+F261+F262+F240</f>
        <v>983.2</v>
      </c>
      <c r="G239" s="12"/>
      <c r="H239" s="12"/>
    </row>
    <row r="240" spans="1:8" ht="27" customHeight="1" x14ac:dyDescent="0.2">
      <c r="A240" s="76">
        <v>94</v>
      </c>
      <c r="B240" s="80"/>
      <c r="C240" s="89" t="s">
        <v>166</v>
      </c>
      <c r="D240" s="82"/>
      <c r="E240" s="81">
        <f>+E241+E242+E243+E244+E245+E246+E247+E248</f>
        <v>2568.8999999999996</v>
      </c>
      <c r="F240" s="81">
        <f>+F241+F242+F243+F244+F245+F246+F247+F248</f>
        <v>0</v>
      </c>
      <c r="G240" s="12"/>
      <c r="H240" s="12"/>
    </row>
    <row r="241" spans="1:12" ht="12.6" customHeight="1" x14ac:dyDescent="0.2">
      <c r="A241" s="91" t="s">
        <v>699</v>
      </c>
      <c r="B241" s="80"/>
      <c r="C241" s="121" t="s">
        <v>3</v>
      </c>
      <c r="D241" s="80" t="s">
        <v>143</v>
      </c>
      <c r="E241" s="81">
        <v>25</v>
      </c>
      <c r="F241" s="81"/>
      <c r="G241" s="12"/>
      <c r="H241" s="12"/>
    </row>
    <row r="242" spans="1:12" ht="12.6" customHeight="1" x14ac:dyDescent="0.2">
      <c r="A242" s="91" t="s">
        <v>700</v>
      </c>
      <c r="B242" s="80"/>
      <c r="C242" s="101" t="s">
        <v>270</v>
      </c>
      <c r="D242" s="122" t="s">
        <v>131</v>
      </c>
      <c r="E242" s="81">
        <f>548.8-23-142+16.2</f>
        <v>399.99999999999994</v>
      </c>
      <c r="F242" s="81"/>
      <c r="G242" s="12"/>
      <c r="H242" s="12"/>
    </row>
    <row r="243" spans="1:12" ht="27" customHeight="1" x14ac:dyDescent="0.2">
      <c r="A243" s="91" t="s">
        <v>701</v>
      </c>
      <c r="B243" s="80"/>
      <c r="C243" s="101" t="s">
        <v>188</v>
      </c>
      <c r="D243" s="122" t="s">
        <v>92</v>
      </c>
      <c r="E243" s="81">
        <f>1600+13+100</f>
        <v>1713</v>
      </c>
      <c r="F243" s="81"/>
      <c r="G243" s="12"/>
      <c r="H243" s="12"/>
      <c r="L243" s="13"/>
    </row>
    <row r="244" spans="1:12" ht="12.6" customHeight="1" x14ac:dyDescent="0.2">
      <c r="A244" s="91" t="s">
        <v>702</v>
      </c>
      <c r="B244" s="80"/>
      <c r="C244" s="101" t="s">
        <v>145</v>
      </c>
      <c r="D244" s="122" t="s">
        <v>92</v>
      </c>
      <c r="E244" s="81">
        <f>100+20</f>
        <v>120</v>
      </c>
      <c r="F244" s="81"/>
      <c r="G244" s="12"/>
      <c r="H244" s="12"/>
    </row>
    <row r="245" spans="1:12" ht="12.6" customHeight="1" x14ac:dyDescent="0.2">
      <c r="A245" s="91" t="s">
        <v>703</v>
      </c>
      <c r="B245" s="80"/>
      <c r="C245" s="96" t="s">
        <v>489</v>
      </c>
      <c r="D245" s="122" t="s">
        <v>92</v>
      </c>
      <c r="E245" s="81">
        <f>11.6-11.5</f>
        <v>9.9999999999999645E-2</v>
      </c>
      <c r="F245" s="81"/>
      <c r="G245" s="12"/>
      <c r="H245" s="12"/>
    </row>
    <row r="246" spans="1:12" x14ac:dyDescent="0.2">
      <c r="A246" s="91" t="s">
        <v>704</v>
      </c>
      <c r="B246" s="80"/>
      <c r="C246" s="96" t="s">
        <v>434</v>
      </c>
      <c r="D246" s="122" t="s">
        <v>92</v>
      </c>
      <c r="E246" s="81">
        <f>9.2-6</f>
        <v>3.1999999999999993</v>
      </c>
      <c r="F246" s="81"/>
      <c r="G246" s="12"/>
      <c r="H246" s="12"/>
    </row>
    <row r="247" spans="1:12" ht="12.6" customHeight="1" x14ac:dyDescent="0.2">
      <c r="A247" s="91" t="s">
        <v>705</v>
      </c>
      <c r="B247" s="80"/>
      <c r="C247" s="101" t="s">
        <v>661</v>
      </c>
      <c r="D247" s="122" t="s">
        <v>92</v>
      </c>
      <c r="E247" s="81">
        <v>7.6</v>
      </c>
      <c r="F247" s="81"/>
      <c r="G247" s="12"/>
      <c r="H247" s="12"/>
    </row>
    <row r="248" spans="1:12" ht="40.5" x14ac:dyDescent="0.2">
      <c r="A248" s="91" t="s">
        <v>706</v>
      </c>
      <c r="B248" s="80"/>
      <c r="C248" s="92" t="s">
        <v>452</v>
      </c>
      <c r="D248" s="75"/>
      <c r="E248" s="93">
        <f>+E249+E250+E251</f>
        <v>300</v>
      </c>
      <c r="F248" s="93">
        <f>+F249+F250+F251</f>
        <v>0</v>
      </c>
      <c r="G248" s="12"/>
      <c r="H248" s="12"/>
    </row>
    <row r="249" spans="1:12" x14ac:dyDescent="0.2">
      <c r="A249" s="91" t="s">
        <v>707</v>
      </c>
      <c r="B249" s="80"/>
      <c r="C249" s="95" t="s">
        <v>174</v>
      </c>
      <c r="D249" s="80" t="s">
        <v>155</v>
      </c>
      <c r="E249" s="81">
        <v>230</v>
      </c>
      <c r="F249" s="93"/>
      <c r="G249" s="12"/>
      <c r="H249" s="12"/>
    </row>
    <row r="250" spans="1:12" ht="12.6" customHeight="1" x14ac:dyDescent="0.2">
      <c r="A250" s="91" t="s">
        <v>708</v>
      </c>
      <c r="B250" s="80"/>
      <c r="C250" s="96" t="s">
        <v>151</v>
      </c>
      <c r="D250" s="122" t="s">
        <v>92</v>
      </c>
      <c r="E250" s="20">
        <f>70-10</f>
        <v>60</v>
      </c>
      <c r="F250" s="81"/>
      <c r="G250" s="12"/>
      <c r="H250" s="12"/>
    </row>
    <row r="251" spans="1:12" ht="38.25" x14ac:dyDescent="0.2">
      <c r="A251" s="91" t="s">
        <v>709</v>
      </c>
      <c r="B251" s="80"/>
      <c r="C251" s="96" t="s">
        <v>189</v>
      </c>
      <c r="D251" s="80" t="s">
        <v>143</v>
      </c>
      <c r="E251" s="20">
        <v>10</v>
      </c>
      <c r="F251" s="81"/>
      <c r="G251" s="12"/>
      <c r="H251" s="12"/>
    </row>
    <row r="252" spans="1:12" ht="38.25" x14ac:dyDescent="0.2">
      <c r="A252" s="76">
        <v>95</v>
      </c>
      <c r="B252" s="80"/>
      <c r="C252" s="94" t="s">
        <v>8</v>
      </c>
      <c r="D252" s="110" t="s">
        <v>93</v>
      </c>
      <c r="E252" s="81">
        <f>2104.5+15.7+76</f>
        <v>2196.1999999999998</v>
      </c>
      <c r="F252" s="81">
        <f>193.5+15.2+21.6</f>
        <v>230.29999999999998</v>
      </c>
      <c r="G252" s="12"/>
      <c r="H252" s="12"/>
    </row>
    <row r="253" spans="1:12" ht="25.5" x14ac:dyDescent="0.2">
      <c r="A253" s="76">
        <v>96</v>
      </c>
      <c r="B253" s="80"/>
      <c r="C253" s="54" t="s">
        <v>4</v>
      </c>
      <c r="D253" s="110" t="s">
        <v>91</v>
      </c>
      <c r="E253" s="81">
        <f>140.4+11.4-9</f>
        <v>142.80000000000001</v>
      </c>
      <c r="F253" s="81">
        <f>96.4+11.2-12.5</f>
        <v>95.100000000000009</v>
      </c>
      <c r="G253" s="12"/>
      <c r="H253" s="12"/>
    </row>
    <row r="254" spans="1:12" ht="25.5" x14ac:dyDescent="0.2">
      <c r="A254" s="76">
        <v>97</v>
      </c>
      <c r="B254" s="80"/>
      <c r="C254" s="54" t="s">
        <v>5</v>
      </c>
      <c r="D254" s="110" t="s">
        <v>92</v>
      </c>
      <c r="E254" s="81">
        <f>137.4+8.2+0.4</f>
        <v>146</v>
      </c>
      <c r="F254" s="81">
        <f>89.7+8.1+2.8</f>
        <v>100.6</v>
      </c>
      <c r="G254" s="12"/>
      <c r="H254" s="12"/>
    </row>
    <row r="255" spans="1:12" ht="26.25" customHeight="1" x14ac:dyDescent="0.2">
      <c r="A255" s="76">
        <v>98</v>
      </c>
      <c r="B255" s="80"/>
      <c r="C255" s="54" t="s">
        <v>7</v>
      </c>
      <c r="D255" s="110" t="s">
        <v>91</v>
      </c>
      <c r="E255" s="81">
        <f>103.7+9.8+12.2</f>
        <v>125.7</v>
      </c>
      <c r="F255" s="81">
        <f>61.5+9.6-15.8</f>
        <v>55.3</v>
      </c>
      <c r="G255" s="12"/>
      <c r="H255" s="12"/>
    </row>
    <row r="256" spans="1:12" ht="24.95" customHeight="1" x14ac:dyDescent="0.2">
      <c r="A256" s="76">
        <v>99</v>
      </c>
      <c r="B256" s="80"/>
      <c r="C256" s="94" t="s">
        <v>6</v>
      </c>
      <c r="D256" s="110" t="s">
        <v>91</v>
      </c>
      <c r="E256" s="81">
        <f>114.9+6.3+3.9+11</f>
        <v>136.10000000000002</v>
      </c>
      <c r="F256" s="81">
        <f>71+6.3-5.5</f>
        <v>71.8</v>
      </c>
      <c r="G256" s="12"/>
      <c r="H256" s="12"/>
    </row>
    <row r="257" spans="1:8" ht="24.95" customHeight="1" x14ac:dyDescent="0.2">
      <c r="A257" s="76">
        <v>100</v>
      </c>
      <c r="B257" s="80"/>
      <c r="C257" s="54" t="s">
        <v>9</v>
      </c>
      <c r="D257" s="110" t="s">
        <v>94</v>
      </c>
      <c r="E257" s="81">
        <f>97.6+4.5+9.6+4.4</f>
        <v>116.1</v>
      </c>
      <c r="F257" s="81">
        <f>57.1+4.3-1.1</f>
        <v>60.3</v>
      </c>
      <c r="G257" s="12"/>
      <c r="H257" s="12"/>
    </row>
    <row r="258" spans="1:8" ht="12.6" customHeight="1" x14ac:dyDescent="0.2">
      <c r="A258" s="76">
        <v>101</v>
      </c>
      <c r="B258" s="80"/>
      <c r="C258" s="89" t="s">
        <v>10</v>
      </c>
      <c r="D258" s="110" t="s">
        <v>91</v>
      </c>
      <c r="E258" s="81">
        <f>96.4+4.8-1.9+2</f>
        <v>101.3</v>
      </c>
      <c r="F258" s="81">
        <f>73.1+4.7-9.1</f>
        <v>68.7</v>
      </c>
      <c r="G258" s="12"/>
      <c r="H258" s="12"/>
    </row>
    <row r="259" spans="1:8" ht="24.95" customHeight="1" x14ac:dyDescent="0.2">
      <c r="A259" s="76">
        <v>102</v>
      </c>
      <c r="B259" s="80"/>
      <c r="C259" s="54" t="s">
        <v>12</v>
      </c>
      <c r="D259" s="110" t="s">
        <v>91</v>
      </c>
      <c r="E259" s="81">
        <f>68+3+1.5</f>
        <v>72.5</v>
      </c>
      <c r="F259" s="81">
        <f>44.8+3-6.2</f>
        <v>41.599999999999994</v>
      </c>
      <c r="G259" s="12"/>
      <c r="H259" s="12"/>
    </row>
    <row r="260" spans="1:8" ht="24.95" customHeight="1" x14ac:dyDescent="0.2">
      <c r="A260" s="76">
        <v>103</v>
      </c>
      <c r="B260" s="80"/>
      <c r="C260" s="94" t="s">
        <v>11</v>
      </c>
      <c r="D260" s="110" t="s">
        <v>91</v>
      </c>
      <c r="E260" s="81">
        <f>81.8+2.4+25</f>
        <v>109.2</v>
      </c>
      <c r="F260" s="81">
        <f>62.8+2.1</f>
        <v>64.899999999999991</v>
      </c>
      <c r="G260" s="12"/>
      <c r="H260" s="12"/>
    </row>
    <row r="261" spans="1:8" ht="29.25" customHeight="1" x14ac:dyDescent="0.2">
      <c r="A261" s="76">
        <v>104</v>
      </c>
      <c r="B261" s="80"/>
      <c r="C261" s="54" t="s">
        <v>13</v>
      </c>
      <c r="D261" s="110" t="s">
        <v>91</v>
      </c>
      <c r="E261" s="81">
        <f>89.1+4.3+1.4</f>
        <v>94.8</v>
      </c>
      <c r="F261" s="81">
        <f>51.9+4.2</f>
        <v>56.1</v>
      </c>
      <c r="G261" s="12"/>
      <c r="H261" s="12"/>
    </row>
    <row r="262" spans="1:8" ht="27" customHeight="1" x14ac:dyDescent="0.2">
      <c r="A262" s="76">
        <v>105</v>
      </c>
      <c r="B262" s="80"/>
      <c r="C262" s="54" t="s">
        <v>14</v>
      </c>
      <c r="D262" s="110" t="s">
        <v>91</v>
      </c>
      <c r="E262" s="81">
        <f>187.3+4.6+25.3</f>
        <v>217.20000000000002</v>
      </c>
      <c r="F262" s="81">
        <f>133.9+4.6</f>
        <v>138.5</v>
      </c>
      <c r="G262" s="12"/>
      <c r="H262" s="12"/>
    </row>
    <row r="263" spans="1:8" ht="24.95" customHeight="1" x14ac:dyDescent="0.2">
      <c r="A263" s="76">
        <v>106</v>
      </c>
      <c r="B263" s="75" t="s">
        <v>32</v>
      </c>
      <c r="C263" s="99" t="s">
        <v>33</v>
      </c>
      <c r="D263" s="110"/>
      <c r="E263" s="63">
        <f>+E264</f>
        <v>334.8</v>
      </c>
      <c r="F263" s="63">
        <f>+F264</f>
        <v>86.1</v>
      </c>
      <c r="G263" s="12"/>
      <c r="H263" s="12"/>
    </row>
    <row r="264" spans="1:8" x14ac:dyDescent="0.2">
      <c r="A264" s="76">
        <v>107</v>
      </c>
      <c r="B264" s="75"/>
      <c r="C264" s="89" t="s">
        <v>180</v>
      </c>
      <c r="D264" s="110"/>
      <c r="E264" s="81">
        <f>+E266+E265</f>
        <v>334.8</v>
      </c>
      <c r="F264" s="81">
        <f>+F266+F265</f>
        <v>86.1</v>
      </c>
      <c r="G264" s="12"/>
      <c r="H264" s="12"/>
    </row>
    <row r="265" spans="1:8" ht="12.6" customHeight="1" x14ac:dyDescent="0.2">
      <c r="A265" s="76" t="s">
        <v>710</v>
      </c>
      <c r="B265" s="75"/>
      <c r="C265" s="89" t="s">
        <v>99</v>
      </c>
      <c r="D265" s="80" t="s">
        <v>245</v>
      </c>
      <c r="E265" s="81">
        <f>119.5-19.5</f>
        <v>100</v>
      </c>
      <c r="F265" s="81">
        <f>105.6-19.5</f>
        <v>86.1</v>
      </c>
      <c r="G265" s="12"/>
      <c r="H265" s="12"/>
    </row>
    <row r="266" spans="1:8" ht="12.6" customHeight="1" x14ac:dyDescent="0.2">
      <c r="A266" s="91" t="s">
        <v>711</v>
      </c>
      <c r="B266" s="80"/>
      <c r="C266" s="92" t="s">
        <v>452</v>
      </c>
      <c r="D266" s="123"/>
      <c r="E266" s="93">
        <f>SUM(E267:E271)</f>
        <v>234.8</v>
      </c>
      <c r="F266" s="93">
        <f>+F267+F268</f>
        <v>0</v>
      </c>
      <c r="G266" s="12"/>
      <c r="H266" s="12"/>
    </row>
    <row r="267" spans="1:8" ht="25.5" x14ac:dyDescent="0.2">
      <c r="A267" s="115" t="s">
        <v>712</v>
      </c>
      <c r="B267" s="80"/>
      <c r="C267" s="54" t="s">
        <v>190</v>
      </c>
      <c r="D267" s="110" t="s">
        <v>144</v>
      </c>
      <c r="E267" s="81">
        <v>40</v>
      </c>
      <c r="F267" s="81"/>
      <c r="G267" s="12"/>
      <c r="H267" s="12"/>
    </row>
    <row r="268" spans="1:8" x14ac:dyDescent="0.2">
      <c r="A268" s="115" t="s">
        <v>713</v>
      </c>
      <c r="B268" s="80"/>
      <c r="C268" s="54" t="s">
        <v>662</v>
      </c>
      <c r="D268" s="82" t="s">
        <v>248</v>
      </c>
      <c r="E268" s="81">
        <v>10</v>
      </c>
      <c r="F268" s="81"/>
      <c r="G268" s="12"/>
      <c r="H268" s="12"/>
    </row>
    <row r="269" spans="1:8" ht="38.25" x14ac:dyDescent="0.2">
      <c r="A269" s="115" t="s">
        <v>714</v>
      </c>
      <c r="B269" s="80"/>
      <c r="C269" s="54" t="s">
        <v>490</v>
      </c>
      <c r="D269" s="82" t="s">
        <v>144</v>
      </c>
      <c r="E269" s="81">
        <f>151+10.7</f>
        <v>161.69999999999999</v>
      </c>
      <c r="F269" s="81"/>
      <c r="G269" s="12"/>
      <c r="H269" s="12"/>
    </row>
    <row r="270" spans="1:8" ht="38.25" x14ac:dyDescent="0.2">
      <c r="A270" s="115" t="s">
        <v>715</v>
      </c>
      <c r="B270" s="80"/>
      <c r="C270" s="54" t="s">
        <v>491</v>
      </c>
      <c r="D270" s="82" t="s">
        <v>144</v>
      </c>
      <c r="E270" s="81">
        <v>3.8</v>
      </c>
      <c r="F270" s="81"/>
      <c r="G270" s="12"/>
      <c r="H270" s="12"/>
    </row>
    <row r="271" spans="1:8" ht="25.5" x14ac:dyDescent="0.2">
      <c r="A271" s="115" t="s">
        <v>716</v>
      </c>
      <c r="B271" s="80"/>
      <c r="C271" s="54" t="s">
        <v>492</v>
      </c>
      <c r="D271" s="82" t="s">
        <v>144</v>
      </c>
      <c r="E271" s="81">
        <f>30-10.7</f>
        <v>19.3</v>
      </c>
      <c r="F271" s="81"/>
      <c r="G271" s="12"/>
      <c r="H271" s="12"/>
    </row>
    <row r="272" spans="1:8" x14ac:dyDescent="0.2">
      <c r="A272" s="76">
        <v>108</v>
      </c>
      <c r="B272" s="75" t="s">
        <v>95</v>
      </c>
      <c r="C272" s="99" t="s">
        <v>96</v>
      </c>
      <c r="D272" s="73"/>
      <c r="E272" s="63">
        <f>+E273</f>
        <v>89</v>
      </c>
      <c r="F272" s="63">
        <f>+F273</f>
        <v>0</v>
      </c>
      <c r="G272" s="12"/>
      <c r="H272" s="12"/>
    </row>
    <row r="273" spans="1:8" x14ac:dyDescent="0.2">
      <c r="A273" s="76">
        <v>109</v>
      </c>
      <c r="B273" s="75"/>
      <c r="C273" s="89" t="s">
        <v>166</v>
      </c>
      <c r="D273" s="73"/>
      <c r="E273" s="81">
        <f>+E275+E276+E274</f>
        <v>89</v>
      </c>
      <c r="F273" s="81">
        <f>+F275+F276+F274</f>
        <v>0</v>
      </c>
      <c r="G273" s="12"/>
      <c r="H273" s="12"/>
    </row>
    <row r="274" spans="1:8" ht="12.6" customHeight="1" x14ac:dyDescent="0.2">
      <c r="A274" s="115" t="s">
        <v>717</v>
      </c>
      <c r="B274" s="75"/>
      <c r="C274" s="94" t="s">
        <v>99</v>
      </c>
      <c r="D274" s="82" t="s">
        <v>429</v>
      </c>
      <c r="E274" s="81">
        <v>3</v>
      </c>
      <c r="F274" s="81"/>
      <c r="G274" s="12"/>
      <c r="H274" s="12"/>
    </row>
    <row r="275" spans="1:8" ht="12.6" customHeight="1" x14ac:dyDescent="0.2">
      <c r="A275" s="115" t="s">
        <v>718</v>
      </c>
      <c r="B275" s="80"/>
      <c r="C275" s="94" t="s">
        <v>191</v>
      </c>
      <c r="D275" s="82" t="s">
        <v>97</v>
      </c>
      <c r="E275" s="81">
        <v>36</v>
      </c>
      <c r="F275" s="81"/>
      <c r="G275" s="12"/>
      <c r="H275" s="12"/>
    </row>
    <row r="276" spans="1:8" ht="38.25" x14ac:dyDescent="0.2">
      <c r="A276" s="115" t="s">
        <v>719</v>
      </c>
      <c r="B276" s="80"/>
      <c r="C276" s="94" t="s">
        <v>377</v>
      </c>
      <c r="D276" s="82" t="s">
        <v>97</v>
      </c>
      <c r="E276" s="81">
        <v>50</v>
      </c>
      <c r="F276" s="81"/>
      <c r="G276" s="12"/>
      <c r="H276" s="12"/>
    </row>
    <row r="277" spans="1:8" x14ac:dyDescent="0.2">
      <c r="A277" s="76">
        <v>110</v>
      </c>
      <c r="B277" s="75" t="s">
        <v>25</v>
      </c>
      <c r="C277" s="99" t="s">
        <v>26</v>
      </c>
      <c r="D277" s="73"/>
      <c r="E277" s="63">
        <f>+E278+E279+E280+E290+E291+E292+E293+E294+E295+E296+E297+E298+E299+E300</f>
        <v>8798.6</v>
      </c>
      <c r="F277" s="63">
        <f>+F278+F279+F280+F290+F291+F292+F293+F294+F295+F296+F297+F298+F299+F300</f>
        <v>4481.0000000000009</v>
      </c>
      <c r="G277" s="12"/>
      <c r="H277" s="12"/>
    </row>
    <row r="278" spans="1:8" x14ac:dyDescent="0.2">
      <c r="A278" s="76">
        <v>111</v>
      </c>
      <c r="B278" s="75"/>
      <c r="C278" s="54" t="s">
        <v>27</v>
      </c>
      <c r="D278" s="82" t="s">
        <v>28</v>
      </c>
      <c r="E278" s="81">
        <f>92+1.4+2.5+4</f>
        <v>99.9</v>
      </c>
      <c r="F278" s="81">
        <f>15.2+1.4+2.5+3.9</f>
        <v>22.999999999999996</v>
      </c>
      <c r="G278" s="12"/>
      <c r="H278" s="12"/>
    </row>
    <row r="279" spans="1:8" x14ac:dyDescent="0.2">
      <c r="A279" s="76">
        <v>112</v>
      </c>
      <c r="B279" s="75"/>
      <c r="C279" s="89" t="s">
        <v>98</v>
      </c>
      <c r="D279" s="82" t="s">
        <v>110</v>
      </c>
      <c r="E279" s="81">
        <f>171.1+14.6+19.7</f>
        <v>205.39999999999998</v>
      </c>
      <c r="F279" s="81">
        <f>156+14.2+4.6+13.6</f>
        <v>188.39999999999998</v>
      </c>
      <c r="G279" s="12"/>
      <c r="H279" s="12"/>
    </row>
    <row r="280" spans="1:8" x14ac:dyDescent="0.2">
      <c r="A280" s="76">
        <v>113</v>
      </c>
      <c r="B280" s="75"/>
      <c r="C280" s="89" t="s">
        <v>166</v>
      </c>
      <c r="D280" s="82"/>
      <c r="E280" s="81">
        <f>+E281+E283+E284+E285+E286+E287+E288+E289+E282</f>
        <v>7063.7000000000016</v>
      </c>
      <c r="F280" s="81">
        <f>+F281+F283+F284+F285+F286+F287+F288+F289+F282</f>
        <v>3400.5</v>
      </c>
      <c r="G280" s="12"/>
      <c r="H280" s="12"/>
    </row>
    <row r="281" spans="1:8" ht="89.25" x14ac:dyDescent="0.2">
      <c r="A281" s="115" t="s">
        <v>720</v>
      </c>
      <c r="B281" s="75"/>
      <c r="C281" s="89" t="s">
        <v>99</v>
      </c>
      <c r="D281" s="82" t="s">
        <v>130</v>
      </c>
      <c r="E281" s="81">
        <f>5051.8-5.5+285.1+110+47.1-33.5</f>
        <v>5455.0000000000009</v>
      </c>
      <c r="F281" s="81">
        <f>2865.1+24+279.1+110+46.4+75.9</f>
        <v>3400.5</v>
      </c>
      <c r="G281" s="12"/>
      <c r="H281" s="12"/>
    </row>
    <row r="282" spans="1:8" ht="25.5" x14ac:dyDescent="0.2">
      <c r="A282" s="115" t="s">
        <v>721</v>
      </c>
      <c r="B282" s="75"/>
      <c r="C282" s="89" t="s">
        <v>493</v>
      </c>
      <c r="D282" s="82" t="s">
        <v>155</v>
      </c>
      <c r="E282" s="81">
        <v>40</v>
      </c>
      <c r="F282" s="81"/>
      <c r="G282" s="12"/>
      <c r="H282" s="12"/>
    </row>
    <row r="283" spans="1:8" ht="25.5" x14ac:dyDescent="0.2">
      <c r="A283" s="115" t="s">
        <v>722</v>
      </c>
      <c r="B283" s="80"/>
      <c r="C283" s="94" t="s">
        <v>825</v>
      </c>
      <c r="D283" s="82" t="s">
        <v>121</v>
      </c>
      <c r="E283" s="81">
        <v>120</v>
      </c>
      <c r="F283" s="81"/>
      <c r="G283" s="12"/>
      <c r="H283" s="12"/>
    </row>
    <row r="284" spans="1:8" ht="25.5" x14ac:dyDescent="0.2">
      <c r="A284" s="115" t="s">
        <v>723</v>
      </c>
      <c r="B284" s="80"/>
      <c r="C284" s="94" t="s">
        <v>379</v>
      </c>
      <c r="D284" s="82" t="s">
        <v>38</v>
      </c>
      <c r="E284" s="81">
        <v>21.6</v>
      </c>
      <c r="F284" s="81"/>
      <c r="G284" s="12"/>
      <c r="H284" s="12"/>
    </row>
    <row r="285" spans="1:8" ht="12.6" customHeight="1" x14ac:dyDescent="0.2">
      <c r="A285" s="115" t="s">
        <v>724</v>
      </c>
      <c r="B285" s="80"/>
      <c r="C285" s="94" t="s">
        <v>378</v>
      </c>
      <c r="D285" s="82" t="s">
        <v>101</v>
      </c>
      <c r="E285" s="81">
        <f>1150-100+72</f>
        <v>1122</v>
      </c>
      <c r="F285" s="81"/>
      <c r="G285" s="12"/>
      <c r="H285" s="12"/>
    </row>
    <row r="286" spans="1:8" x14ac:dyDescent="0.2">
      <c r="A286" s="115" t="s">
        <v>725</v>
      </c>
      <c r="B286" s="80"/>
      <c r="C286" s="94" t="s">
        <v>198</v>
      </c>
      <c r="D286" s="82" t="s">
        <v>38</v>
      </c>
      <c r="E286" s="81">
        <v>15</v>
      </c>
      <c r="F286" s="81"/>
      <c r="G286" s="12"/>
      <c r="H286" s="12"/>
    </row>
    <row r="287" spans="1:8" ht="25.5" x14ac:dyDescent="0.2">
      <c r="A287" s="115" t="s">
        <v>726</v>
      </c>
      <c r="B287" s="80"/>
      <c r="C287" s="94" t="s">
        <v>175</v>
      </c>
      <c r="D287" s="82" t="s">
        <v>100</v>
      </c>
      <c r="E287" s="81">
        <v>12</v>
      </c>
      <c r="F287" s="81"/>
      <c r="G287" s="12"/>
      <c r="H287" s="12"/>
    </row>
    <row r="288" spans="1:8" x14ac:dyDescent="0.2">
      <c r="A288" s="115" t="s">
        <v>727</v>
      </c>
      <c r="B288" s="80"/>
      <c r="C288" s="94" t="s">
        <v>192</v>
      </c>
      <c r="D288" s="82" t="s">
        <v>102</v>
      </c>
      <c r="E288" s="81">
        <f>110+120</f>
        <v>230</v>
      </c>
      <c r="F288" s="81"/>
      <c r="G288" s="12"/>
      <c r="H288" s="12"/>
    </row>
    <row r="289" spans="1:13" ht="12.6" customHeight="1" x14ac:dyDescent="0.2">
      <c r="A289" s="115" t="s">
        <v>728</v>
      </c>
      <c r="B289" s="80"/>
      <c r="C289" s="94" t="s">
        <v>293</v>
      </c>
      <c r="D289" s="82" t="s">
        <v>300</v>
      </c>
      <c r="E289" s="81">
        <v>48.1</v>
      </c>
      <c r="F289" s="81"/>
      <c r="G289" s="12"/>
      <c r="H289" s="12"/>
    </row>
    <row r="290" spans="1:13" ht="12.6" customHeight="1" x14ac:dyDescent="0.2">
      <c r="A290" s="83">
        <v>114</v>
      </c>
      <c r="B290" s="84"/>
      <c r="C290" s="54" t="s">
        <v>8</v>
      </c>
      <c r="D290" s="80" t="s">
        <v>574</v>
      </c>
      <c r="E290" s="81">
        <f>184.1+22.5</f>
        <v>206.6</v>
      </c>
      <c r="F290" s="81">
        <f>111+22.3</f>
        <v>133.30000000000001</v>
      </c>
      <c r="G290" s="12"/>
      <c r="H290" s="12"/>
    </row>
    <row r="291" spans="1:13" ht="25.5" customHeight="1" x14ac:dyDescent="0.2">
      <c r="A291" s="83">
        <v>115</v>
      </c>
      <c r="B291" s="84"/>
      <c r="C291" s="54" t="s">
        <v>4</v>
      </c>
      <c r="D291" s="80" t="s">
        <v>574</v>
      </c>
      <c r="E291" s="81">
        <f>72+4.6+1.4</f>
        <v>78</v>
      </c>
      <c r="F291" s="81">
        <f>50.3+4.5+1.9</f>
        <v>56.699999999999996</v>
      </c>
      <c r="G291" s="12"/>
      <c r="H291" s="12"/>
    </row>
    <row r="292" spans="1:13" ht="25.5" x14ac:dyDescent="0.2">
      <c r="A292" s="83">
        <v>116</v>
      </c>
      <c r="B292" s="84"/>
      <c r="C292" s="54" t="s">
        <v>5</v>
      </c>
      <c r="D292" s="80" t="s">
        <v>574</v>
      </c>
      <c r="E292" s="81">
        <f>125.4+5.4-2.4</f>
        <v>128.4</v>
      </c>
      <c r="F292" s="81">
        <f>65+5.3-2.4</f>
        <v>67.899999999999991</v>
      </c>
      <c r="G292" s="12"/>
      <c r="H292" s="12"/>
    </row>
    <row r="293" spans="1:13" ht="15" customHeight="1" x14ac:dyDescent="0.2">
      <c r="A293" s="83">
        <v>117</v>
      </c>
      <c r="B293" s="84"/>
      <c r="C293" s="54" t="s">
        <v>7</v>
      </c>
      <c r="D293" s="80" t="s">
        <v>574</v>
      </c>
      <c r="E293" s="81">
        <f>97+2.1-12.1</f>
        <v>87</v>
      </c>
      <c r="F293" s="81">
        <f>61+2-0.1</f>
        <v>62.9</v>
      </c>
      <c r="G293" s="12"/>
      <c r="H293" s="12"/>
    </row>
    <row r="294" spans="1:13" x14ac:dyDescent="0.2">
      <c r="A294" s="83">
        <v>118</v>
      </c>
      <c r="B294" s="84"/>
      <c r="C294" s="54" t="s">
        <v>6</v>
      </c>
      <c r="D294" s="80" t="s">
        <v>574</v>
      </c>
      <c r="E294" s="81">
        <f>82.7+7.1-5.3</f>
        <v>84.5</v>
      </c>
      <c r="F294" s="81">
        <f>54.6+7-3.7</f>
        <v>57.9</v>
      </c>
      <c r="G294" s="12"/>
      <c r="H294" s="12"/>
    </row>
    <row r="295" spans="1:13" ht="25.5" x14ac:dyDescent="0.2">
      <c r="A295" s="83">
        <v>119</v>
      </c>
      <c r="B295" s="84"/>
      <c r="C295" s="54" t="s">
        <v>9</v>
      </c>
      <c r="D295" s="80" t="s">
        <v>574</v>
      </c>
      <c r="E295" s="81">
        <f>91+7.8-9.1</f>
        <v>89.7</v>
      </c>
      <c r="F295" s="81">
        <f>61.7+7.8-1</f>
        <v>68.5</v>
      </c>
      <c r="G295" s="12"/>
      <c r="H295" s="12"/>
    </row>
    <row r="296" spans="1:13" ht="25.5" x14ac:dyDescent="0.2">
      <c r="A296" s="83">
        <v>120</v>
      </c>
      <c r="B296" s="84"/>
      <c r="C296" s="89" t="s">
        <v>10</v>
      </c>
      <c r="D296" s="80" t="s">
        <v>574</v>
      </c>
      <c r="E296" s="81">
        <f>206.6+12.3-0.9</f>
        <v>218</v>
      </c>
      <c r="F296" s="81">
        <f>92.9+12-1.5</f>
        <v>103.4</v>
      </c>
      <c r="G296" s="12"/>
      <c r="H296" s="12"/>
    </row>
    <row r="297" spans="1:13" ht="25.5" x14ac:dyDescent="0.2">
      <c r="A297" s="83">
        <v>121</v>
      </c>
      <c r="B297" s="84"/>
      <c r="C297" s="54" t="s">
        <v>12</v>
      </c>
      <c r="D297" s="80" t="s">
        <v>574</v>
      </c>
      <c r="E297" s="81">
        <f>89.1+5.5-1.5+1.9</f>
        <v>95</v>
      </c>
      <c r="F297" s="81">
        <f>61.2+5.5+1.7+1.9</f>
        <v>70.300000000000011</v>
      </c>
      <c r="G297" s="12"/>
      <c r="H297" s="12"/>
    </row>
    <row r="298" spans="1:13" x14ac:dyDescent="0.2">
      <c r="A298" s="83">
        <v>122</v>
      </c>
      <c r="B298" s="84"/>
      <c r="C298" s="54" t="s">
        <v>11</v>
      </c>
      <c r="D298" s="80" t="s">
        <v>574</v>
      </c>
      <c r="E298" s="81">
        <f>143.5+10.3-25</f>
        <v>128.80000000000001</v>
      </c>
      <c r="F298" s="81">
        <f>64+10.3</f>
        <v>74.3</v>
      </c>
      <c r="G298" s="12"/>
      <c r="H298" s="12"/>
    </row>
    <row r="299" spans="1:13" ht="15.75" customHeight="1" x14ac:dyDescent="0.2">
      <c r="A299" s="83">
        <v>123</v>
      </c>
      <c r="B299" s="84"/>
      <c r="C299" s="54" t="s">
        <v>13</v>
      </c>
      <c r="D299" s="80" t="s">
        <v>574</v>
      </c>
      <c r="E299" s="81">
        <f>96.2-4.5+7.7</f>
        <v>99.4</v>
      </c>
      <c r="F299" s="81">
        <f>63.5+7.6</f>
        <v>71.099999999999994</v>
      </c>
      <c r="G299" s="12"/>
      <c r="H299" s="12"/>
    </row>
    <row r="300" spans="1:13" x14ac:dyDescent="0.2">
      <c r="A300" s="83">
        <v>124</v>
      </c>
      <c r="B300" s="84"/>
      <c r="C300" s="54" t="s">
        <v>14</v>
      </c>
      <c r="D300" s="80" t="s">
        <v>574</v>
      </c>
      <c r="E300" s="81">
        <f>223.4+16.1-25.3</f>
        <v>214.2</v>
      </c>
      <c r="F300" s="81">
        <f>87.1+15.7</f>
        <v>102.8</v>
      </c>
      <c r="G300" s="12"/>
      <c r="H300" s="12"/>
    </row>
    <row r="301" spans="1:13" ht="14.25" x14ac:dyDescent="0.2">
      <c r="A301" s="76">
        <v>125</v>
      </c>
      <c r="B301" s="80"/>
      <c r="C301" s="124" t="s">
        <v>20</v>
      </c>
      <c r="D301" s="80"/>
      <c r="E301" s="93">
        <f>+E10+E62+E88+E136+E163+E185+E201+E239+E263+E272+E277</f>
        <v>55122.9</v>
      </c>
      <c r="F301" s="93">
        <f>+F10+F62+F88+F136+F163+F185+F201+F239+F263+F272+F277</f>
        <v>24507.699999999997</v>
      </c>
      <c r="G301" s="18"/>
      <c r="H301" s="18"/>
      <c r="I301" s="18"/>
      <c r="J301" s="18"/>
      <c r="K301" s="18"/>
    </row>
    <row r="302" spans="1:13" x14ac:dyDescent="0.2">
      <c r="C302" s="66"/>
      <c r="F302" s="125"/>
      <c r="G302" s="126"/>
      <c r="H302" s="126"/>
    </row>
    <row r="303" spans="1:13" x14ac:dyDescent="0.2">
      <c r="A303" s="2" t="s">
        <v>215</v>
      </c>
      <c r="B303" s="2"/>
      <c r="C303" s="2"/>
      <c r="D303" s="2"/>
      <c r="E303" s="2"/>
      <c r="F303" s="2"/>
    </row>
    <row r="304" spans="1:13" x14ac:dyDescent="0.2">
      <c r="C304" s="127"/>
      <c r="E304" s="125"/>
      <c r="F304" s="125"/>
      <c r="J304" s="12"/>
      <c r="M304" s="12"/>
    </row>
    <row r="305" spans="3:7" x14ac:dyDescent="0.2">
      <c r="C305" s="66"/>
      <c r="E305" s="128"/>
      <c r="F305" s="128"/>
    </row>
    <row r="306" spans="3:7" ht="15.75" x14ac:dyDescent="0.2">
      <c r="C306" s="129"/>
      <c r="D306" s="130"/>
      <c r="E306" s="131"/>
      <c r="F306" s="125"/>
    </row>
    <row r="307" spans="3:7" x14ac:dyDescent="0.2">
      <c r="C307" s="66"/>
      <c r="D307" s="66"/>
      <c r="E307" s="13"/>
      <c r="F307" s="13"/>
    </row>
    <row r="308" spans="3:7" x14ac:dyDescent="0.2">
      <c r="C308" s="66"/>
      <c r="D308" s="132"/>
      <c r="E308" s="2"/>
      <c r="F308" s="13"/>
    </row>
    <row r="309" spans="3:7" x14ac:dyDescent="0.2">
      <c r="C309" s="133"/>
      <c r="D309" s="2"/>
      <c r="E309" s="2"/>
      <c r="F309" s="134"/>
      <c r="G309" s="134"/>
    </row>
    <row r="310" spans="3:7" x14ac:dyDescent="0.2">
      <c r="C310" s="133"/>
      <c r="D310" s="135"/>
      <c r="E310" s="134"/>
      <c r="F310" s="136"/>
      <c r="G310" s="136"/>
    </row>
    <row r="311" spans="3:7" ht="15.75" x14ac:dyDescent="0.2">
      <c r="C311" s="129"/>
      <c r="D311" s="137"/>
      <c r="E311" s="134"/>
      <c r="F311" s="138"/>
    </row>
    <row r="312" spans="3:7" ht="15.75" x14ac:dyDescent="0.2">
      <c r="C312" s="129"/>
      <c r="D312" s="137"/>
      <c r="E312" s="138"/>
      <c r="F312" s="138"/>
    </row>
    <row r="313" spans="3:7" x14ac:dyDescent="0.2">
      <c r="C313" s="66"/>
    </row>
    <row r="314" spans="3:7" x14ac:dyDescent="0.2">
      <c r="C314" s="66"/>
      <c r="D314" s="132"/>
      <c r="E314" s="139"/>
      <c r="F314" s="132"/>
    </row>
    <row r="315" spans="3:7" x14ac:dyDescent="0.2">
      <c r="C315" s="66"/>
      <c r="D315" s="132"/>
      <c r="F315" s="125"/>
    </row>
    <row r="316" spans="3:7" x14ac:dyDescent="0.2">
      <c r="G316" s="12"/>
    </row>
    <row r="317" spans="3:7" x14ac:dyDescent="0.2">
      <c r="C317" s="66"/>
      <c r="D317" s="137"/>
      <c r="E317" s="134"/>
      <c r="F317" s="125"/>
    </row>
    <row r="318" spans="3:7" x14ac:dyDescent="0.2">
      <c r="C318" s="66"/>
      <c r="D318" s="137"/>
      <c r="E318" s="139"/>
    </row>
    <row r="319" spans="3:7" x14ac:dyDescent="0.2">
      <c r="C319" s="127"/>
      <c r="E319" s="125"/>
    </row>
    <row r="320" spans="3:7" x14ac:dyDescent="0.2">
      <c r="C320" s="66"/>
      <c r="E320" s="140"/>
      <c r="F320" s="140"/>
    </row>
    <row r="321" spans="5:6" x14ac:dyDescent="0.2">
      <c r="E321" s="125"/>
    </row>
    <row r="322" spans="5:6" x14ac:dyDescent="0.2">
      <c r="E322" s="125"/>
    </row>
    <row r="323" spans="5:6" x14ac:dyDescent="0.2">
      <c r="E323" s="125"/>
    </row>
    <row r="325" spans="5:6" x14ac:dyDescent="0.2">
      <c r="E325" s="125"/>
      <c r="F325" s="125"/>
    </row>
    <row r="327" spans="5:6" x14ac:dyDescent="0.2">
      <c r="E327" s="125"/>
      <c r="F327" s="125"/>
    </row>
    <row r="336" spans="5:6" x14ac:dyDescent="0.2">
      <c r="E336" s="125"/>
      <c r="F336" s="125"/>
    </row>
  </sheetData>
  <mergeCells count="40">
    <mergeCell ref="A38:A39"/>
    <mergeCell ref="B38:B39"/>
    <mergeCell ref="D38:D39"/>
    <mergeCell ref="A134:A135"/>
    <mergeCell ref="B134:B135"/>
    <mergeCell ref="A123:A124"/>
    <mergeCell ref="B123:B124"/>
    <mergeCell ref="A128:A129"/>
    <mergeCell ref="B128:B129"/>
    <mergeCell ref="A126:A127"/>
    <mergeCell ref="B126:B127"/>
    <mergeCell ref="A130:A131"/>
    <mergeCell ref="B130:B131"/>
    <mergeCell ref="C1:F1"/>
    <mergeCell ref="E3:F3"/>
    <mergeCell ref="A5:F5"/>
    <mergeCell ref="A35:A36"/>
    <mergeCell ref="D35:D36"/>
    <mergeCell ref="C2:F2"/>
    <mergeCell ref="A140:A146"/>
    <mergeCell ref="B140:B146"/>
    <mergeCell ref="D140:D146"/>
    <mergeCell ref="A63:A64"/>
    <mergeCell ref="D63:D64"/>
    <mergeCell ref="A89:A90"/>
    <mergeCell ref="B89:B90"/>
    <mergeCell ref="D89:D90"/>
    <mergeCell ref="A116:A117"/>
    <mergeCell ref="B116:B117"/>
    <mergeCell ref="A118:A119"/>
    <mergeCell ref="B118:B119"/>
    <mergeCell ref="A121:A122"/>
    <mergeCell ref="B121:B122"/>
    <mergeCell ref="A132:A133"/>
    <mergeCell ref="B132:B133"/>
    <mergeCell ref="A171:A172"/>
    <mergeCell ref="B171:B172"/>
    <mergeCell ref="A186:A188"/>
    <mergeCell ref="B186:B188"/>
    <mergeCell ref="D186:D188"/>
  </mergeCells>
  <phoneticPr fontId="13" type="noConversion"/>
  <pageMargins left="0.70866141732283472" right="0" top="0.35433070866141736" bottom="0.19685039370078741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zoomScaleNormal="100" workbookViewId="0">
      <selection activeCell="L12" sqref="L12"/>
    </sheetView>
  </sheetViews>
  <sheetFormatPr defaultColWidth="9.140625" defaultRowHeight="12.75" x14ac:dyDescent="0.2"/>
  <cols>
    <col min="1" max="1" width="4" style="9" customWidth="1"/>
    <col min="2" max="2" width="6.7109375" style="67" customWidth="1"/>
    <col min="3" max="3" width="56" style="9" customWidth="1"/>
    <col min="4" max="4" width="10.28515625" style="67" customWidth="1"/>
    <col min="5" max="5" width="7.42578125" style="66" customWidth="1"/>
    <col min="6" max="6" width="11.140625" style="66" customWidth="1"/>
    <col min="7" max="11" width="9.140625" style="2" customWidth="1"/>
    <col min="12" max="16384" width="9.140625" style="2"/>
  </cols>
  <sheetData>
    <row r="1" spans="1:15" ht="15.75" x14ac:dyDescent="0.25">
      <c r="C1" s="228" t="s">
        <v>875</v>
      </c>
      <c r="D1" s="228"/>
      <c r="E1" s="228"/>
      <c r="F1" s="228"/>
    </row>
    <row r="2" spans="1:15" ht="15.75" x14ac:dyDescent="0.25">
      <c r="C2" s="228" t="s">
        <v>867</v>
      </c>
      <c r="D2" s="228"/>
      <c r="E2" s="228"/>
      <c r="F2" s="228"/>
    </row>
    <row r="3" spans="1:15" ht="15.75" x14ac:dyDescent="0.25">
      <c r="C3" s="219"/>
      <c r="D3" s="219"/>
      <c r="E3" s="252" t="s">
        <v>880</v>
      </c>
      <c r="F3" s="252"/>
    </row>
    <row r="5" spans="1:15" ht="18.75" customHeight="1" x14ac:dyDescent="0.2">
      <c r="A5" s="230" t="s">
        <v>448</v>
      </c>
      <c r="B5" s="230"/>
      <c r="C5" s="230"/>
      <c r="D5" s="230"/>
      <c r="E5" s="230"/>
      <c r="F5" s="230"/>
    </row>
    <row r="6" spans="1:15" x14ac:dyDescent="0.2">
      <c r="F6" s="72" t="s">
        <v>129</v>
      </c>
    </row>
    <row r="7" spans="1:15" ht="56.25" customHeight="1" x14ac:dyDescent="0.2">
      <c r="A7" s="49" t="s">
        <v>118</v>
      </c>
      <c r="B7" s="73" t="s">
        <v>359</v>
      </c>
      <c r="C7" s="49" t="s">
        <v>16</v>
      </c>
      <c r="D7" s="73" t="s">
        <v>55</v>
      </c>
      <c r="E7" s="49" t="s">
        <v>17</v>
      </c>
      <c r="F7" s="49" t="s">
        <v>29</v>
      </c>
    </row>
    <row r="8" spans="1:15" x14ac:dyDescent="0.2">
      <c r="A8" s="74">
        <v>1</v>
      </c>
      <c r="B8" s="75" t="s">
        <v>18</v>
      </c>
      <c r="C8" s="49">
        <v>3</v>
      </c>
      <c r="D8" s="73">
        <v>4</v>
      </c>
      <c r="E8" s="49">
        <v>5</v>
      </c>
      <c r="F8" s="49">
        <v>6</v>
      </c>
    </row>
    <row r="9" spans="1:15" x14ac:dyDescent="0.2">
      <c r="A9" s="76">
        <v>1</v>
      </c>
      <c r="B9" s="75" t="s">
        <v>56</v>
      </c>
      <c r="C9" s="77" t="s">
        <v>57</v>
      </c>
      <c r="D9" s="74"/>
      <c r="E9" s="141">
        <f>SUM(E10:E25)</f>
        <v>149.80000000000001</v>
      </c>
      <c r="F9" s="141">
        <f>SUM(F10:F25)</f>
        <v>57.1</v>
      </c>
      <c r="G9" s="12"/>
      <c r="H9" s="12"/>
      <c r="L9" s="12"/>
      <c r="M9" s="12"/>
      <c r="N9" s="12"/>
      <c r="O9" s="12"/>
    </row>
    <row r="10" spans="1:15" ht="12.6" customHeight="1" x14ac:dyDescent="0.2">
      <c r="A10" s="76">
        <v>2</v>
      </c>
      <c r="B10" s="98"/>
      <c r="C10" s="52" t="s">
        <v>164</v>
      </c>
      <c r="D10" s="80" t="s">
        <v>60</v>
      </c>
      <c r="E10" s="142">
        <v>9</v>
      </c>
      <c r="F10" s="142"/>
      <c r="G10" s="12"/>
      <c r="H10" s="12"/>
      <c r="L10" s="12"/>
      <c r="M10" s="12"/>
      <c r="N10" s="12"/>
      <c r="O10" s="12"/>
    </row>
    <row r="11" spans="1:15" ht="12.6" customHeight="1" x14ac:dyDescent="0.2">
      <c r="A11" s="76">
        <v>3</v>
      </c>
      <c r="B11" s="98"/>
      <c r="C11" s="52" t="s">
        <v>46</v>
      </c>
      <c r="D11" s="80" t="s">
        <v>60</v>
      </c>
      <c r="E11" s="142">
        <f>0.5+0.1</f>
        <v>0.6</v>
      </c>
      <c r="F11" s="142"/>
      <c r="G11" s="12"/>
      <c r="H11" s="12"/>
      <c r="L11" s="12"/>
      <c r="M11" s="12"/>
      <c r="N11" s="12"/>
      <c r="O11" s="12"/>
    </row>
    <row r="12" spans="1:15" ht="12.6" customHeight="1" x14ac:dyDescent="0.2">
      <c r="A12" s="76">
        <v>4</v>
      </c>
      <c r="B12" s="98"/>
      <c r="C12" s="55" t="s">
        <v>134</v>
      </c>
      <c r="D12" s="80" t="s">
        <v>60</v>
      </c>
      <c r="E12" s="142">
        <f>0.8+0.1+1</f>
        <v>1.9</v>
      </c>
      <c r="F12" s="142">
        <f>0.3+0.6</f>
        <v>0.89999999999999991</v>
      </c>
      <c r="G12" s="12"/>
      <c r="H12" s="12"/>
      <c r="L12" s="12"/>
      <c r="M12" s="12"/>
      <c r="N12" s="12"/>
      <c r="O12" s="12"/>
    </row>
    <row r="13" spans="1:15" ht="12.6" customHeight="1" x14ac:dyDescent="0.2">
      <c r="A13" s="76">
        <v>5</v>
      </c>
      <c r="B13" s="98"/>
      <c r="C13" s="55" t="s">
        <v>135</v>
      </c>
      <c r="D13" s="80" t="s">
        <v>60</v>
      </c>
      <c r="E13" s="142">
        <f>1.5+0.7</f>
        <v>2.2000000000000002</v>
      </c>
      <c r="F13" s="142"/>
      <c r="G13" s="12"/>
      <c r="H13" s="12"/>
      <c r="L13" s="12"/>
      <c r="M13" s="12"/>
      <c r="N13" s="12"/>
      <c r="O13" s="12"/>
    </row>
    <row r="14" spans="1:15" ht="12.6" customHeight="1" x14ac:dyDescent="0.2">
      <c r="A14" s="76">
        <v>6</v>
      </c>
      <c r="B14" s="98"/>
      <c r="C14" s="55" t="s">
        <v>40</v>
      </c>
      <c r="D14" s="80" t="s">
        <v>60</v>
      </c>
      <c r="E14" s="142">
        <f>2.5+0.6</f>
        <v>3.1</v>
      </c>
      <c r="F14" s="142"/>
      <c r="G14" s="12"/>
      <c r="H14" s="12"/>
      <c r="L14" s="12"/>
      <c r="M14" s="12"/>
      <c r="N14" s="12"/>
      <c r="O14" s="12"/>
    </row>
    <row r="15" spans="1:15" ht="12.6" customHeight="1" x14ac:dyDescent="0.2">
      <c r="A15" s="76">
        <v>7</v>
      </c>
      <c r="B15" s="98"/>
      <c r="C15" s="52" t="s">
        <v>137</v>
      </c>
      <c r="D15" s="80" t="s">
        <v>60</v>
      </c>
      <c r="E15" s="142">
        <f>2+0.1-1.6</f>
        <v>0.5</v>
      </c>
      <c r="F15" s="142"/>
      <c r="G15" s="12"/>
      <c r="H15" s="12"/>
      <c r="L15" s="12"/>
      <c r="M15" s="12"/>
      <c r="N15" s="12"/>
      <c r="O15" s="12"/>
    </row>
    <row r="16" spans="1:15" ht="12.6" customHeight="1" x14ac:dyDescent="0.2">
      <c r="A16" s="76">
        <v>8</v>
      </c>
      <c r="B16" s="98"/>
      <c r="C16" s="55" t="s">
        <v>162</v>
      </c>
      <c r="D16" s="82" t="s">
        <v>216</v>
      </c>
      <c r="E16" s="142">
        <f>25+9.8-7</f>
        <v>27.799999999999997</v>
      </c>
      <c r="F16" s="142"/>
      <c r="G16" s="12"/>
      <c r="H16" s="12"/>
      <c r="L16" s="12"/>
      <c r="M16" s="12"/>
      <c r="N16" s="12"/>
      <c r="O16" s="12"/>
    </row>
    <row r="17" spans="1:15" ht="12.6" customHeight="1" x14ac:dyDescent="0.2">
      <c r="A17" s="76">
        <v>9</v>
      </c>
      <c r="B17" s="98"/>
      <c r="C17" s="52" t="s">
        <v>163</v>
      </c>
      <c r="D17" s="82" t="s">
        <v>216</v>
      </c>
      <c r="E17" s="142">
        <f>2+0.5</f>
        <v>2.5</v>
      </c>
      <c r="F17" s="142"/>
      <c r="G17" s="12"/>
      <c r="H17" s="12"/>
      <c r="L17" s="12"/>
      <c r="M17" s="12"/>
      <c r="N17" s="12"/>
      <c r="O17" s="12"/>
    </row>
    <row r="18" spans="1:15" ht="12.6" customHeight="1" x14ac:dyDescent="0.2">
      <c r="A18" s="76">
        <v>10</v>
      </c>
      <c r="B18" s="98"/>
      <c r="C18" s="55" t="s">
        <v>41</v>
      </c>
      <c r="D18" s="80" t="s">
        <v>61</v>
      </c>
      <c r="E18" s="142">
        <f>0.4-0.2</f>
        <v>0.2</v>
      </c>
      <c r="F18" s="142"/>
      <c r="G18" s="12"/>
      <c r="H18" s="12"/>
      <c r="L18" s="12"/>
      <c r="M18" s="12"/>
      <c r="N18" s="12"/>
      <c r="O18" s="12"/>
    </row>
    <row r="19" spans="1:15" ht="12.6" customHeight="1" x14ac:dyDescent="0.2">
      <c r="A19" s="76">
        <v>11</v>
      </c>
      <c r="B19" s="98"/>
      <c r="C19" s="54" t="s">
        <v>210</v>
      </c>
      <c r="D19" s="80" t="s">
        <v>61</v>
      </c>
      <c r="E19" s="142">
        <f>0.2-0.1</f>
        <v>0.1</v>
      </c>
      <c r="F19" s="142"/>
      <c r="G19" s="12"/>
      <c r="H19" s="12"/>
      <c r="L19" s="12"/>
      <c r="M19" s="12"/>
      <c r="N19" s="12"/>
      <c r="O19" s="12"/>
    </row>
    <row r="20" spans="1:15" ht="12.6" customHeight="1" x14ac:dyDescent="0.2">
      <c r="A20" s="76">
        <v>12</v>
      </c>
      <c r="B20" s="98"/>
      <c r="C20" s="54" t="s">
        <v>42</v>
      </c>
      <c r="D20" s="80" t="s">
        <v>61</v>
      </c>
      <c r="E20" s="142">
        <f>0.3-0.2</f>
        <v>9.9999999999999978E-2</v>
      </c>
      <c r="F20" s="142"/>
      <c r="G20" s="12"/>
      <c r="H20" s="12"/>
      <c r="L20" s="12"/>
      <c r="M20" s="12"/>
      <c r="N20" s="12"/>
      <c r="O20" s="12"/>
    </row>
    <row r="21" spans="1:15" ht="12.6" customHeight="1" x14ac:dyDescent="0.2">
      <c r="A21" s="76">
        <v>13</v>
      </c>
      <c r="B21" s="98"/>
      <c r="C21" s="55" t="s">
        <v>111</v>
      </c>
      <c r="D21" s="80" t="s">
        <v>60</v>
      </c>
      <c r="E21" s="142">
        <f>33+22.8+23</f>
        <v>78.8</v>
      </c>
      <c r="F21" s="142">
        <f>22.2+34</f>
        <v>56.2</v>
      </c>
      <c r="G21" s="12"/>
      <c r="H21" s="12"/>
      <c r="L21" s="12"/>
      <c r="M21" s="12"/>
      <c r="N21" s="12"/>
      <c r="O21" s="12"/>
    </row>
    <row r="22" spans="1:15" ht="12.6" customHeight="1" x14ac:dyDescent="0.2">
      <c r="A22" s="76">
        <v>14</v>
      </c>
      <c r="B22" s="98"/>
      <c r="C22" s="52" t="s">
        <v>358</v>
      </c>
      <c r="D22" s="80" t="s">
        <v>61</v>
      </c>
      <c r="E22" s="142">
        <f>2+0.3+1</f>
        <v>3.3</v>
      </c>
      <c r="F22" s="142"/>
      <c r="G22" s="12"/>
      <c r="H22" s="12"/>
      <c r="L22" s="12"/>
      <c r="M22" s="12"/>
      <c r="N22" s="12"/>
      <c r="O22" s="12"/>
    </row>
    <row r="23" spans="1:15" ht="12.6" customHeight="1" x14ac:dyDescent="0.2">
      <c r="A23" s="76">
        <v>15</v>
      </c>
      <c r="B23" s="98"/>
      <c r="C23" s="52" t="s">
        <v>47</v>
      </c>
      <c r="D23" s="82" t="s">
        <v>62</v>
      </c>
      <c r="E23" s="142">
        <f>0.4+0.4</f>
        <v>0.8</v>
      </c>
      <c r="F23" s="142"/>
      <c r="G23" s="12"/>
      <c r="H23" s="12"/>
      <c r="L23" s="12"/>
      <c r="M23" s="12"/>
      <c r="N23" s="12"/>
      <c r="O23" s="12"/>
    </row>
    <row r="24" spans="1:15" ht="12.6" customHeight="1" x14ac:dyDescent="0.2">
      <c r="A24" s="76">
        <v>16</v>
      </c>
      <c r="B24" s="98"/>
      <c r="C24" s="60" t="s">
        <v>48</v>
      </c>
      <c r="D24" s="82" t="s">
        <v>62</v>
      </c>
      <c r="E24" s="142">
        <f>0.2+0.1</f>
        <v>0.30000000000000004</v>
      </c>
      <c r="F24" s="142"/>
      <c r="G24" s="12"/>
      <c r="H24" s="12"/>
      <c r="L24" s="12"/>
      <c r="M24" s="12"/>
      <c r="N24" s="12"/>
      <c r="O24" s="12"/>
    </row>
    <row r="25" spans="1:15" ht="12.6" customHeight="1" x14ac:dyDescent="0.2">
      <c r="A25" s="76">
        <v>17</v>
      </c>
      <c r="B25" s="98"/>
      <c r="C25" s="60" t="s">
        <v>211</v>
      </c>
      <c r="D25" s="80" t="s">
        <v>217</v>
      </c>
      <c r="E25" s="142">
        <f>14.9+3.7</f>
        <v>18.600000000000001</v>
      </c>
      <c r="F25" s="142"/>
      <c r="G25" s="12"/>
      <c r="H25" s="12"/>
      <c r="L25" s="12"/>
      <c r="M25" s="12"/>
      <c r="N25" s="12"/>
      <c r="O25" s="12"/>
    </row>
    <row r="26" spans="1:15" x14ac:dyDescent="0.2">
      <c r="A26" s="76">
        <v>18</v>
      </c>
      <c r="B26" s="75" t="s">
        <v>65</v>
      </c>
      <c r="C26" s="99" t="s">
        <v>66</v>
      </c>
      <c r="D26" s="80"/>
      <c r="E26" s="141">
        <f>SUM(E27:E27)</f>
        <v>23</v>
      </c>
      <c r="F26" s="141">
        <f>SUM(F27:F27)</f>
        <v>4.4000000000000004</v>
      </c>
      <c r="G26" s="12"/>
      <c r="H26" s="12"/>
      <c r="L26" s="12"/>
      <c r="M26" s="12"/>
      <c r="N26" s="12"/>
      <c r="O26" s="12"/>
    </row>
    <row r="27" spans="1:15" ht="12.6" customHeight="1" x14ac:dyDescent="0.2">
      <c r="A27" s="76">
        <v>19</v>
      </c>
      <c r="B27" s="98"/>
      <c r="C27" s="56" t="s">
        <v>213</v>
      </c>
      <c r="D27" s="98" t="s">
        <v>218</v>
      </c>
      <c r="E27" s="142">
        <f>13.2+9.8</f>
        <v>23</v>
      </c>
      <c r="F27" s="142">
        <v>4.4000000000000004</v>
      </c>
      <c r="G27" s="12"/>
      <c r="H27" s="12"/>
      <c r="L27" s="12"/>
      <c r="M27" s="12"/>
      <c r="N27" s="12"/>
      <c r="O27" s="12"/>
    </row>
    <row r="28" spans="1:15" x14ac:dyDescent="0.2">
      <c r="A28" s="76">
        <v>20</v>
      </c>
      <c r="B28" s="75" t="s">
        <v>21</v>
      </c>
      <c r="C28" s="99" t="s">
        <v>22</v>
      </c>
      <c r="D28" s="98"/>
      <c r="E28" s="141">
        <f>SUM(E29:E29)</f>
        <v>91.9</v>
      </c>
      <c r="F28" s="141">
        <f>SUM(F29:F29)</f>
        <v>0</v>
      </c>
      <c r="G28" s="12"/>
      <c r="H28" s="12"/>
      <c r="L28" s="12"/>
      <c r="M28" s="12"/>
      <c r="N28" s="12"/>
      <c r="O28" s="12"/>
    </row>
    <row r="29" spans="1:15" ht="25.5" x14ac:dyDescent="0.2">
      <c r="A29" s="76">
        <v>21</v>
      </c>
      <c r="B29" s="98"/>
      <c r="C29" s="59" t="s">
        <v>1</v>
      </c>
      <c r="D29" s="109" t="s">
        <v>219</v>
      </c>
      <c r="E29" s="142">
        <f>79.8+7.9+4.2</f>
        <v>91.9</v>
      </c>
      <c r="F29" s="142"/>
      <c r="G29" s="12"/>
      <c r="H29" s="12"/>
      <c r="I29" s="12"/>
      <c r="L29" s="12"/>
      <c r="M29" s="12"/>
      <c r="N29" s="12"/>
      <c r="O29" s="12"/>
    </row>
    <row r="30" spans="1:15" ht="12.75" customHeight="1" x14ac:dyDescent="0.2">
      <c r="A30" s="76">
        <v>22</v>
      </c>
      <c r="B30" s="75" t="s">
        <v>76</v>
      </c>
      <c r="C30" s="99" t="s">
        <v>193</v>
      </c>
      <c r="D30" s="109"/>
      <c r="E30" s="141">
        <f>+E31</f>
        <v>36.799999999999997</v>
      </c>
      <c r="F30" s="141">
        <f>+F31</f>
        <v>0</v>
      </c>
      <c r="G30" s="12"/>
      <c r="H30" s="12"/>
      <c r="L30" s="12"/>
      <c r="M30" s="12"/>
      <c r="N30" s="12"/>
      <c r="O30" s="12"/>
    </row>
    <row r="31" spans="1:15" ht="12.6" customHeight="1" x14ac:dyDescent="0.2">
      <c r="A31" s="76">
        <v>23</v>
      </c>
      <c r="B31" s="98"/>
      <c r="C31" s="52" t="s">
        <v>112</v>
      </c>
      <c r="D31" s="82" t="s">
        <v>77</v>
      </c>
      <c r="E31" s="142">
        <f>23+13.8</f>
        <v>36.799999999999997</v>
      </c>
      <c r="F31" s="142"/>
      <c r="G31" s="12"/>
      <c r="H31" s="12"/>
      <c r="L31" s="12"/>
      <c r="M31" s="12"/>
      <c r="N31" s="12"/>
      <c r="O31" s="12"/>
    </row>
    <row r="32" spans="1:15" x14ac:dyDescent="0.2">
      <c r="A32" s="76">
        <v>24</v>
      </c>
      <c r="B32" s="75" t="s">
        <v>78</v>
      </c>
      <c r="C32" s="99" t="s">
        <v>79</v>
      </c>
      <c r="D32" s="80"/>
      <c r="E32" s="141">
        <f>SUM(E33:E40)</f>
        <v>72.8</v>
      </c>
      <c r="F32" s="141">
        <f>SUM(F33:F40)</f>
        <v>0</v>
      </c>
      <c r="G32" s="12"/>
      <c r="H32" s="12"/>
      <c r="L32" s="12"/>
      <c r="M32" s="12"/>
      <c r="N32" s="12"/>
      <c r="O32" s="12"/>
    </row>
    <row r="33" spans="1:15" ht="12.6" customHeight="1" x14ac:dyDescent="0.2">
      <c r="A33" s="76">
        <v>25</v>
      </c>
      <c r="B33" s="98"/>
      <c r="C33" s="60" t="s">
        <v>44</v>
      </c>
      <c r="D33" s="80" t="s">
        <v>80</v>
      </c>
      <c r="E33" s="142">
        <f>8+0.5+1</f>
        <v>9.5</v>
      </c>
      <c r="F33" s="142"/>
      <c r="G33" s="12"/>
      <c r="H33" s="12"/>
      <c r="L33" s="12"/>
      <c r="M33" s="12"/>
      <c r="N33" s="12"/>
      <c r="O33" s="12"/>
    </row>
    <row r="34" spans="1:15" ht="12.6" customHeight="1" x14ac:dyDescent="0.2">
      <c r="A34" s="76">
        <v>26</v>
      </c>
      <c r="B34" s="98"/>
      <c r="C34" s="60" t="s">
        <v>49</v>
      </c>
      <c r="D34" s="80" t="s">
        <v>80</v>
      </c>
      <c r="E34" s="142">
        <f>0.8+0.4-0.5</f>
        <v>0.70000000000000018</v>
      </c>
      <c r="F34" s="142"/>
      <c r="G34" s="12"/>
      <c r="H34" s="12"/>
      <c r="L34" s="12"/>
      <c r="M34" s="12"/>
      <c r="N34" s="12"/>
      <c r="O34" s="12"/>
    </row>
    <row r="35" spans="1:15" ht="12.6" customHeight="1" x14ac:dyDescent="0.2">
      <c r="A35" s="76">
        <v>27</v>
      </c>
      <c r="B35" s="98"/>
      <c r="C35" s="60" t="s">
        <v>50</v>
      </c>
      <c r="D35" s="80" t="s">
        <v>80</v>
      </c>
      <c r="E35" s="142">
        <f>0.5+0.2+0.5</f>
        <v>1.2</v>
      </c>
      <c r="F35" s="142"/>
      <c r="G35" s="12"/>
      <c r="H35" s="12"/>
      <c r="L35" s="12"/>
      <c r="M35" s="12"/>
      <c r="N35" s="12"/>
      <c r="O35" s="12"/>
    </row>
    <row r="36" spans="1:15" ht="12.6" customHeight="1" x14ac:dyDescent="0.2">
      <c r="A36" s="76">
        <v>28</v>
      </c>
      <c r="B36" s="98"/>
      <c r="C36" s="60" t="s">
        <v>45</v>
      </c>
      <c r="D36" s="80" t="s">
        <v>80</v>
      </c>
      <c r="E36" s="142">
        <v>1.2</v>
      </c>
      <c r="F36" s="142"/>
      <c r="G36" s="12"/>
      <c r="H36" s="12"/>
      <c r="L36" s="12"/>
      <c r="M36" s="12"/>
      <c r="N36" s="12"/>
      <c r="O36" s="12"/>
    </row>
    <row r="37" spans="1:15" ht="12.6" customHeight="1" x14ac:dyDescent="0.2">
      <c r="A37" s="76">
        <v>29</v>
      </c>
      <c r="B37" s="98"/>
      <c r="C37" s="60" t="s">
        <v>51</v>
      </c>
      <c r="D37" s="80" t="s">
        <v>80</v>
      </c>
      <c r="E37" s="142">
        <f>0.3+0.1+0.1</f>
        <v>0.5</v>
      </c>
      <c r="F37" s="142"/>
      <c r="G37" s="12"/>
      <c r="H37" s="12"/>
      <c r="L37" s="12"/>
      <c r="M37" s="12"/>
      <c r="N37" s="12"/>
      <c r="O37" s="12"/>
    </row>
    <row r="38" spans="1:15" ht="12.6" customHeight="1" x14ac:dyDescent="0.2">
      <c r="A38" s="76">
        <v>30</v>
      </c>
      <c r="B38" s="98"/>
      <c r="C38" s="60" t="s">
        <v>52</v>
      </c>
      <c r="D38" s="80" t="s">
        <v>80</v>
      </c>
      <c r="E38" s="142">
        <f>0.3+0.4</f>
        <v>0.7</v>
      </c>
      <c r="F38" s="142"/>
      <c r="G38" s="12"/>
      <c r="H38" s="12"/>
      <c r="L38" s="12"/>
      <c r="M38" s="12"/>
      <c r="N38" s="12"/>
      <c r="O38" s="12"/>
    </row>
    <row r="39" spans="1:15" ht="12.6" customHeight="1" x14ac:dyDescent="0.2">
      <c r="A39" s="76">
        <v>31</v>
      </c>
      <c r="B39" s="98"/>
      <c r="C39" s="56" t="s">
        <v>53</v>
      </c>
      <c r="D39" s="98" t="s">
        <v>81</v>
      </c>
      <c r="E39" s="142">
        <f>1+0.7</f>
        <v>1.7</v>
      </c>
      <c r="F39" s="142"/>
      <c r="G39" s="12"/>
      <c r="H39" s="12"/>
      <c r="L39" s="12"/>
      <c r="M39" s="12"/>
      <c r="N39" s="12"/>
      <c r="O39" s="12"/>
    </row>
    <row r="40" spans="1:15" ht="12.6" customHeight="1" x14ac:dyDescent="0.2">
      <c r="A40" s="76">
        <v>32</v>
      </c>
      <c r="B40" s="98"/>
      <c r="C40" s="60" t="s">
        <v>43</v>
      </c>
      <c r="D40" s="82" t="s">
        <v>82</v>
      </c>
      <c r="E40" s="142">
        <f>25+32.3</f>
        <v>57.3</v>
      </c>
      <c r="F40" s="142"/>
      <c r="G40" s="12"/>
      <c r="H40" s="12"/>
      <c r="L40" s="12"/>
      <c r="M40" s="12"/>
      <c r="N40" s="12"/>
      <c r="O40" s="12"/>
    </row>
    <row r="41" spans="1:15" ht="20.100000000000001" customHeight="1" x14ac:dyDescent="0.2">
      <c r="A41" s="76">
        <v>33</v>
      </c>
      <c r="B41" s="75" t="s">
        <v>89</v>
      </c>
      <c r="C41" s="99" t="s">
        <v>90</v>
      </c>
      <c r="D41" s="98"/>
      <c r="E41" s="141">
        <f>SUM(E42:E46)</f>
        <v>10.199999999999999</v>
      </c>
      <c r="F41" s="141">
        <f>SUM(F42:F46)</f>
        <v>0</v>
      </c>
      <c r="G41" s="12"/>
      <c r="H41" s="12"/>
      <c r="L41" s="12"/>
      <c r="M41" s="12"/>
      <c r="N41" s="12"/>
      <c r="O41" s="12"/>
    </row>
    <row r="42" spans="1:15" ht="12.6" customHeight="1" x14ac:dyDescent="0.2">
      <c r="A42" s="76">
        <v>34</v>
      </c>
      <c r="B42" s="98"/>
      <c r="C42" s="59" t="s">
        <v>5</v>
      </c>
      <c r="D42" s="109" t="s">
        <v>220</v>
      </c>
      <c r="E42" s="142">
        <v>2.7</v>
      </c>
      <c r="F42" s="142"/>
      <c r="G42" s="12"/>
      <c r="H42" s="12"/>
      <c r="L42" s="12"/>
      <c r="M42" s="12"/>
      <c r="N42" s="12"/>
      <c r="O42" s="12"/>
    </row>
    <row r="43" spans="1:15" x14ac:dyDescent="0.2">
      <c r="A43" s="76">
        <v>35</v>
      </c>
      <c r="B43" s="75"/>
      <c r="C43" s="59" t="s">
        <v>7</v>
      </c>
      <c r="D43" s="143" t="s">
        <v>280</v>
      </c>
      <c r="E43" s="142">
        <f>3+2.2</f>
        <v>5.2</v>
      </c>
      <c r="F43" s="142"/>
      <c r="G43" s="12"/>
      <c r="H43" s="12"/>
      <c r="L43" s="12"/>
      <c r="M43" s="12"/>
      <c r="N43" s="12"/>
      <c r="O43" s="12"/>
    </row>
    <row r="44" spans="1:15" ht="12.6" customHeight="1" x14ac:dyDescent="0.2">
      <c r="A44" s="76">
        <v>36</v>
      </c>
      <c r="B44" s="98"/>
      <c r="C44" s="56" t="s">
        <v>6</v>
      </c>
      <c r="D44" s="109" t="s">
        <v>92</v>
      </c>
      <c r="E44" s="142">
        <v>0.6</v>
      </c>
      <c r="F44" s="142"/>
      <c r="G44" s="12"/>
      <c r="H44" s="12"/>
      <c r="L44" s="12"/>
      <c r="M44" s="12"/>
      <c r="N44" s="12"/>
      <c r="O44" s="12"/>
    </row>
    <row r="45" spans="1:15" ht="12.6" customHeight="1" x14ac:dyDescent="0.2">
      <c r="A45" s="76">
        <v>37</v>
      </c>
      <c r="B45" s="98"/>
      <c r="C45" s="59" t="s">
        <v>12</v>
      </c>
      <c r="D45" s="109" t="s">
        <v>92</v>
      </c>
      <c r="E45" s="142">
        <v>0.1</v>
      </c>
      <c r="F45" s="142"/>
      <c r="G45" s="12"/>
      <c r="H45" s="12"/>
      <c r="L45" s="12"/>
      <c r="M45" s="12"/>
      <c r="N45" s="12"/>
      <c r="O45" s="12"/>
    </row>
    <row r="46" spans="1:15" ht="12.6" customHeight="1" x14ac:dyDescent="0.2">
      <c r="A46" s="76">
        <v>38</v>
      </c>
      <c r="B46" s="75"/>
      <c r="C46" s="59" t="s">
        <v>11</v>
      </c>
      <c r="D46" s="98" t="s">
        <v>221</v>
      </c>
      <c r="E46" s="142">
        <f>0.6+1</f>
        <v>1.6</v>
      </c>
      <c r="F46" s="142"/>
      <c r="G46" s="12"/>
      <c r="H46" s="12"/>
      <c r="L46" s="12"/>
      <c r="M46" s="12"/>
      <c r="N46" s="12"/>
      <c r="O46" s="12"/>
    </row>
    <row r="47" spans="1:15" x14ac:dyDescent="0.2">
      <c r="A47" s="76">
        <v>39</v>
      </c>
      <c r="B47" s="75" t="s">
        <v>25</v>
      </c>
      <c r="C47" s="99" t="s">
        <v>26</v>
      </c>
      <c r="D47" s="109"/>
      <c r="E47" s="141">
        <f>SUM(E48:E50)</f>
        <v>4.5</v>
      </c>
      <c r="F47" s="141">
        <f>SUM(F48:F50)</f>
        <v>0</v>
      </c>
      <c r="G47" s="12"/>
      <c r="H47" s="12"/>
      <c r="L47" s="12"/>
      <c r="M47" s="12"/>
      <c r="N47" s="12"/>
      <c r="O47" s="12"/>
    </row>
    <row r="48" spans="1:15" ht="12.6" customHeight="1" x14ac:dyDescent="0.2">
      <c r="A48" s="76">
        <v>40</v>
      </c>
      <c r="B48" s="75"/>
      <c r="C48" s="55" t="s">
        <v>27</v>
      </c>
      <c r="D48" s="82" t="s">
        <v>28</v>
      </c>
      <c r="E48" s="142">
        <f>1+0.1</f>
        <v>1.1000000000000001</v>
      </c>
      <c r="F48" s="144"/>
      <c r="G48" s="12"/>
      <c r="H48" s="12"/>
      <c r="L48" s="12"/>
      <c r="M48" s="12"/>
      <c r="N48" s="12"/>
      <c r="O48" s="12"/>
    </row>
    <row r="49" spans="1:15" ht="12.6" customHeight="1" x14ac:dyDescent="0.2">
      <c r="A49" s="76">
        <v>41</v>
      </c>
      <c r="B49" s="98"/>
      <c r="C49" s="59" t="s">
        <v>8</v>
      </c>
      <c r="D49" s="109" t="s">
        <v>223</v>
      </c>
      <c r="E49" s="142">
        <v>0.3</v>
      </c>
      <c r="F49" s="142"/>
      <c r="G49" s="12"/>
      <c r="H49" s="12"/>
      <c r="L49" s="12"/>
      <c r="M49" s="12"/>
      <c r="N49" s="12"/>
      <c r="O49" s="12"/>
    </row>
    <row r="50" spans="1:15" ht="12.6" customHeight="1" x14ac:dyDescent="0.2">
      <c r="A50" s="76">
        <v>42</v>
      </c>
      <c r="B50" s="98"/>
      <c r="C50" s="89" t="s">
        <v>13</v>
      </c>
      <c r="D50" s="109" t="s">
        <v>222</v>
      </c>
      <c r="E50" s="142">
        <f>2+1.1</f>
        <v>3.1</v>
      </c>
      <c r="F50" s="142"/>
      <c r="G50" s="12"/>
      <c r="H50" s="12"/>
      <c r="L50" s="12"/>
      <c r="M50" s="12"/>
      <c r="N50" s="12"/>
      <c r="O50" s="12"/>
    </row>
    <row r="51" spans="1:15" ht="12.6" customHeight="1" x14ac:dyDescent="0.2">
      <c r="A51" s="76">
        <v>43</v>
      </c>
      <c r="B51" s="98"/>
      <c r="C51" s="145" t="s">
        <v>20</v>
      </c>
      <c r="D51" s="98"/>
      <c r="E51" s="141">
        <f>+E9+E26+E28+E32+E41+E47+E30</f>
        <v>389.00000000000006</v>
      </c>
      <c r="F51" s="141">
        <f>+F9+F26+F28+F32+F41+F47+F30</f>
        <v>61.5</v>
      </c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2">
      <c r="C52" s="9" t="s">
        <v>224</v>
      </c>
      <c r="E52" s="146"/>
      <c r="F52" s="146"/>
    </row>
    <row r="53" spans="1:15" x14ac:dyDescent="0.2">
      <c r="C53" s="9" t="s">
        <v>428</v>
      </c>
      <c r="E53" s="146"/>
      <c r="F53" s="146"/>
      <c r="H53" s="12"/>
    </row>
    <row r="54" spans="1:15" x14ac:dyDescent="0.2">
      <c r="E54" s="146"/>
      <c r="F54" s="146"/>
    </row>
    <row r="55" spans="1:15" x14ac:dyDescent="0.2">
      <c r="E55" s="146"/>
      <c r="F55" s="146"/>
      <c r="G55" s="146"/>
    </row>
    <row r="56" spans="1:15" x14ac:dyDescent="0.2">
      <c r="E56" s="146"/>
      <c r="F56" s="146"/>
    </row>
    <row r="57" spans="1:15" x14ac:dyDescent="0.2">
      <c r="E57" s="147"/>
      <c r="F57" s="147"/>
    </row>
  </sheetData>
  <mergeCells count="4">
    <mergeCell ref="C1:F1"/>
    <mergeCell ref="A5:F5"/>
    <mergeCell ref="C2:F2"/>
    <mergeCell ref="E3:F3"/>
  </mergeCells>
  <pageMargins left="0.59055118110236227" right="0" top="0.39370078740157483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zoomScaleNormal="100" workbookViewId="0">
      <selection activeCell="E3" sqref="E3:F3"/>
    </sheetView>
  </sheetViews>
  <sheetFormatPr defaultColWidth="9.140625" defaultRowHeight="12.75" x14ac:dyDescent="0.2"/>
  <cols>
    <col min="1" max="1" width="3.7109375" style="9" customWidth="1"/>
    <col min="2" max="2" width="6.7109375" style="67" customWidth="1"/>
    <col min="3" max="3" width="55.140625" style="9" customWidth="1"/>
    <col min="4" max="4" width="10.28515625" style="67" customWidth="1"/>
    <col min="5" max="5" width="6.7109375" style="9" customWidth="1"/>
    <col min="6" max="6" width="11.140625" style="9" customWidth="1"/>
    <col min="7" max="9" width="9.140625" style="2" customWidth="1"/>
    <col min="10" max="16384" width="9.140625" style="2"/>
  </cols>
  <sheetData>
    <row r="1" spans="1:9" ht="15" customHeight="1" x14ac:dyDescent="0.25">
      <c r="C1" s="228" t="s">
        <v>876</v>
      </c>
      <c r="D1" s="228"/>
      <c r="E1" s="228"/>
      <c r="F1" s="228"/>
    </row>
    <row r="2" spans="1:9" ht="15.75" x14ac:dyDescent="0.25">
      <c r="C2" s="228" t="s">
        <v>868</v>
      </c>
      <c r="D2" s="228"/>
      <c r="E2" s="228"/>
      <c r="F2" s="228"/>
    </row>
    <row r="3" spans="1:9" ht="15.75" x14ac:dyDescent="0.2">
      <c r="C3" s="148"/>
      <c r="D3" s="149"/>
      <c r="E3" s="252" t="s">
        <v>272</v>
      </c>
      <c r="F3" s="252"/>
    </row>
    <row r="4" spans="1:9" x14ac:dyDescent="0.2">
      <c r="F4" s="66"/>
    </row>
    <row r="5" spans="1:9" ht="28.5" customHeight="1" x14ac:dyDescent="0.2">
      <c r="A5" s="230" t="s">
        <v>447</v>
      </c>
      <c r="B5" s="230"/>
      <c r="C5" s="230"/>
      <c r="D5" s="230"/>
      <c r="E5" s="230"/>
      <c r="F5" s="230"/>
    </row>
    <row r="6" spans="1:9" x14ac:dyDescent="0.2">
      <c r="F6" s="72" t="s">
        <v>129</v>
      </c>
    </row>
    <row r="7" spans="1:9" ht="51" customHeight="1" x14ac:dyDescent="0.2">
      <c r="A7" s="49" t="s">
        <v>118</v>
      </c>
      <c r="B7" s="73" t="s">
        <v>359</v>
      </c>
      <c r="C7" s="49" t="s">
        <v>16</v>
      </c>
      <c r="D7" s="73" t="s">
        <v>55</v>
      </c>
      <c r="E7" s="49" t="s">
        <v>17</v>
      </c>
      <c r="F7" s="49" t="s">
        <v>29</v>
      </c>
    </row>
    <row r="8" spans="1:9" s="44" customFormat="1" ht="12" customHeight="1" x14ac:dyDescent="0.2">
      <c r="A8" s="74">
        <v>1</v>
      </c>
      <c r="B8" s="75" t="s">
        <v>18</v>
      </c>
      <c r="C8" s="49">
        <v>3</v>
      </c>
      <c r="D8" s="73">
        <v>4</v>
      </c>
      <c r="E8" s="49">
        <v>5</v>
      </c>
      <c r="F8" s="49">
        <v>6</v>
      </c>
    </row>
    <row r="9" spans="1:9" ht="20.100000000000001" customHeight="1" x14ac:dyDescent="0.2">
      <c r="A9" s="76">
        <v>1</v>
      </c>
      <c r="B9" s="75" t="s">
        <v>56</v>
      </c>
      <c r="C9" s="77" t="s">
        <v>57</v>
      </c>
      <c r="D9" s="74"/>
      <c r="E9" s="141">
        <f>SUM(E10:E31)</f>
        <v>47.4</v>
      </c>
      <c r="F9" s="141">
        <f>SUM(F10:F31)</f>
        <v>0</v>
      </c>
      <c r="G9" s="12"/>
      <c r="H9" s="12"/>
      <c r="I9" s="12"/>
    </row>
    <row r="10" spans="1:9" ht="12.6" customHeight="1" x14ac:dyDescent="0.2">
      <c r="A10" s="76">
        <v>2</v>
      </c>
      <c r="B10" s="75"/>
      <c r="C10" s="52" t="s">
        <v>165</v>
      </c>
      <c r="D10" s="80" t="s">
        <v>58</v>
      </c>
      <c r="E10" s="142">
        <f>1.1+0.1</f>
        <v>1.2000000000000002</v>
      </c>
      <c r="F10" s="144"/>
      <c r="G10" s="12"/>
      <c r="H10" s="12"/>
      <c r="I10" s="12"/>
    </row>
    <row r="11" spans="1:9" ht="12.6" customHeight="1" x14ac:dyDescent="0.2">
      <c r="A11" s="76">
        <v>3</v>
      </c>
      <c r="B11" s="75"/>
      <c r="C11" s="52" t="s">
        <v>156</v>
      </c>
      <c r="D11" s="80" t="s">
        <v>58</v>
      </c>
      <c r="E11" s="142">
        <f>1.2-0.2</f>
        <v>1</v>
      </c>
      <c r="F11" s="144"/>
      <c r="G11" s="12"/>
      <c r="H11" s="12"/>
      <c r="I11" s="12"/>
    </row>
    <row r="12" spans="1:9" ht="12.6" customHeight="1" x14ac:dyDescent="0.2">
      <c r="A12" s="76">
        <v>4</v>
      </c>
      <c r="B12" s="74"/>
      <c r="C12" s="52" t="s">
        <v>157</v>
      </c>
      <c r="D12" s="80" t="s">
        <v>58</v>
      </c>
      <c r="E12" s="142">
        <v>3</v>
      </c>
      <c r="F12" s="142"/>
      <c r="G12" s="12"/>
      <c r="H12" s="12"/>
      <c r="I12" s="12"/>
    </row>
    <row r="13" spans="1:9" ht="12.6" customHeight="1" x14ac:dyDescent="0.2">
      <c r="A13" s="76">
        <v>5</v>
      </c>
      <c r="B13" s="74"/>
      <c r="C13" s="52" t="s">
        <v>161</v>
      </c>
      <c r="D13" s="80" t="s">
        <v>58</v>
      </c>
      <c r="E13" s="142">
        <f>3+0.3-1.3</f>
        <v>1.9999999999999998</v>
      </c>
      <c r="F13" s="142"/>
      <c r="G13" s="12"/>
      <c r="H13" s="12"/>
      <c r="I13" s="12"/>
    </row>
    <row r="14" spans="1:9" ht="12.6" customHeight="1" x14ac:dyDescent="0.2">
      <c r="A14" s="76">
        <v>6</v>
      </c>
      <c r="B14" s="74"/>
      <c r="C14" s="52" t="s">
        <v>158</v>
      </c>
      <c r="D14" s="80" t="s">
        <v>58</v>
      </c>
      <c r="E14" s="142">
        <f>2.5+0.5-0.6</f>
        <v>2.4</v>
      </c>
      <c r="F14" s="144"/>
      <c r="G14" s="12"/>
      <c r="H14" s="12"/>
      <c r="I14" s="12"/>
    </row>
    <row r="15" spans="1:9" ht="12.6" customHeight="1" x14ac:dyDescent="0.2">
      <c r="A15" s="76">
        <v>7</v>
      </c>
      <c r="B15" s="98"/>
      <c r="C15" s="52" t="s">
        <v>159</v>
      </c>
      <c r="D15" s="80" t="s">
        <v>58</v>
      </c>
      <c r="E15" s="142">
        <f>2+0.2-1.6</f>
        <v>0.60000000000000009</v>
      </c>
      <c r="F15" s="142"/>
      <c r="G15" s="12"/>
      <c r="H15" s="12"/>
      <c r="I15" s="12"/>
    </row>
    <row r="16" spans="1:9" ht="12.6" customHeight="1" x14ac:dyDescent="0.2">
      <c r="A16" s="76">
        <v>8</v>
      </c>
      <c r="B16" s="98"/>
      <c r="C16" s="52" t="s">
        <v>160</v>
      </c>
      <c r="D16" s="80" t="s">
        <v>58</v>
      </c>
      <c r="E16" s="142">
        <f>1.5+0.2</f>
        <v>1.7</v>
      </c>
      <c r="F16" s="142"/>
      <c r="G16" s="12"/>
      <c r="H16" s="12"/>
      <c r="I16" s="12"/>
    </row>
    <row r="17" spans="1:9" ht="12.6" customHeight="1" x14ac:dyDescent="0.2">
      <c r="A17" s="76">
        <v>9</v>
      </c>
      <c r="B17" s="98"/>
      <c r="C17" s="52" t="s">
        <v>164</v>
      </c>
      <c r="D17" s="80" t="s">
        <v>60</v>
      </c>
      <c r="E17" s="142">
        <f>10+1.5</f>
        <v>11.5</v>
      </c>
      <c r="F17" s="142"/>
      <c r="G17" s="12"/>
      <c r="H17" s="12"/>
      <c r="I17" s="12"/>
    </row>
    <row r="18" spans="1:9" ht="12.6" customHeight="1" x14ac:dyDescent="0.2">
      <c r="A18" s="76">
        <v>10</v>
      </c>
      <c r="B18" s="98"/>
      <c r="C18" s="52" t="s">
        <v>46</v>
      </c>
      <c r="D18" s="80" t="s">
        <v>60</v>
      </c>
      <c r="E18" s="142">
        <v>0.1</v>
      </c>
      <c r="F18" s="142"/>
      <c r="G18" s="12"/>
      <c r="H18" s="12"/>
      <c r="I18" s="12"/>
    </row>
    <row r="19" spans="1:9" ht="12.6" customHeight="1" x14ac:dyDescent="0.2">
      <c r="A19" s="76">
        <v>11</v>
      </c>
      <c r="B19" s="98"/>
      <c r="C19" s="55" t="s">
        <v>134</v>
      </c>
      <c r="D19" s="80" t="s">
        <v>60</v>
      </c>
      <c r="E19" s="142">
        <f>1.2+0.1</f>
        <v>1.3</v>
      </c>
      <c r="F19" s="142"/>
      <c r="G19" s="12"/>
      <c r="H19" s="12"/>
      <c r="I19" s="12"/>
    </row>
    <row r="20" spans="1:9" ht="12.6" customHeight="1" x14ac:dyDescent="0.2">
      <c r="A20" s="76">
        <v>12</v>
      </c>
      <c r="B20" s="98"/>
      <c r="C20" s="55" t="s">
        <v>135</v>
      </c>
      <c r="D20" s="80" t="s">
        <v>60</v>
      </c>
      <c r="E20" s="142">
        <f>0.3+0.1</f>
        <v>0.4</v>
      </c>
      <c r="F20" s="142"/>
      <c r="G20" s="12"/>
      <c r="H20" s="12"/>
      <c r="I20" s="12"/>
    </row>
    <row r="21" spans="1:9" ht="12.6" customHeight="1" x14ac:dyDescent="0.2">
      <c r="A21" s="76">
        <v>13</v>
      </c>
      <c r="B21" s="98"/>
      <c r="C21" s="55" t="s">
        <v>40</v>
      </c>
      <c r="D21" s="80" t="s">
        <v>60</v>
      </c>
      <c r="E21" s="142">
        <f>0.2+0.1</f>
        <v>0.30000000000000004</v>
      </c>
      <c r="F21" s="142"/>
      <c r="G21" s="12"/>
      <c r="H21" s="12"/>
      <c r="I21" s="12"/>
    </row>
    <row r="22" spans="1:9" ht="12.6" customHeight="1" x14ac:dyDescent="0.2">
      <c r="A22" s="76">
        <v>14</v>
      </c>
      <c r="B22" s="98"/>
      <c r="C22" s="52" t="s">
        <v>137</v>
      </c>
      <c r="D22" s="80" t="s">
        <v>60</v>
      </c>
      <c r="E22" s="142">
        <f>1+0.4-0.4</f>
        <v>0.99999999999999989</v>
      </c>
      <c r="F22" s="142"/>
      <c r="G22" s="12"/>
      <c r="H22" s="12"/>
      <c r="I22" s="12"/>
    </row>
    <row r="23" spans="1:9" ht="12.6" customHeight="1" x14ac:dyDescent="0.2">
      <c r="A23" s="76">
        <v>15</v>
      </c>
      <c r="B23" s="98"/>
      <c r="C23" s="55" t="s">
        <v>162</v>
      </c>
      <c r="D23" s="82" t="s">
        <v>216</v>
      </c>
      <c r="E23" s="142">
        <f>3+4.2-1.2</f>
        <v>6</v>
      </c>
      <c r="F23" s="142"/>
      <c r="G23" s="12"/>
      <c r="H23" s="12"/>
      <c r="I23" s="12"/>
    </row>
    <row r="24" spans="1:9" ht="12.6" customHeight="1" x14ac:dyDescent="0.2">
      <c r="A24" s="76">
        <v>16</v>
      </c>
      <c r="B24" s="98"/>
      <c r="C24" s="52" t="s">
        <v>273</v>
      </c>
      <c r="D24" s="82" t="s">
        <v>216</v>
      </c>
      <c r="E24" s="142">
        <f>0.1+0.5</f>
        <v>0.6</v>
      </c>
      <c r="F24" s="142"/>
      <c r="G24" s="12"/>
      <c r="H24" s="12"/>
      <c r="I24" s="12"/>
    </row>
    <row r="25" spans="1:9" ht="12.6" customHeight="1" x14ac:dyDescent="0.2">
      <c r="A25" s="76">
        <v>17</v>
      </c>
      <c r="B25" s="98"/>
      <c r="C25" s="55" t="s">
        <v>120</v>
      </c>
      <c r="D25" s="82" t="s">
        <v>216</v>
      </c>
      <c r="E25" s="142">
        <f>4+0.1+0.6</f>
        <v>4.6999999999999993</v>
      </c>
      <c r="F25" s="142"/>
      <c r="G25" s="12"/>
      <c r="H25" s="12"/>
      <c r="I25" s="12"/>
    </row>
    <row r="26" spans="1:9" ht="12.6" customHeight="1" x14ac:dyDescent="0.2">
      <c r="A26" s="76">
        <v>18</v>
      </c>
      <c r="B26" s="98"/>
      <c r="C26" s="55" t="s">
        <v>41</v>
      </c>
      <c r="D26" s="82" t="s">
        <v>216</v>
      </c>
      <c r="E26" s="142">
        <f>0.3-0.2</f>
        <v>9.9999999999999978E-2</v>
      </c>
      <c r="F26" s="142"/>
      <c r="G26" s="12"/>
      <c r="H26" s="12"/>
      <c r="I26" s="12"/>
    </row>
    <row r="27" spans="1:9" ht="12.6" customHeight="1" x14ac:dyDescent="0.2">
      <c r="A27" s="76">
        <v>19</v>
      </c>
      <c r="B27" s="98"/>
      <c r="C27" s="55" t="s">
        <v>136</v>
      </c>
      <c r="D27" s="82" t="s">
        <v>216</v>
      </c>
      <c r="E27" s="142">
        <v>2</v>
      </c>
      <c r="F27" s="142"/>
      <c r="G27" s="12"/>
      <c r="H27" s="12"/>
      <c r="I27" s="12"/>
    </row>
    <row r="28" spans="1:9" ht="12.6" customHeight="1" x14ac:dyDescent="0.2">
      <c r="A28" s="76">
        <v>20</v>
      </c>
      <c r="B28" s="98"/>
      <c r="C28" s="54" t="s">
        <v>42</v>
      </c>
      <c r="D28" s="82" t="s">
        <v>216</v>
      </c>
      <c r="E28" s="142">
        <v>0.1</v>
      </c>
      <c r="F28" s="142"/>
      <c r="G28" s="12"/>
      <c r="H28" s="12"/>
      <c r="I28" s="12"/>
    </row>
    <row r="29" spans="1:9" ht="12.6" customHeight="1" x14ac:dyDescent="0.2">
      <c r="A29" s="76">
        <v>21</v>
      </c>
      <c r="B29" s="98"/>
      <c r="C29" s="57" t="s">
        <v>47</v>
      </c>
      <c r="D29" s="80" t="s">
        <v>62</v>
      </c>
      <c r="E29" s="142">
        <v>0.1</v>
      </c>
      <c r="F29" s="142"/>
      <c r="G29" s="12"/>
      <c r="H29" s="12"/>
      <c r="I29" s="12"/>
    </row>
    <row r="30" spans="1:9" ht="12.6" customHeight="1" x14ac:dyDescent="0.2">
      <c r="A30" s="76">
        <v>22</v>
      </c>
      <c r="B30" s="98"/>
      <c r="C30" s="52" t="s">
        <v>48</v>
      </c>
      <c r="D30" s="80" t="s">
        <v>62</v>
      </c>
      <c r="E30" s="142">
        <f>5.3+1.2</f>
        <v>6.5</v>
      </c>
      <c r="F30" s="142"/>
      <c r="G30" s="12"/>
      <c r="H30" s="12"/>
      <c r="I30" s="12"/>
    </row>
    <row r="31" spans="1:9" ht="12.6" customHeight="1" x14ac:dyDescent="0.2">
      <c r="A31" s="76">
        <v>23</v>
      </c>
      <c r="B31" s="98"/>
      <c r="C31" s="60" t="s">
        <v>211</v>
      </c>
      <c r="D31" s="80" t="s">
        <v>217</v>
      </c>
      <c r="E31" s="142">
        <v>0.8</v>
      </c>
      <c r="F31" s="142"/>
      <c r="G31" s="12"/>
      <c r="H31" s="12"/>
      <c r="I31" s="12"/>
    </row>
    <row r="32" spans="1:9" ht="12.6" customHeight="1" x14ac:dyDescent="0.2">
      <c r="A32" s="76">
        <v>24</v>
      </c>
      <c r="B32" s="75" t="s">
        <v>76</v>
      </c>
      <c r="C32" s="99" t="s">
        <v>193</v>
      </c>
      <c r="D32" s="109"/>
      <c r="E32" s="141">
        <f>+E33</f>
        <v>58.8</v>
      </c>
      <c r="F32" s="141">
        <f>+F33</f>
        <v>12</v>
      </c>
      <c r="G32" s="12"/>
      <c r="H32" s="12"/>
      <c r="I32" s="12"/>
    </row>
    <row r="33" spans="1:9" ht="12.6" customHeight="1" x14ac:dyDescent="0.2">
      <c r="A33" s="76">
        <v>25</v>
      </c>
      <c r="B33" s="98"/>
      <c r="C33" s="52" t="s">
        <v>112</v>
      </c>
      <c r="D33" s="80" t="s">
        <v>77</v>
      </c>
      <c r="E33" s="142">
        <f>36+14.8+8</f>
        <v>58.8</v>
      </c>
      <c r="F33" s="142">
        <v>12</v>
      </c>
      <c r="G33" s="12"/>
      <c r="H33" s="12"/>
      <c r="I33" s="12"/>
    </row>
    <row r="34" spans="1:9" ht="15" customHeight="1" x14ac:dyDescent="0.2">
      <c r="A34" s="76">
        <v>26</v>
      </c>
      <c r="B34" s="75" t="s">
        <v>78</v>
      </c>
      <c r="C34" s="99" t="s">
        <v>79</v>
      </c>
      <c r="D34" s="80"/>
      <c r="E34" s="141">
        <f>SUM(E35:E42)</f>
        <v>17.600000000000001</v>
      </c>
      <c r="F34" s="141">
        <f>SUM(F35:F42)</f>
        <v>0</v>
      </c>
      <c r="G34" s="12"/>
      <c r="H34" s="12"/>
      <c r="I34" s="12"/>
    </row>
    <row r="35" spans="1:9" ht="12.6" customHeight="1" x14ac:dyDescent="0.2">
      <c r="A35" s="76">
        <v>27</v>
      </c>
      <c r="B35" s="98"/>
      <c r="C35" s="60" t="s">
        <v>44</v>
      </c>
      <c r="D35" s="80" t="s">
        <v>80</v>
      </c>
      <c r="E35" s="142">
        <f>3+0.3</f>
        <v>3.3</v>
      </c>
      <c r="F35" s="142"/>
      <c r="G35" s="12"/>
      <c r="H35" s="12"/>
      <c r="I35" s="12"/>
    </row>
    <row r="36" spans="1:9" ht="12.6" customHeight="1" x14ac:dyDescent="0.2">
      <c r="A36" s="76">
        <v>28</v>
      </c>
      <c r="B36" s="98"/>
      <c r="C36" s="107" t="s">
        <v>49</v>
      </c>
      <c r="D36" s="80" t="s">
        <v>80</v>
      </c>
      <c r="E36" s="142">
        <f>1.5+0.8</f>
        <v>2.2999999999999998</v>
      </c>
      <c r="F36" s="142"/>
      <c r="G36" s="12"/>
      <c r="H36" s="12"/>
      <c r="I36" s="12"/>
    </row>
    <row r="37" spans="1:9" ht="12.6" customHeight="1" x14ac:dyDescent="0.2">
      <c r="A37" s="76">
        <v>29</v>
      </c>
      <c r="B37" s="98"/>
      <c r="C37" s="60" t="s">
        <v>50</v>
      </c>
      <c r="D37" s="80" t="s">
        <v>80</v>
      </c>
      <c r="E37" s="142">
        <f>0.5+0.5</f>
        <v>1</v>
      </c>
      <c r="F37" s="142"/>
      <c r="G37" s="12"/>
      <c r="H37" s="12"/>
      <c r="I37" s="12"/>
    </row>
    <row r="38" spans="1:9" ht="12.6" customHeight="1" x14ac:dyDescent="0.2">
      <c r="A38" s="76">
        <v>30</v>
      </c>
      <c r="B38" s="98"/>
      <c r="C38" s="60" t="s">
        <v>45</v>
      </c>
      <c r="D38" s="80" t="s">
        <v>80</v>
      </c>
      <c r="E38" s="142">
        <f>1.1+0.1</f>
        <v>1.2000000000000002</v>
      </c>
      <c r="F38" s="142"/>
      <c r="G38" s="12"/>
      <c r="H38" s="12"/>
      <c r="I38" s="12"/>
    </row>
    <row r="39" spans="1:9" ht="12.6" customHeight="1" x14ac:dyDescent="0.2">
      <c r="A39" s="76">
        <v>31</v>
      </c>
      <c r="B39" s="98"/>
      <c r="C39" s="60" t="s">
        <v>51</v>
      </c>
      <c r="D39" s="80" t="s">
        <v>80</v>
      </c>
      <c r="E39" s="142">
        <v>0.1</v>
      </c>
      <c r="F39" s="142"/>
      <c r="G39" s="12"/>
      <c r="H39" s="12"/>
      <c r="I39" s="12"/>
    </row>
    <row r="40" spans="1:9" ht="12.6" customHeight="1" x14ac:dyDescent="0.2">
      <c r="A40" s="76">
        <v>32</v>
      </c>
      <c r="B40" s="98"/>
      <c r="C40" s="60" t="s">
        <v>52</v>
      </c>
      <c r="D40" s="80" t="s">
        <v>80</v>
      </c>
      <c r="E40" s="142">
        <f>0.2+0.1</f>
        <v>0.30000000000000004</v>
      </c>
      <c r="F40" s="142"/>
      <c r="G40" s="12"/>
      <c r="H40" s="12"/>
      <c r="I40" s="12"/>
    </row>
    <row r="41" spans="1:9" x14ac:dyDescent="0.2">
      <c r="A41" s="76">
        <v>33</v>
      </c>
      <c r="B41" s="98"/>
      <c r="C41" s="55" t="s">
        <v>53</v>
      </c>
      <c r="D41" s="80" t="s">
        <v>81</v>
      </c>
      <c r="E41" s="142">
        <f>5.5+3.4</f>
        <v>8.9</v>
      </c>
      <c r="F41" s="142"/>
      <c r="G41" s="12"/>
      <c r="H41" s="12"/>
      <c r="I41" s="12"/>
    </row>
    <row r="42" spans="1:9" ht="12.6" customHeight="1" x14ac:dyDescent="0.2">
      <c r="A42" s="76">
        <v>34</v>
      </c>
      <c r="B42" s="98"/>
      <c r="C42" s="60" t="s">
        <v>43</v>
      </c>
      <c r="D42" s="80" t="s">
        <v>82</v>
      </c>
      <c r="E42" s="142">
        <f>0.2+0.3</f>
        <v>0.5</v>
      </c>
      <c r="F42" s="142"/>
      <c r="G42" s="12"/>
      <c r="H42" s="12"/>
      <c r="I42" s="12"/>
    </row>
    <row r="43" spans="1:9" ht="15" customHeight="1" x14ac:dyDescent="0.2">
      <c r="A43" s="76">
        <v>35</v>
      </c>
      <c r="B43" s="75" t="s">
        <v>25</v>
      </c>
      <c r="C43" s="99" t="s">
        <v>26</v>
      </c>
      <c r="D43" s="80"/>
      <c r="E43" s="141">
        <f>SUM(E44:E55)</f>
        <v>79.099999999999994</v>
      </c>
      <c r="F43" s="141">
        <f>SUM(F44:F55)</f>
        <v>0</v>
      </c>
      <c r="G43" s="12"/>
      <c r="H43" s="12"/>
      <c r="I43" s="12"/>
    </row>
    <row r="44" spans="1:9" ht="12.6" customHeight="1" x14ac:dyDescent="0.2">
      <c r="A44" s="76">
        <v>36</v>
      </c>
      <c r="B44" s="98"/>
      <c r="C44" s="89" t="s">
        <v>3</v>
      </c>
      <c r="D44" s="109" t="s">
        <v>222</v>
      </c>
      <c r="E44" s="142">
        <f>22.9+1.4</f>
        <v>24.299999999999997</v>
      </c>
      <c r="F44" s="142"/>
      <c r="G44" s="12"/>
      <c r="H44" s="12"/>
      <c r="I44" s="12"/>
    </row>
    <row r="45" spans="1:9" ht="12.6" customHeight="1" x14ac:dyDescent="0.2">
      <c r="A45" s="76">
        <v>37</v>
      </c>
      <c r="B45" s="98"/>
      <c r="C45" s="59" t="s">
        <v>8</v>
      </c>
      <c r="D45" s="109" t="s">
        <v>223</v>
      </c>
      <c r="E45" s="142">
        <f>13.1+3.5</f>
        <v>16.600000000000001</v>
      </c>
      <c r="F45" s="142"/>
      <c r="G45" s="12"/>
      <c r="H45" s="12"/>
      <c r="I45" s="12"/>
    </row>
    <row r="46" spans="1:9" ht="12.6" customHeight="1" x14ac:dyDescent="0.2">
      <c r="A46" s="76">
        <v>38</v>
      </c>
      <c r="B46" s="98"/>
      <c r="C46" s="54" t="s">
        <v>4</v>
      </c>
      <c r="D46" s="109" t="s">
        <v>222</v>
      </c>
      <c r="E46" s="142">
        <f>2.9+0.3</f>
        <v>3.1999999999999997</v>
      </c>
      <c r="F46" s="142"/>
      <c r="G46" s="12"/>
      <c r="H46" s="12"/>
      <c r="I46" s="12"/>
    </row>
    <row r="47" spans="1:9" ht="12.6" customHeight="1" x14ac:dyDescent="0.2">
      <c r="A47" s="76">
        <v>39</v>
      </c>
      <c r="B47" s="98"/>
      <c r="C47" s="54" t="s">
        <v>5</v>
      </c>
      <c r="D47" s="109" t="s">
        <v>222</v>
      </c>
      <c r="E47" s="142">
        <f>2.2+0.3</f>
        <v>2.5</v>
      </c>
      <c r="F47" s="142"/>
      <c r="G47" s="12"/>
      <c r="H47" s="12"/>
      <c r="I47" s="12"/>
    </row>
    <row r="48" spans="1:9" ht="12.6" customHeight="1" x14ac:dyDescent="0.2">
      <c r="A48" s="76">
        <v>40</v>
      </c>
      <c r="B48" s="98"/>
      <c r="C48" s="54" t="s">
        <v>7</v>
      </c>
      <c r="D48" s="109" t="s">
        <v>222</v>
      </c>
      <c r="E48" s="142">
        <f>8.2+11.2</f>
        <v>19.399999999999999</v>
      </c>
      <c r="F48" s="142"/>
      <c r="G48" s="12"/>
      <c r="H48" s="12"/>
      <c r="I48" s="12"/>
    </row>
    <row r="49" spans="1:10" ht="12.6" customHeight="1" x14ac:dyDescent="0.2">
      <c r="A49" s="76">
        <v>41</v>
      </c>
      <c r="B49" s="109"/>
      <c r="C49" s="150" t="s">
        <v>6</v>
      </c>
      <c r="D49" s="109" t="s">
        <v>222</v>
      </c>
      <c r="E49" s="151">
        <v>1</v>
      </c>
      <c r="F49" s="151"/>
      <c r="G49" s="12"/>
      <c r="H49" s="12"/>
      <c r="I49" s="12"/>
    </row>
    <row r="50" spans="1:10" ht="12.6" customHeight="1" x14ac:dyDescent="0.2">
      <c r="A50" s="76">
        <v>42</v>
      </c>
      <c r="B50" s="98"/>
      <c r="C50" s="54" t="s">
        <v>9</v>
      </c>
      <c r="D50" s="109" t="s">
        <v>222</v>
      </c>
      <c r="E50" s="142">
        <f>3.4+0.7</f>
        <v>4.0999999999999996</v>
      </c>
      <c r="F50" s="142"/>
      <c r="G50" s="12"/>
      <c r="H50" s="12"/>
      <c r="I50" s="12"/>
    </row>
    <row r="51" spans="1:10" ht="12.6" customHeight="1" x14ac:dyDescent="0.2">
      <c r="A51" s="76">
        <v>43</v>
      </c>
      <c r="B51" s="98"/>
      <c r="C51" s="89" t="s">
        <v>10</v>
      </c>
      <c r="D51" s="109" t="s">
        <v>222</v>
      </c>
      <c r="E51" s="142">
        <f>0.6+2.1</f>
        <v>2.7</v>
      </c>
      <c r="F51" s="142"/>
      <c r="G51" s="12"/>
      <c r="H51" s="12"/>
      <c r="I51" s="12"/>
    </row>
    <row r="52" spans="1:10" ht="12.6" customHeight="1" x14ac:dyDescent="0.2">
      <c r="A52" s="76">
        <v>44</v>
      </c>
      <c r="B52" s="98"/>
      <c r="C52" s="54" t="s">
        <v>12</v>
      </c>
      <c r="D52" s="109" t="s">
        <v>222</v>
      </c>
      <c r="E52" s="142">
        <f>1+0.5</f>
        <v>1.5</v>
      </c>
      <c r="F52" s="142"/>
      <c r="G52" s="12"/>
      <c r="H52" s="12"/>
      <c r="I52" s="12"/>
    </row>
    <row r="53" spans="1:10" ht="12.6" customHeight="1" x14ac:dyDescent="0.2">
      <c r="A53" s="76">
        <v>45</v>
      </c>
      <c r="B53" s="98"/>
      <c r="C53" s="54" t="s">
        <v>11</v>
      </c>
      <c r="D53" s="109" t="s">
        <v>222</v>
      </c>
      <c r="E53" s="142">
        <f>0.6+0.5</f>
        <v>1.1000000000000001</v>
      </c>
      <c r="F53" s="142"/>
      <c r="G53" s="12"/>
      <c r="H53" s="12"/>
      <c r="I53" s="12"/>
    </row>
    <row r="54" spans="1:10" ht="12.6" customHeight="1" x14ac:dyDescent="0.2">
      <c r="A54" s="76">
        <v>46</v>
      </c>
      <c r="B54" s="98"/>
      <c r="C54" s="89" t="s">
        <v>13</v>
      </c>
      <c r="D54" s="109" t="s">
        <v>222</v>
      </c>
      <c r="E54" s="142">
        <f>1.3+0.6</f>
        <v>1.9</v>
      </c>
      <c r="F54" s="142"/>
      <c r="G54" s="12"/>
      <c r="H54" s="12"/>
      <c r="I54" s="12"/>
    </row>
    <row r="55" spans="1:10" ht="12.6" customHeight="1" x14ac:dyDescent="0.2">
      <c r="A55" s="76">
        <v>47</v>
      </c>
      <c r="B55" s="98"/>
      <c r="C55" s="54" t="s">
        <v>14</v>
      </c>
      <c r="D55" s="109" t="s">
        <v>222</v>
      </c>
      <c r="E55" s="142">
        <f>0.5+0.3</f>
        <v>0.8</v>
      </c>
      <c r="F55" s="142"/>
      <c r="G55" s="12"/>
      <c r="H55" s="12"/>
      <c r="I55" s="12"/>
    </row>
    <row r="56" spans="1:10" ht="12.6" customHeight="1" x14ac:dyDescent="0.2">
      <c r="A56" s="76">
        <v>48</v>
      </c>
      <c r="B56" s="98"/>
      <c r="C56" s="145" t="s">
        <v>20</v>
      </c>
      <c r="D56" s="98"/>
      <c r="E56" s="141">
        <f>+E9+E34+E43+E32</f>
        <v>202.89999999999998</v>
      </c>
      <c r="F56" s="141">
        <f>+F9+F34+F43+F32</f>
        <v>12</v>
      </c>
      <c r="G56" s="12"/>
      <c r="H56" s="12"/>
      <c r="I56" s="12"/>
      <c r="J56" s="12"/>
    </row>
    <row r="57" spans="1:10" x14ac:dyDescent="0.2">
      <c r="C57" s="9" t="s">
        <v>274</v>
      </c>
      <c r="E57" s="134"/>
      <c r="F57" s="134"/>
    </row>
    <row r="58" spans="1:10" x14ac:dyDescent="0.2">
      <c r="E58" s="134"/>
      <c r="F58" s="134"/>
    </row>
    <row r="59" spans="1:10" x14ac:dyDescent="0.2">
      <c r="E59" s="134"/>
      <c r="F59" s="134"/>
    </row>
    <row r="60" spans="1:10" x14ac:dyDescent="0.2">
      <c r="E60" s="134"/>
      <c r="F60" s="134"/>
    </row>
    <row r="61" spans="1:10" x14ac:dyDescent="0.2">
      <c r="E61" s="152"/>
      <c r="F61" s="152"/>
    </row>
  </sheetData>
  <mergeCells count="4">
    <mergeCell ref="E3:F3"/>
    <mergeCell ref="C1:F1"/>
    <mergeCell ref="A5:F5"/>
    <mergeCell ref="C2:F2"/>
  </mergeCells>
  <phoneticPr fontId="5" type="noConversion"/>
  <pageMargins left="0.59055118110236227" right="0" top="0.19685039370078741" bottom="0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1"/>
  <sheetViews>
    <sheetView zoomScaleNormal="100" workbookViewId="0">
      <selection activeCell="L10" sqref="L10"/>
    </sheetView>
  </sheetViews>
  <sheetFormatPr defaultColWidth="9.140625" defaultRowHeight="12.75" x14ac:dyDescent="0.2"/>
  <cols>
    <col min="1" max="1" width="4.42578125" style="9" customWidth="1"/>
    <col min="2" max="2" width="7.28515625" style="67" customWidth="1"/>
    <col min="3" max="3" width="49" style="9" customWidth="1"/>
    <col min="4" max="4" width="10.140625" style="67" customWidth="1"/>
    <col min="5" max="5" width="8" style="66" customWidth="1"/>
    <col min="6" max="6" width="11.140625" style="66" customWidth="1"/>
    <col min="7" max="11" width="9.140625" style="2" customWidth="1"/>
    <col min="12" max="16384" width="9.140625" style="2"/>
  </cols>
  <sheetData>
    <row r="1" spans="1:15" ht="15.75" x14ac:dyDescent="0.25">
      <c r="C1" s="228" t="s">
        <v>351</v>
      </c>
      <c r="D1" s="228"/>
      <c r="E1" s="228"/>
      <c r="F1" s="228"/>
    </row>
    <row r="2" spans="1:15" ht="15.75" x14ac:dyDescent="0.25">
      <c r="C2" s="228" t="s">
        <v>865</v>
      </c>
      <c r="D2" s="228"/>
      <c r="E2" s="228"/>
      <c r="F2" s="228"/>
    </row>
    <row r="3" spans="1:15" ht="15.75" x14ac:dyDescent="0.2">
      <c r="E3" s="252" t="s">
        <v>225</v>
      </c>
      <c r="F3" s="252"/>
    </row>
    <row r="4" spans="1:15" ht="15.75" x14ac:dyDescent="0.2">
      <c r="E4" s="69"/>
      <c r="F4" s="69"/>
    </row>
    <row r="5" spans="1:15" ht="28.5" customHeight="1" x14ac:dyDescent="0.2">
      <c r="B5" s="230" t="s">
        <v>446</v>
      </c>
      <c r="C5" s="230"/>
      <c r="D5" s="230"/>
      <c r="E5" s="230"/>
      <c r="F5" s="230"/>
    </row>
    <row r="7" spans="1:15" x14ac:dyDescent="0.2">
      <c r="F7" s="72" t="s">
        <v>129</v>
      </c>
    </row>
    <row r="8" spans="1:15" ht="49.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15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</row>
    <row r="10" spans="1:15" ht="20.100000000000001" customHeight="1" x14ac:dyDescent="0.2">
      <c r="A10" s="76">
        <v>1</v>
      </c>
      <c r="B10" s="75" t="s">
        <v>56</v>
      </c>
      <c r="C10" s="153" t="s">
        <v>57</v>
      </c>
      <c r="D10" s="74"/>
      <c r="E10" s="63">
        <f>SUM(E11:E36)</f>
        <v>964.1</v>
      </c>
      <c r="F10" s="63">
        <f>SUM(F11:F36)</f>
        <v>12.1</v>
      </c>
      <c r="G10" s="12"/>
      <c r="H10" s="12"/>
      <c r="I10" s="12"/>
      <c r="J10" s="12"/>
      <c r="L10" s="12"/>
      <c r="M10" s="12"/>
      <c r="N10" s="12"/>
      <c r="O10" s="12"/>
    </row>
    <row r="11" spans="1:15" ht="12.6" customHeight="1" x14ac:dyDescent="0.2">
      <c r="A11" s="76">
        <v>2</v>
      </c>
      <c r="B11" s="98"/>
      <c r="C11" s="52" t="s">
        <v>165</v>
      </c>
      <c r="D11" s="80" t="s">
        <v>58</v>
      </c>
      <c r="E11" s="81">
        <f>54.3+0.9</f>
        <v>55.199999999999996</v>
      </c>
      <c r="F11" s="81"/>
      <c r="G11" s="12"/>
      <c r="H11" s="12"/>
      <c r="I11" s="12"/>
      <c r="J11" s="12"/>
      <c r="L11" s="12"/>
      <c r="M11" s="12"/>
      <c r="N11" s="12"/>
      <c r="O11" s="12"/>
    </row>
    <row r="12" spans="1:15" ht="12.6" customHeight="1" x14ac:dyDescent="0.2">
      <c r="A12" s="76">
        <v>3</v>
      </c>
      <c r="B12" s="98"/>
      <c r="C12" s="52" t="s">
        <v>156</v>
      </c>
      <c r="D12" s="80" t="s">
        <v>58</v>
      </c>
      <c r="E12" s="81">
        <f>57+1.1-8.7</f>
        <v>49.400000000000006</v>
      </c>
      <c r="F12" s="81"/>
      <c r="G12" s="12"/>
      <c r="H12" s="12"/>
      <c r="I12" s="12"/>
      <c r="J12" s="12"/>
      <c r="L12" s="12"/>
      <c r="M12" s="12"/>
      <c r="N12" s="12"/>
      <c r="O12" s="12"/>
    </row>
    <row r="13" spans="1:15" ht="12.6" customHeight="1" x14ac:dyDescent="0.2">
      <c r="A13" s="76">
        <v>4</v>
      </c>
      <c r="B13" s="98"/>
      <c r="C13" s="52" t="s">
        <v>157</v>
      </c>
      <c r="D13" s="80" t="s">
        <v>58</v>
      </c>
      <c r="E13" s="81">
        <f>72+8</f>
        <v>80</v>
      </c>
      <c r="F13" s="81"/>
      <c r="G13" s="12"/>
      <c r="H13" s="12"/>
      <c r="I13" s="12"/>
      <c r="J13" s="12"/>
      <c r="L13" s="12"/>
      <c r="M13" s="12"/>
      <c r="N13" s="12"/>
      <c r="O13" s="12"/>
    </row>
    <row r="14" spans="1:15" ht="12.6" customHeight="1" x14ac:dyDescent="0.2">
      <c r="A14" s="76">
        <v>5</v>
      </c>
      <c r="B14" s="98"/>
      <c r="C14" s="52" t="s">
        <v>161</v>
      </c>
      <c r="D14" s="80" t="s">
        <v>58</v>
      </c>
      <c r="E14" s="81">
        <f>76+3.8</f>
        <v>79.8</v>
      </c>
      <c r="F14" s="81"/>
      <c r="G14" s="12"/>
      <c r="H14" s="12"/>
      <c r="I14" s="12"/>
      <c r="J14" s="12"/>
      <c r="L14" s="12"/>
      <c r="M14" s="12"/>
      <c r="N14" s="12"/>
      <c r="O14" s="12"/>
    </row>
    <row r="15" spans="1:15" ht="12.6" customHeight="1" x14ac:dyDescent="0.2">
      <c r="A15" s="76">
        <v>6</v>
      </c>
      <c r="B15" s="98"/>
      <c r="C15" s="52" t="s">
        <v>158</v>
      </c>
      <c r="D15" s="80" t="s">
        <v>58</v>
      </c>
      <c r="E15" s="81">
        <f>87+1-25.3</f>
        <v>62.7</v>
      </c>
      <c r="F15" s="81"/>
      <c r="G15" s="12"/>
      <c r="H15" s="12"/>
      <c r="I15" s="12"/>
      <c r="J15" s="12"/>
      <c r="L15" s="12"/>
      <c r="M15" s="12"/>
      <c r="N15" s="12"/>
      <c r="O15" s="12"/>
    </row>
    <row r="16" spans="1:15" ht="12.6" customHeight="1" x14ac:dyDescent="0.2">
      <c r="A16" s="76">
        <v>7</v>
      </c>
      <c r="B16" s="98"/>
      <c r="C16" s="52" t="s">
        <v>159</v>
      </c>
      <c r="D16" s="80" t="s">
        <v>58</v>
      </c>
      <c r="E16" s="81">
        <f>48+0.9-10.5</f>
        <v>38.4</v>
      </c>
      <c r="F16" s="81"/>
      <c r="G16" s="12"/>
      <c r="H16" s="12"/>
      <c r="I16" s="12"/>
      <c r="J16" s="12"/>
      <c r="L16" s="12"/>
      <c r="M16" s="12"/>
      <c r="N16" s="12"/>
      <c r="O16" s="12"/>
    </row>
    <row r="17" spans="1:15" ht="12.6" customHeight="1" x14ac:dyDescent="0.2">
      <c r="A17" s="76">
        <v>8</v>
      </c>
      <c r="B17" s="98"/>
      <c r="C17" s="52" t="s">
        <v>160</v>
      </c>
      <c r="D17" s="80" t="s">
        <v>58</v>
      </c>
      <c r="E17" s="81">
        <f>61+0.8+9</f>
        <v>70.8</v>
      </c>
      <c r="F17" s="81"/>
      <c r="G17" s="12"/>
      <c r="H17" s="12"/>
      <c r="I17" s="12"/>
      <c r="J17" s="12"/>
      <c r="L17" s="12"/>
      <c r="M17" s="12"/>
      <c r="N17" s="12"/>
      <c r="O17" s="12"/>
    </row>
    <row r="18" spans="1:15" ht="12.6" customHeight="1" x14ac:dyDescent="0.2">
      <c r="A18" s="76">
        <v>9</v>
      </c>
      <c r="B18" s="98"/>
      <c r="C18" s="54" t="s">
        <v>184</v>
      </c>
      <c r="D18" s="80" t="s">
        <v>59</v>
      </c>
      <c r="E18" s="81">
        <f>64.2+2.1-8.3</f>
        <v>58</v>
      </c>
      <c r="F18" s="81"/>
      <c r="G18" s="12"/>
      <c r="H18" s="12"/>
      <c r="I18" s="12"/>
      <c r="J18" s="12"/>
      <c r="L18" s="12"/>
      <c r="M18" s="12"/>
      <c r="N18" s="12"/>
      <c r="O18" s="12"/>
    </row>
    <row r="19" spans="1:15" ht="12.6" customHeight="1" x14ac:dyDescent="0.2">
      <c r="A19" s="76">
        <v>10</v>
      </c>
      <c r="B19" s="98"/>
      <c r="C19" s="52" t="s">
        <v>46</v>
      </c>
      <c r="D19" s="98" t="s">
        <v>62</v>
      </c>
      <c r="E19" s="81">
        <f>10+6.4</f>
        <v>16.399999999999999</v>
      </c>
      <c r="F19" s="81"/>
      <c r="G19" s="12"/>
      <c r="H19" s="12"/>
      <c r="I19" s="12"/>
      <c r="J19" s="12"/>
      <c r="L19" s="12"/>
      <c r="M19" s="12"/>
      <c r="N19" s="12"/>
      <c r="O19" s="12"/>
    </row>
    <row r="20" spans="1:15" ht="12.6" customHeight="1" x14ac:dyDescent="0.2">
      <c r="A20" s="76">
        <v>11</v>
      </c>
      <c r="B20" s="98"/>
      <c r="C20" s="55" t="s">
        <v>134</v>
      </c>
      <c r="D20" s="80" t="s">
        <v>60</v>
      </c>
      <c r="E20" s="20">
        <f>32.3+0.2</f>
        <v>32.5</v>
      </c>
      <c r="F20" s="20"/>
      <c r="G20" s="12"/>
      <c r="H20" s="12"/>
      <c r="I20" s="12"/>
      <c r="J20" s="12"/>
      <c r="L20" s="12"/>
      <c r="M20" s="12"/>
      <c r="N20" s="12"/>
      <c r="O20" s="12"/>
    </row>
    <row r="21" spans="1:15" ht="12.6" customHeight="1" x14ac:dyDescent="0.2">
      <c r="A21" s="76">
        <v>12</v>
      </c>
      <c r="B21" s="98"/>
      <c r="C21" s="55" t="s">
        <v>135</v>
      </c>
      <c r="D21" s="80" t="s">
        <v>60</v>
      </c>
      <c r="E21" s="20">
        <f>2+1.2</f>
        <v>3.2</v>
      </c>
      <c r="F21" s="20"/>
      <c r="G21" s="12"/>
      <c r="H21" s="12"/>
      <c r="I21" s="12"/>
      <c r="J21" s="12"/>
      <c r="L21" s="12"/>
      <c r="M21" s="12"/>
      <c r="N21" s="12"/>
      <c r="O21" s="12"/>
    </row>
    <row r="22" spans="1:15" ht="12.6" customHeight="1" x14ac:dyDescent="0.2">
      <c r="A22" s="76">
        <v>13</v>
      </c>
      <c r="B22" s="98"/>
      <c r="C22" s="55" t="s">
        <v>40</v>
      </c>
      <c r="D22" s="80" t="s">
        <v>60</v>
      </c>
      <c r="E22" s="20">
        <f>15.3+1.6-2.5</f>
        <v>14.400000000000002</v>
      </c>
      <c r="F22" s="20"/>
      <c r="G22" s="12"/>
      <c r="H22" s="12"/>
      <c r="I22" s="12"/>
      <c r="J22" s="12"/>
      <c r="L22" s="12"/>
      <c r="M22" s="12"/>
      <c r="N22" s="12"/>
      <c r="O22" s="12"/>
    </row>
    <row r="23" spans="1:15" ht="12.6" customHeight="1" x14ac:dyDescent="0.2">
      <c r="A23" s="76">
        <v>14</v>
      </c>
      <c r="B23" s="98"/>
      <c r="C23" s="52" t="s">
        <v>137</v>
      </c>
      <c r="D23" s="80" t="s">
        <v>60</v>
      </c>
      <c r="E23" s="81">
        <f>5.3+3-3.6</f>
        <v>4.7000000000000011</v>
      </c>
      <c r="F23" s="81"/>
      <c r="G23" s="12"/>
      <c r="H23" s="12"/>
      <c r="I23" s="12"/>
      <c r="J23" s="12"/>
      <c r="L23" s="12"/>
      <c r="M23" s="12"/>
      <c r="N23" s="12"/>
      <c r="O23" s="12"/>
    </row>
    <row r="24" spans="1:15" ht="12.6" customHeight="1" x14ac:dyDescent="0.2">
      <c r="A24" s="76">
        <v>15</v>
      </c>
      <c r="B24" s="98"/>
      <c r="C24" s="55" t="s">
        <v>162</v>
      </c>
      <c r="D24" s="82" t="s">
        <v>216</v>
      </c>
      <c r="E24" s="81">
        <f>3.5+2.1-2.5</f>
        <v>3.0999999999999996</v>
      </c>
      <c r="F24" s="81"/>
      <c r="G24" s="12"/>
      <c r="H24" s="12"/>
      <c r="I24" s="12"/>
      <c r="J24" s="12"/>
      <c r="L24" s="12"/>
      <c r="M24" s="12"/>
      <c r="N24" s="12"/>
      <c r="O24" s="12"/>
    </row>
    <row r="25" spans="1:15" ht="12.6" customHeight="1" x14ac:dyDescent="0.2">
      <c r="A25" s="76">
        <v>16</v>
      </c>
      <c r="B25" s="98"/>
      <c r="C25" s="52" t="s">
        <v>163</v>
      </c>
      <c r="D25" s="82" t="s">
        <v>216</v>
      </c>
      <c r="E25" s="81">
        <f>2+0.4-1</f>
        <v>1.4</v>
      </c>
      <c r="F25" s="81"/>
      <c r="G25" s="12"/>
      <c r="H25" s="12"/>
      <c r="I25" s="12"/>
      <c r="J25" s="12"/>
      <c r="L25" s="12"/>
      <c r="M25" s="12"/>
      <c r="N25" s="12"/>
      <c r="O25" s="12"/>
    </row>
    <row r="26" spans="1:15" ht="12.6" customHeight="1" x14ac:dyDescent="0.2">
      <c r="A26" s="76">
        <v>17</v>
      </c>
      <c r="B26" s="98"/>
      <c r="C26" s="55" t="s">
        <v>120</v>
      </c>
      <c r="D26" s="80" t="s">
        <v>61</v>
      </c>
      <c r="E26" s="81">
        <f>6.3+1.7+1.4</f>
        <v>9.4</v>
      </c>
      <c r="F26" s="81"/>
      <c r="G26" s="12"/>
      <c r="H26" s="12"/>
      <c r="I26" s="12"/>
      <c r="J26" s="12"/>
      <c r="L26" s="12"/>
      <c r="M26" s="12"/>
      <c r="N26" s="12"/>
      <c r="O26" s="12"/>
    </row>
    <row r="27" spans="1:15" ht="12.6" customHeight="1" x14ac:dyDescent="0.2">
      <c r="A27" s="76">
        <v>18</v>
      </c>
      <c r="B27" s="98"/>
      <c r="C27" s="55" t="s">
        <v>41</v>
      </c>
      <c r="D27" s="80" t="s">
        <v>61</v>
      </c>
      <c r="E27" s="81">
        <f>0.5+0.2-0.1</f>
        <v>0.6</v>
      </c>
      <c r="F27" s="81"/>
      <c r="G27" s="12"/>
      <c r="H27" s="12"/>
      <c r="I27" s="12"/>
      <c r="J27" s="12"/>
      <c r="L27" s="12"/>
      <c r="M27" s="12"/>
      <c r="N27" s="12"/>
      <c r="O27" s="12"/>
    </row>
    <row r="28" spans="1:15" ht="12.6" customHeight="1" x14ac:dyDescent="0.2">
      <c r="A28" s="76">
        <v>19</v>
      </c>
      <c r="B28" s="98"/>
      <c r="C28" s="154" t="s">
        <v>136</v>
      </c>
      <c r="D28" s="98" t="s">
        <v>61</v>
      </c>
      <c r="E28" s="20">
        <f>48+4</f>
        <v>52</v>
      </c>
      <c r="F28" s="20"/>
      <c r="G28" s="12"/>
      <c r="H28" s="12"/>
      <c r="I28" s="12"/>
      <c r="J28" s="12"/>
      <c r="L28" s="12"/>
      <c r="M28" s="12"/>
      <c r="N28" s="12"/>
      <c r="O28" s="12"/>
    </row>
    <row r="29" spans="1:15" ht="12.6" customHeight="1" x14ac:dyDescent="0.2">
      <c r="A29" s="76">
        <v>20</v>
      </c>
      <c r="B29" s="98"/>
      <c r="C29" s="54" t="s">
        <v>42</v>
      </c>
      <c r="D29" s="80" t="s">
        <v>61</v>
      </c>
      <c r="E29" s="20">
        <f>2.3+0.3</f>
        <v>2.5999999999999996</v>
      </c>
      <c r="F29" s="20"/>
      <c r="G29" s="12"/>
      <c r="H29" s="12"/>
      <c r="I29" s="12"/>
      <c r="J29" s="12"/>
      <c r="L29" s="12"/>
      <c r="M29" s="12"/>
      <c r="N29" s="12"/>
      <c r="O29" s="12"/>
    </row>
    <row r="30" spans="1:15" ht="12.6" customHeight="1" x14ac:dyDescent="0.2">
      <c r="A30" s="76">
        <v>21</v>
      </c>
      <c r="B30" s="98"/>
      <c r="C30" s="55" t="s">
        <v>111</v>
      </c>
      <c r="D30" s="98" t="s">
        <v>62</v>
      </c>
      <c r="E30" s="20">
        <f>38.2+6.1</f>
        <v>44.300000000000004</v>
      </c>
      <c r="F30" s="20">
        <v>12.1</v>
      </c>
      <c r="G30" s="12"/>
      <c r="H30" s="12"/>
      <c r="I30" s="12"/>
      <c r="J30" s="12"/>
      <c r="L30" s="12"/>
      <c r="M30" s="12"/>
      <c r="N30" s="12"/>
      <c r="O30" s="12"/>
    </row>
    <row r="31" spans="1:15" ht="12.6" customHeight="1" x14ac:dyDescent="0.2">
      <c r="A31" s="76">
        <v>22</v>
      </c>
      <c r="B31" s="98"/>
      <c r="C31" s="52" t="s">
        <v>358</v>
      </c>
      <c r="D31" s="80" t="s">
        <v>61</v>
      </c>
      <c r="E31" s="20">
        <f>12-2</f>
        <v>10</v>
      </c>
      <c r="F31" s="20"/>
      <c r="G31" s="12"/>
      <c r="H31" s="12"/>
      <c r="I31" s="12"/>
      <c r="J31" s="12"/>
      <c r="L31" s="12"/>
      <c r="M31" s="12"/>
      <c r="N31" s="12"/>
      <c r="O31" s="12"/>
    </row>
    <row r="32" spans="1:15" ht="12.6" customHeight="1" x14ac:dyDescent="0.2">
      <c r="A32" s="76">
        <v>23</v>
      </c>
      <c r="B32" s="98"/>
      <c r="C32" s="155" t="s">
        <v>54</v>
      </c>
      <c r="D32" s="98" t="s">
        <v>62</v>
      </c>
      <c r="E32" s="20">
        <f>70.5+17.1</f>
        <v>87.6</v>
      </c>
      <c r="F32" s="20"/>
      <c r="G32" s="12"/>
      <c r="H32" s="12"/>
      <c r="I32" s="12"/>
      <c r="J32" s="12"/>
      <c r="L32" s="12"/>
      <c r="M32" s="12"/>
      <c r="N32" s="12"/>
      <c r="O32" s="12"/>
    </row>
    <row r="33" spans="1:15" ht="12.6" customHeight="1" x14ac:dyDescent="0.2">
      <c r="A33" s="76">
        <v>24</v>
      </c>
      <c r="B33" s="98"/>
      <c r="C33" s="155" t="s">
        <v>47</v>
      </c>
      <c r="D33" s="98" t="s">
        <v>62</v>
      </c>
      <c r="E33" s="20">
        <f>53+21.2+3</f>
        <v>77.2</v>
      </c>
      <c r="F33" s="20"/>
      <c r="G33" s="12"/>
      <c r="H33" s="12"/>
      <c r="I33" s="12"/>
      <c r="J33" s="12"/>
      <c r="L33" s="12"/>
      <c r="M33" s="12"/>
      <c r="N33" s="12"/>
      <c r="O33" s="12"/>
    </row>
    <row r="34" spans="1:15" ht="12.6" customHeight="1" x14ac:dyDescent="0.2">
      <c r="A34" s="76">
        <v>25</v>
      </c>
      <c r="B34" s="98"/>
      <c r="C34" s="155" t="s">
        <v>48</v>
      </c>
      <c r="D34" s="98" t="s">
        <v>62</v>
      </c>
      <c r="E34" s="20">
        <f>59+23.8</f>
        <v>82.8</v>
      </c>
      <c r="F34" s="20"/>
      <c r="G34" s="12"/>
      <c r="H34" s="12"/>
      <c r="I34" s="12"/>
      <c r="J34" s="12"/>
      <c r="L34" s="12"/>
      <c r="M34" s="12"/>
      <c r="N34" s="12"/>
      <c r="O34" s="12"/>
    </row>
    <row r="35" spans="1:15" ht="12.6" customHeight="1" x14ac:dyDescent="0.2">
      <c r="A35" s="76">
        <v>26</v>
      </c>
      <c r="B35" s="98"/>
      <c r="C35" s="155" t="s">
        <v>15</v>
      </c>
      <c r="D35" s="80" t="s">
        <v>58</v>
      </c>
      <c r="E35" s="20">
        <f>15.2+1.3</f>
        <v>16.5</v>
      </c>
      <c r="F35" s="20"/>
      <c r="G35" s="12"/>
      <c r="H35" s="12"/>
      <c r="I35" s="12"/>
      <c r="J35" s="12"/>
      <c r="L35" s="12"/>
      <c r="M35" s="12"/>
      <c r="N35" s="12"/>
      <c r="O35" s="12"/>
    </row>
    <row r="36" spans="1:15" ht="12.6" customHeight="1" x14ac:dyDescent="0.2">
      <c r="A36" s="76">
        <v>27</v>
      </c>
      <c r="B36" s="98"/>
      <c r="C36" s="155" t="s">
        <v>212</v>
      </c>
      <c r="D36" s="80" t="s">
        <v>58</v>
      </c>
      <c r="E36" s="20">
        <f>10+0.1+1</f>
        <v>11.1</v>
      </c>
      <c r="F36" s="20"/>
      <c r="G36" s="12"/>
      <c r="H36" s="12"/>
      <c r="I36" s="12"/>
      <c r="J36" s="12"/>
      <c r="L36" s="12"/>
      <c r="M36" s="12"/>
      <c r="N36" s="12"/>
      <c r="O36" s="12"/>
    </row>
    <row r="37" spans="1:15" ht="20.100000000000001" customHeight="1" x14ac:dyDescent="0.2">
      <c r="A37" s="76">
        <v>28</v>
      </c>
      <c r="B37" s="75" t="s">
        <v>21</v>
      </c>
      <c r="C37" s="156" t="s">
        <v>22</v>
      </c>
      <c r="D37" s="98"/>
      <c r="E37" s="63">
        <f>SUM(E38:E41)</f>
        <v>933</v>
      </c>
      <c r="F37" s="63">
        <f>SUM(F38:F41)</f>
        <v>517.9</v>
      </c>
      <c r="G37" s="12"/>
      <c r="H37" s="12"/>
      <c r="I37" s="12"/>
      <c r="J37" s="12"/>
      <c r="L37" s="12"/>
      <c r="M37" s="12"/>
      <c r="N37" s="12"/>
      <c r="O37" s="12"/>
    </row>
    <row r="38" spans="1:15" ht="12.6" customHeight="1" x14ac:dyDescent="0.2">
      <c r="A38" s="76">
        <v>29</v>
      </c>
      <c r="B38" s="98"/>
      <c r="C38" s="155" t="s">
        <v>2</v>
      </c>
      <c r="D38" s="98" t="s">
        <v>71</v>
      </c>
      <c r="E38" s="81">
        <f>306.4+39.7+40</f>
        <v>386.09999999999997</v>
      </c>
      <c r="F38" s="81">
        <f>198.1+17.8+10</f>
        <v>225.9</v>
      </c>
      <c r="G38" s="12"/>
      <c r="H38" s="12"/>
      <c r="I38" s="12"/>
      <c r="J38" s="12"/>
      <c r="L38" s="12"/>
      <c r="M38" s="12"/>
      <c r="N38" s="12"/>
      <c r="O38" s="12"/>
    </row>
    <row r="39" spans="1:15" ht="12.6" customHeight="1" x14ac:dyDescent="0.2">
      <c r="A39" s="76">
        <v>30</v>
      </c>
      <c r="B39" s="98"/>
      <c r="C39" s="155" t="s">
        <v>15</v>
      </c>
      <c r="D39" s="109" t="s">
        <v>71</v>
      </c>
      <c r="E39" s="81">
        <f>214.4+17.3+20.3</f>
        <v>252.00000000000003</v>
      </c>
      <c r="F39" s="81">
        <f>93.3+36.7+20</f>
        <v>150</v>
      </c>
      <c r="G39" s="12"/>
      <c r="H39" s="12"/>
      <c r="I39" s="12"/>
      <c r="J39" s="12"/>
      <c r="L39" s="12"/>
      <c r="M39" s="12"/>
      <c r="N39" s="12"/>
      <c r="O39" s="12" t="s">
        <v>279</v>
      </c>
    </row>
    <row r="40" spans="1:15" ht="12.6" customHeight="1" x14ac:dyDescent="0.2">
      <c r="A40" s="76">
        <v>31</v>
      </c>
      <c r="B40" s="98"/>
      <c r="C40" s="155" t="s">
        <v>212</v>
      </c>
      <c r="D40" s="109" t="s">
        <v>71</v>
      </c>
      <c r="E40" s="81">
        <f>220+26.9+35</f>
        <v>281.89999999999998</v>
      </c>
      <c r="F40" s="81">
        <f>91.7+20+30.3</f>
        <v>142</v>
      </c>
      <c r="G40" s="12"/>
      <c r="H40" s="12"/>
      <c r="I40" s="12"/>
      <c r="J40" s="12"/>
      <c r="L40" s="12"/>
      <c r="M40" s="12"/>
      <c r="N40" s="12"/>
      <c r="O40" s="12"/>
    </row>
    <row r="41" spans="1:15" ht="12.6" customHeight="1" x14ac:dyDescent="0.2">
      <c r="A41" s="76">
        <v>32</v>
      </c>
      <c r="B41" s="98"/>
      <c r="C41" s="60" t="s">
        <v>147</v>
      </c>
      <c r="D41" s="109" t="s">
        <v>23</v>
      </c>
      <c r="E41" s="81">
        <f>12+1</f>
        <v>13</v>
      </c>
      <c r="F41" s="81"/>
      <c r="G41" s="12"/>
      <c r="H41" s="12"/>
      <c r="I41" s="12"/>
      <c r="J41" s="12"/>
      <c r="L41" s="12"/>
      <c r="M41" s="12"/>
      <c r="N41" s="12"/>
      <c r="O41" s="12"/>
    </row>
    <row r="42" spans="1:15" ht="12.6" customHeight="1" x14ac:dyDescent="0.2">
      <c r="A42" s="76">
        <v>33</v>
      </c>
      <c r="B42" s="75" t="s">
        <v>76</v>
      </c>
      <c r="C42" s="99" t="s">
        <v>193</v>
      </c>
      <c r="D42" s="109"/>
      <c r="E42" s="141">
        <f>E43</f>
        <v>21.1</v>
      </c>
      <c r="F42" s="141">
        <f>F43</f>
        <v>0</v>
      </c>
      <c r="G42" s="12"/>
      <c r="H42" s="12"/>
      <c r="I42" s="12"/>
      <c r="J42" s="12"/>
      <c r="L42" s="12"/>
      <c r="M42" s="12"/>
      <c r="N42" s="12"/>
      <c r="O42" s="12"/>
    </row>
    <row r="43" spans="1:15" ht="12.6" customHeight="1" x14ac:dyDescent="0.2">
      <c r="A43" s="76">
        <v>34</v>
      </c>
      <c r="B43" s="98"/>
      <c r="C43" s="52" t="s">
        <v>112</v>
      </c>
      <c r="D43" s="98" t="s">
        <v>62</v>
      </c>
      <c r="E43" s="20">
        <f>17.5+3.6</f>
        <v>21.1</v>
      </c>
      <c r="F43" s="20"/>
      <c r="G43" s="12"/>
      <c r="H43" s="12"/>
      <c r="I43" s="12"/>
      <c r="J43" s="12"/>
      <c r="L43" s="12"/>
      <c r="M43" s="12"/>
      <c r="N43" s="12"/>
      <c r="O43" s="12"/>
    </row>
    <row r="44" spans="1:15" ht="12.6" customHeight="1" x14ac:dyDescent="0.2">
      <c r="A44" s="76">
        <v>35</v>
      </c>
      <c r="B44" s="98"/>
      <c r="C44" s="157" t="s">
        <v>20</v>
      </c>
      <c r="D44" s="98"/>
      <c r="E44" s="63">
        <f>+E10+E37+E42</f>
        <v>1918.1999999999998</v>
      </c>
      <c r="F44" s="63">
        <f>+F10+F37+F42</f>
        <v>530</v>
      </c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">
      <c r="E45" s="146"/>
      <c r="F45" s="146"/>
    </row>
    <row r="46" spans="1:15" x14ac:dyDescent="0.2">
      <c r="C46" s="9" t="s">
        <v>226</v>
      </c>
      <c r="H46" s="12"/>
    </row>
    <row r="47" spans="1:15" x14ac:dyDescent="0.2">
      <c r="E47" s="146"/>
      <c r="F47" s="146"/>
    </row>
    <row r="48" spans="1:15" x14ac:dyDescent="0.2">
      <c r="E48" s="146"/>
      <c r="F48" s="146"/>
    </row>
    <row r="49" spans="5:6" x14ac:dyDescent="0.2">
      <c r="E49" s="146"/>
      <c r="F49" s="146"/>
    </row>
    <row r="50" spans="5:6" x14ac:dyDescent="0.2">
      <c r="E50" s="146"/>
      <c r="F50" s="146"/>
    </row>
    <row r="51" spans="5:6" x14ac:dyDescent="0.2">
      <c r="E51" s="132"/>
    </row>
  </sheetData>
  <mergeCells count="4">
    <mergeCell ref="E3:F3"/>
    <mergeCell ref="C1:F1"/>
    <mergeCell ref="B5:F5"/>
    <mergeCell ref="C2:F2"/>
  </mergeCells>
  <pageMargins left="0.51181102362204722" right="0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1"/>
  <sheetViews>
    <sheetView zoomScaleNormal="100" workbookViewId="0">
      <selection activeCell="I19" sqref="I19"/>
    </sheetView>
  </sheetViews>
  <sheetFormatPr defaultColWidth="9.140625" defaultRowHeight="12.75" x14ac:dyDescent="0.2"/>
  <cols>
    <col min="1" max="1" width="4.85546875" style="9" customWidth="1"/>
    <col min="2" max="2" width="7.140625" style="44" customWidth="1"/>
    <col min="3" max="3" width="50.28515625" style="9" customWidth="1"/>
    <col min="4" max="4" width="10.28515625" style="68" customWidth="1"/>
    <col min="5" max="5" width="8.140625" style="9" customWidth="1"/>
    <col min="6" max="6" width="11.28515625" style="9" customWidth="1"/>
    <col min="7" max="8" width="9.140625" style="2" customWidth="1"/>
    <col min="9" max="16384" width="9.140625" style="2"/>
  </cols>
  <sheetData>
    <row r="1" spans="1:12" ht="15.75" customHeight="1" x14ac:dyDescent="0.25">
      <c r="C1" s="228" t="s">
        <v>351</v>
      </c>
      <c r="D1" s="228"/>
      <c r="E1" s="228"/>
      <c r="F1" s="228"/>
    </row>
    <row r="2" spans="1:12" ht="15.75" customHeight="1" x14ac:dyDescent="0.25">
      <c r="C2" s="228" t="s">
        <v>865</v>
      </c>
      <c r="D2" s="228"/>
      <c r="E2" s="228"/>
      <c r="F2" s="228"/>
    </row>
    <row r="3" spans="1:12" ht="15.75" x14ac:dyDescent="0.2">
      <c r="B3" s="68"/>
      <c r="E3" s="252" t="s">
        <v>117</v>
      </c>
      <c r="F3" s="252"/>
    </row>
    <row r="4" spans="1:12" ht="15.75" x14ac:dyDescent="0.2">
      <c r="B4" s="68"/>
      <c r="E4" s="69"/>
      <c r="F4" s="69"/>
    </row>
    <row r="5" spans="1:12" ht="30" customHeight="1" x14ac:dyDescent="0.2">
      <c r="A5" s="253" t="s">
        <v>445</v>
      </c>
      <c r="B5" s="253"/>
      <c r="C5" s="253"/>
      <c r="D5" s="253"/>
      <c r="E5" s="253"/>
      <c r="F5" s="253"/>
    </row>
    <row r="6" spans="1:12" x14ac:dyDescent="0.2">
      <c r="A6" s="71"/>
      <c r="B6" s="71"/>
      <c r="C6" s="71"/>
      <c r="D6" s="71"/>
      <c r="E6" s="71"/>
      <c r="F6" s="71"/>
    </row>
    <row r="7" spans="1:12" x14ac:dyDescent="0.2">
      <c r="B7" s="68"/>
      <c r="E7" s="66"/>
      <c r="F7" s="66" t="s">
        <v>129</v>
      </c>
    </row>
    <row r="8" spans="1:12" ht="46.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12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</row>
    <row r="10" spans="1:12" x14ac:dyDescent="0.2">
      <c r="A10" s="76">
        <v>1</v>
      </c>
      <c r="B10" s="75" t="s">
        <v>56</v>
      </c>
      <c r="C10" s="77" t="s">
        <v>57</v>
      </c>
      <c r="D10" s="73"/>
      <c r="E10" s="78">
        <f>+E11</f>
        <v>1961.3999999999999</v>
      </c>
      <c r="F10" s="78">
        <f>+F11</f>
        <v>0</v>
      </c>
      <c r="G10" s="12"/>
      <c r="H10" s="12"/>
      <c r="I10" s="12"/>
      <c r="J10" s="12"/>
      <c r="K10" s="12"/>
      <c r="L10" s="12"/>
    </row>
    <row r="11" spans="1:12" x14ac:dyDescent="0.2">
      <c r="A11" s="76">
        <v>2</v>
      </c>
      <c r="B11" s="80"/>
      <c r="C11" s="158" t="s">
        <v>180</v>
      </c>
      <c r="D11" s="80"/>
      <c r="E11" s="90">
        <f>SUM(E12:E18)</f>
        <v>1961.3999999999999</v>
      </c>
      <c r="F11" s="90">
        <f>SUM(F12:F18)</f>
        <v>0</v>
      </c>
      <c r="G11" s="12"/>
      <c r="H11" s="12"/>
      <c r="I11" s="12"/>
      <c r="J11" s="12"/>
      <c r="K11" s="12"/>
      <c r="L11" s="159"/>
    </row>
    <row r="12" spans="1:12" ht="25.5" x14ac:dyDescent="0.2">
      <c r="A12" s="160" t="s">
        <v>563</v>
      </c>
      <c r="B12" s="80"/>
      <c r="C12" s="95" t="s">
        <v>149</v>
      </c>
      <c r="D12" s="80" t="s">
        <v>61</v>
      </c>
      <c r="E12" s="90">
        <v>22.4</v>
      </c>
      <c r="F12" s="161"/>
      <c r="G12" s="12"/>
      <c r="H12" s="12"/>
      <c r="I12" s="12"/>
      <c r="J12" s="12"/>
      <c r="K12" s="12"/>
      <c r="L12" s="159"/>
    </row>
    <row r="13" spans="1:12" ht="38.25" x14ac:dyDescent="0.2">
      <c r="A13" s="160" t="s">
        <v>564</v>
      </c>
      <c r="B13" s="80"/>
      <c r="C13" s="95" t="s">
        <v>461</v>
      </c>
      <c r="D13" s="80" t="s">
        <v>58</v>
      </c>
      <c r="E13" s="90">
        <v>426</v>
      </c>
      <c r="F13" s="161"/>
      <c r="G13" s="12"/>
      <c r="H13" s="12"/>
      <c r="I13" s="12"/>
      <c r="J13" s="12"/>
      <c r="K13" s="12"/>
      <c r="L13" s="159"/>
    </row>
    <row r="14" spans="1:12" ht="38.25" x14ac:dyDescent="0.2">
      <c r="A14" s="160" t="s">
        <v>565</v>
      </c>
      <c r="B14" s="80"/>
      <c r="C14" s="95" t="s">
        <v>462</v>
      </c>
      <c r="D14" s="80" t="s">
        <v>58</v>
      </c>
      <c r="E14" s="90">
        <v>532</v>
      </c>
      <c r="F14" s="161"/>
      <c r="G14" s="12"/>
      <c r="H14" s="12"/>
      <c r="I14" s="12"/>
      <c r="J14" s="12"/>
      <c r="K14" s="12"/>
      <c r="L14" s="159"/>
    </row>
    <row r="15" spans="1:12" ht="25.5" x14ac:dyDescent="0.2">
      <c r="A15" s="160" t="s">
        <v>566</v>
      </c>
      <c r="B15" s="80"/>
      <c r="C15" s="86" t="s">
        <v>436</v>
      </c>
      <c r="D15" s="80" t="s">
        <v>58</v>
      </c>
      <c r="E15" s="90">
        <v>8.4</v>
      </c>
      <c r="F15" s="161"/>
      <c r="G15" s="12"/>
      <c r="H15" s="12"/>
      <c r="I15" s="12"/>
      <c r="J15" s="12"/>
      <c r="K15" s="12"/>
      <c r="L15" s="159"/>
    </row>
    <row r="16" spans="1:12" ht="25.5" x14ac:dyDescent="0.2">
      <c r="A16" s="160" t="s">
        <v>851</v>
      </c>
      <c r="B16" s="80"/>
      <c r="C16" s="86" t="s">
        <v>849</v>
      </c>
      <c r="D16" s="82" t="s">
        <v>846</v>
      </c>
      <c r="E16" s="90">
        <v>840</v>
      </c>
      <c r="F16" s="161"/>
      <c r="G16" s="12"/>
      <c r="H16" s="12"/>
      <c r="I16" s="12"/>
      <c r="J16" s="12"/>
      <c r="K16" s="12"/>
      <c r="L16" s="159"/>
    </row>
    <row r="17" spans="1:12" x14ac:dyDescent="0.2">
      <c r="A17" s="160" t="s">
        <v>852</v>
      </c>
      <c r="B17" s="80"/>
      <c r="C17" s="86" t="s">
        <v>847</v>
      </c>
      <c r="D17" s="80" t="s">
        <v>845</v>
      </c>
      <c r="E17" s="90">
        <v>108</v>
      </c>
      <c r="F17" s="161"/>
      <c r="G17" s="12"/>
      <c r="H17" s="12"/>
      <c r="I17" s="12"/>
      <c r="J17" s="12"/>
      <c r="K17" s="12"/>
      <c r="L17" s="159"/>
    </row>
    <row r="18" spans="1:12" x14ac:dyDescent="0.2">
      <c r="A18" s="160" t="s">
        <v>881</v>
      </c>
      <c r="B18" s="80"/>
      <c r="C18" s="86" t="s">
        <v>882</v>
      </c>
      <c r="D18" s="80" t="s">
        <v>154</v>
      </c>
      <c r="E18" s="90">
        <v>24.6</v>
      </c>
      <c r="F18" s="161"/>
      <c r="G18" s="12"/>
      <c r="H18" s="12"/>
      <c r="I18" s="12"/>
      <c r="J18" s="12"/>
      <c r="K18" s="12"/>
      <c r="L18" s="159"/>
    </row>
    <row r="19" spans="1:12" x14ac:dyDescent="0.2">
      <c r="A19" s="160" t="s">
        <v>567</v>
      </c>
      <c r="B19" s="75" t="s">
        <v>65</v>
      </c>
      <c r="C19" s="99" t="s">
        <v>66</v>
      </c>
      <c r="D19" s="80"/>
      <c r="E19" s="162">
        <f>+E22+E20</f>
        <v>55</v>
      </c>
      <c r="F19" s="162">
        <f>+F22+F20</f>
        <v>0.4</v>
      </c>
      <c r="G19" s="12"/>
      <c r="H19" s="12"/>
      <c r="I19" s="12"/>
      <c r="J19" s="12"/>
      <c r="K19" s="12"/>
      <c r="L19" s="159"/>
    </row>
    <row r="20" spans="1:12" ht="25.5" x14ac:dyDescent="0.2">
      <c r="A20" s="160" t="s">
        <v>30</v>
      </c>
      <c r="B20" s="75"/>
      <c r="C20" s="54" t="s">
        <v>168</v>
      </c>
      <c r="D20" s="82"/>
      <c r="E20" s="90">
        <f>+E21</f>
        <v>49.5</v>
      </c>
      <c r="F20" s="161">
        <f>+F21</f>
        <v>0.4</v>
      </c>
      <c r="G20" s="12"/>
      <c r="H20" s="12"/>
      <c r="I20" s="12"/>
      <c r="J20" s="12"/>
      <c r="K20" s="12"/>
      <c r="L20" s="159"/>
    </row>
    <row r="21" spans="1:12" ht="25.5" x14ac:dyDescent="0.2">
      <c r="A21" s="160" t="s">
        <v>568</v>
      </c>
      <c r="B21" s="75"/>
      <c r="C21" s="163" t="s">
        <v>848</v>
      </c>
      <c r="D21" s="80" t="s">
        <v>218</v>
      </c>
      <c r="E21" s="90">
        <v>49.5</v>
      </c>
      <c r="F21" s="161">
        <v>0.4</v>
      </c>
      <c r="G21" s="12"/>
      <c r="H21" s="12"/>
      <c r="I21" s="12"/>
      <c r="J21" s="12"/>
      <c r="K21" s="12"/>
      <c r="L21" s="159"/>
    </row>
    <row r="22" spans="1:12" x14ac:dyDescent="0.2">
      <c r="A22" s="160" t="s">
        <v>571</v>
      </c>
      <c r="B22" s="75"/>
      <c r="C22" s="158" t="s">
        <v>180</v>
      </c>
      <c r="D22" s="80"/>
      <c r="E22" s="90">
        <f>+E23</f>
        <v>5.5</v>
      </c>
      <c r="F22" s="161">
        <f>+F23</f>
        <v>0</v>
      </c>
      <c r="G22" s="12"/>
      <c r="H22" s="12"/>
      <c r="I22" s="12"/>
      <c r="J22" s="12"/>
      <c r="K22" s="12"/>
      <c r="L22" s="159"/>
    </row>
    <row r="23" spans="1:12" ht="25.5" x14ac:dyDescent="0.2">
      <c r="A23" s="160" t="s">
        <v>853</v>
      </c>
      <c r="B23" s="75"/>
      <c r="C23" s="164" t="s">
        <v>194</v>
      </c>
      <c r="D23" s="82" t="s">
        <v>195</v>
      </c>
      <c r="E23" s="90">
        <v>5.5</v>
      </c>
      <c r="F23" s="161"/>
      <c r="G23" s="12"/>
      <c r="H23" s="12"/>
      <c r="I23" s="12"/>
      <c r="J23" s="12"/>
      <c r="K23" s="12"/>
      <c r="L23" s="159"/>
    </row>
    <row r="24" spans="1:12" x14ac:dyDescent="0.2">
      <c r="A24" s="160" t="s">
        <v>572</v>
      </c>
      <c r="B24" s="75" t="s">
        <v>21</v>
      </c>
      <c r="C24" s="99" t="s">
        <v>22</v>
      </c>
      <c r="D24" s="82"/>
      <c r="E24" s="162">
        <f>+E31+E25+E27</f>
        <v>434.4</v>
      </c>
      <c r="F24" s="162">
        <f>+F31+F25+F27</f>
        <v>217.4</v>
      </c>
      <c r="G24" s="12"/>
      <c r="H24" s="12"/>
      <c r="I24" s="12"/>
      <c r="J24" s="12"/>
      <c r="K24" s="12"/>
      <c r="L24" s="159"/>
    </row>
    <row r="25" spans="1:12" x14ac:dyDescent="0.2">
      <c r="A25" s="160" t="s">
        <v>604</v>
      </c>
      <c r="B25" s="75"/>
      <c r="C25" s="60" t="s">
        <v>1</v>
      </c>
      <c r="D25" s="80"/>
      <c r="E25" s="90">
        <f>+E26</f>
        <v>137</v>
      </c>
      <c r="F25" s="90">
        <f>+F26</f>
        <v>128.5</v>
      </c>
      <c r="G25" s="12"/>
      <c r="H25" s="12"/>
      <c r="I25" s="12"/>
      <c r="J25" s="12"/>
      <c r="K25" s="12"/>
      <c r="L25" s="159"/>
    </row>
    <row r="26" spans="1:12" x14ac:dyDescent="0.2">
      <c r="A26" s="160" t="s">
        <v>854</v>
      </c>
      <c r="B26" s="75"/>
      <c r="C26" s="100" t="s">
        <v>840</v>
      </c>
      <c r="D26" s="80" t="s">
        <v>24</v>
      </c>
      <c r="E26" s="90">
        <v>137</v>
      </c>
      <c r="F26" s="90">
        <v>128.5</v>
      </c>
      <c r="G26" s="12"/>
      <c r="H26" s="12"/>
      <c r="I26" s="12"/>
      <c r="J26" s="12"/>
      <c r="K26" s="12"/>
      <c r="L26" s="159"/>
    </row>
    <row r="27" spans="1:12" x14ac:dyDescent="0.2">
      <c r="A27" s="160" t="s">
        <v>603</v>
      </c>
      <c r="B27" s="75"/>
      <c r="C27" s="95" t="s">
        <v>841</v>
      </c>
      <c r="D27" s="80"/>
      <c r="E27" s="90">
        <f>+E28+E29+E30</f>
        <v>122.9</v>
      </c>
      <c r="F27" s="90">
        <f>+F28+F29+F30</f>
        <v>87.9</v>
      </c>
      <c r="G27" s="12"/>
      <c r="H27" s="12"/>
      <c r="I27" s="12"/>
      <c r="J27" s="12"/>
      <c r="K27" s="12"/>
      <c r="L27" s="159"/>
    </row>
    <row r="28" spans="1:12" ht="38.25" x14ac:dyDescent="0.2">
      <c r="A28" s="160" t="s">
        <v>569</v>
      </c>
      <c r="B28" s="75"/>
      <c r="C28" s="163" t="s">
        <v>842</v>
      </c>
      <c r="D28" s="80" t="s">
        <v>23</v>
      </c>
      <c r="E28" s="90">
        <v>40.200000000000003</v>
      </c>
      <c r="F28" s="90">
        <v>37.700000000000003</v>
      </c>
      <c r="G28" s="12"/>
      <c r="H28" s="12"/>
      <c r="I28" s="12"/>
      <c r="J28" s="12"/>
      <c r="K28" s="12"/>
      <c r="L28" s="159"/>
    </row>
    <row r="29" spans="1:12" x14ac:dyDescent="0.2">
      <c r="A29" s="160" t="s">
        <v>855</v>
      </c>
      <c r="B29" s="75"/>
      <c r="C29" s="165" t="s">
        <v>844</v>
      </c>
      <c r="D29" s="80" t="s">
        <v>31</v>
      </c>
      <c r="E29" s="90">
        <v>50</v>
      </c>
      <c r="F29" s="90">
        <v>18</v>
      </c>
      <c r="G29" s="12"/>
      <c r="H29" s="12"/>
      <c r="I29" s="12"/>
      <c r="J29" s="12"/>
      <c r="K29" s="12"/>
      <c r="L29" s="159"/>
    </row>
    <row r="30" spans="1:12" ht="25.5" x14ac:dyDescent="0.2">
      <c r="A30" s="160" t="s">
        <v>856</v>
      </c>
      <c r="B30" s="75"/>
      <c r="C30" s="165" t="s">
        <v>843</v>
      </c>
      <c r="D30" s="80" t="s">
        <v>23</v>
      </c>
      <c r="E30" s="90">
        <v>32.700000000000003</v>
      </c>
      <c r="F30" s="90">
        <v>32.200000000000003</v>
      </c>
      <c r="G30" s="12"/>
      <c r="H30" s="12"/>
      <c r="I30" s="12"/>
      <c r="J30" s="12"/>
      <c r="K30" s="12"/>
      <c r="L30" s="159"/>
    </row>
    <row r="31" spans="1:12" x14ac:dyDescent="0.2">
      <c r="A31" s="160" t="s">
        <v>857</v>
      </c>
      <c r="B31" s="75"/>
      <c r="C31" s="158" t="s">
        <v>180</v>
      </c>
      <c r="D31" s="82"/>
      <c r="E31" s="90">
        <f>+E32+E33+E34</f>
        <v>174.5</v>
      </c>
      <c r="F31" s="90">
        <f>+F32+F33+F34</f>
        <v>1</v>
      </c>
      <c r="G31" s="12"/>
      <c r="H31" s="12"/>
      <c r="I31" s="12"/>
      <c r="J31" s="12"/>
      <c r="K31" s="12"/>
      <c r="L31" s="159"/>
    </row>
    <row r="32" spans="1:12" x14ac:dyDescent="0.2">
      <c r="A32" s="160" t="s">
        <v>858</v>
      </c>
      <c r="B32" s="75"/>
      <c r="C32" s="94" t="s">
        <v>150</v>
      </c>
      <c r="D32" s="84" t="s">
        <v>88</v>
      </c>
      <c r="E32" s="90">
        <v>9.8000000000000007</v>
      </c>
      <c r="F32" s="161"/>
      <c r="G32" s="12"/>
      <c r="H32" s="12"/>
      <c r="I32" s="12"/>
      <c r="J32" s="12"/>
      <c r="K32" s="12"/>
      <c r="L32" s="159"/>
    </row>
    <row r="33" spans="1:13" x14ac:dyDescent="0.2">
      <c r="A33" s="160" t="s">
        <v>859</v>
      </c>
      <c r="B33" s="75"/>
      <c r="C33" s="95" t="s">
        <v>620</v>
      </c>
      <c r="D33" s="84"/>
      <c r="E33" s="90">
        <v>123.4</v>
      </c>
      <c r="F33" s="161"/>
      <c r="G33" s="12"/>
      <c r="H33" s="12"/>
      <c r="I33" s="12"/>
      <c r="J33" s="12"/>
      <c r="K33" s="12"/>
      <c r="L33" s="159"/>
    </row>
    <row r="34" spans="1:13" ht="25.5" x14ac:dyDescent="0.2">
      <c r="A34" s="160" t="s">
        <v>860</v>
      </c>
      <c r="B34" s="75"/>
      <c r="C34" s="95" t="s">
        <v>850</v>
      </c>
      <c r="D34" s="80" t="s">
        <v>791</v>
      </c>
      <c r="E34" s="90">
        <v>41.3</v>
      </c>
      <c r="F34" s="161">
        <v>1</v>
      </c>
      <c r="G34" s="12"/>
      <c r="H34" s="12"/>
      <c r="I34" s="12"/>
      <c r="J34" s="12"/>
      <c r="K34" s="12"/>
      <c r="L34" s="159"/>
    </row>
    <row r="35" spans="1:13" ht="25.5" x14ac:dyDescent="0.2">
      <c r="A35" s="76">
        <v>10</v>
      </c>
      <c r="B35" s="75" t="s">
        <v>104</v>
      </c>
      <c r="C35" s="113" t="s">
        <v>105</v>
      </c>
      <c r="D35" s="82"/>
      <c r="E35" s="162">
        <f>+E36</f>
        <v>250.8</v>
      </c>
      <c r="F35" s="162">
        <v>0</v>
      </c>
      <c r="G35" s="12"/>
      <c r="H35" s="12"/>
      <c r="I35" s="12"/>
      <c r="J35" s="12"/>
      <c r="K35" s="12"/>
      <c r="L35" s="159"/>
    </row>
    <row r="36" spans="1:13" x14ac:dyDescent="0.2">
      <c r="A36" s="76">
        <v>11</v>
      </c>
      <c r="B36" s="80"/>
      <c r="C36" s="158" t="s">
        <v>180</v>
      </c>
      <c r="D36" s="82"/>
      <c r="E36" s="90">
        <f>+E37</f>
        <v>250.8</v>
      </c>
      <c r="F36" s="161">
        <v>0</v>
      </c>
      <c r="G36" s="12"/>
      <c r="H36" s="12"/>
      <c r="I36" s="12"/>
      <c r="J36" s="12"/>
      <c r="K36" s="12"/>
      <c r="L36" s="159"/>
    </row>
    <row r="37" spans="1:13" ht="25.5" x14ac:dyDescent="0.2">
      <c r="A37" s="160" t="s">
        <v>34</v>
      </c>
      <c r="B37" s="80"/>
      <c r="C37" s="158" t="s">
        <v>602</v>
      </c>
      <c r="D37" s="80" t="s">
        <v>155</v>
      </c>
      <c r="E37" s="90">
        <v>250.8</v>
      </c>
      <c r="F37" s="161"/>
      <c r="G37" s="12"/>
      <c r="H37" s="12"/>
      <c r="I37" s="12"/>
      <c r="J37" s="12"/>
      <c r="K37" s="12"/>
      <c r="L37" s="159"/>
    </row>
    <row r="38" spans="1:13" ht="18" customHeight="1" x14ac:dyDescent="0.2">
      <c r="A38" s="76">
        <v>12</v>
      </c>
      <c r="B38" s="75" t="s">
        <v>84</v>
      </c>
      <c r="C38" s="116" t="s">
        <v>85</v>
      </c>
      <c r="D38" s="80"/>
      <c r="E38" s="162">
        <f>+E39</f>
        <v>168.9</v>
      </c>
      <c r="F38" s="162">
        <f>+F39</f>
        <v>0</v>
      </c>
      <c r="G38" s="12"/>
      <c r="H38" s="12"/>
      <c r="I38" s="12"/>
      <c r="J38" s="12"/>
      <c r="K38" s="12"/>
      <c r="L38" s="159"/>
    </row>
    <row r="39" spans="1:13" ht="12.6" customHeight="1" x14ac:dyDescent="0.2">
      <c r="A39" s="76">
        <v>13</v>
      </c>
      <c r="B39" s="80"/>
      <c r="C39" s="158" t="s">
        <v>180</v>
      </c>
      <c r="D39" s="82"/>
      <c r="E39" s="90">
        <f>+E40+E41+E42</f>
        <v>168.9</v>
      </c>
      <c r="F39" s="90">
        <f>+F40</f>
        <v>0</v>
      </c>
      <c r="G39" s="12"/>
      <c r="H39" s="12"/>
      <c r="I39" s="12"/>
      <c r="J39" s="12"/>
      <c r="K39" s="12"/>
      <c r="L39" s="159"/>
    </row>
    <row r="40" spans="1:13" ht="25.5" x14ac:dyDescent="0.2">
      <c r="A40" s="160" t="s">
        <v>290</v>
      </c>
      <c r="B40" s="80"/>
      <c r="C40" s="158" t="s">
        <v>289</v>
      </c>
      <c r="D40" s="82" t="s">
        <v>292</v>
      </c>
      <c r="E40" s="90">
        <v>75</v>
      </c>
      <c r="F40" s="161"/>
      <c r="G40" s="12"/>
      <c r="H40" s="12"/>
      <c r="I40" s="12"/>
      <c r="J40" s="12"/>
      <c r="K40" s="12"/>
      <c r="L40" s="159"/>
    </row>
    <row r="41" spans="1:13" x14ac:dyDescent="0.2">
      <c r="A41" s="160" t="s">
        <v>394</v>
      </c>
      <c r="B41" s="80"/>
      <c r="C41" s="55" t="s">
        <v>600</v>
      </c>
      <c r="D41" s="82" t="s">
        <v>601</v>
      </c>
      <c r="E41" s="90">
        <v>35.200000000000003</v>
      </c>
      <c r="F41" s="161"/>
      <c r="G41" s="12"/>
      <c r="H41" s="12"/>
      <c r="I41" s="12"/>
      <c r="J41" s="12"/>
      <c r="K41" s="12"/>
      <c r="L41" s="159"/>
    </row>
    <row r="42" spans="1:13" ht="38.25" x14ac:dyDescent="0.2">
      <c r="A42" s="160" t="s">
        <v>395</v>
      </c>
      <c r="B42" s="80"/>
      <c r="C42" s="54" t="s">
        <v>793</v>
      </c>
      <c r="D42" s="82" t="s">
        <v>794</v>
      </c>
      <c r="E42" s="90">
        <v>58.7</v>
      </c>
      <c r="F42" s="161"/>
      <c r="G42" s="12"/>
      <c r="H42" s="12"/>
      <c r="I42" s="12"/>
      <c r="J42" s="12"/>
      <c r="K42" s="12"/>
      <c r="L42" s="159"/>
    </row>
    <row r="43" spans="1:13" ht="18" customHeight="1" x14ac:dyDescent="0.2">
      <c r="A43" s="76">
        <v>14</v>
      </c>
      <c r="B43" s="75" t="s">
        <v>89</v>
      </c>
      <c r="C43" s="99" t="s">
        <v>90</v>
      </c>
      <c r="D43" s="80"/>
      <c r="E43" s="162">
        <f>+E44</f>
        <v>317.40000000000003</v>
      </c>
      <c r="F43" s="162">
        <f>+F44</f>
        <v>0</v>
      </c>
      <c r="G43" s="12"/>
      <c r="H43" s="12"/>
      <c r="I43" s="12"/>
      <c r="J43" s="12"/>
      <c r="K43" s="12"/>
      <c r="L43" s="159"/>
    </row>
    <row r="44" spans="1:13" x14ac:dyDescent="0.2">
      <c r="A44" s="76">
        <v>15</v>
      </c>
      <c r="B44" s="80"/>
      <c r="C44" s="158" t="s">
        <v>180</v>
      </c>
      <c r="D44" s="80"/>
      <c r="E44" s="90">
        <f>+E45+E46</f>
        <v>317.40000000000003</v>
      </c>
      <c r="F44" s="161">
        <f>+F45+F46</f>
        <v>0</v>
      </c>
      <c r="G44" s="12"/>
      <c r="H44" s="12"/>
      <c r="I44" s="12"/>
      <c r="J44" s="12"/>
      <c r="K44" s="12"/>
      <c r="L44" s="159"/>
    </row>
    <row r="45" spans="1:13" ht="29.25" customHeight="1" x14ac:dyDescent="0.2">
      <c r="A45" s="160" t="s">
        <v>176</v>
      </c>
      <c r="B45" s="80"/>
      <c r="C45" s="166" t="s">
        <v>151</v>
      </c>
      <c r="D45" s="80" t="s">
        <v>92</v>
      </c>
      <c r="E45" s="90">
        <f>367-12.9-46.7</f>
        <v>307.40000000000003</v>
      </c>
      <c r="F45" s="161"/>
      <c r="G45" s="12"/>
      <c r="H45" s="12"/>
      <c r="I45" s="23"/>
      <c r="J45" s="12"/>
      <c r="K45" s="12"/>
      <c r="L45" s="159"/>
      <c r="M45" s="2" t="s">
        <v>375</v>
      </c>
    </row>
    <row r="46" spans="1:13" ht="38.25" x14ac:dyDescent="0.2">
      <c r="A46" s="160" t="s">
        <v>861</v>
      </c>
      <c r="B46" s="80"/>
      <c r="C46" s="166" t="s">
        <v>189</v>
      </c>
      <c r="D46" s="80" t="s">
        <v>143</v>
      </c>
      <c r="E46" s="90">
        <v>10</v>
      </c>
      <c r="F46" s="161"/>
      <c r="G46" s="12"/>
      <c r="H46" s="12"/>
      <c r="I46" s="12"/>
      <c r="J46" s="12"/>
      <c r="K46" s="12"/>
      <c r="L46" s="159"/>
    </row>
    <row r="47" spans="1:13" x14ac:dyDescent="0.2">
      <c r="A47" s="160" t="s">
        <v>862</v>
      </c>
      <c r="B47" s="75" t="s">
        <v>32</v>
      </c>
      <c r="C47" s="99" t="s">
        <v>33</v>
      </c>
      <c r="D47" s="80"/>
      <c r="E47" s="162">
        <f>+E48</f>
        <v>76</v>
      </c>
      <c r="F47" s="162">
        <f>+F48</f>
        <v>0</v>
      </c>
      <c r="G47" s="12"/>
      <c r="H47" s="12"/>
      <c r="I47" s="12"/>
      <c r="J47" s="12"/>
      <c r="K47" s="12"/>
      <c r="L47" s="159"/>
    </row>
    <row r="48" spans="1:13" x14ac:dyDescent="0.2">
      <c r="A48" s="160" t="s">
        <v>863</v>
      </c>
      <c r="B48" s="80"/>
      <c r="C48" s="158" t="s">
        <v>180</v>
      </c>
      <c r="D48" s="80"/>
      <c r="E48" s="90">
        <f>+E49</f>
        <v>76</v>
      </c>
      <c r="F48" s="90">
        <f>+F49</f>
        <v>0</v>
      </c>
      <c r="G48" s="12"/>
      <c r="H48" s="12"/>
      <c r="I48" s="12"/>
      <c r="J48" s="12"/>
      <c r="K48" s="12"/>
      <c r="L48" s="159"/>
    </row>
    <row r="49" spans="1:12" ht="38.25" x14ac:dyDescent="0.2">
      <c r="A49" s="160" t="s">
        <v>864</v>
      </c>
      <c r="B49" s="80"/>
      <c r="C49" s="166" t="s">
        <v>490</v>
      </c>
      <c r="D49" s="82" t="s">
        <v>144</v>
      </c>
      <c r="E49" s="90">
        <v>76</v>
      </c>
      <c r="F49" s="161"/>
      <c r="G49" s="12"/>
      <c r="H49" s="12"/>
      <c r="I49" s="12"/>
      <c r="J49" s="12"/>
      <c r="K49" s="12"/>
      <c r="L49" s="159"/>
    </row>
    <row r="50" spans="1:12" ht="15.75" customHeight="1" x14ac:dyDescent="0.2">
      <c r="A50" s="76">
        <v>18</v>
      </c>
      <c r="B50" s="80"/>
      <c r="C50" s="157" t="s">
        <v>20</v>
      </c>
      <c r="D50" s="80"/>
      <c r="E50" s="63">
        <f>+E10+E19+E24+E35+E38+E43+E47</f>
        <v>3263.9</v>
      </c>
      <c r="F50" s="63">
        <f>+F10+F19+F24+F35+F38+F43+F47</f>
        <v>217.8</v>
      </c>
      <c r="G50" s="12"/>
      <c r="H50" s="12"/>
      <c r="I50" s="12"/>
      <c r="J50" s="12"/>
      <c r="K50" s="12"/>
      <c r="L50" s="12"/>
    </row>
    <row r="51" spans="1:12" x14ac:dyDescent="0.2">
      <c r="C51" s="9" t="s">
        <v>108</v>
      </c>
      <c r="E51" s="134"/>
      <c r="F51" s="134"/>
    </row>
    <row r="52" spans="1:12" x14ac:dyDescent="0.2">
      <c r="D52" s="67"/>
      <c r="E52" s="134"/>
      <c r="F52" s="134"/>
    </row>
    <row r="53" spans="1:12" x14ac:dyDescent="0.2">
      <c r="C53" s="127"/>
      <c r="E53" s="167"/>
      <c r="F53" s="167"/>
    </row>
    <row r="54" spans="1:12" x14ac:dyDescent="0.2">
      <c r="C54" s="66"/>
      <c r="D54" s="67"/>
      <c r="E54" s="134"/>
      <c r="F54" s="134"/>
    </row>
    <row r="55" spans="1:12" x14ac:dyDescent="0.2">
      <c r="C55" s="43"/>
      <c r="E55" s="134"/>
      <c r="F55" s="134"/>
    </row>
    <row r="56" spans="1:12" x14ac:dyDescent="0.2">
      <c r="C56" s="43"/>
      <c r="E56" s="134"/>
      <c r="F56" s="134"/>
    </row>
    <row r="57" spans="1:12" x14ac:dyDescent="0.2">
      <c r="F57" s="134"/>
    </row>
    <row r="58" spans="1:12" x14ac:dyDescent="0.2">
      <c r="C58" s="66"/>
      <c r="E58" s="134"/>
      <c r="F58" s="134"/>
    </row>
    <row r="59" spans="1:12" x14ac:dyDescent="0.2">
      <c r="C59" s="66"/>
    </row>
    <row r="60" spans="1:12" x14ac:dyDescent="0.2">
      <c r="C60" s="66"/>
    </row>
    <row r="61" spans="1:12" x14ac:dyDescent="0.2">
      <c r="C61" s="66"/>
      <c r="E61" s="134"/>
      <c r="F61" s="134"/>
    </row>
    <row r="62" spans="1:12" x14ac:dyDescent="0.2">
      <c r="C62" s="66"/>
      <c r="E62" s="134"/>
      <c r="F62" s="134"/>
    </row>
    <row r="63" spans="1:12" x14ac:dyDescent="0.2">
      <c r="C63" s="168"/>
      <c r="D63" s="9"/>
      <c r="E63" s="134"/>
      <c r="F63" s="134"/>
    </row>
    <row r="64" spans="1:12" x14ac:dyDescent="0.2">
      <c r="C64" s="169"/>
      <c r="D64" s="134"/>
    </row>
    <row r="65" spans="3:4" x14ac:dyDescent="0.2">
      <c r="C65" s="66"/>
      <c r="D65" s="134"/>
    </row>
    <row r="66" spans="3:4" x14ac:dyDescent="0.2">
      <c r="C66" s="66"/>
      <c r="D66" s="170"/>
    </row>
    <row r="67" spans="3:4" x14ac:dyDescent="0.2">
      <c r="C67" s="66"/>
    </row>
    <row r="68" spans="3:4" x14ac:dyDescent="0.2">
      <c r="C68" s="66"/>
    </row>
    <row r="69" spans="3:4" x14ac:dyDescent="0.2">
      <c r="D69" s="9"/>
    </row>
    <row r="71" spans="3:4" x14ac:dyDescent="0.2">
      <c r="C71" s="66"/>
    </row>
  </sheetData>
  <mergeCells count="4">
    <mergeCell ref="C1:F1"/>
    <mergeCell ref="E3:F3"/>
    <mergeCell ref="A5:F5"/>
    <mergeCell ref="C2:F2"/>
  </mergeCells>
  <phoneticPr fontId="5" type="noConversion"/>
  <pageMargins left="0.70866141732283472" right="0" top="0.74803149606299213" bottom="0.59055118110236227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zoomScaleNormal="100" workbookViewId="0">
      <selection activeCell="L20" sqref="L20"/>
    </sheetView>
  </sheetViews>
  <sheetFormatPr defaultColWidth="9.140625" defaultRowHeight="12.75" x14ac:dyDescent="0.2"/>
  <cols>
    <col min="1" max="1" width="3.85546875" style="9" customWidth="1"/>
    <col min="2" max="2" width="7.28515625" style="68" customWidth="1"/>
    <col min="3" max="3" width="55.140625" style="127" customWidth="1"/>
    <col min="4" max="4" width="10.28515625" style="171" customWidth="1"/>
    <col min="5" max="6" width="7.7109375" style="66" customWidth="1"/>
    <col min="7" max="9" width="9.140625" style="2" customWidth="1"/>
    <col min="10" max="16384" width="9.140625" style="2"/>
  </cols>
  <sheetData>
    <row r="1" spans="1:8" ht="15.75" x14ac:dyDescent="0.25">
      <c r="C1" s="228" t="s">
        <v>877</v>
      </c>
      <c r="D1" s="228"/>
      <c r="E1" s="228"/>
      <c r="F1" s="228"/>
    </row>
    <row r="2" spans="1:8" ht="15.75" x14ac:dyDescent="0.25">
      <c r="C2" s="228" t="s">
        <v>871</v>
      </c>
      <c r="D2" s="228"/>
      <c r="E2" s="228"/>
      <c r="F2" s="228"/>
    </row>
    <row r="3" spans="1:8" ht="15.75" x14ac:dyDescent="0.25">
      <c r="C3" s="47"/>
      <c r="D3" s="47"/>
      <c r="E3" s="252" t="s">
        <v>227</v>
      </c>
      <c r="F3" s="252"/>
    </row>
    <row r="4" spans="1:8" ht="12" customHeight="1" x14ac:dyDescent="0.2">
      <c r="C4" s="67"/>
      <c r="D4" s="67"/>
      <c r="E4" s="67"/>
      <c r="F4" s="67"/>
    </row>
    <row r="5" spans="1:8" ht="25.5" customHeight="1" x14ac:dyDescent="0.2">
      <c r="A5" s="253" t="s">
        <v>444</v>
      </c>
      <c r="B5" s="253"/>
      <c r="C5" s="253"/>
      <c r="D5" s="253"/>
      <c r="E5" s="253"/>
      <c r="F5" s="253"/>
    </row>
    <row r="6" spans="1:8" x14ac:dyDescent="0.2">
      <c r="A6" s="71"/>
      <c r="B6" s="71"/>
      <c r="C6" s="71"/>
      <c r="D6" s="71"/>
      <c r="E6" s="71"/>
      <c r="F6" s="71"/>
    </row>
    <row r="7" spans="1:8" x14ac:dyDescent="0.2">
      <c r="F7" s="72" t="s">
        <v>129</v>
      </c>
    </row>
    <row r="8" spans="1:8" ht="51.7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8" s="44" customFormat="1" ht="12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</row>
    <row r="10" spans="1:8" s="44" customFormat="1" ht="20.100000000000001" customHeight="1" x14ac:dyDescent="0.2">
      <c r="A10" s="76">
        <v>1</v>
      </c>
      <c r="B10" s="73" t="s">
        <v>65</v>
      </c>
      <c r="C10" s="77" t="s">
        <v>66</v>
      </c>
      <c r="D10" s="73"/>
      <c r="E10" s="63">
        <f>SUM(+E11+E13+E15)</f>
        <v>506.59999999999997</v>
      </c>
      <c r="F10" s="63">
        <f>SUM(+F11+F13+F15)</f>
        <v>372.40000000000003</v>
      </c>
      <c r="G10" s="172"/>
      <c r="H10" s="173"/>
    </row>
    <row r="11" spans="1:8" s="44" customFormat="1" ht="24.75" customHeight="1" x14ac:dyDescent="0.25">
      <c r="A11" s="76">
        <v>2</v>
      </c>
      <c r="B11" s="82" t="s">
        <v>228</v>
      </c>
      <c r="C11" s="106" t="s">
        <v>427</v>
      </c>
      <c r="D11" s="82" t="s">
        <v>218</v>
      </c>
      <c r="E11" s="174">
        <f>+E12</f>
        <v>416.4</v>
      </c>
      <c r="F11" s="174">
        <f>+F12</f>
        <v>345.6</v>
      </c>
      <c r="G11" s="172"/>
      <c r="H11" s="175"/>
    </row>
    <row r="12" spans="1:8" s="44" customFormat="1" ht="12.6" customHeight="1" x14ac:dyDescent="0.2">
      <c r="A12" s="76">
        <v>3</v>
      </c>
      <c r="B12" s="82"/>
      <c r="C12" s="96" t="s">
        <v>213</v>
      </c>
      <c r="D12" s="73"/>
      <c r="E12" s="53">
        <v>416.4</v>
      </c>
      <c r="F12" s="53">
        <f>348.3-2.7</f>
        <v>345.6</v>
      </c>
      <c r="G12" s="172"/>
      <c r="H12" s="172"/>
    </row>
    <row r="13" spans="1:8" s="44" customFormat="1" ht="25.5" x14ac:dyDescent="0.2">
      <c r="A13" s="76">
        <v>4</v>
      </c>
      <c r="B13" s="82" t="s">
        <v>229</v>
      </c>
      <c r="C13" s="106" t="s">
        <v>584</v>
      </c>
      <c r="D13" s="82" t="s">
        <v>218</v>
      </c>
      <c r="E13" s="174">
        <f>+E14</f>
        <v>88.4</v>
      </c>
      <c r="F13" s="174">
        <f>+F14</f>
        <v>25</v>
      </c>
      <c r="G13" s="172"/>
      <c r="H13" s="172"/>
    </row>
    <row r="14" spans="1:8" s="44" customFormat="1" ht="12.6" customHeight="1" x14ac:dyDescent="0.2">
      <c r="A14" s="76">
        <v>5</v>
      </c>
      <c r="B14" s="82"/>
      <c r="C14" s="96" t="s">
        <v>213</v>
      </c>
      <c r="D14" s="73"/>
      <c r="E14" s="53">
        <v>88.4</v>
      </c>
      <c r="F14" s="53">
        <v>25</v>
      </c>
      <c r="G14" s="172"/>
      <c r="H14" s="172"/>
    </row>
    <row r="15" spans="1:8" s="44" customFormat="1" ht="12.6" customHeight="1" x14ac:dyDescent="0.2">
      <c r="A15" s="76">
        <v>6</v>
      </c>
      <c r="B15" s="82" t="s">
        <v>230</v>
      </c>
      <c r="C15" s="106" t="s">
        <v>231</v>
      </c>
      <c r="D15" s="82" t="s">
        <v>69</v>
      </c>
      <c r="E15" s="174">
        <f>+E16</f>
        <v>1.8</v>
      </c>
      <c r="F15" s="174">
        <f>+F16</f>
        <v>1.8</v>
      </c>
      <c r="G15" s="172"/>
      <c r="H15" s="172"/>
    </row>
    <row r="16" spans="1:8" s="44" customFormat="1" ht="12.6" customHeight="1" x14ac:dyDescent="0.2">
      <c r="A16" s="76">
        <v>7</v>
      </c>
      <c r="B16" s="73"/>
      <c r="C16" s="150" t="s">
        <v>3</v>
      </c>
      <c r="D16" s="73"/>
      <c r="E16" s="53">
        <v>1.8</v>
      </c>
      <c r="F16" s="53">
        <v>1.8</v>
      </c>
      <c r="G16" s="172"/>
      <c r="H16" s="172"/>
    </row>
    <row r="17" spans="1:11" ht="18" customHeight="1" x14ac:dyDescent="0.2">
      <c r="A17" s="76">
        <v>8</v>
      </c>
      <c r="B17" s="75" t="s">
        <v>21</v>
      </c>
      <c r="C17" s="99" t="s">
        <v>22</v>
      </c>
      <c r="D17" s="80"/>
      <c r="E17" s="63">
        <f>SUM(E18+E24+E26+E28+E41+E43+E45)</f>
        <v>3679.7</v>
      </c>
      <c r="F17" s="63">
        <f>SUM(F18+F24+F26+F28+F41+F43+F45)</f>
        <v>1903.1000000000004</v>
      </c>
      <c r="G17" s="12"/>
      <c r="H17" s="12"/>
    </row>
    <row r="18" spans="1:11" ht="24.95" customHeight="1" x14ac:dyDescent="0.2">
      <c r="A18" s="76">
        <v>9</v>
      </c>
      <c r="B18" s="80" t="s">
        <v>232</v>
      </c>
      <c r="C18" s="106" t="s">
        <v>233</v>
      </c>
      <c r="D18" s="98" t="s">
        <v>24</v>
      </c>
      <c r="E18" s="176">
        <f>SUM(E19:E23)</f>
        <v>1176.3000000000002</v>
      </c>
      <c r="F18" s="176">
        <f>SUM(F19:F23)</f>
        <v>759.8</v>
      </c>
      <c r="G18" s="12"/>
      <c r="H18" s="12"/>
      <c r="K18" s="13"/>
    </row>
    <row r="19" spans="1:11" ht="12.6" customHeight="1" x14ac:dyDescent="0.2">
      <c r="A19" s="76">
        <v>10</v>
      </c>
      <c r="B19" s="80"/>
      <c r="C19" s="89" t="s">
        <v>1</v>
      </c>
      <c r="D19" s="98"/>
      <c r="E19" s="81">
        <f>212+215.1</f>
        <v>427.1</v>
      </c>
      <c r="F19" s="81">
        <f>208.7+208.3</f>
        <v>417</v>
      </c>
      <c r="G19" s="12"/>
      <c r="H19" s="12"/>
    </row>
    <row r="20" spans="1:11" ht="12.6" customHeight="1" x14ac:dyDescent="0.2">
      <c r="A20" s="76">
        <v>11</v>
      </c>
      <c r="B20" s="80"/>
      <c r="C20" s="94" t="s">
        <v>2</v>
      </c>
      <c r="D20" s="98"/>
      <c r="E20" s="81">
        <f>80+92.6</f>
        <v>172.6</v>
      </c>
      <c r="F20" s="81">
        <f>78.8+50</f>
        <v>128.80000000000001</v>
      </c>
      <c r="G20" s="12"/>
      <c r="H20" s="12"/>
    </row>
    <row r="21" spans="1:11" ht="12.6" customHeight="1" x14ac:dyDescent="0.2">
      <c r="A21" s="76">
        <v>12</v>
      </c>
      <c r="B21" s="80"/>
      <c r="C21" s="94" t="s">
        <v>15</v>
      </c>
      <c r="D21" s="98"/>
      <c r="E21" s="81">
        <f>51+64.7</f>
        <v>115.7</v>
      </c>
      <c r="F21" s="81">
        <f>31+63</f>
        <v>94</v>
      </c>
      <c r="G21" s="12"/>
      <c r="H21" s="12"/>
    </row>
    <row r="22" spans="1:11" ht="12.6" customHeight="1" x14ac:dyDescent="0.2">
      <c r="A22" s="76">
        <v>13</v>
      </c>
      <c r="B22" s="80"/>
      <c r="C22" s="94" t="s">
        <v>19</v>
      </c>
      <c r="D22" s="98"/>
      <c r="E22" s="81">
        <f>60+82</f>
        <v>142</v>
      </c>
      <c r="F22" s="81">
        <f>59.1-1.7+62.6</f>
        <v>120</v>
      </c>
      <c r="G22" s="12"/>
      <c r="H22" s="12"/>
    </row>
    <row r="23" spans="1:11" ht="12.6" customHeight="1" x14ac:dyDescent="0.2">
      <c r="A23" s="83">
        <v>14</v>
      </c>
      <c r="B23" s="84"/>
      <c r="C23" s="150" t="s">
        <v>3</v>
      </c>
      <c r="D23" s="98"/>
      <c r="E23" s="81">
        <f>247+71.9</f>
        <v>318.89999999999998</v>
      </c>
      <c r="F23" s="81"/>
      <c r="G23" s="12"/>
      <c r="H23" s="12"/>
      <c r="K23" s="13"/>
    </row>
    <row r="24" spans="1:11" ht="24.95" customHeight="1" x14ac:dyDescent="0.2">
      <c r="A24" s="76">
        <v>15</v>
      </c>
      <c r="B24" s="80" t="s">
        <v>234</v>
      </c>
      <c r="C24" s="106" t="s">
        <v>235</v>
      </c>
      <c r="D24" s="80" t="s">
        <v>23</v>
      </c>
      <c r="E24" s="176">
        <f>SUM(E25:E25)</f>
        <v>872.1</v>
      </c>
      <c r="F24" s="176">
        <f>SUM(F25:F25)</f>
        <v>839</v>
      </c>
      <c r="G24" s="12"/>
      <c r="H24" s="12"/>
    </row>
    <row r="25" spans="1:11" ht="12.6" customHeight="1" x14ac:dyDescent="0.2">
      <c r="A25" s="76">
        <v>16</v>
      </c>
      <c r="B25" s="80"/>
      <c r="C25" s="89" t="s">
        <v>147</v>
      </c>
      <c r="D25" s="80"/>
      <c r="E25" s="81">
        <v>872.1</v>
      </c>
      <c r="F25" s="81">
        <v>839</v>
      </c>
      <c r="G25" s="12"/>
      <c r="H25" s="12"/>
    </row>
    <row r="26" spans="1:11" ht="25.5" x14ac:dyDescent="0.2">
      <c r="A26" s="76">
        <v>17</v>
      </c>
      <c r="B26" s="80" t="s">
        <v>236</v>
      </c>
      <c r="C26" s="106" t="s">
        <v>435</v>
      </c>
      <c r="D26" s="80" t="s">
        <v>23</v>
      </c>
      <c r="E26" s="176">
        <f>SUM(E27:E27)</f>
        <v>136</v>
      </c>
      <c r="F26" s="176">
        <f>SUM(F27:F27)</f>
        <v>130.9</v>
      </c>
      <c r="G26" s="12"/>
      <c r="H26" s="12"/>
    </row>
    <row r="27" spans="1:11" x14ac:dyDescent="0.2">
      <c r="A27" s="76">
        <v>18</v>
      </c>
      <c r="B27" s="80"/>
      <c r="C27" s="89" t="s">
        <v>147</v>
      </c>
      <c r="D27" s="80"/>
      <c r="E27" s="81">
        <v>136</v>
      </c>
      <c r="F27" s="81">
        <f>134.1-3.2</f>
        <v>130.9</v>
      </c>
      <c r="G27" s="12"/>
      <c r="H27" s="12"/>
    </row>
    <row r="28" spans="1:11" ht="45.6" customHeight="1" x14ac:dyDescent="0.2">
      <c r="A28" s="76">
        <v>19</v>
      </c>
      <c r="B28" s="80" t="s">
        <v>239</v>
      </c>
      <c r="C28" s="106" t="s">
        <v>237</v>
      </c>
      <c r="D28" s="82" t="s">
        <v>238</v>
      </c>
      <c r="E28" s="176">
        <f>SUM(E29:E40)</f>
        <v>354.49999999999994</v>
      </c>
      <c r="F28" s="176">
        <f>SUM(F29:F40)</f>
        <v>9.8999999999999986</v>
      </c>
      <c r="G28" s="12"/>
      <c r="H28" s="12"/>
    </row>
    <row r="29" spans="1:11" ht="12.6" customHeight="1" x14ac:dyDescent="0.2">
      <c r="A29" s="76">
        <v>20</v>
      </c>
      <c r="B29" s="80"/>
      <c r="C29" s="150" t="s">
        <v>3</v>
      </c>
      <c r="D29" s="82"/>
      <c r="E29" s="81">
        <v>5</v>
      </c>
      <c r="F29" s="81"/>
      <c r="G29" s="12"/>
      <c r="H29" s="12"/>
    </row>
    <row r="30" spans="1:11" ht="12.6" customHeight="1" x14ac:dyDescent="0.2">
      <c r="A30" s="76">
        <v>21</v>
      </c>
      <c r="B30" s="80"/>
      <c r="C30" s="54" t="s">
        <v>8</v>
      </c>
      <c r="D30" s="80"/>
      <c r="E30" s="81">
        <f>202.7-10.3</f>
        <v>192.39999999999998</v>
      </c>
      <c r="F30" s="81">
        <f>5.8-0.4</f>
        <v>5.3999999999999995</v>
      </c>
      <c r="G30" s="12"/>
      <c r="H30" s="12"/>
    </row>
    <row r="31" spans="1:11" ht="12.6" customHeight="1" x14ac:dyDescent="0.2">
      <c r="A31" s="76">
        <v>22</v>
      </c>
      <c r="B31" s="80"/>
      <c r="C31" s="54" t="s">
        <v>4</v>
      </c>
      <c r="D31" s="80"/>
      <c r="E31" s="81">
        <f>40.8-6.2</f>
        <v>34.599999999999994</v>
      </c>
      <c r="F31" s="81">
        <f>1.2-0.2</f>
        <v>1</v>
      </c>
      <c r="G31" s="12"/>
      <c r="H31" s="12"/>
    </row>
    <row r="32" spans="1:11" ht="12.6" customHeight="1" x14ac:dyDescent="0.2">
      <c r="A32" s="76">
        <v>23</v>
      </c>
      <c r="B32" s="80"/>
      <c r="C32" s="54" t="s">
        <v>5</v>
      </c>
      <c r="D32" s="80"/>
      <c r="E32" s="81">
        <f>13.7-4</f>
        <v>9.6999999999999993</v>
      </c>
      <c r="F32" s="81">
        <f>0.4-0.1</f>
        <v>0.30000000000000004</v>
      </c>
      <c r="G32" s="12"/>
      <c r="H32" s="12"/>
    </row>
    <row r="33" spans="1:8" ht="12.6" customHeight="1" x14ac:dyDescent="0.2">
      <c r="A33" s="76">
        <v>24</v>
      </c>
      <c r="B33" s="80"/>
      <c r="C33" s="54" t="s">
        <v>7</v>
      </c>
      <c r="D33" s="80"/>
      <c r="E33" s="81">
        <f>21.4-4.1</f>
        <v>17.299999999999997</v>
      </c>
      <c r="F33" s="81">
        <f>0.6-0.1</f>
        <v>0.5</v>
      </c>
      <c r="G33" s="12"/>
      <c r="H33" s="12"/>
    </row>
    <row r="34" spans="1:8" ht="12.6" customHeight="1" x14ac:dyDescent="0.2">
      <c r="A34" s="76">
        <v>25</v>
      </c>
      <c r="B34" s="80"/>
      <c r="C34" s="54" t="s">
        <v>6</v>
      </c>
      <c r="D34" s="80"/>
      <c r="E34" s="81">
        <f>18.1-1</f>
        <v>17.100000000000001</v>
      </c>
      <c r="F34" s="81">
        <v>0.5</v>
      </c>
      <c r="G34" s="12"/>
      <c r="H34" s="12"/>
    </row>
    <row r="35" spans="1:8" ht="12.6" customHeight="1" x14ac:dyDescent="0.2">
      <c r="A35" s="76">
        <v>26</v>
      </c>
      <c r="B35" s="80"/>
      <c r="C35" s="54" t="s">
        <v>9</v>
      </c>
      <c r="D35" s="80"/>
      <c r="E35" s="81">
        <f>27.8-6.2</f>
        <v>21.6</v>
      </c>
      <c r="F35" s="81">
        <f>0.8-0.2</f>
        <v>0.60000000000000009</v>
      </c>
      <c r="G35" s="12"/>
      <c r="H35" s="12"/>
    </row>
    <row r="36" spans="1:8" ht="12.6" customHeight="1" x14ac:dyDescent="0.2">
      <c r="A36" s="76">
        <v>27</v>
      </c>
      <c r="B36" s="80"/>
      <c r="C36" s="89" t="s">
        <v>10</v>
      </c>
      <c r="D36" s="80"/>
      <c r="E36" s="81">
        <f>13.3-3.6</f>
        <v>9.7000000000000011</v>
      </c>
      <c r="F36" s="81">
        <f>0.4-0.1</f>
        <v>0.30000000000000004</v>
      </c>
      <c r="G36" s="12"/>
      <c r="H36" s="12"/>
    </row>
    <row r="37" spans="1:8" ht="12.6" customHeight="1" x14ac:dyDescent="0.2">
      <c r="A37" s="76">
        <v>28</v>
      </c>
      <c r="B37" s="80"/>
      <c r="C37" s="54" t="s">
        <v>12</v>
      </c>
      <c r="D37" s="80"/>
      <c r="E37" s="81">
        <v>8.4</v>
      </c>
      <c r="F37" s="81">
        <v>0.2</v>
      </c>
      <c r="G37" s="12"/>
      <c r="H37" s="12"/>
    </row>
    <row r="38" spans="1:8" ht="12.6" customHeight="1" x14ac:dyDescent="0.2">
      <c r="A38" s="76">
        <v>29</v>
      </c>
      <c r="B38" s="80"/>
      <c r="C38" s="54" t="s">
        <v>11</v>
      </c>
      <c r="D38" s="80"/>
      <c r="E38" s="81">
        <f>17.4-4.6</f>
        <v>12.799999999999999</v>
      </c>
      <c r="F38" s="81">
        <f>0.5-0.1</f>
        <v>0.4</v>
      </c>
      <c r="G38" s="12"/>
      <c r="H38" s="12"/>
    </row>
    <row r="39" spans="1:8" ht="12.6" customHeight="1" x14ac:dyDescent="0.2">
      <c r="A39" s="76">
        <v>30</v>
      </c>
      <c r="B39" s="80"/>
      <c r="C39" s="54" t="s">
        <v>13</v>
      </c>
      <c r="D39" s="80"/>
      <c r="E39" s="81">
        <f>10.1-2.4</f>
        <v>7.6999999999999993</v>
      </c>
      <c r="F39" s="81">
        <f>0.3-0.1</f>
        <v>0.19999999999999998</v>
      </c>
      <c r="G39" s="12"/>
      <c r="H39" s="12"/>
    </row>
    <row r="40" spans="1:8" ht="12.6" customHeight="1" x14ac:dyDescent="0.2">
      <c r="A40" s="76">
        <v>31</v>
      </c>
      <c r="B40" s="80"/>
      <c r="C40" s="54" t="s">
        <v>14</v>
      </c>
      <c r="D40" s="80"/>
      <c r="E40" s="81">
        <f>19.8-1.6</f>
        <v>18.2</v>
      </c>
      <c r="F40" s="81">
        <f>0.6-0.1</f>
        <v>0.5</v>
      </c>
      <c r="G40" s="12"/>
      <c r="H40" s="12"/>
    </row>
    <row r="41" spans="1:8" ht="29.25" customHeight="1" x14ac:dyDescent="0.2">
      <c r="A41" s="76">
        <v>32</v>
      </c>
      <c r="B41" s="80" t="s">
        <v>241</v>
      </c>
      <c r="C41" s="177" t="s">
        <v>240</v>
      </c>
      <c r="D41" s="80" t="s">
        <v>31</v>
      </c>
      <c r="E41" s="176">
        <f>+E42</f>
        <v>947.6</v>
      </c>
      <c r="F41" s="176">
        <f>+F42</f>
        <v>15.200000000000001</v>
      </c>
      <c r="G41" s="12"/>
      <c r="H41" s="12"/>
    </row>
    <row r="42" spans="1:8" ht="12.6" customHeight="1" x14ac:dyDescent="0.2">
      <c r="A42" s="76">
        <v>33</v>
      </c>
      <c r="B42" s="80"/>
      <c r="C42" s="150" t="s">
        <v>3</v>
      </c>
      <c r="D42" s="80"/>
      <c r="E42" s="81">
        <v>947.6</v>
      </c>
      <c r="F42" s="81">
        <f>16.8-1.6</f>
        <v>15.200000000000001</v>
      </c>
      <c r="G42" s="12"/>
      <c r="H42" s="12"/>
    </row>
    <row r="43" spans="1:8" ht="24.95" customHeight="1" x14ac:dyDescent="0.2">
      <c r="A43" s="76">
        <v>34</v>
      </c>
      <c r="B43" s="80" t="s">
        <v>431</v>
      </c>
      <c r="C43" s="177" t="s">
        <v>242</v>
      </c>
      <c r="D43" s="80" t="s">
        <v>72</v>
      </c>
      <c r="E43" s="176">
        <f>+E44</f>
        <v>13.1</v>
      </c>
      <c r="F43" s="176">
        <f>+F44</f>
        <v>0.4</v>
      </c>
      <c r="G43" s="12"/>
      <c r="H43" s="12"/>
    </row>
    <row r="44" spans="1:8" ht="12.6" customHeight="1" x14ac:dyDescent="0.2">
      <c r="A44" s="76">
        <v>35</v>
      </c>
      <c r="B44" s="80"/>
      <c r="C44" s="150" t="s">
        <v>3</v>
      </c>
      <c r="D44" s="80"/>
      <c r="E44" s="81">
        <f>11.1+2</f>
        <v>13.1</v>
      </c>
      <c r="F44" s="81">
        <v>0.4</v>
      </c>
      <c r="G44" s="12"/>
      <c r="H44" s="12"/>
    </row>
    <row r="45" spans="1:8" ht="12.6" customHeight="1" x14ac:dyDescent="0.2">
      <c r="A45" s="76">
        <v>36</v>
      </c>
      <c r="B45" s="80" t="s">
        <v>586</v>
      </c>
      <c r="C45" s="177" t="s">
        <v>577</v>
      </c>
      <c r="D45" s="80" t="s">
        <v>39</v>
      </c>
      <c r="E45" s="176">
        <f>SUM(E46:E57)</f>
        <v>180.09999999999997</v>
      </c>
      <c r="F45" s="176">
        <f>SUM(F46:F57)</f>
        <v>147.9</v>
      </c>
      <c r="G45" s="12"/>
      <c r="H45" s="12"/>
    </row>
    <row r="46" spans="1:8" ht="12.6" customHeight="1" x14ac:dyDescent="0.2">
      <c r="A46" s="76">
        <v>37</v>
      </c>
      <c r="B46" s="80"/>
      <c r="C46" s="150" t="s">
        <v>3</v>
      </c>
      <c r="D46" s="80"/>
      <c r="E46" s="176">
        <f>60-10</f>
        <v>50</v>
      </c>
      <c r="F46" s="176">
        <f>21.6+0.5</f>
        <v>22.1</v>
      </c>
      <c r="G46" s="12"/>
      <c r="H46" s="12"/>
    </row>
    <row r="47" spans="1:8" ht="12.6" customHeight="1" x14ac:dyDescent="0.2">
      <c r="A47" s="76">
        <v>38</v>
      </c>
      <c r="B47" s="80"/>
      <c r="C47" s="54" t="s">
        <v>8</v>
      </c>
      <c r="D47" s="80"/>
      <c r="E47" s="81">
        <v>34.6</v>
      </c>
      <c r="F47" s="81">
        <v>33.299999999999997</v>
      </c>
      <c r="G47" s="12"/>
      <c r="H47" s="12"/>
    </row>
    <row r="48" spans="1:8" ht="12.6" customHeight="1" x14ac:dyDescent="0.2">
      <c r="A48" s="76">
        <v>39</v>
      </c>
      <c r="B48" s="80"/>
      <c r="C48" s="54" t="s">
        <v>4</v>
      </c>
      <c r="D48" s="80"/>
      <c r="E48" s="81">
        <v>11.5</v>
      </c>
      <c r="F48" s="81">
        <v>11.1</v>
      </c>
      <c r="G48" s="12"/>
      <c r="H48" s="12"/>
    </row>
    <row r="49" spans="1:8" ht="12.6" customHeight="1" x14ac:dyDescent="0.2">
      <c r="A49" s="76">
        <v>40</v>
      </c>
      <c r="B49" s="80"/>
      <c r="C49" s="54" t="s">
        <v>5</v>
      </c>
      <c r="D49" s="80"/>
      <c r="E49" s="81">
        <v>11.5</v>
      </c>
      <c r="F49" s="81">
        <v>11.1</v>
      </c>
      <c r="G49" s="12"/>
      <c r="H49" s="12"/>
    </row>
    <row r="50" spans="1:8" ht="12.6" customHeight="1" x14ac:dyDescent="0.2">
      <c r="A50" s="76">
        <v>41</v>
      </c>
      <c r="B50" s="80"/>
      <c r="C50" s="54" t="s">
        <v>7</v>
      </c>
      <c r="D50" s="80"/>
      <c r="E50" s="81">
        <v>11.5</v>
      </c>
      <c r="F50" s="81">
        <v>11.1</v>
      </c>
      <c r="G50" s="12"/>
      <c r="H50" s="12"/>
    </row>
    <row r="51" spans="1:8" ht="12.6" customHeight="1" x14ac:dyDescent="0.2">
      <c r="A51" s="76">
        <v>42</v>
      </c>
      <c r="B51" s="80"/>
      <c r="C51" s="54" t="s">
        <v>6</v>
      </c>
      <c r="D51" s="80"/>
      <c r="E51" s="81">
        <v>7.6</v>
      </c>
      <c r="F51" s="81">
        <v>7.4</v>
      </c>
      <c r="G51" s="12"/>
      <c r="H51" s="12"/>
    </row>
    <row r="52" spans="1:8" ht="12.6" customHeight="1" x14ac:dyDescent="0.2">
      <c r="A52" s="76">
        <v>43</v>
      </c>
      <c r="B52" s="80"/>
      <c r="C52" s="54" t="s">
        <v>9</v>
      </c>
      <c r="D52" s="80"/>
      <c r="E52" s="81">
        <v>11.5</v>
      </c>
      <c r="F52" s="81">
        <v>11.1</v>
      </c>
      <c r="G52" s="12"/>
      <c r="H52" s="12"/>
    </row>
    <row r="53" spans="1:8" ht="12.6" customHeight="1" x14ac:dyDescent="0.2">
      <c r="A53" s="76">
        <v>44</v>
      </c>
      <c r="B53" s="80"/>
      <c r="C53" s="89" t="s">
        <v>10</v>
      </c>
      <c r="D53" s="80"/>
      <c r="E53" s="81">
        <v>7.6</v>
      </c>
      <c r="F53" s="81">
        <v>7.4</v>
      </c>
      <c r="G53" s="12"/>
      <c r="H53" s="12"/>
    </row>
    <row r="54" spans="1:8" ht="12.6" customHeight="1" x14ac:dyDescent="0.2">
      <c r="A54" s="76">
        <v>45</v>
      </c>
      <c r="B54" s="80"/>
      <c r="C54" s="54" t="s">
        <v>12</v>
      </c>
      <c r="D54" s="80"/>
      <c r="E54" s="81">
        <v>7.6</v>
      </c>
      <c r="F54" s="81">
        <v>7.4</v>
      </c>
      <c r="G54" s="12"/>
      <c r="H54" s="12"/>
    </row>
    <row r="55" spans="1:8" ht="12.6" customHeight="1" x14ac:dyDescent="0.2">
      <c r="A55" s="76">
        <v>46</v>
      </c>
      <c r="B55" s="80"/>
      <c r="C55" s="54" t="s">
        <v>11</v>
      </c>
      <c r="D55" s="80"/>
      <c r="E55" s="81">
        <v>7.6</v>
      </c>
      <c r="F55" s="81">
        <v>7.4</v>
      </c>
      <c r="G55" s="12"/>
      <c r="H55" s="12"/>
    </row>
    <row r="56" spans="1:8" ht="12.6" customHeight="1" x14ac:dyDescent="0.2">
      <c r="A56" s="76">
        <v>47</v>
      </c>
      <c r="B56" s="80"/>
      <c r="C56" s="54" t="s">
        <v>13</v>
      </c>
      <c r="D56" s="80"/>
      <c r="E56" s="81">
        <v>7.6</v>
      </c>
      <c r="F56" s="81">
        <v>7.4</v>
      </c>
      <c r="G56" s="12"/>
      <c r="H56" s="12"/>
    </row>
    <row r="57" spans="1:8" ht="12.6" customHeight="1" x14ac:dyDescent="0.2">
      <c r="A57" s="76">
        <v>48</v>
      </c>
      <c r="B57" s="80"/>
      <c r="C57" s="54" t="s">
        <v>14</v>
      </c>
      <c r="D57" s="80"/>
      <c r="E57" s="81">
        <v>11.5</v>
      </c>
      <c r="F57" s="81">
        <v>11.1</v>
      </c>
      <c r="G57" s="12"/>
      <c r="H57" s="12"/>
    </row>
    <row r="58" spans="1:8" ht="18" customHeight="1" x14ac:dyDescent="0.2">
      <c r="A58" s="76">
        <v>49</v>
      </c>
      <c r="B58" s="75" t="s">
        <v>32</v>
      </c>
      <c r="C58" s="99" t="s">
        <v>33</v>
      </c>
      <c r="D58" s="80"/>
      <c r="E58" s="63">
        <f>+E59+E71</f>
        <v>614.80000000000007</v>
      </c>
      <c r="F58" s="63">
        <f>+F59+F71</f>
        <v>233.89999999999998</v>
      </c>
      <c r="G58" s="12"/>
      <c r="H58" s="12"/>
    </row>
    <row r="59" spans="1:8" ht="12.6" customHeight="1" x14ac:dyDescent="0.2">
      <c r="A59" s="76">
        <v>50</v>
      </c>
      <c r="B59" s="80" t="s">
        <v>243</v>
      </c>
      <c r="C59" s="177" t="s">
        <v>244</v>
      </c>
      <c r="D59" s="80" t="s">
        <v>245</v>
      </c>
      <c r="E59" s="176">
        <f>SUM(E60:E70)</f>
        <v>254.80000000000004</v>
      </c>
      <c r="F59" s="176">
        <f>SUM(F60:F70)</f>
        <v>233.89999999999998</v>
      </c>
      <c r="G59" s="12"/>
      <c r="H59" s="12"/>
    </row>
    <row r="60" spans="1:8" ht="12.6" customHeight="1" x14ac:dyDescent="0.2">
      <c r="A60" s="76">
        <v>51</v>
      </c>
      <c r="B60" s="80"/>
      <c r="C60" s="150" t="s">
        <v>3</v>
      </c>
      <c r="D60" s="80"/>
      <c r="E60" s="81">
        <v>136.5</v>
      </c>
      <c r="F60" s="81">
        <v>120.3</v>
      </c>
      <c r="G60" s="12"/>
      <c r="H60" s="12"/>
    </row>
    <row r="61" spans="1:8" ht="12.6" customHeight="1" x14ac:dyDescent="0.2">
      <c r="A61" s="76">
        <v>52</v>
      </c>
      <c r="B61" s="80"/>
      <c r="C61" s="54" t="s">
        <v>4</v>
      </c>
      <c r="D61" s="80"/>
      <c r="E61" s="81">
        <v>13.4</v>
      </c>
      <c r="F61" s="81">
        <v>13.2</v>
      </c>
      <c r="G61" s="12"/>
      <c r="H61" s="12"/>
    </row>
    <row r="62" spans="1:8" ht="12.6" customHeight="1" x14ac:dyDescent="0.2">
      <c r="A62" s="76">
        <v>53</v>
      </c>
      <c r="B62" s="80"/>
      <c r="C62" s="54" t="s">
        <v>5</v>
      </c>
      <c r="D62" s="80"/>
      <c r="E62" s="81">
        <v>10</v>
      </c>
      <c r="F62" s="81">
        <v>9.9</v>
      </c>
      <c r="G62" s="12"/>
      <c r="H62" s="12"/>
    </row>
    <row r="63" spans="1:8" ht="12.6" customHeight="1" x14ac:dyDescent="0.2">
      <c r="A63" s="76">
        <v>54</v>
      </c>
      <c r="B63" s="80"/>
      <c r="C63" s="54" t="s">
        <v>7</v>
      </c>
      <c r="D63" s="80"/>
      <c r="E63" s="81">
        <v>5.5</v>
      </c>
      <c r="F63" s="81">
        <v>5.4</v>
      </c>
      <c r="G63" s="12"/>
      <c r="H63" s="12"/>
    </row>
    <row r="64" spans="1:8" ht="12.6" customHeight="1" x14ac:dyDescent="0.2">
      <c r="A64" s="76">
        <v>55</v>
      </c>
      <c r="B64" s="80"/>
      <c r="C64" s="54" t="s">
        <v>6</v>
      </c>
      <c r="D64" s="80"/>
      <c r="E64" s="81">
        <f>17.9+3</f>
        <v>20.9</v>
      </c>
      <c r="F64" s="81">
        <v>17.600000000000001</v>
      </c>
      <c r="G64" s="12"/>
      <c r="H64" s="12"/>
    </row>
    <row r="65" spans="1:8" ht="12.6" customHeight="1" x14ac:dyDescent="0.2">
      <c r="A65" s="76">
        <v>56</v>
      </c>
      <c r="B65" s="80"/>
      <c r="C65" s="54" t="s">
        <v>9</v>
      </c>
      <c r="D65" s="80"/>
      <c r="E65" s="81">
        <v>14.3</v>
      </c>
      <c r="F65" s="81">
        <v>14.1</v>
      </c>
      <c r="G65" s="12"/>
      <c r="H65" s="12"/>
    </row>
    <row r="66" spans="1:8" ht="12.6" customHeight="1" x14ac:dyDescent="0.2">
      <c r="A66" s="76">
        <v>57</v>
      </c>
      <c r="B66" s="80"/>
      <c r="C66" s="89" t="s">
        <v>10</v>
      </c>
      <c r="D66" s="80"/>
      <c r="E66" s="81">
        <v>10.3</v>
      </c>
      <c r="F66" s="81">
        <v>10.199999999999999</v>
      </c>
      <c r="G66" s="12"/>
      <c r="H66" s="12"/>
    </row>
    <row r="67" spans="1:8" ht="12.6" customHeight="1" x14ac:dyDescent="0.2">
      <c r="A67" s="76">
        <v>58</v>
      </c>
      <c r="B67" s="80"/>
      <c r="C67" s="54" t="s">
        <v>12</v>
      </c>
      <c r="D67" s="80"/>
      <c r="E67" s="81">
        <v>9.3000000000000007</v>
      </c>
      <c r="F67" s="81">
        <v>9.1999999999999993</v>
      </c>
      <c r="G67" s="12"/>
      <c r="H67" s="12"/>
    </row>
    <row r="68" spans="1:8" ht="12.6" customHeight="1" x14ac:dyDescent="0.2">
      <c r="A68" s="76">
        <v>59</v>
      </c>
      <c r="B68" s="80"/>
      <c r="C68" s="54" t="s">
        <v>11</v>
      </c>
      <c r="D68" s="80"/>
      <c r="E68" s="81">
        <v>13.4</v>
      </c>
      <c r="F68" s="81">
        <v>13.2</v>
      </c>
      <c r="G68" s="12"/>
      <c r="H68" s="12"/>
    </row>
    <row r="69" spans="1:8" ht="12.6" customHeight="1" x14ac:dyDescent="0.2">
      <c r="A69" s="76">
        <v>60</v>
      </c>
      <c r="B69" s="80"/>
      <c r="C69" s="54" t="s">
        <v>13</v>
      </c>
      <c r="D69" s="80"/>
      <c r="E69" s="81">
        <f>10.8+0.7</f>
        <v>11.5</v>
      </c>
      <c r="F69" s="81">
        <f>10.6+0.7</f>
        <v>11.299999999999999</v>
      </c>
      <c r="G69" s="12"/>
      <c r="H69" s="12"/>
    </row>
    <row r="70" spans="1:8" ht="12.6" customHeight="1" x14ac:dyDescent="0.2">
      <c r="A70" s="76">
        <v>61</v>
      </c>
      <c r="B70" s="80"/>
      <c r="C70" s="54" t="s">
        <v>14</v>
      </c>
      <c r="D70" s="80"/>
      <c r="E70" s="81">
        <f>13.4-3.7</f>
        <v>9.6999999999999993</v>
      </c>
      <c r="F70" s="81">
        <f>13.2-3.7</f>
        <v>9.5</v>
      </c>
      <c r="G70" s="12"/>
      <c r="H70" s="12"/>
    </row>
    <row r="71" spans="1:8" ht="67.5" customHeight="1" x14ac:dyDescent="0.2">
      <c r="A71" s="233">
        <v>62</v>
      </c>
      <c r="B71" s="235" t="s">
        <v>246</v>
      </c>
      <c r="C71" s="106" t="s">
        <v>496</v>
      </c>
      <c r="D71" s="235"/>
      <c r="E71" s="176">
        <f>+E73</f>
        <v>360</v>
      </c>
      <c r="F71" s="176">
        <f>+F73</f>
        <v>0</v>
      </c>
      <c r="G71" s="12"/>
      <c r="H71" s="12"/>
    </row>
    <row r="72" spans="1:8" ht="12.6" customHeight="1" x14ac:dyDescent="0.2">
      <c r="A72" s="234"/>
      <c r="B72" s="236"/>
      <c r="C72" s="106" t="s">
        <v>247</v>
      </c>
      <c r="D72" s="236"/>
      <c r="E72" s="176">
        <v>9</v>
      </c>
      <c r="F72" s="176"/>
      <c r="G72" s="12"/>
      <c r="H72" s="12"/>
    </row>
    <row r="73" spans="1:8" ht="12.6" customHeight="1" x14ac:dyDescent="0.2">
      <c r="A73" s="76">
        <v>63</v>
      </c>
      <c r="B73" s="80"/>
      <c r="C73" s="150" t="s">
        <v>3</v>
      </c>
      <c r="D73" s="80" t="s">
        <v>248</v>
      </c>
      <c r="E73" s="81">
        <v>360</v>
      </c>
      <c r="F73" s="81"/>
      <c r="G73" s="12"/>
      <c r="H73" s="12"/>
    </row>
    <row r="74" spans="1:8" ht="18" customHeight="1" x14ac:dyDescent="0.2">
      <c r="A74" s="76">
        <v>64</v>
      </c>
      <c r="B74" s="75" t="s">
        <v>25</v>
      </c>
      <c r="C74" s="99" t="s">
        <v>26</v>
      </c>
      <c r="D74" s="80"/>
      <c r="E74" s="63">
        <f>SUM(E75+E77+E79+E81+E83+E85+E87+E89+E91+E93+E95+E97+E99)</f>
        <v>1496.2</v>
      </c>
      <c r="F74" s="63">
        <f>SUM(F75+F77+F79+F81+F83+F85+F87+F89+F91+F93+F95+F97+F99)</f>
        <v>1349.6000000000004</v>
      </c>
      <c r="G74" s="12"/>
      <c r="H74" s="12"/>
    </row>
    <row r="75" spans="1:8" ht="12.6" customHeight="1" x14ac:dyDescent="0.2">
      <c r="A75" s="76">
        <v>65</v>
      </c>
      <c r="B75" s="80" t="s">
        <v>34</v>
      </c>
      <c r="C75" s="177" t="s">
        <v>250</v>
      </c>
      <c r="D75" s="80" t="s">
        <v>28</v>
      </c>
      <c r="E75" s="176">
        <f>+E76</f>
        <v>1234.5999999999999</v>
      </c>
      <c r="F75" s="176">
        <f>+F76</f>
        <v>1145.7</v>
      </c>
      <c r="G75" s="12"/>
      <c r="H75" s="12"/>
    </row>
    <row r="76" spans="1:8" ht="12.6" customHeight="1" x14ac:dyDescent="0.2">
      <c r="A76" s="76">
        <v>66</v>
      </c>
      <c r="B76" s="114"/>
      <c r="C76" s="54" t="s">
        <v>27</v>
      </c>
      <c r="D76" s="98"/>
      <c r="E76" s="81">
        <v>1234.5999999999999</v>
      </c>
      <c r="F76" s="81">
        <v>1145.7</v>
      </c>
      <c r="G76" s="12"/>
      <c r="H76" s="12"/>
    </row>
    <row r="77" spans="1:8" ht="12.6" customHeight="1" x14ac:dyDescent="0.2">
      <c r="A77" s="76">
        <v>67</v>
      </c>
      <c r="B77" s="80" t="s">
        <v>35</v>
      </c>
      <c r="C77" s="106" t="s">
        <v>251</v>
      </c>
      <c r="D77" s="80" t="s">
        <v>252</v>
      </c>
      <c r="E77" s="176">
        <f>SUM(E78:E78)</f>
        <v>0.8</v>
      </c>
      <c r="F77" s="176">
        <f>SUM(F78:F78)</f>
        <v>0.8</v>
      </c>
      <c r="G77" s="12"/>
      <c r="H77" s="12"/>
    </row>
    <row r="78" spans="1:8" ht="12.6" customHeight="1" x14ac:dyDescent="0.2">
      <c r="A78" s="76">
        <v>68</v>
      </c>
      <c r="B78" s="80"/>
      <c r="C78" s="150" t="s">
        <v>3</v>
      </c>
      <c r="D78" s="80"/>
      <c r="E78" s="81">
        <v>0.8</v>
      </c>
      <c r="F78" s="81">
        <v>0.8</v>
      </c>
      <c r="G78" s="12"/>
      <c r="H78" s="12"/>
    </row>
    <row r="79" spans="1:8" ht="12.6" customHeight="1" x14ac:dyDescent="0.2">
      <c r="A79" s="76">
        <v>69</v>
      </c>
      <c r="B79" s="82" t="s">
        <v>36</v>
      </c>
      <c r="C79" s="106" t="s">
        <v>253</v>
      </c>
      <c r="D79" s="80" t="s">
        <v>252</v>
      </c>
      <c r="E79" s="174">
        <f>+E80</f>
        <v>47.9</v>
      </c>
      <c r="F79" s="174">
        <f>+F80</f>
        <v>42</v>
      </c>
      <c r="G79" s="12"/>
      <c r="H79" s="12"/>
    </row>
    <row r="80" spans="1:8" ht="12.6" customHeight="1" x14ac:dyDescent="0.2">
      <c r="A80" s="76">
        <v>70</v>
      </c>
      <c r="B80" s="80"/>
      <c r="C80" s="150" t="s">
        <v>3</v>
      </c>
      <c r="D80" s="80"/>
      <c r="E80" s="81">
        <v>47.9</v>
      </c>
      <c r="F80" s="81">
        <v>42</v>
      </c>
      <c r="G80" s="12"/>
      <c r="H80" s="12"/>
    </row>
    <row r="81" spans="1:8" ht="12.6" customHeight="1" x14ac:dyDescent="0.2">
      <c r="A81" s="76">
        <v>71</v>
      </c>
      <c r="B81" s="80" t="s">
        <v>37</v>
      </c>
      <c r="C81" s="106" t="s">
        <v>254</v>
      </c>
      <c r="D81" s="80" t="s">
        <v>38</v>
      </c>
      <c r="E81" s="174">
        <f>+E82</f>
        <v>35.5</v>
      </c>
      <c r="F81" s="174">
        <f>+F82</f>
        <v>34.1</v>
      </c>
      <c r="G81" s="12"/>
      <c r="H81" s="12"/>
    </row>
    <row r="82" spans="1:8" ht="12.6" customHeight="1" x14ac:dyDescent="0.2">
      <c r="A82" s="76">
        <v>72</v>
      </c>
      <c r="B82" s="80"/>
      <c r="C82" s="150" t="s">
        <v>3</v>
      </c>
      <c r="D82" s="80"/>
      <c r="E82" s="81">
        <v>35.5</v>
      </c>
      <c r="F82" s="81">
        <v>34.1</v>
      </c>
      <c r="G82" s="12"/>
      <c r="H82" s="12"/>
    </row>
    <row r="83" spans="1:8" ht="12.6" customHeight="1" x14ac:dyDescent="0.2">
      <c r="A83" s="76">
        <v>73</v>
      </c>
      <c r="B83" s="80" t="s">
        <v>182</v>
      </c>
      <c r="C83" s="106" t="s">
        <v>255</v>
      </c>
      <c r="D83" s="82" t="s">
        <v>256</v>
      </c>
      <c r="E83" s="174">
        <f>+E84</f>
        <v>57.8</v>
      </c>
      <c r="F83" s="174">
        <f>+F84</f>
        <v>21.7</v>
      </c>
      <c r="G83" s="12"/>
      <c r="H83" s="12"/>
    </row>
    <row r="84" spans="1:8" ht="12.6" customHeight="1" x14ac:dyDescent="0.2">
      <c r="A84" s="76">
        <v>74</v>
      </c>
      <c r="B84" s="80"/>
      <c r="C84" s="150" t="s">
        <v>3</v>
      </c>
      <c r="D84" s="80"/>
      <c r="E84" s="53">
        <v>57.8</v>
      </c>
      <c r="F84" s="53">
        <v>21.7</v>
      </c>
      <c r="G84" s="12"/>
      <c r="H84" s="12"/>
    </row>
    <row r="85" spans="1:8" ht="12.6" customHeight="1" x14ac:dyDescent="0.2">
      <c r="A85" s="76">
        <v>75</v>
      </c>
      <c r="B85" s="80" t="s">
        <v>257</v>
      </c>
      <c r="C85" s="177" t="s">
        <v>258</v>
      </c>
      <c r="D85" s="80" t="s">
        <v>38</v>
      </c>
      <c r="E85" s="174">
        <f>+E86</f>
        <v>9</v>
      </c>
      <c r="F85" s="174">
        <f>+F86</f>
        <v>8.9</v>
      </c>
      <c r="G85" s="12"/>
      <c r="H85" s="12"/>
    </row>
    <row r="86" spans="1:8" ht="12.6" customHeight="1" x14ac:dyDescent="0.2">
      <c r="A86" s="76">
        <v>76</v>
      </c>
      <c r="B86" s="80"/>
      <c r="C86" s="150" t="s">
        <v>3</v>
      </c>
      <c r="D86" s="80"/>
      <c r="E86" s="81">
        <v>9</v>
      </c>
      <c r="F86" s="81">
        <v>8.9</v>
      </c>
      <c r="G86" s="12"/>
      <c r="H86" s="12"/>
    </row>
    <row r="87" spans="1:8" ht="12.6" customHeight="1" x14ac:dyDescent="0.2">
      <c r="A87" s="76">
        <v>77</v>
      </c>
      <c r="B87" s="80" t="s">
        <v>259</v>
      </c>
      <c r="C87" s="106" t="s">
        <v>260</v>
      </c>
      <c r="D87" s="82" t="s">
        <v>261</v>
      </c>
      <c r="E87" s="176">
        <f>+E88</f>
        <v>32.6</v>
      </c>
      <c r="F87" s="176">
        <f>+F88</f>
        <v>28.7</v>
      </c>
      <c r="G87" s="12"/>
      <c r="H87" s="12"/>
    </row>
    <row r="88" spans="1:8" ht="12.6" customHeight="1" x14ac:dyDescent="0.2">
      <c r="A88" s="76">
        <v>78</v>
      </c>
      <c r="B88" s="80"/>
      <c r="C88" s="150" t="s">
        <v>3</v>
      </c>
      <c r="D88" s="80"/>
      <c r="E88" s="81">
        <v>32.6</v>
      </c>
      <c r="F88" s="81">
        <v>28.7</v>
      </c>
      <c r="G88" s="12"/>
      <c r="H88" s="12"/>
    </row>
    <row r="89" spans="1:8" ht="12.6" customHeight="1" x14ac:dyDescent="0.2">
      <c r="A89" s="76">
        <v>79</v>
      </c>
      <c r="B89" s="80" t="s">
        <v>425</v>
      </c>
      <c r="C89" s="177" t="s">
        <v>263</v>
      </c>
      <c r="D89" s="80" t="s">
        <v>38</v>
      </c>
      <c r="E89" s="176">
        <f>+E90</f>
        <v>19.5</v>
      </c>
      <c r="F89" s="176">
        <f>+F90</f>
        <v>19.2</v>
      </c>
      <c r="G89" s="12"/>
      <c r="H89" s="12"/>
    </row>
    <row r="90" spans="1:8" ht="12.6" customHeight="1" x14ac:dyDescent="0.2">
      <c r="A90" s="76">
        <v>80</v>
      </c>
      <c r="B90" s="80"/>
      <c r="C90" s="150" t="s">
        <v>3</v>
      </c>
      <c r="D90" s="80"/>
      <c r="E90" s="81">
        <v>19.5</v>
      </c>
      <c r="F90" s="81">
        <v>19.2</v>
      </c>
      <c r="G90" s="12"/>
      <c r="H90" s="12"/>
    </row>
    <row r="91" spans="1:8" ht="12.6" customHeight="1" x14ac:dyDescent="0.2">
      <c r="A91" s="76">
        <v>81</v>
      </c>
      <c r="B91" s="80" t="s">
        <v>262</v>
      </c>
      <c r="C91" s="106" t="s">
        <v>265</v>
      </c>
      <c r="D91" s="80" t="s">
        <v>38</v>
      </c>
      <c r="E91" s="176">
        <f>+E92</f>
        <v>12.2</v>
      </c>
      <c r="F91" s="176">
        <f>+F92</f>
        <v>11.5</v>
      </c>
      <c r="G91" s="12"/>
      <c r="H91" s="12"/>
    </row>
    <row r="92" spans="1:8" ht="12.6" customHeight="1" x14ac:dyDescent="0.2">
      <c r="A92" s="76">
        <v>82</v>
      </c>
      <c r="B92" s="80"/>
      <c r="C92" s="150" t="s">
        <v>3</v>
      </c>
      <c r="D92" s="80"/>
      <c r="E92" s="81">
        <v>12.2</v>
      </c>
      <c r="F92" s="81">
        <v>11.5</v>
      </c>
      <c r="G92" s="12"/>
      <c r="H92" s="12"/>
    </row>
    <row r="93" spans="1:8" ht="12.6" customHeight="1" x14ac:dyDescent="0.2">
      <c r="A93" s="76">
        <v>83</v>
      </c>
      <c r="B93" s="80" t="s">
        <v>264</v>
      </c>
      <c r="C93" s="177" t="s">
        <v>582</v>
      </c>
      <c r="D93" s="80" t="s">
        <v>252</v>
      </c>
      <c r="E93" s="176">
        <f>+E94</f>
        <v>1.2</v>
      </c>
      <c r="F93" s="176">
        <f>+F94</f>
        <v>1.2</v>
      </c>
      <c r="G93" s="12"/>
      <c r="H93" s="12"/>
    </row>
    <row r="94" spans="1:8" ht="12.6" customHeight="1" x14ac:dyDescent="0.2">
      <c r="A94" s="76">
        <v>84</v>
      </c>
      <c r="B94" s="80"/>
      <c r="C94" s="150" t="s">
        <v>3</v>
      </c>
      <c r="D94" s="80"/>
      <c r="E94" s="81">
        <v>1.2</v>
      </c>
      <c r="F94" s="81">
        <v>1.2</v>
      </c>
      <c r="G94" s="12"/>
      <c r="H94" s="12"/>
    </row>
    <row r="95" spans="1:8" ht="12.6" customHeight="1" x14ac:dyDescent="0.2">
      <c r="A95" s="76">
        <v>85</v>
      </c>
      <c r="B95" s="80" t="s">
        <v>266</v>
      </c>
      <c r="C95" s="177" t="s">
        <v>268</v>
      </c>
      <c r="D95" s="80" t="s">
        <v>38</v>
      </c>
      <c r="E95" s="176">
        <f>SUM(E96:E96)</f>
        <v>5</v>
      </c>
      <c r="F95" s="176">
        <f>SUM(F96:F96)</f>
        <v>4.9000000000000004</v>
      </c>
      <c r="G95" s="12"/>
      <c r="H95" s="12"/>
    </row>
    <row r="96" spans="1:8" ht="12.6" customHeight="1" x14ac:dyDescent="0.2">
      <c r="A96" s="76">
        <v>86</v>
      </c>
      <c r="B96" s="84"/>
      <c r="C96" s="54" t="s">
        <v>8</v>
      </c>
      <c r="D96" s="84"/>
      <c r="E96" s="81">
        <v>5</v>
      </c>
      <c r="F96" s="81">
        <v>4.9000000000000004</v>
      </c>
      <c r="G96" s="12"/>
      <c r="H96" s="12"/>
    </row>
    <row r="97" spans="1:8" ht="38.25" x14ac:dyDescent="0.2">
      <c r="A97" s="76">
        <v>87</v>
      </c>
      <c r="B97" s="80" t="s">
        <v>267</v>
      </c>
      <c r="C97" s="100" t="s">
        <v>299</v>
      </c>
      <c r="D97" s="178" t="s">
        <v>298</v>
      </c>
      <c r="E97" s="81">
        <f>+E98</f>
        <v>20.2</v>
      </c>
      <c r="F97" s="81">
        <f>+F98</f>
        <v>19.899999999999999</v>
      </c>
      <c r="G97" s="12"/>
      <c r="H97" s="12"/>
    </row>
    <row r="98" spans="1:8" ht="12.6" customHeight="1" x14ac:dyDescent="0.2">
      <c r="A98" s="76">
        <v>88</v>
      </c>
      <c r="B98" s="80"/>
      <c r="C98" s="164" t="s">
        <v>3</v>
      </c>
      <c r="D98" s="178"/>
      <c r="E98" s="81">
        <v>20.2</v>
      </c>
      <c r="F98" s="81">
        <v>19.899999999999999</v>
      </c>
      <c r="G98" s="12"/>
      <c r="H98" s="12"/>
    </row>
    <row r="99" spans="1:8" ht="12.6" customHeight="1" x14ac:dyDescent="0.2">
      <c r="A99" s="76">
        <v>89</v>
      </c>
      <c r="B99" s="80" t="s">
        <v>656</v>
      </c>
      <c r="C99" s="100" t="s">
        <v>249</v>
      </c>
      <c r="D99" s="80" t="s">
        <v>38</v>
      </c>
      <c r="E99" s="81">
        <f>+E100</f>
        <v>19.899999999999999</v>
      </c>
      <c r="F99" s="81">
        <f>+F100</f>
        <v>11</v>
      </c>
      <c r="G99" s="12"/>
      <c r="H99" s="12"/>
    </row>
    <row r="100" spans="1:8" ht="12.6" customHeight="1" x14ac:dyDescent="0.2">
      <c r="A100" s="76">
        <v>90</v>
      </c>
      <c r="B100" s="80"/>
      <c r="C100" s="54" t="s">
        <v>3</v>
      </c>
      <c r="D100" s="80"/>
      <c r="E100" s="81">
        <v>19.899999999999999</v>
      </c>
      <c r="F100" s="81">
        <v>11</v>
      </c>
      <c r="G100" s="12"/>
      <c r="H100" s="12"/>
    </row>
    <row r="101" spans="1:8" ht="12.6" customHeight="1" x14ac:dyDescent="0.2">
      <c r="A101" s="76">
        <v>91</v>
      </c>
      <c r="B101" s="80"/>
      <c r="C101" s="179" t="s">
        <v>20</v>
      </c>
      <c r="D101" s="75"/>
      <c r="E101" s="63">
        <f>+E10+E17+E58+E74</f>
        <v>6297.3</v>
      </c>
      <c r="F101" s="63">
        <f>+F10+F17+F58+F74</f>
        <v>3859.0000000000009</v>
      </c>
      <c r="G101" s="12"/>
      <c r="H101" s="12"/>
    </row>
    <row r="102" spans="1:8" ht="10.5" customHeight="1" x14ac:dyDescent="0.2">
      <c r="E102" s="146"/>
      <c r="F102" s="146"/>
    </row>
    <row r="103" spans="1:8" x14ac:dyDescent="0.2">
      <c r="C103" s="9" t="s">
        <v>269</v>
      </c>
      <c r="D103" s="127"/>
      <c r="E103" s="146"/>
      <c r="F103" s="146"/>
    </row>
    <row r="104" spans="1:8" x14ac:dyDescent="0.2">
      <c r="E104" s="134"/>
      <c r="F104" s="134"/>
    </row>
    <row r="105" spans="1:8" x14ac:dyDescent="0.2">
      <c r="E105" s="146"/>
      <c r="F105" s="146"/>
    </row>
    <row r="106" spans="1:8" x14ac:dyDescent="0.2">
      <c r="E106" s="146"/>
      <c r="F106" s="146"/>
    </row>
    <row r="107" spans="1:8" x14ac:dyDescent="0.2">
      <c r="E107" s="146"/>
      <c r="F107" s="146"/>
    </row>
    <row r="108" spans="1:8" x14ac:dyDescent="0.2">
      <c r="C108" s="180"/>
    </row>
    <row r="109" spans="1:8" x14ac:dyDescent="0.2">
      <c r="C109" s="180"/>
    </row>
    <row r="110" spans="1:8" x14ac:dyDescent="0.2">
      <c r="C110" s="66"/>
    </row>
  </sheetData>
  <mergeCells count="7">
    <mergeCell ref="A71:A72"/>
    <mergeCell ref="B71:B72"/>
    <mergeCell ref="D71:D72"/>
    <mergeCell ref="C1:F1"/>
    <mergeCell ref="E3:F3"/>
    <mergeCell ref="A5:F5"/>
    <mergeCell ref="C2:F2"/>
  </mergeCells>
  <pageMargins left="0.70866141732283472" right="0" top="0.59055118110236227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7"/>
  <sheetViews>
    <sheetView zoomScaleNormal="100" workbookViewId="0">
      <selection activeCell="N17" sqref="N17"/>
    </sheetView>
  </sheetViews>
  <sheetFormatPr defaultColWidth="9.140625" defaultRowHeight="12.75" x14ac:dyDescent="0.2"/>
  <cols>
    <col min="1" max="1" width="4.140625" style="9" customWidth="1"/>
    <col min="2" max="2" width="8.140625" style="68" customWidth="1"/>
    <col min="3" max="3" width="47.7109375" style="182" customWidth="1"/>
    <col min="4" max="4" width="10.7109375" style="67" customWidth="1"/>
    <col min="5" max="5" width="9.5703125" style="66" customWidth="1"/>
    <col min="6" max="9" width="11.140625" style="66" customWidth="1"/>
    <col min="10" max="16384" width="9.140625" style="2"/>
  </cols>
  <sheetData>
    <row r="1" spans="1:17" ht="15.75" x14ac:dyDescent="0.25">
      <c r="C1" s="228" t="s">
        <v>878</v>
      </c>
      <c r="D1" s="228"/>
      <c r="E1" s="228"/>
      <c r="F1" s="228"/>
      <c r="G1" s="181"/>
      <c r="H1" s="181"/>
      <c r="I1" s="181"/>
    </row>
    <row r="2" spans="1:17" ht="15.75" x14ac:dyDescent="0.25">
      <c r="C2" s="228" t="s">
        <v>870</v>
      </c>
      <c r="D2" s="228"/>
      <c r="E2" s="228"/>
      <c r="F2" s="228"/>
      <c r="G2" s="181"/>
      <c r="H2" s="181"/>
      <c r="I2" s="181"/>
    </row>
    <row r="3" spans="1:17" ht="15.75" x14ac:dyDescent="0.25">
      <c r="C3" s="47"/>
      <c r="D3" s="47"/>
      <c r="E3" s="252" t="s">
        <v>360</v>
      </c>
      <c r="F3" s="252"/>
      <c r="G3" s="69"/>
      <c r="H3" s="69"/>
      <c r="I3" s="69"/>
    </row>
    <row r="4" spans="1:17" ht="15.75" x14ac:dyDescent="0.2">
      <c r="E4" s="69"/>
      <c r="F4" s="69"/>
      <c r="G4" s="69"/>
      <c r="H4" s="69"/>
      <c r="I4" s="69"/>
    </row>
    <row r="5" spans="1:17" ht="32.25" customHeight="1" x14ac:dyDescent="0.2">
      <c r="A5" s="255" t="s">
        <v>443</v>
      </c>
      <c r="B5" s="255"/>
      <c r="C5" s="255"/>
      <c r="D5" s="255"/>
      <c r="E5" s="255"/>
      <c r="F5" s="255"/>
      <c r="G5" s="183"/>
      <c r="H5" s="183"/>
      <c r="I5" s="183"/>
      <c r="L5" s="43"/>
    </row>
    <row r="6" spans="1:17" x14ac:dyDescent="0.2">
      <c r="A6" s="183"/>
      <c r="B6" s="183"/>
      <c r="C6" s="183"/>
      <c r="D6" s="183"/>
      <c r="E6" s="183"/>
      <c r="F6" s="183"/>
      <c r="G6" s="183"/>
      <c r="H6" s="183"/>
      <c r="I6" s="183"/>
    </row>
    <row r="7" spans="1:17" x14ac:dyDescent="0.2">
      <c r="A7" s="184"/>
      <c r="B7" s="185"/>
      <c r="C7" s="186"/>
      <c r="D7" s="187"/>
      <c r="E7" s="188"/>
      <c r="F7" s="72" t="s">
        <v>129</v>
      </c>
      <c r="G7" s="188"/>
      <c r="H7" s="188"/>
      <c r="I7" s="188"/>
    </row>
    <row r="8" spans="1:17" ht="39.7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  <c r="G8" s="48"/>
      <c r="H8" s="48"/>
      <c r="I8" s="48"/>
    </row>
    <row r="9" spans="1:17" s="44" customFormat="1" ht="12.75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48"/>
      <c r="H9" s="48"/>
      <c r="I9" s="48"/>
      <c r="J9" s="2"/>
      <c r="K9" s="2"/>
      <c r="L9" s="2"/>
      <c r="M9" s="2"/>
      <c r="N9" s="2"/>
    </row>
    <row r="10" spans="1:17" s="44" customFormat="1" ht="18" customHeight="1" x14ac:dyDescent="0.2">
      <c r="A10" s="76">
        <v>1</v>
      </c>
      <c r="B10" s="75" t="s">
        <v>56</v>
      </c>
      <c r="C10" s="77" t="s">
        <v>57</v>
      </c>
      <c r="D10" s="49"/>
      <c r="E10" s="78">
        <f>+E11+E45</f>
        <v>19573.000000000004</v>
      </c>
      <c r="F10" s="78">
        <f>+F11+F45</f>
        <v>18628.899999999998</v>
      </c>
      <c r="G10" s="79"/>
      <c r="H10" s="79"/>
      <c r="I10" s="79"/>
      <c r="J10" s="12"/>
      <c r="K10" s="12"/>
      <c r="L10" s="12"/>
      <c r="M10" s="12"/>
      <c r="N10" s="12"/>
      <c r="O10" s="172"/>
      <c r="P10" s="172"/>
      <c r="Q10" s="172"/>
    </row>
    <row r="11" spans="1:17" s="44" customFormat="1" ht="24.95" customHeight="1" x14ac:dyDescent="0.2">
      <c r="A11" s="76">
        <v>2</v>
      </c>
      <c r="B11" s="82" t="s">
        <v>295</v>
      </c>
      <c r="C11" s="189" t="s">
        <v>275</v>
      </c>
      <c r="D11" s="49"/>
      <c r="E11" s="190">
        <f>+E13+E16+E17+E18+E12+E14+E15+E19+E24+E21+E33+E20+E26+E27+E22+E23+E25+E28+E29+E30+E31+E32+E34+E35+E36+E37+E44+E43</f>
        <v>18884.600000000002</v>
      </c>
      <c r="F11" s="190">
        <f>+F13+F16+F17+F18+F12+F14+F15+F19+F24+F21+F33+F20+F26+F27+F22+F23+F25+F28+F29+F30+F31+F32+F34+F35+F36+F37+F44+F43</f>
        <v>18051.3</v>
      </c>
      <c r="G11" s="191"/>
      <c r="H11" s="191"/>
      <c r="I11" s="191"/>
      <c r="J11" s="12"/>
      <c r="K11" s="12"/>
      <c r="L11" s="12"/>
      <c r="M11" s="12"/>
      <c r="N11" s="12"/>
      <c r="O11" s="172"/>
      <c r="P11" s="172"/>
      <c r="Q11" s="172"/>
    </row>
    <row r="12" spans="1:17" ht="12.6" customHeight="1" x14ac:dyDescent="0.2">
      <c r="A12" s="76">
        <v>3</v>
      </c>
      <c r="B12" s="80"/>
      <c r="C12" s="52" t="s">
        <v>165</v>
      </c>
      <c r="D12" s="80" t="s">
        <v>58</v>
      </c>
      <c r="E12" s="81">
        <f>341.7+15.4+7.8</f>
        <v>364.9</v>
      </c>
      <c r="F12" s="81">
        <f>330.5+15.2+7.7</f>
        <v>353.4</v>
      </c>
      <c r="G12" s="132"/>
      <c r="H12" s="132"/>
      <c r="I12" s="132"/>
      <c r="J12" s="132"/>
      <c r="K12" s="132"/>
      <c r="L12" s="12"/>
      <c r="M12" s="12"/>
      <c r="N12" s="12"/>
      <c r="O12" s="12"/>
      <c r="P12" s="12"/>
      <c r="Q12" s="12"/>
    </row>
    <row r="13" spans="1:17" ht="12.6" customHeight="1" x14ac:dyDescent="0.2">
      <c r="A13" s="76">
        <v>4</v>
      </c>
      <c r="B13" s="80"/>
      <c r="C13" s="52" t="s">
        <v>156</v>
      </c>
      <c r="D13" s="80" t="s">
        <v>58</v>
      </c>
      <c r="E13" s="81">
        <f>342.2+4.7+24.7</f>
        <v>371.59999999999997</v>
      </c>
      <c r="F13" s="81">
        <f>331.1+4.6+24.4</f>
        <v>360.1</v>
      </c>
      <c r="G13" s="132"/>
      <c r="H13" s="132"/>
      <c r="I13" s="132"/>
      <c r="J13" s="132"/>
      <c r="K13" s="132"/>
      <c r="L13" s="12"/>
      <c r="M13" s="12"/>
      <c r="N13" s="12"/>
      <c r="O13" s="12"/>
      <c r="P13" s="12"/>
      <c r="Q13" s="12"/>
    </row>
    <row r="14" spans="1:17" ht="12.6" customHeight="1" x14ac:dyDescent="0.2">
      <c r="A14" s="76">
        <v>5</v>
      </c>
      <c r="B14" s="80"/>
      <c r="C14" s="52" t="s">
        <v>157</v>
      </c>
      <c r="D14" s="80" t="s">
        <v>58</v>
      </c>
      <c r="E14" s="81">
        <f>411.8+4.7+3.5</f>
        <v>420</v>
      </c>
      <c r="F14" s="81">
        <f>398.7+4.6+3.6-2.9</f>
        <v>404.00000000000006</v>
      </c>
      <c r="G14" s="132"/>
      <c r="H14" s="132"/>
      <c r="I14" s="132"/>
      <c r="J14" s="132"/>
      <c r="K14" s="132"/>
      <c r="L14" s="12"/>
      <c r="M14" s="12"/>
      <c r="N14" s="12"/>
      <c r="O14" s="12"/>
      <c r="P14" s="12"/>
      <c r="Q14" s="12"/>
    </row>
    <row r="15" spans="1:17" ht="12.6" customHeight="1" x14ac:dyDescent="0.2">
      <c r="A15" s="76">
        <v>6</v>
      </c>
      <c r="B15" s="80"/>
      <c r="C15" s="52" t="s">
        <v>161</v>
      </c>
      <c r="D15" s="80" t="s">
        <v>58</v>
      </c>
      <c r="E15" s="81">
        <f>457.2+1.1</f>
        <v>458.3</v>
      </c>
      <c r="F15" s="81">
        <f>442+1.2</f>
        <v>443.2</v>
      </c>
      <c r="G15" s="132"/>
      <c r="H15" s="132"/>
      <c r="I15" s="132"/>
      <c r="J15" s="132"/>
      <c r="K15" s="132"/>
      <c r="L15" s="12"/>
      <c r="M15" s="12"/>
      <c r="N15" s="12"/>
      <c r="O15" s="12"/>
      <c r="P15" s="12"/>
      <c r="Q15" s="12"/>
    </row>
    <row r="16" spans="1:17" ht="12.6" customHeight="1" x14ac:dyDescent="0.2">
      <c r="A16" s="76">
        <v>7</v>
      </c>
      <c r="B16" s="80"/>
      <c r="C16" s="52" t="s">
        <v>158</v>
      </c>
      <c r="D16" s="80" t="s">
        <v>58</v>
      </c>
      <c r="E16" s="81">
        <f>414.2+3.5+26.4</f>
        <v>444.09999999999997</v>
      </c>
      <c r="F16" s="81">
        <f>400.8+3.4+26.1-34.2</f>
        <v>396.1</v>
      </c>
      <c r="G16" s="132"/>
      <c r="H16" s="132"/>
      <c r="I16" s="132"/>
      <c r="J16" s="132"/>
      <c r="K16" s="132"/>
      <c r="L16" s="12"/>
      <c r="M16" s="12"/>
      <c r="N16" s="12"/>
      <c r="O16" s="12"/>
      <c r="P16" s="12"/>
      <c r="Q16" s="12"/>
    </row>
    <row r="17" spans="1:17" ht="12.6" customHeight="1" x14ac:dyDescent="0.2">
      <c r="A17" s="76">
        <v>8</v>
      </c>
      <c r="B17" s="80"/>
      <c r="C17" s="52" t="s">
        <v>159</v>
      </c>
      <c r="D17" s="80" t="s">
        <v>58</v>
      </c>
      <c r="E17" s="81">
        <f>442.4+4.7+9.7</f>
        <v>456.79999999999995</v>
      </c>
      <c r="F17" s="81">
        <f>429.8+4.6+9.6-5.1</f>
        <v>438.90000000000003</v>
      </c>
      <c r="G17" s="132"/>
      <c r="H17" s="132"/>
      <c r="I17" s="132"/>
      <c r="J17" s="132"/>
      <c r="K17" s="132"/>
      <c r="L17" s="12"/>
      <c r="M17" s="12"/>
      <c r="N17" s="12"/>
      <c r="P17" s="12"/>
      <c r="Q17" s="12"/>
    </row>
    <row r="18" spans="1:17" ht="12.6" customHeight="1" x14ac:dyDescent="0.2">
      <c r="A18" s="76">
        <v>9</v>
      </c>
      <c r="B18" s="80"/>
      <c r="C18" s="52" t="s">
        <v>160</v>
      </c>
      <c r="D18" s="80" t="s">
        <v>58</v>
      </c>
      <c r="E18" s="81">
        <f>430+4.7+12.2</f>
        <v>446.9</v>
      </c>
      <c r="F18" s="81">
        <f>415.2+4.6+12.1</f>
        <v>431.90000000000003</v>
      </c>
      <c r="G18" s="132"/>
      <c r="H18" s="132"/>
      <c r="I18" s="132"/>
      <c r="J18" s="132"/>
      <c r="K18" s="132"/>
      <c r="L18" s="12"/>
      <c r="M18" s="12"/>
      <c r="N18" s="65"/>
      <c r="P18" s="12"/>
      <c r="Q18" s="12"/>
    </row>
    <row r="19" spans="1:17" ht="12.6" customHeight="1" x14ac:dyDescent="0.2">
      <c r="A19" s="76">
        <v>10</v>
      </c>
      <c r="B19" s="84"/>
      <c r="C19" s="54" t="s">
        <v>184</v>
      </c>
      <c r="D19" s="84" t="s">
        <v>59</v>
      </c>
      <c r="E19" s="81">
        <f>481.8+2.5+10.6</f>
        <v>494.90000000000003</v>
      </c>
      <c r="F19" s="81">
        <f>465.8+2.5+10.6-8.2</f>
        <v>470.70000000000005</v>
      </c>
      <c r="G19" s="132"/>
      <c r="H19" s="132"/>
      <c r="I19" s="132"/>
      <c r="J19" s="132"/>
      <c r="K19" s="132"/>
      <c r="L19" s="12"/>
      <c r="M19" s="12"/>
      <c r="N19" s="12"/>
      <c r="P19" s="12"/>
      <c r="Q19" s="12"/>
    </row>
    <row r="20" spans="1:17" ht="12.6" customHeight="1" x14ac:dyDescent="0.2">
      <c r="A20" s="76">
        <v>11</v>
      </c>
      <c r="B20" s="84"/>
      <c r="C20" s="52" t="s">
        <v>164</v>
      </c>
      <c r="D20" s="84" t="s">
        <v>60</v>
      </c>
      <c r="E20" s="81">
        <f>1230.6+37.2+22.1</f>
        <v>1289.8999999999999</v>
      </c>
      <c r="F20" s="81">
        <f>1188.6+36.7+22.2</f>
        <v>1247.5</v>
      </c>
      <c r="G20" s="132"/>
      <c r="H20" s="132"/>
      <c r="I20" s="132"/>
      <c r="J20" s="132"/>
      <c r="K20" s="132"/>
      <c r="L20" s="12"/>
      <c r="M20" s="12"/>
      <c r="N20" s="12"/>
      <c r="O20" s="12"/>
      <c r="P20" s="12"/>
      <c r="Q20" s="12"/>
    </row>
    <row r="21" spans="1:17" ht="12.6" customHeight="1" x14ac:dyDescent="0.2">
      <c r="A21" s="76">
        <v>12</v>
      </c>
      <c r="B21" s="84"/>
      <c r="C21" s="52" t="s">
        <v>46</v>
      </c>
      <c r="D21" s="84" t="s">
        <v>60</v>
      </c>
      <c r="E21" s="81">
        <f>1300.5+2.5+22</f>
        <v>1325</v>
      </c>
      <c r="F21" s="81">
        <f>1256.4+2.5+21.7-3.5</f>
        <v>1277.1000000000001</v>
      </c>
      <c r="G21" s="132"/>
      <c r="H21" s="132"/>
      <c r="I21" s="132"/>
      <c r="J21" s="132"/>
      <c r="K21" s="132"/>
      <c r="L21" s="12"/>
      <c r="M21" s="12"/>
      <c r="N21" s="12"/>
      <c r="O21" s="12"/>
      <c r="P21" s="12"/>
      <c r="Q21" s="12"/>
    </row>
    <row r="22" spans="1:17" ht="12.6" customHeight="1" x14ac:dyDescent="0.2">
      <c r="A22" s="76">
        <v>13</v>
      </c>
      <c r="B22" s="84"/>
      <c r="C22" s="55" t="s">
        <v>134</v>
      </c>
      <c r="D22" s="84" t="s">
        <v>60</v>
      </c>
      <c r="E22" s="81">
        <f>1046.6+23.5+100.4+58.9</f>
        <v>1229.4000000000001</v>
      </c>
      <c r="F22" s="81">
        <f>1012.4+23.1+98.3+58-13.4</f>
        <v>1178.3999999999999</v>
      </c>
      <c r="G22" s="132"/>
      <c r="H22" s="132"/>
      <c r="I22" s="132"/>
      <c r="J22" s="132"/>
      <c r="K22" s="132"/>
      <c r="L22" s="12"/>
      <c r="M22" s="12"/>
      <c r="N22" s="12"/>
      <c r="O22" s="12"/>
      <c r="P22" s="12"/>
      <c r="Q22" s="12"/>
    </row>
    <row r="23" spans="1:17" ht="12.6" customHeight="1" x14ac:dyDescent="0.2">
      <c r="A23" s="76">
        <v>14</v>
      </c>
      <c r="B23" s="84"/>
      <c r="C23" s="55" t="s">
        <v>135</v>
      </c>
      <c r="D23" s="84" t="s">
        <v>60</v>
      </c>
      <c r="E23" s="81">
        <f>787.9+3.7+45.5</f>
        <v>837.1</v>
      </c>
      <c r="F23" s="81">
        <f>761.6+3.6+44.9-12.4</f>
        <v>797.7</v>
      </c>
      <c r="G23" s="132"/>
      <c r="H23" s="132"/>
      <c r="I23" s="132"/>
      <c r="J23" s="132"/>
      <c r="K23" s="132"/>
      <c r="L23" s="12"/>
      <c r="M23" s="12"/>
      <c r="N23" s="12"/>
      <c r="O23" s="12"/>
      <c r="P23" s="12"/>
      <c r="Q23" s="12"/>
    </row>
    <row r="24" spans="1:17" ht="12.6" customHeight="1" x14ac:dyDescent="0.2">
      <c r="A24" s="76">
        <v>15</v>
      </c>
      <c r="B24" s="84"/>
      <c r="C24" s="55" t="s">
        <v>40</v>
      </c>
      <c r="D24" s="84" t="s">
        <v>60</v>
      </c>
      <c r="E24" s="81">
        <f>896.6+7.3+29.1</f>
        <v>933</v>
      </c>
      <c r="F24" s="81">
        <f>849.7+7.2+28.5-2.5</f>
        <v>882.90000000000009</v>
      </c>
      <c r="G24" s="132"/>
      <c r="H24" s="132"/>
      <c r="I24" s="132"/>
      <c r="J24" s="132"/>
      <c r="K24" s="132"/>
      <c r="L24" s="12"/>
      <c r="M24" s="12"/>
      <c r="N24" s="12"/>
      <c r="O24" s="12"/>
      <c r="P24" s="12"/>
      <c r="Q24" s="12"/>
    </row>
    <row r="25" spans="1:17" ht="12.6" customHeight="1" x14ac:dyDescent="0.2">
      <c r="A25" s="76">
        <v>16</v>
      </c>
      <c r="B25" s="84"/>
      <c r="C25" s="52" t="s">
        <v>137</v>
      </c>
      <c r="D25" s="84" t="s">
        <v>60</v>
      </c>
      <c r="E25" s="81">
        <f>855.9+8.6+4</f>
        <v>868.5</v>
      </c>
      <c r="F25" s="81">
        <f>828.9+8.5+4</f>
        <v>841.4</v>
      </c>
      <c r="G25" s="132"/>
      <c r="H25" s="132"/>
      <c r="I25" s="132"/>
      <c r="J25" s="132"/>
      <c r="K25" s="132"/>
      <c r="L25" s="12"/>
      <c r="M25" s="12"/>
      <c r="N25" s="12"/>
      <c r="O25" s="12"/>
      <c r="P25" s="12"/>
      <c r="Q25" s="12"/>
    </row>
    <row r="26" spans="1:17" ht="12.6" customHeight="1" x14ac:dyDescent="0.2">
      <c r="A26" s="76">
        <v>17</v>
      </c>
      <c r="B26" s="84"/>
      <c r="C26" s="55" t="s">
        <v>162</v>
      </c>
      <c r="D26" s="84" t="s">
        <v>61</v>
      </c>
      <c r="E26" s="81">
        <f>1773.7+37.2+72</f>
        <v>1882.9</v>
      </c>
      <c r="F26" s="81">
        <f>1705.9+36.7+70.6-24.7</f>
        <v>1788.5</v>
      </c>
      <c r="G26" s="132"/>
      <c r="H26" s="132"/>
      <c r="I26" s="132"/>
      <c r="J26" s="132"/>
      <c r="K26" s="132"/>
      <c r="L26" s="12"/>
      <c r="M26" s="12"/>
      <c r="N26" s="12"/>
      <c r="O26" s="12"/>
      <c r="P26" s="12"/>
      <c r="Q26" s="12"/>
    </row>
    <row r="27" spans="1:17" ht="12.6" customHeight="1" x14ac:dyDescent="0.2">
      <c r="A27" s="76">
        <v>18</v>
      </c>
      <c r="B27" s="84"/>
      <c r="C27" s="52" t="s">
        <v>163</v>
      </c>
      <c r="D27" s="85" t="s">
        <v>216</v>
      </c>
      <c r="E27" s="81">
        <f>1824.2+49.6+46.6</f>
        <v>1920.3999999999999</v>
      </c>
      <c r="F27" s="81">
        <f>1752+48.9+46.4-46</f>
        <v>1801.3000000000002</v>
      </c>
      <c r="G27" s="132"/>
      <c r="H27" s="132"/>
      <c r="I27" s="132"/>
      <c r="J27" s="132"/>
      <c r="K27" s="132"/>
      <c r="L27" s="12"/>
      <c r="M27" s="12"/>
      <c r="N27" s="12"/>
      <c r="O27" s="12"/>
      <c r="P27" s="12"/>
      <c r="Q27" s="12"/>
    </row>
    <row r="28" spans="1:17" ht="12.6" customHeight="1" x14ac:dyDescent="0.2">
      <c r="A28" s="76">
        <v>19</v>
      </c>
      <c r="B28" s="84"/>
      <c r="C28" s="55" t="s">
        <v>120</v>
      </c>
      <c r="D28" s="85" t="s">
        <v>216</v>
      </c>
      <c r="E28" s="81">
        <f>1228.1+76.6+73.5</f>
        <v>1378.1999999999998</v>
      </c>
      <c r="F28" s="81">
        <f>1180.7+75.5+72.1-8</f>
        <v>1320.3</v>
      </c>
      <c r="G28" s="132"/>
      <c r="H28" s="132"/>
      <c r="I28" s="132"/>
      <c r="J28" s="132"/>
      <c r="K28" s="132"/>
      <c r="L28" s="12"/>
      <c r="M28" s="12"/>
      <c r="N28" s="12"/>
      <c r="O28" s="12"/>
      <c r="P28" s="12"/>
      <c r="Q28" s="12"/>
    </row>
    <row r="29" spans="1:17" ht="12.6" customHeight="1" x14ac:dyDescent="0.2">
      <c r="A29" s="76">
        <v>20</v>
      </c>
      <c r="B29" s="84"/>
      <c r="C29" s="55" t="s">
        <v>41</v>
      </c>
      <c r="D29" s="84" t="s">
        <v>61</v>
      </c>
      <c r="E29" s="81">
        <f>457.7+11.5</f>
        <v>469.2</v>
      </c>
      <c r="F29" s="81">
        <f>445.9+11.4-8.8</f>
        <v>448.49999999999994</v>
      </c>
      <c r="G29" s="132"/>
      <c r="H29" s="132"/>
      <c r="I29" s="132"/>
      <c r="J29" s="132"/>
      <c r="K29" s="132"/>
      <c r="L29" s="12"/>
      <c r="M29" s="12"/>
      <c r="N29" s="12"/>
      <c r="O29" s="12"/>
      <c r="P29" s="12"/>
      <c r="Q29" s="12"/>
    </row>
    <row r="30" spans="1:17" ht="12.6" customHeight="1" x14ac:dyDescent="0.2">
      <c r="A30" s="76">
        <v>21</v>
      </c>
      <c r="B30" s="84"/>
      <c r="C30" s="55" t="s">
        <v>136</v>
      </c>
      <c r="D30" s="84" t="s">
        <v>61</v>
      </c>
      <c r="E30" s="81">
        <f>863.7+43+54.9</f>
        <v>961.6</v>
      </c>
      <c r="F30" s="81">
        <f>838.7+42.4+54.3-3.4</f>
        <v>932</v>
      </c>
      <c r="G30" s="132"/>
      <c r="H30" s="132"/>
      <c r="I30" s="132"/>
      <c r="J30" s="132"/>
      <c r="K30" s="132"/>
      <c r="L30" s="12"/>
      <c r="M30" s="12"/>
      <c r="N30" s="12"/>
      <c r="O30" s="12"/>
      <c r="P30" s="12"/>
      <c r="Q30" s="12"/>
    </row>
    <row r="31" spans="1:17" ht="12.6" customHeight="1" x14ac:dyDescent="0.2">
      <c r="A31" s="76">
        <v>22</v>
      </c>
      <c r="B31" s="84"/>
      <c r="C31" s="55" t="s">
        <v>210</v>
      </c>
      <c r="D31" s="84" t="s">
        <v>61</v>
      </c>
      <c r="E31" s="81">
        <f>343.6+2.5-100.4</f>
        <v>245.70000000000002</v>
      </c>
      <c r="F31" s="81">
        <f>335.1+2.5-98.3</f>
        <v>239.3</v>
      </c>
      <c r="G31" s="132"/>
      <c r="H31" s="132"/>
      <c r="I31" s="132"/>
      <c r="J31" s="132"/>
      <c r="K31" s="132"/>
      <c r="L31" s="12"/>
      <c r="M31" s="12"/>
      <c r="N31" s="12"/>
      <c r="O31" s="12"/>
      <c r="P31" s="12"/>
      <c r="Q31" s="12"/>
    </row>
    <row r="32" spans="1:17" ht="12.6" customHeight="1" x14ac:dyDescent="0.2">
      <c r="A32" s="76">
        <v>23</v>
      </c>
      <c r="B32" s="192"/>
      <c r="C32" s="55" t="s">
        <v>42</v>
      </c>
      <c r="D32" s="84" t="s">
        <v>61</v>
      </c>
      <c r="E32" s="81">
        <f>382.6+5.4</f>
        <v>388</v>
      </c>
      <c r="F32" s="81">
        <f>372.5+5.3-8.7</f>
        <v>369.1</v>
      </c>
      <c r="G32" s="132"/>
      <c r="H32" s="132"/>
      <c r="I32" s="132"/>
      <c r="J32" s="132"/>
      <c r="K32" s="132"/>
      <c r="L32" s="12"/>
      <c r="M32" s="12"/>
      <c r="N32" s="12"/>
      <c r="O32" s="12"/>
      <c r="P32" s="12"/>
      <c r="Q32" s="12"/>
    </row>
    <row r="33" spans="1:17" ht="25.5" x14ac:dyDescent="0.2">
      <c r="A33" s="76">
        <v>24</v>
      </c>
      <c r="B33" s="84"/>
      <c r="C33" s="55" t="s">
        <v>111</v>
      </c>
      <c r="D33" s="85" t="s">
        <v>276</v>
      </c>
      <c r="E33" s="81">
        <f>261.3+4.5</f>
        <v>265.8</v>
      </c>
      <c r="F33" s="81">
        <f>250.7+4.3-1.6</f>
        <v>253.4</v>
      </c>
      <c r="G33" s="132"/>
      <c r="H33" s="132"/>
      <c r="I33" s="132"/>
      <c r="J33" s="132"/>
      <c r="K33" s="132"/>
      <c r="L33" s="12"/>
      <c r="M33" s="12"/>
      <c r="N33" s="12"/>
      <c r="O33" s="12"/>
      <c r="P33" s="12"/>
      <c r="Q33" s="12"/>
    </row>
    <row r="34" spans="1:17" ht="12.6" customHeight="1" x14ac:dyDescent="0.2">
      <c r="A34" s="76">
        <v>25</v>
      </c>
      <c r="B34" s="84"/>
      <c r="C34" s="52" t="s">
        <v>358</v>
      </c>
      <c r="D34" s="84" t="s">
        <v>61</v>
      </c>
      <c r="E34" s="81">
        <f>689.8+2.5+18.8</f>
        <v>711.09999999999991</v>
      </c>
      <c r="F34" s="81">
        <f>675.6+2.5+18.4-20</f>
        <v>676.5</v>
      </c>
      <c r="G34" s="132"/>
      <c r="H34" s="132"/>
      <c r="I34" s="132"/>
      <c r="J34" s="132"/>
      <c r="K34" s="132"/>
      <c r="L34" s="12"/>
      <c r="M34" s="12"/>
      <c r="N34" s="12"/>
      <c r="O34" s="12"/>
      <c r="P34" s="12"/>
      <c r="Q34" s="12"/>
    </row>
    <row r="35" spans="1:17" ht="12.6" customHeight="1" x14ac:dyDescent="0.2">
      <c r="A35" s="76">
        <v>26</v>
      </c>
      <c r="B35" s="80"/>
      <c r="C35" s="52" t="s">
        <v>54</v>
      </c>
      <c r="D35" s="80" t="s">
        <v>62</v>
      </c>
      <c r="E35" s="81">
        <f>26.6+0.1</f>
        <v>26.700000000000003</v>
      </c>
      <c r="F35" s="81">
        <f>26.2+0.1</f>
        <v>26.3</v>
      </c>
      <c r="G35" s="132"/>
      <c r="H35" s="132"/>
      <c r="I35" s="132"/>
      <c r="J35" s="132"/>
      <c r="K35" s="132"/>
      <c r="L35" s="12"/>
      <c r="M35" s="12"/>
      <c r="N35" s="12"/>
      <c r="O35" s="12"/>
      <c r="P35" s="12"/>
      <c r="Q35" s="12"/>
    </row>
    <row r="36" spans="1:17" ht="12.6" customHeight="1" x14ac:dyDescent="0.2">
      <c r="A36" s="76">
        <v>27</v>
      </c>
      <c r="B36" s="80"/>
      <c r="C36" s="52" t="s">
        <v>48</v>
      </c>
      <c r="D36" s="80" t="s">
        <v>62</v>
      </c>
      <c r="E36" s="81">
        <f>33-1.1</f>
        <v>31.9</v>
      </c>
      <c r="F36" s="81">
        <f>32.5-1.1</f>
        <v>31.4</v>
      </c>
      <c r="G36" s="132"/>
      <c r="H36" s="132"/>
      <c r="I36" s="132"/>
      <c r="J36" s="132"/>
      <c r="K36" s="132"/>
      <c r="L36" s="12"/>
      <c r="M36" s="12"/>
      <c r="N36" s="12"/>
      <c r="O36" s="12"/>
      <c r="P36" s="12"/>
      <c r="Q36" s="12"/>
    </row>
    <row r="37" spans="1:17" ht="12.6" customHeight="1" x14ac:dyDescent="0.2">
      <c r="A37" s="76">
        <v>28</v>
      </c>
      <c r="B37" s="80"/>
      <c r="C37" s="52" t="s">
        <v>277</v>
      </c>
      <c r="D37" s="80" t="s">
        <v>217</v>
      </c>
      <c r="E37" s="81">
        <f>+E38+E39+E40+E41+E42</f>
        <v>393.9</v>
      </c>
      <c r="F37" s="81">
        <f>+F38+F39+F40+F41+F42</f>
        <v>380.70000000000005</v>
      </c>
      <c r="G37" s="132"/>
      <c r="H37" s="132"/>
      <c r="I37" s="132"/>
      <c r="J37" s="132"/>
      <c r="K37" s="132"/>
      <c r="L37" s="12"/>
      <c r="M37" s="12"/>
      <c r="N37" s="12"/>
      <c r="O37" s="12"/>
      <c r="P37" s="12"/>
      <c r="Q37" s="12"/>
    </row>
    <row r="38" spans="1:17" ht="24.95" customHeight="1" x14ac:dyDescent="0.2">
      <c r="A38" s="193" t="s">
        <v>454</v>
      </c>
      <c r="B38" s="194"/>
      <c r="C38" s="55" t="s">
        <v>355</v>
      </c>
      <c r="D38" s="80"/>
      <c r="E38" s="81">
        <f>233.9-30.2</f>
        <v>203.70000000000002</v>
      </c>
      <c r="F38" s="81">
        <f>215.8-20</f>
        <v>195.8</v>
      </c>
      <c r="G38" s="132"/>
      <c r="H38" s="132"/>
      <c r="I38" s="132"/>
      <c r="J38" s="132"/>
      <c r="K38" s="132"/>
      <c r="L38" s="12"/>
      <c r="M38" s="12"/>
      <c r="N38" s="12"/>
      <c r="O38" s="12"/>
      <c r="P38" s="12"/>
      <c r="Q38" s="12"/>
    </row>
    <row r="39" spans="1:17" ht="12.6" customHeight="1" x14ac:dyDescent="0.2">
      <c r="A39" s="193" t="s">
        <v>455</v>
      </c>
      <c r="B39" s="194"/>
      <c r="C39" s="55" t="s">
        <v>354</v>
      </c>
      <c r="D39" s="80"/>
      <c r="E39" s="81">
        <f>9.6-0.5</f>
        <v>9.1</v>
      </c>
      <c r="F39" s="81">
        <f>9.5-0.6</f>
        <v>8.9</v>
      </c>
      <c r="G39" s="132"/>
      <c r="H39" s="132"/>
      <c r="I39" s="132"/>
      <c r="J39" s="132"/>
      <c r="K39" s="132"/>
      <c r="L39" s="12"/>
      <c r="M39" s="12"/>
      <c r="N39" s="12"/>
      <c r="O39" s="12"/>
      <c r="P39" s="12"/>
      <c r="Q39" s="12"/>
    </row>
    <row r="40" spans="1:17" ht="12.6" customHeight="1" x14ac:dyDescent="0.2">
      <c r="A40" s="193" t="s">
        <v>456</v>
      </c>
      <c r="B40" s="194"/>
      <c r="C40" s="55" t="s">
        <v>356</v>
      </c>
      <c r="D40" s="80"/>
      <c r="E40" s="81">
        <f>116.8+4.8</f>
        <v>121.6</v>
      </c>
      <c r="F40" s="81">
        <f>113.3+4.7</f>
        <v>118</v>
      </c>
      <c r="G40" s="132"/>
      <c r="H40" s="132"/>
      <c r="I40" s="132"/>
      <c r="J40" s="132"/>
      <c r="K40" s="132"/>
      <c r="L40" s="12"/>
      <c r="M40" s="12"/>
      <c r="N40" s="12"/>
      <c r="O40" s="12"/>
      <c r="P40" s="12"/>
      <c r="Q40" s="12"/>
    </row>
    <row r="41" spans="1:17" ht="12.6" customHeight="1" x14ac:dyDescent="0.2">
      <c r="A41" s="193" t="s">
        <v>457</v>
      </c>
      <c r="B41" s="195"/>
      <c r="C41" s="55" t="s">
        <v>357</v>
      </c>
      <c r="D41" s="80"/>
      <c r="E41" s="81">
        <f>65.1-5.6</f>
        <v>59.499999999999993</v>
      </c>
      <c r="F41" s="81">
        <f>63.5-5.5</f>
        <v>58</v>
      </c>
      <c r="G41" s="132"/>
      <c r="H41" s="132"/>
      <c r="I41" s="132"/>
      <c r="J41" s="132"/>
      <c r="K41" s="132"/>
      <c r="L41" s="12"/>
      <c r="M41" s="12"/>
      <c r="N41" s="12"/>
      <c r="O41" s="12"/>
      <c r="P41" s="12"/>
      <c r="Q41" s="12"/>
    </row>
    <row r="42" spans="1:17" ht="12.6" customHeight="1" x14ac:dyDescent="0.2">
      <c r="A42" s="193" t="s">
        <v>458</v>
      </c>
      <c r="B42" s="195"/>
      <c r="C42" s="55" t="s">
        <v>459</v>
      </c>
      <c r="D42" s="80"/>
      <c r="E42" s="81">
        <f>332-332</f>
        <v>0</v>
      </c>
      <c r="F42" s="81">
        <f>327.3-327.3</f>
        <v>0</v>
      </c>
      <c r="G42" s="132"/>
      <c r="H42" s="132"/>
      <c r="I42" s="132"/>
      <c r="J42" s="132"/>
      <c r="K42" s="132"/>
      <c r="L42" s="12"/>
      <c r="M42" s="12"/>
      <c r="N42" s="12"/>
      <c r="O42" s="12"/>
      <c r="P42" s="12"/>
      <c r="Q42" s="12"/>
    </row>
    <row r="43" spans="1:17" ht="12.6" customHeight="1" x14ac:dyDescent="0.2">
      <c r="A43" s="76">
        <v>29</v>
      </c>
      <c r="B43" s="80"/>
      <c r="C43" s="196" t="s">
        <v>15</v>
      </c>
      <c r="D43" s="80" t="s">
        <v>58</v>
      </c>
      <c r="E43" s="81">
        <f>157.6+2.4+0.3</f>
        <v>160.30000000000001</v>
      </c>
      <c r="F43" s="81">
        <f>153.3+2.4+0.2</f>
        <v>155.9</v>
      </c>
      <c r="G43" s="132"/>
      <c r="H43" s="132"/>
      <c r="I43" s="132"/>
      <c r="J43" s="132"/>
      <c r="K43" s="132"/>
      <c r="L43" s="12"/>
      <c r="M43" s="12"/>
      <c r="N43" s="12"/>
      <c r="O43" s="12"/>
      <c r="P43" s="12"/>
      <c r="Q43" s="12"/>
    </row>
    <row r="44" spans="1:17" ht="12.6" customHeight="1" x14ac:dyDescent="0.2">
      <c r="A44" s="76">
        <v>30</v>
      </c>
      <c r="B44" s="80"/>
      <c r="C44" s="196" t="s">
        <v>278</v>
      </c>
      <c r="D44" s="80" t="s">
        <v>58</v>
      </c>
      <c r="E44" s="81">
        <f>101.2+7.3</f>
        <v>108.5</v>
      </c>
      <c r="F44" s="81">
        <f>98.3+6.5</f>
        <v>104.8</v>
      </c>
      <c r="G44" s="132"/>
      <c r="H44" s="132"/>
      <c r="I44" s="132"/>
      <c r="J44" s="132"/>
      <c r="K44" s="132"/>
      <c r="L44" s="12"/>
      <c r="M44" s="12"/>
      <c r="N44" s="12"/>
      <c r="O44" s="12"/>
      <c r="P44" s="12"/>
      <c r="Q44" s="12"/>
    </row>
    <row r="45" spans="1:17" ht="25.5" x14ac:dyDescent="0.2">
      <c r="A45" s="76">
        <v>31</v>
      </c>
      <c r="B45" s="82" t="s">
        <v>296</v>
      </c>
      <c r="C45" s="189" t="s">
        <v>201</v>
      </c>
      <c r="D45" s="194"/>
      <c r="E45" s="176">
        <f>+E46</f>
        <v>688.4</v>
      </c>
      <c r="F45" s="176">
        <f>+F46</f>
        <v>577.6</v>
      </c>
      <c r="G45" s="135"/>
      <c r="H45" s="135"/>
      <c r="I45" s="132"/>
      <c r="J45" s="12"/>
      <c r="K45" s="12"/>
      <c r="L45" s="12"/>
      <c r="M45" s="12"/>
      <c r="N45" s="12"/>
      <c r="O45" s="12"/>
      <c r="P45" s="12"/>
      <c r="Q45" s="12"/>
    </row>
    <row r="46" spans="1:17" ht="12.6" customHeight="1" x14ac:dyDescent="0.2">
      <c r="A46" s="76">
        <v>32</v>
      </c>
      <c r="B46" s="80"/>
      <c r="C46" s="52" t="s">
        <v>358</v>
      </c>
      <c r="D46" s="84" t="s">
        <v>61</v>
      </c>
      <c r="E46" s="81">
        <v>688.4</v>
      </c>
      <c r="F46" s="81">
        <f>590-12.4</f>
        <v>577.6</v>
      </c>
      <c r="G46" s="132"/>
      <c r="H46" s="132"/>
      <c r="I46" s="132"/>
      <c r="J46" s="132"/>
      <c r="K46" s="132"/>
      <c r="L46" s="12"/>
      <c r="M46" s="12"/>
      <c r="N46" s="12"/>
      <c r="O46" s="12"/>
      <c r="P46" s="12"/>
      <c r="Q46" s="12"/>
    </row>
    <row r="47" spans="1:17" ht="18" customHeight="1" x14ac:dyDescent="0.2">
      <c r="A47" s="76">
        <v>33</v>
      </c>
      <c r="B47" s="75" t="s">
        <v>76</v>
      </c>
      <c r="C47" s="99" t="s">
        <v>193</v>
      </c>
      <c r="D47" s="109"/>
      <c r="E47" s="141">
        <f>+E48</f>
        <v>58.6</v>
      </c>
      <c r="F47" s="141">
        <f>+F48</f>
        <v>57.800000000000004</v>
      </c>
      <c r="G47" s="197"/>
      <c r="H47" s="132"/>
      <c r="I47" s="132"/>
      <c r="J47" s="12"/>
      <c r="K47" s="12"/>
      <c r="L47" s="12"/>
      <c r="M47" s="12"/>
      <c r="N47" s="12"/>
      <c r="O47" s="12"/>
      <c r="P47" s="12"/>
      <c r="Q47" s="12"/>
    </row>
    <row r="48" spans="1:17" ht="12.6" customHeight="1" x14ac:dyDescent="0.2">
      <c r="A48" s="76">
        <v>34</v>
      </c>
      <c r="B48" s="82" t="s">
        <v>301</v>
      </c>
      <c r="C48" s="189" t="s">
        <v>275</v>
      </c>
      <c r="D48" s="109"/>
      <c r="E48" s="190">
        <f>+E49</f>
        <v>58.6</v>
      </c>
      <c r="F48" s="190">
        <f>+F49</f>
        <v>57.800000000000004</v>
      </c>
      <c r="G48" s="191"/>
      <c r="H48" s="132"/>
      <c r="I48" s="132"/>
      <c r="J48" s="12"/>
      <c r="K48" s="12"/>
      <c r="L48" s="12"/>
      <c r="M48" s="12"/>
      <c r="N48" s="12"/>
      <c r="O48" s="12"/>
      <c r="P48" s="12"/>
      <c r="Q48" s="12"/>
    </row>
    <row r="49" spans="1:17" ht="12.6" customHeight="1" x14ac:dyDescent="0.2">
      <c r="A49" s="76">
        <v>35</v>
      </c>
      <c r="B49" s="98"/>
      <c r="C49" s="52" t="s">
        <v>112</v>
      </c>
      <c r="D49" s="80" t="s">
        <v>62</v>
      </c>
      <c r="E49" s="81">
        <f>57.9+0.7</f>
        <v>58.6</v>
      </c>
      <c r="F49" s="81">
        <f>57.1+0.7</f>
        <v>57.800000000000004</v>
      </c>
      <c r="G49" s="132"/>
      <c r="H49" s="132"/>
      <c r="I49" s="132"/>
      <c r="J49" s="132"/>
      <c r="K49" s="132"/>
      <c r="L49" s="12"/>
      <c r="M49" s="12"/>
      <c r="N49" s="12"/>
      <c r="O49" s="12"/>
      <c r="P49" s="12"/>
      <c r="Q49" s="12"/>
    </row>
    <row r="50" spans="1:17" ht="12.75" customHeight="1" x14ac:dyDescent="0.2">
      <c r="A50" s="76">
        <v>36</v>
      </c>
      <c r="B50" s="75"/>
      <c r="C50" s="157" t="s">
        <v>20</v>
      </c>
      <c r="D50" s="80"/>
      <c r="E50" s="63">
        <f>+E10+E47</f>
        <v>19631.600000000002</v>
      </c>
      <c r="F50" s="63">
        <f>+F10+F47</f>
        <v>18686.699999999997</v>
      </c>
      <c r="G50" s="64"/>
      <c r="H50" s="64"/>
      <c r="I50" s="64"/>
      <c r="J50" s="12"/>
      <c r="K50" s="12"/>
      <c r="L50" s="12"/>
      <c r="M50" s="12"/>
      <c r="N50" s="12"/>
      <c r="O50" s="12"/>
      <c r="P50" s="12"/>
      <c r="Q50" s="12"/>
    </row>
    <row r="51" spans="1:17" ht="12.75" customHeight="1" x14ac:dyDescent="0.2">
      <c r="A51" s="66"/>
      <c r="B51" s="198"/>
      <c r="C51" s="199"/>
      <c r="D51" s="68"/>
      <c r="E51" s="200"/>
      <c r="F51" s="200"/>
      <c r="G51" s="64"/>
      <c r="H51" s="64"/>
      <c r="I51" s="64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C52" s="182" t="s">
        <v>113</v>
      </c>
      <c r="D52" s="68"/>
      <c r="E52" s="146"/>
      <c r="F52" s="146"/>
      <c r="G52" s="146"/>
      <c r="H52" s="146"/>
      <c r="I52" s="146"/>
    </row>
    <row r="53" spans="1:17" x14ac:dyDescent="0.2">
      <c r="D53" s="68"/>
      <c r="E53" s="146"/>
      <c r="F53" s="146"/>
      <c r="G53" s="146"/>
      <c r="H53" s="146"/>
      <c r="I53" s="146"/>
    </row>
    <row r="54" spans="1:17" x14ac:dyDescent="0.2">
      <c r="E54" s="146"/>
      <c r="F54" s="146"/>
      <c r="G54" s="146"/>
      <c r="H54" s="146"/>
      <c r="I54" s="146"/>
    </row>
    <row r="55" spans="1:17" x14ac:dyDescent="0.2">
      <c r="E55" s="146"/>
      <c r="F55" s="146"/>
      <c r="G55" s="146"/>
      <c r="H55" s="146"/>
      <c r="I55" s="146"/>
    </row>
    <row r="56" spans="1:17" x14ac:dyDescent="0.2">
      <c r="E56" s="125"/>
      <c r="F56" s="125"/>
      <c r="G56" s="134"/>
      <c r="H56" s="134"/>
      <c r="I56" s="134"/>
    </row>
    <row r="57" spans="1:17" x14ac:dyDescent="0.2">
      <c r="E57" s="134"/>
      <c r="F57" s="134"/>
      <c r="G57" s="134"/>
      <c r="H57" s="134"/>
      <c r="I57" s="134"/>
    </row>
    <row r="58" spans="1:17" x14ac:dyDescent="0.2">
      <c r="E58" s="134"/>
      <c r="F58" s="134"/>
      <c r="G58" s="134"/>
      <c r="H58" s="134"/>
      <c r="I58" s="134"/>
    </row>
    <row r="59" spans="1:17" x14ac:dyDescent="0.2">
      <c r="E59" s="134"/>
      <c r="F59" s="134"/>
      <c r="G59" s="134"/>
      <c r="H59" s="134"/>
      <c r="I59" s="134"/>
      <c r="J59" s="134"/>
      <c r="K59" s="134"/>
      <c r="L59" s="134"/>
      <c r="M59" s="134"/>
    </row>
    <row r="60" spans="1:17" x14ac:dyDescent="0.2">
      <c r="C60" s="9"/>
      <c r="E60" s="146"/>
      <c r="F60" s="146"/>
      <c r="G60" s="146"/>
      <c r="H60" s="146"/>
      <c r="I60" s="146"/>
    </row>
    <row r="61" spans="1:17" x14ac:dyDescent="0.2">
      <c r="E61" s="9"/>
      <c r="F61" s="9"/>
      <c r="G61" s="9"/>
      <c r="H61" s="9"/>
      <c r="I61" s="9"/>
    </row>
    <row r="62" spans="1:17" x14ac:dyDescent="0.2">
      <c r="C62" s="171"/>
      <c r="E62" s="134"/>
      <c r="F62" s="134"/>
      <c r="G62" s="134"/>
      <c r="H62" s="134"/>
      <c r="I62" s="134"/>
    </row>
    <row r="63" spans="1:17" x14ac:dyDescent="0.2">
      <c r="E63" s="134"/>
      <c r="F63" s="134"/>
      <c r="G63" s="134"/>
      <c r="H63" s="134"/>
      <c r="I63" s="134"/>
    </row>
    <row r="64" spans="1:17" x14ac:dyDescent="0.2">
      <c r="E64" s="9"/>
      <c r="F64" s="9"/>
      <c r="G64" s="9"/>
      <c r="H64" s="9"/>
      <c r="I64" s="9"/>
    </row>
    <row r="65" spans="5:9" x14ac:dyDescent="0.2">
      <c r="E65" s="134"/>
      <c r="F65" s="134"/>
      <c r="G65" s="134"/>
      <c r="H65" s="134"/>
      <c r="I65" s="134"/>
    </row>
    <row r="66" spans="5:9" x14ac:dyDescent="0.2">
      <c r="E66" s="9"/>
      <c r="F66" s="9"/>
      <c r="G66" s="9"/>
      <c r="H66" s="9"/>
      <c r="I66" s="9"/>
    </row>
    <row r="67" spans="5:9" x14ac:dyDescent="0.2">
      <c r="E67" s="9"/>
      <c r="F67" s="9"/>
      <c r="G67" s="9"/>
      <c r="H67" s="9"/>
      <c r="I67" s="9"/>
    </row>
  </sheetData>
  <mergeCells count="4">
    <mergeCell ref="C1:F1"/>
    <mergeCell ref="E3:F3"/>
    <mergeCell ref="A5:F5"/>
    <mergeCell ref="C2:F2"/>
  </mergeCells>
  <phoneticPr fontId="16" type="noConversion"/>
  <pageMargins left="0.59055118110236227" right="0" top="0.39370078740157483" bottom="0.19685039370078741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22</vt:i4>
      </vt:variant>
    </vt:vector>
  </HeadingPairs>
  <TitlesOfParts>
    <vt:vector size="33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'11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2023-11-14T13:12:00Z</cp:lastPrinted>
  <dcterms:created xsi:type="dcterms:W3CDTF">1996-10-14T23:33:28Z</dcterms:created>
  <dcterms:modified xsi:type="dcterms:W3CDTF">2023-11-14T13:12:05Z</dcterms:modified>
</cp:coreProperties>
</file>