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6.xml" ContentType="application/vnd.ms-excel.person+xml"/>
  <Override PartName="/xl/persons/person0.xml" ContentType="application/vnd.ms-excel.person+xml"/>
  <Override PartName="/xl/persons/person20.xml" ContentType="application/vnd.ms-excel.person+xml"/>
  <Override PartName="/xl/persons/person25.xml" ContentType="application/vnd.ms-excel.person+xml"/>
  <Override PartName="/xl/persons/person43.xml" ContentType="application/vnd.ms-excel.person+xml"/>
  <Override PartName="/xl/persons/person47.xml" ContentType="application/vnd.ms-excel.person+xml"/>
  <Override PartName="/xl/persons/person62.xml" ContentType="application/vnd.ms-excel.person+xml"/>
  <Override PartName="/xl/persons/person69.xml" ContentType="application/vnd.ms-excel.person+xml"/>
  <Override PartName="/xl/persons/person10.xml" ContentType="application/vnd.ms-excel.person+xml"/>
  <Override PartName="/xl/persons/person15.xml" ContentType="application/vnd.ms-excel.person+xml"/>
  <Override PartName="/xl/persons/person31.xml" ContentType="application/vnd.ms-excel.person+xml"/>
  <Override PartName="/xl/persons/person36.xml" ContentType="application/vnd.ms-excel.person+xml"/>
  <Override PartName="/xl/persons/person51.xml" ContentType="application/vnd.ms-excel.person+xml"/>
  <Override PartName="/xl/persons/person58.xml" ContentType="application/vnd.ms-excel.person+xml"/>
  <Override PartName="/xl/persons/person39.xml" ContentType="application/vnd.ms-excel.person+xml"/>
  <Override PartName="/xl/persons/person61.xml" ContentType="application/vnd.ms-excel.person+xml"/>
  <Override PartName="/xl/persons/person.xml" ContentType="application/vnd.ms-excel.person+xml"/>
  <Override PartName="/xl/persons/person65.xml" ContentType="application/vnd.ms-excel.person+xml"/>
  <Override PartName="/xl/persons/person46.xml" ContentType="application/vnd.ms-excel.person+xml"/>
  <Override PartName="/xl/persons/person38.xml" ContentType="application/vnd.ms-excel.person+xml"/>
  <Override PartName="/xl/persons/person29.xml" ContentType="application/vnd.ms-excel.person+xml"/>
  <Override PartName="/xl/persons/person24.xml" ContentType="application/vnd.ms-excel.person+xml"/>
  <Override PartName="/xl/persons/person17.xml" ContentType="application/vnd.ms-excel.person+xml"/>
  <Override PartName="/xl/persons/person12.xml" ContentType="application/vnd.ms-excel.person+xml"/>
  <Override PartName="/xl/persons/person9.xml" ContentType="application/vnd.ms-excel.person+xml"/>
  <Override PartName="/xl/persons/person4.xml" ContentType="application/vnd.ms-excel.person+xml"/>
  <Override PartName="/xl/persons/person48.xml" ContentType="application/vnd.ms-excel.person+xml"/>
  <Override PartName="/xl/persons/person56.xml" ContentType="application/vnd.ms-excel.person+xml"/>
  <Override PartName="/xl/persons/person68.xml" ContentType="application/vnd.ms-excel.person+xml"/>
  <Override PartName="/xl/persons/person54.xml" ContentType="application/vnd.ms-excel.person+xml"/>
  <Override PartName="/xl/persons/person34.xml" ContentType="application/vnd.ms-excel.person+xml"/>
  <Override PartName="/xl/persons/person59.xml" ContentType="application/vnd.ms-excel.person+xml"/>
  <Override PartName="/xl/persons/person45.xml" ContentType="application/vnd.ms-excel.person+xml"/>
  <Override PartName="/xl/persons/person3.xml" ContentType="application/vnd.ms-excel.person+xml"/>
  <Override PartName="/xl/persons/person11.xml" ContentType="application/vnd.ms-excel.person+xml"/>
  <Override PartName="/xl/persons/person16.xml" ContentType="application/vnd.ms-excel.person+xml"/>
  <Override PartName="/xl/persons/person26.xml" ContentType="application/vnd.ms-excel.person+xml"/>
  <Override PartName="/xl/persons/person37.xml" ContentType="application/vnd.ms-excel.person+xml"/>
  <Override PartName="/xl/persons/person70.xml" ContentType="application/vnd.ms-excel.person+xml"/>
  <Override PartName="/xl/persons/person64.xml" ContentType="application/vnd.ms-excel.person+xml"/>
  <Override PartName="/xl/persons/person63.xml" ContentType="application/vnd.ms-excel.person+xml"/>
  <Override PartName="/xl/persons/person55.xml" ContentType="application/vnd.ms-excel.person+xml"/>
  <Override PartName="/xl/persons/person50.xml" ContentType="application/vnd.ms-excel.person+xml"/>
  <Override PartName="/xl/persons/person21.xml" ContentType="application/vnd.ms-excel.person+xml"/>
  <Override PartName="/xl/persons/person33.xml" ContentType="application/vnd.ms-excel.person+xml"/>
  <Override PartName="/xl/persons/person42.xml" ContentType="application/vnd.ms-excel.person+xml"/>
  <Override PartName="/xl/persons/person1.xml" ContentType="application/vnd.ms-excel.person+xml"/>
  <Override PartName="/xl/persons/person5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8.xml" ContentType="application/vnd.ms-excel.person+xml"/>
  <Override PartName="/xl/persons/person22.xml" ContentType="application/vnd.ms-excel.person+xml"/>
  <Override PartName="/xl/persons/person30.xml" ContentType="application/vnd.ms-excel.person+xml"/>
  <Override PartName="/xl/persons/person41.xml" ContentType="application/vnd.ms-excel.person+xml"/>
  <Override PartName="/xl/persons/person52.xml" ContentType="application/vnd.ms-excel.person+xml"/>
  <Override PartName="/xl/persons/person57.xml" ContentType="application/vnd.ms-excel.person+xml"/>
  <Override PartName="/xl/persons/person60.xml" ContentType="application/vnd.ms-excel.person+xml"/>
  <Override PartName="/xl/persons/person66.xml" ContentType="application/vnd.ms-excel.person+xml"/>
  <Override PartName="/xl/persons/person18.xml" ContentType="application/vnd.ms-excel.person+xml"/>
  <Override PartName="/xl/persons/person13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53.xml" ContentType="application/vnd.ms-excel.person+xml"/>
  <Override PartName="/xl/persons/person49.xml" ContentType="application/vnd.ms-excel.person+xml"/>
  <Override PartName="/xl/persons/person7.xml" ContentType="application/vnd.ms-excel.person+xml"/>
  <Override PartName="/xl/persons/person19.xml" ContentType="application/vnd.ms-excel.person+xml"/>
  <Override PartName="/xl/persons/person2.xml" ContentType="application/vnd.ms-excel.person+xml"/>
  <Override PartName="/xl/persons/person23.xml" ContentType="application/vnd.ms-excel.person+xml"/>
  <Override PartName="/xl/persons/person44.xml" ContentType="application/vnd.ms-excel.person+xml"/>
  <Override PartName="/xl/persons/person67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F:\KRS\8 Tarybos posėdis\SP-364\"/>
    </mc:Choice>
  </mc:AlternateContent>
  <xr:revisionPtr revIDLastSave="0" documentId="8_{9A34D87E-EB85-433F-B557-760A247402DE}" xr6:coauthVersionLast="45" xr6:coauthVersionMax="45" xr10:uidLastSave="{00000000-0000-0000-0000-000000000000}"/>
  <bookViews>
    <workbookView xWindow="-120" yWindow="-120" windowWidth="29040" windowHeight="15840" tabRatio="897" xr2:uid="{00000000-000D-0000-FFFF-FFFF00000000}"/>
  </bookViews>
  <sheets>
    <sheet name="1 pr" sheetId="75" r:id="rId1"/>
    <sheet name="3 pr" sheetId="76" r:id="rId2"/>
    <sheet name="7 pr" sheetId="77" r:id="rId3"/>
    <sheet name="8 pr" sheetId="78" r:id="rId4"/>
    <sheet name="9 pr" sheetId="68" r:id="rId5"/>
    <sheet name="10 pr" sheetId="79" r:id="rId6"/>
  </sheets>
  <definedNames>
    <definedName name="_xlnm.Print_Area" localSheetId="0">'1 pr'!$A$1:$D$124</definedName>
    <definedName name="_xlnm.Print_Area" localSheetId="5">'10 pr'!$A$1:$F$133</definedName>
    <definedName name="_xlnm.Print_Area" localSheetId="1">'3 pr'!$A$1:$F$304</definedName>
    <definedName name="_xlnm.Print_Area" localSheetId="2">'7 pr'!$A$1:$F$54</definedName>
    <definedName name="_xlnm.Print_Area" localSheetId="3">'8 pr'!$A$1:$F$104</definedName>
    <definedName name="_xlnm.Print_Area" localSheetId="4">'9 pr'!$A$1:$F$53</definedName>
    <definedName name="_xlnm.Print_Titles" localSheetId="0">'1 pr'!$7:$7</definedName>
    <definedName name="_xlnm.Print_Titles" localSheetId="5">'10 pr'!$9:$9</definedName>
    <definedName name="_xlnm.Print_Titles" localSheetId="1">'3 pr'!$9:$9</definedName>
    <definedName name="_xlnm.Print_Titles" localSheetId="2">'7 pr'!$9:$9</definedName>
    <definedName name="_xlnm.Print_Titles" localSheetId="3">'8 pr'!$9:$9</definedName>
    <definedName name="_xlnm.Print_Titles" localSheetId="4">'9 pr'!$9:$9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285" i="76" l="1"/>
  <c r="C9" i="75"/>
  <c r="E23" i="78"/>
  <c r="C27" i="75"/>
  <c r="E74" i="79"/>
  <c r="E70" i="79"/>
  <c r="E69" i="79"/>
  <c r="E210" i="76" l="1"/>
  <c r="F13" i="68"/>
  <c r="E13" i="68"/>
  <c r="F38" i="68"/>
  <c r="E38" i="68"/>
  <c r="F27" i="76"/>
  <c r="E27" i="76"/>
  <c r="F20" i="76"/>
  <c r="E20" i="76"/>
  <c r="F38" i="76"/>
  <c r="E38" i="76"/>
  <c r="F26" i="76" l="1"/>
  <c r="E26" i="76"/>
  <c r="F19" i="76"/>
  <c r="E19" i="76"/>
  <c r="C67" i="75"/>
  <c r="F57" i="79"/>
  <c r="C69" i="75"/>
  <c r="E127" i="79"/>
  <c r="C19" i="75"/>
  <c r="E17" i="77"/>
  <c r="E86" i="79"/>
  <c r="C77" i="75"/>
  <c r="C75" i="75"/>
  <c r="E82" i="79"/>
  <c r="C81" i="75"/>
  <c r="E88" i="79"/>
  <c r="F49" i="79"/>
  <c r="E49" i="79"/>
  <c r="C52" i="75"/>
  <c r="E84" i="79"/>
  <c r="C76" i="75"/>
  <c r="E44" i="78"/>
  <c r="C29" i="75"/>
  <c r="C56" i="75"/>
  <c r="E57" i="79"/>
  <c r="F32" i="79"/>
  <c r="E32" i="79"/>
  <c r="F31" i="79"/>
  <c r="E31" i="79"/>
  <c r="F30" i="79"/>
  <c r="E30" i="79"/>
  <c r="F29" i="79"/>
  <c r="E29" i="79"/>
  <c r="F28" i="79"/>
  <c r="E28" i="79"/>
  <c r="F27" i="79"/>
  <c r="E27" i="79"/>
  <c r="F26" i="79"/>
  <c r="E26" i="79"/>
  <c r="F24" i="79"/>
  <c r="E24" i="79"/>
  <c r="F22" i="79"/>
  <c r="E22" i="79"/>
  <c r="F21" i="79"/>
  <c r="E21" i="79"/>
  <c r="F20" i="79"/>
  <c r="E20" i="79"/>
  <c r="F19" i="79"/>
  <c r="E19" i="79"/>
  <c r="F18" i="79"/>
  <c r="E18" i="79"/>
  <c r="F17" i="79"/>
  <c r="E17" i="79"/>
  <c r="E122" i="79"/>
  <c r="C65" i="75"/>
  <c r="C25" i="75"/>
  <c r="E30" i="78"/>
  <c r="F30" i="78"/>
  <c r="E33" i="78"/>
  <c r="E36" i="78"/>
  <c r="E35" i="78"/>
  <c r="E40" i="78"/>
  <c r="E38" i="78"/>
  <c r="C79" i="75"/>
  <c r="E42" i="78" l="1"/>
  <c r="F76" i="78"/>
  <c r="E76" i="78"/>
  <c r="E75" i="78" s="1"/>
  <c r="C35" i="75"/>
  <c r="C26" i="75"/>
  <c r="F53" i="79"/>
  <c r="E53" i="79"/>
  <c r="E52" i="79" s="1"/>
  <c r="C54" i="75"/>
  <c r="F90" i="78"/>
  <c r="F89" i="78" s="1"/>
  <c r="E90" i="78"/>
  <c r="E89" i="78" s="1"/>
  <c r="C28" i="75"/>
  <c r="F128" i="79"/>
  <c r="E128" i="79"/>
  <c r="E126" i="79"/>
  <c r="E125" i="79" s="1"/>
  <c r="F126" i="79"/>
  <c r="F123" i="79"/>
  <c r="E123" i="79"/>
  <c r="F121" i="79"/>
  <c r="E121" i="79"/>
  <c r="F118" i="79"/>
  <c r="E118" i="79"/>
  <c r="F116" i="79"/>
  <c r="E116" i="79"/>
  <c r="F113" i="79"/>
  <c r="E113" i="79"/>
  <c r="E112" i="79"/>
  <c r="E111" i="79" s="1"/>
  <c r="F111" i="79"/>
  <c r="F109" i="79"/>
  <c r="E109" i="79"/>
  <c r="F107" i="79"/>
  <c r="E107" i="79"/>
  <c r="F105" i="79"/>
  <c r="E105" i="79"/>
  <c r="E103" i="79"/>
  <c r="E102" i="79" s="1"/>
  <c r="E101" i="79" s="1"/>
  <c r="F102" i="79"/>
  <c r="F101" i="79" s="1"/>
  <c r="F99" i="79"/>
  <c r="E99" i="79"/>
  <c r="F97" i="79"/>
  <c r="F96" i="79" s="1"/>
  <c r="E97" i="79"/>
  <c r="E96" i="79" s="1"/>
  <c r="F94" i="79"/>
  <c r="E94" i="79"/>
  <c r="F91" i="79"/>
  <c r="F90" i="79" s="1"/>
  <c r="F89" i="79" s="1"/>
  <c r="E91" i="79"/>
  <c r="E90" i="79" s="1"/>
  <c r="E89" i="79" s="1"/>
  <c r="E87" i="79"/>
  <c r="F87" i="79"/>
  <c r="F85" i="79"/>
  <c r="E85" i="79"/>
  <c r="F83" i="79"/>
  <c r="E83" i="79"/>
  <c r="E81" i="79"/>
  <c r="F81" i="79"/>
  <c r="F75" i="79"/>
  <c r="E75" i="79"/>
  <c r="E68" i="79"/>
  <c r="E67" i="79" s="1"/>
  <c r="F67" i="79"/>
  <c r="F62" i="79"/>
  <c r="E62" i="79"/>
  <c r="F60" i="79"/>
  <c r="E60" i="79"/>
  <c r="F58" i="79"/>
  <c r="E58" i="79"/>
  <c r="E56" i="79"/>
  <c r="F56" i="79"/>
  <c r="E55" i="79"/>
  <c r="E54" i="79" s="1"/>
  <c r="F54" i="79"/>
  <c r="F52" i="79"/>
  <c r="F51" i="79"/>
  <c r="F50" i="79" s="1"/>
  <c r="E51" i="79"/>
  <c r="E50" i="79" s="1"/>
  <c r="F48" i="79"/>
  <c r="E48" i="79"/>
  <c r="F47" i="79"/>
  <c r="F46" i="79" s="1"/>
  <c r="E46" i="79"/>
  <c r="F41" i="79"/>
  <c r="E41" i="79"/>
  <c r="F40" i="79"/>
  <c r="E40" i="79"/>
  <c r="F39" i="79"/>
  <c r="E39" i="79"/>
  <c r="F38" i="79"/>
  <c r="E38" i="79"/>
  <c r="F37" i="79"/>
  <c r="E37" i="79"/>
  <c r="F36" i="79"/>
  <c r="E36" i="79"/>
  <c r="F35" i="79"/>
  <c r="E35" i="79"/>
  <c r="F33" i="79"/>
  <c r="E33" i="79"/>
  <c r="E25" i="79"/>
  <c r="F23" i="79"/>
  <c r="E23" i="79"/>
  <c r="F14" i="79"/>
  <c r="F13" i="79" s="1"/>
  <c r="E14" i="79"/>
  <c r="E13" i="79" s="1"/>
  <c r="E12" i="79"/>
  <c r="E11" i="79" s="1"/>
  <c r="F11" i="79"/>
  <c r="F49" i="68"/>
  <c r="F48" i="68" s="1"/>
  <c r="F47" i="68" s="1"/>
  <c r="E49" i="68"/>
  <c r="E48" i="68" s="1"/>
  <c r="E47" i="68" s="1"/>
  <c r="F46" i="68"/>
  <c r="F45" i="68" s="1"/>
  <c r="E45" i="68"/>
  <c r="F44" i="68"/>
  <c r="E44" i="68"/>
  <c r="F43" i="68"/>
  <c r="E43" i="68"/>
  <c r="F42" i="68"/>
  <c r="E42" i="68"/>
  <c r="F41" i="68"/>
  <c r="E41" i="68"/>
  <c r="F40" i="68"/>
  <c r="E40" i="68"/>
  <c r="F39" i="68"/>
  <c r="F37" i="68" s="1"/>
  <c r="E39" i="68"/>
  <c r="E37" i="68" s="1"/>
  <c r="F36" i="68"/>
  <c r="E36" i="68"/>
  <c r="F35" i="68"/>
  <c r="E35" i="68"/>
  <c r="F34" i="68"/>
  <c r="E34" i="68"/>
  <c r="F33" i="68"/>
  <c r="E33" i="68"/>
  <c r="F32" i="68"/>
  <c r="E32" i="68"/>
  <c r="F31" i="68"/>
  <c r="E31" i="68"/>
  <c r="F30" i="68"/>
  <c r="E30" i="68"/>
  <c r="F29" i="68"/>
  <c r="E29" i="68"/>
  <c r="F28" i="68"/>
  <c r="E28" i="68"/>
  <c r="F27" i="68"/>
  <c r="E27" i="68"/>
  <c r="F26" i="68"/>
  <c r="E26" i="68"/>
  <c r="F25" i="68"/>
  <c r="E25" i="68"/>
  <c r="F24" i="68"/>
  <c r="E24" i="68"/>
  <c r="F23" i="68"/>
  <c r="E23" i="68"/>
  <c r="F22" i="68"/>
  <c r="E22" i="68"/>
  <c r="F21" i="68"/>
  <c r="E21" i="68"/>
  <c r="F20" i="68"/>
  <c r="E20" i="68"/>
  <c r="F19" i="68"/>
  <c r="E19" i="68"/>
  <c r="F18" i="68"/>
  <c r="E18" i="68"/>
  <c r="F17" i="68"/>
  <c r="E17" i="68"/>
  <c r="F16" i="68"/>
  <c r="E16" i="68"/>
  <c r="F15" i="68"/>
  <c r="E15" i="68"/>
  <c r="F14" i="68"/>
  <c r="E14" i="68"/>
  <c r="F12" i="68"/>
  <c r="E12" i="68"/>
  <c r="F99" i="78"/>
  <c r="E99" i="78"/>
  <c r="F97" i="78"/>
  <c r="E97" i="78"/>
  <c r="F95" i="78"/>
  <c r="E95" i="78"/>
  <c r="F93" i="78"/>
  <c r="E93" i="78"/>
  <c r="F91" i="78"/>
  <c r="E91" i="78"/>
  <c r="F87" i="78"/>
  <c r="E87" i="78"/>
  <c r="F85" i="78"/>
  <c r="E85" i="78"/>
  <c r="F83" i="78"/>
  <c r="E83" i="78"/>
  <c r="F81" i="78"/>
  <c r="E81" i="78"/>
  <c r="F79" i="78"/>
  <c r="E79" i="78"/>
  <c r="F77" i="78"/>
  <c r="E77" i="78"/>
  <c r="F75" i="78"/>
  <c r="F71" i="78"/>
  <c r="E71" i="78"/>
  <c r="F70" i="78"/>
  <c r="E70" i="78"/>
  <c r="F69" i="78"/>
  <c r="E69" i="78"/>
  <c r="E64" i="78"/>
  <c r="F46" i="78"/>
  <c r="F45" i="78" s="1"/>
  <c r="E46" i="78"/>
  <c r="E45" i="78" s="1"/>
  <c r="F43" i="78"/>
  <c r="E43" i="78"/>
  <c r="F42" i="78"/>
  <c r="F41" i="78" s="1"/>
  <c r="E41" i="78"/>
  <c r="F40" i="78"/>
  <c r="F39" i="78"/>
  <c r="E39" i="78"/>
  <c r="F38" i="78"/>
  <c r="F36" i="78"/>
  <c r="F35" i="78"/>
  <c r="E34" i="78"/>
  <c r="F33" i="78"/>
  <c r="F32" i="78"/>
  <c r="E32" i="78"/>
  <c r="F31" i="78"/>
  <c r="E31" i="78"/>
  <c r="F27" i="78"/>
  <c r="F26" i="78"/>
  <c r="E26" i="78"/>
  <c r="F24" i="78"/>
  <c r="E24" i="78"/>
  <c r="F22" i="78"/>
  <c r="E22" i="78"/>
  <c r="F21" i="78"/>
  <c r="E21" i="78"/>
  <c r="F20" i="78"/>
  <c r="E20" i="78"/>
  <c r="F19" i="78"/>
  <c r="E19" i="78"/>
  <c r="F15" i="78"/>
  <c r="E15" i="78"/>
  <c r="F13" i="78"/>
  <c r="E13" i="78"/>
  <c r="F12" i="78"/>
  <c r="F11" i="78" s="1"/>
  <c r="F10" i="78" s="1"/>
  <c r="E11" i="78"/>
  <c r="E10" i="78" s="1"/>
  <c r="F48" i="77"/>
  <c r="F47" i="77" s="1"/>
  <c r="E48" i="77"/>
  <c r="E47" i="77" s="1"/>
  <c r="E45" i="77"/>
  <c r="E44" i="77" s="1"/>
  <c r="E43" i="77" s="1"/>
  <c r="F44" i="77"/>
  <c r="F43" i="77" s="1"/>
  <c r="F39" i="77"/>
  <c r="F38" i="77" s="1"/>
  <c r="E39" i="77"/>
  <c r="E38" i="77" s="1"/>
  <c r="E36" i="77"/>
  <c r="E35" i="77" s="1"/>
  <c r="F31" i="77"/>
  <c r="E31" i="77"/>
  <c r="F27" i="77"/>
  <c r="E27" i="77"/>
  <c r="F25" i="77"/>
  <c r="E25" i="77"/>
  <c r="F22" i="77"/>
  <c r="E22" i="77"/>
  <c r="F20" i="77"/>
  <c r="E20" i="77"/>
  <c r="F11" i="77"/>
  <c r="F10" i="77" s="1"/>
  <c r="E11" i="77"/>
  <c r="E10" i="77" s="1"/>
  <c r="F300" i="76"/>
  <c r="E300" i="76"/>
  <c r="F299" i="76"/>
  <c r="E299" i="76"/>
  <c r="F298" i="76"/>
  <c r="E298" i="76"/>
  <c r="F297" i="76"/>
  <c r="E297" i="76"/>
  <c r="F296" i="76"/>
  <c r="E296" i="76"/>
  <c r="F295" i="76"/>
  <c r="E295" i="76"/>
  <c r="F294" i="76"/>
  <c r="E294" i="76"/>
  <c r="F293" i="76"/>
  <c r="E293" i="76"/>
  <c r="F292" i="76"/>
  <c r="E292" i="76"/>
  <c r="F291" i="76"/>
  <c r="E291" i="76"/>
  <c r="F290" i="76"/>
  <c r="E290" i="76"/>
  <c r="E288" i="76"/>
  <c r="F281" i="76"/>
  <c r="F280" i="76" s="1"/>
  <c r="E281" i="76"/>
  <c r="F279" i="76"/>
  <c r="E279" i="76"/>
  <c r="F278" i="76"/>
  <c r="E278" i="76"/>
  <c r="F273" i="76"/>
  <c r="F272" i="76" s="1"/>
  <c r="E273" i="76"/>
  <c r="E272" i="76"/>
  <c r="E271" i="76"/>
  <c r="E266" i="76" s="1"/>
  <c r="E269" i="76"/>
  <c r="F266" i="76"/>
  <c r="F265" i="76"/>
  <c r="F264" i="76" s="1"/>
  <c r="F263" i="76" s="1"/>
  <c r="E265" i="76"/>
  <c r="F262" i="76"/>
  <c r="E262" i="76"/>
  <c r="F261" i="76"/>
  <c r="E261" i="76"/>
  <c r="F260" i="76"/>
  <c r="E260" i="76"/>
  <c r="F259" i="76"/>
  <c r="E259" i="76"/>
  <c r="F258" i="76"/>
  <c r="E258" i="76"/>
  <c r="F257" i="76"/>
  <c r="E257" i="76"/>
  <c r="F256" i="76"/>
  <c r="E256" i="76"/>
  <c r="F255" i="76"/>
  <c r="E255" i="76"/>
  <c r="F254" i="76"/>
  <c r="E254" i="76"/>
  <c r="F253" i="76"/>
  <c r="E253" i="76"/>
  <c r="F252" i="76"/>
  <c r="E252" i="76"/>
  <c r="E250" i="76"/>
  <c r="E248" i="76" s="1"/>
  <c r="F248" i="76"/>
  <c r="F240" i="76" s="1"/>
  <c r="E246" i="76"/>
  <c r="E245" i="76"/>
  <c r="E244" i="76"/>
  <c r="E243" i="76"/>
  <c r="E242" i="76"/>
  <c r="E237" i="76"/>
  <c r="E232" i="76"/>
  <c r="E230" i="76"/>
  <c r="E229" i="76"/>
  <c r="E228" i="76"/>
  <c r="E225" i="76"/>
  <c r="E223" i="76"/>
  <c r="E221" i="76"/>
  <c r="E220" i="76"/>
  <c r="E218" i="76"/>
  <c r="E217" i="76"/>
  <c r="E216" i="76"/>
  <c r="E213" i="76"/>
  <c r="E212" i="76"/>
  <c r="E209" i="76"/>
  <c r="E207" i="76"/>
  <c r="F204" i="76"/>
  <c r="F203" i="76" s="1"/>
  <c r="F201" i="76" s="1"/>
  <c r="E202" i="76"/>
  <c r="E197" i="76"/>
  <c r="E194" i="76" s="1"/>
  <c r="E195" i="76"/>
  <c r="F194" i="76"/>
  <c r="F189" i="76" s="1"/>
  <c r="F185" i="76" s="1"/>
  <c r="E190" i="76"/>
  <c r="E186" i="76"/>
  <c r="F184" i="76"/>
  <c r="E184" i="76"/>
  <c r="F180" i="76"/>
  <c r="E180" i="76"/>
  <c r="F174" i="76"/>
  <c r="E174" i="76"/>
  <c r="F171" i="76"/>
  <c r="E171" i="76"/>
  <c r="F170" i="76"/>
  <c r="E170" i="76"/>
  <c r="F169" i="76"/>
  <c r="E169" i="76"/>
  <c r="F168" i="76"/>
  <c r="E168" i="76"/>
  <c r="F167" i="76"/>
  <c r="E167" i="76"/>
  <c r="F166" i="76"/>
  <c r="E166" i="76"/>
  <c r="F165" i="76"/>
  <c r="E165" i="76"/>
  <c r="F164" i="76"/>
  <c r="E164" i="76"/>
  <c r="F161" i="76"/>
  <c r="E161" i="76"/>
  <c r="F159" i="76"/>
  <c r="E159" i="76"/>
  <c r="F158" i="76"/>
  <c r="E158" i="76"/>
  <c r="F157" i="76"/>
  <c r="E157" i="76"/>
  <c r="F156" i="76"/>
  <c r="E156" i="76"/>
  <c r="F155" i="76"/>
  <c r="E155" i="76"/>
  <c r="F154" i="76"/>
  <c r="E154" i="76"/>
  <c r="F150" i="76"/>
  <c r="E150" i="76"/>
  <c r="E146" i="76"/>
  <c r="E142" i="76"/>
  <c r="E141" i="76"/>
  <c r="F140" i="76"/>
  <c r="F139" i="76"/>
  <c r="E139" i="76"/>
  <c r="F137" i="76"/>
  <c r="E137" i="76"/>
  <c r="F134" i="76"/>
  <c r="E134" i="76"/>
  <c r="F132" i="76"/>
  <c r="E132" i="76"/>
  <c r="F130" i="76"/>
  <c r="E130" i="76"/>
  <c r="F128" i="76"/>
  <c r="E128" i="76"/>
  <c r="F126" i="76"/>
  <c r="E126" i="76"/>
  <c r="F125" i="76"/>
  <c r="E125" i="76"/>
  <c r="F123" i="76"/>
  <c r="E123" i="76"/>
  <c r="F121" i="76"/>
  <c r="E121" i="76"/>
  <c r="F120" i="76"/>
  <c r="E120" i="76"/>
  <c r="F118" i="76"/>
  <c r="E118" i="76"/>
  <c r="F116" i="76"/>
  <c r="E116" i="76"/>
  <c r="E115" i="76"/>
  <c r="E111" i="76" s="1"/>
  <c r="F111" i="76"/>
  <c r="E102" i="76"/>
  <c r="E101" i="76"/>
  <c r="E100" i="76"/>
  <c r="E97" i="76"/>
  <c r="F96" i="76"/>
  <c r="E96" i="76"/>
  <c r="F94" i="76"/>
  <c r="E94" i="76"/>
  <c r="F93" i="76"/>
  <c r="E93" i="76"/>
  <c r="F92" i="76"/>
  <c r="E92" i="76"/>
  <c r="F91" i="76"/>
  <c r="E91" i="76"/>
  <c r="E90" i="76"/>
  <c r="F89" i="76"/>
  <c r="E89" i="76"/>
  <c r="F85" i="76"/>
  <c r="E85" i="76"/>
  <c r="E84" i="76"/>
  <c r="E80" i="76"/>
  <c r="E79" i="76"/>
  <c r="E73" i="76"/>
  <c r="E69" i="76"/>
  <c r="F65" i="76"/>
  <c r="F63" i="76"/>
  <c r="E63" i="76"/>
  <c r="E61" i="76"/>
  <c r="E60" i="76"/>
  <c r="E59" i="76"/>
  <c r="E55" i="76"/>
  <c r="E54" i="76"/>
  <c r="E52" i="76"/>
  <c r="E50" i="76"/>
  <c r="E49" i="76"/>
  <c r="E48" i="76"/>
  <c r="F47" i="76"/>
  <c r="E46" i="76"/>
  <c r="F43" i="76"/>
  <c r="E43" i="76"/>
  <c r="F41" i="76"/>
  <c r="E41" i="76"/>
  <c r="F40" i="76"/>
  <c r="E40" i="76"/>
  <c r="F37" i="76"/>
  <c r="E37" i="76"/>
  <c r="E36" i="76"/>
  <c r="E35" i="76" s="1"/>
  <c r="F35" i="76"/>
  <c r="F34" i="76"/>
  <c r="E34" i="76"/>
  <c r="E33" i="76"/>
  <c r="F32" i="76"/>
  <c r="E32" i="76"/>
  <c r="F31" i="76"/>
  <c r="E31" i="76"/>
  <c r="F30" i="76"/>
  <c r="E30" i="76"/>
  <c r="F29" i="76"/>
  <c r="E29" i="76"/>
  <c r="F28" i="76"/>
  <c r="E28" i="76"/>
  <c r="F25" i="76"/>
  <c r="E25" i="76"/>
  <c r="F24" i="76"/>
  <c r="E24" i="76"/>
  <c r="F23" i="76"/>
  <c r="E23" i="76"/>
  <c r="F22" i="76"/>
  <c r="E22" i="76"/>
  <c r="F21" i="76"/>
  <c r="E21" i="76"/>
  <c r="F18" i="76"/>
  <c r="E18" i="76"/>
  <c r="F17" i="76"/>
  <c r="E17" i="76"/>
  <c r="F16" i="76"/>
  <c r="E16" i="76"/>
  <c r="F15" i="76"/>
  <c r="E15" i="76"/>
  <c r="F14" i="76"/>
  <c r="E14" i="76"/>
  <c r="F13" i="76"/>
  <c r="E13" i="76"/>
  <c r="F12" i="76"/>
  <c r="E12" i="76"/>
  <c r="F11" i="76"/>
  <c r="E11" i="76"/>
  <c r="C112" i="75"/>
  <c r="C105" i="75" s="1"/>
  <c r="C103" i="75"/>
  <c r="C99" i="75"/>
  <c r="C97" i="75"/>
  <c r="C95" i="75" s="1"/>
  <c r="C94" i="75"/>
  <c r="C93" i="75"/>
  <c r="C92" i="75"/>
  <c r="C86" i="75"/>
  <c r="C63" i="75"/>
  <c r="C62" i="75"/>
  <c r="C55" i="75"/>
  <c r="C53" i="75"/>
  <c r="C47" i="75"/>
  <c r="C46" i="75"/>
  <c r="C30" i="75"/>
  <c r="C20" i="75"/>
  <c r="C18" i="75" s="1"/>
  <c r="C16" i="75"/>
  <c r="C15" i="75" s="1"/>
  <c r="C14" i="75"/>
  <c r="C11" i="75" s="1"/>
  <c r="E45" i="79" l="1"/>
  <c r="E11" i="68"/>
  <c r="E10" i="68" s="1"/>
  <c r="E50" i="68" s="1"/>
  <c r="F45" i="79"/>
  <c r="F125" i="79"/>
  <c r="F115" i="79"/>
  <c r="E115" i="79"/>
  <c r="F16" i="79"/>
  <c r="E93" i="79"/>
  <c r="F24" i="77"/>
  <c r="E24" i="77"/>
  <c r="F95" i="76"/>
  <c r="F42" i="76"/>
  <c r="F10" i="76" s="1"/>
  <c r="F173" i="76"/>
  <c r="F62" i="76"/>
  <c r="E140" i="76"/>
  <c r="F239" i="76"/>
  <c r="E204" i="76"/>
  <c r="E203" i="76" s="1"/>
  <c r="E201" i="76" s="1"/>
  <c r="E65" i="76"/>
  <c r="E62" i="76" s="1"/>
  <c r="E264" i="76"/>
  <c r="E263" i="76" s="1"/>
  <c r="C22" i="75"/>
  <c r="C21" i="75" s="1"/>
  <c r="C91" i="75"/>
  <c r="E16" i="79"/>
  <c r="F93" i="79"/>
  <c r="E34" i="79"/>
  <c r="E10" i="79" s="1"/>
  <c r="E120" i="79"/>
  <c r="F34" i="79"/>
  <c r="F10" i="79" s="1"/>
  <c r="F104" i="79"/>
  <c r="F120" i="79"/>
  <c r="F11" i="68"/>
  <c r="F10" i="68" s="1"/>
  <c r="F50" i="68" s="1"/>
  <c r="F88" i="76"/>
  <c r="F277" i="76"/>
  <c r="E280" i="76"/>
  <c r="E277" i="76" s="1"/>
  <c r="E95" i="76"/>
  <c r="F138" i="76"/>
  <c r="F136" i="76" s="1"/>
  <c r="E138" i="76"/>
  <c r="E136" i="76" s="1"/>
  <c r="E240" i="76"/>
  <c r="E239" i="76" s="1"/>
  <c r="E189" i="76"/>
  <c r="E185" i="76" s="1"/>
  <c r="E47" i="76"/>
  <c r="E42" i="76" s="1"/>
  <c r="E10" i="76" s="1"/>
  <c r="F163" i="76"/>
  <c r="E173" i="76"/>
  <c r="E163" i="76" s="1"/>
  <c r="E19" i="77"/>
  <c r="F19" i="77"/>
  <c r="F74" i="78"/>
  <c r="F28" i="78"/>
  <c r="E59" i="78"/>
  <c r="E58" i="78" s="1"/>
  <c r="F59" i="78"/>
  <c r="F58" i="78" s="1"/>
  <c r="E104" i="79"/>
  <c r="E28" i="78"/>
  <c r="F18" i="78"/>
  <c r="E74" i="78"/>
  <c r="E18" i="78"/>
  <c r="E50" i="77"/>
  <c r="E88" i="76"/>
  <c r="C8" i="75"/>
  <c r="C85" i="75"/>
  <c r="C49" i="75"/>
  <c r="C17" i="75" l="1"/>
  <c r="F50" i="77"/>
  <c r="C102" i="75"/>
  <c r="C104" i="75" s="1"/>
  <c r="C115" i="75" s="1"/>
  <c r="F301" i="76"/>
  <c r="E301" i="76"/>
  <c r="F130" i="79"/>
  <c r="E130" i="79"/>
  <c r="F17" i="78"/>
  <c r="F101" i="78" s="1"/>
  <c r="E17" i="78"/>
  <c r="E101" i="78" s="1"/>
</calcChain>
</file>

<file path=xl/sharedStrings.xml><?xml version="1.0" encoding="utf-8"?>
<sst xmlns="http://schemas.openxmlformats.org/spreadsheetml/2006/main" count="1506" uniqueCount="843">
  <si>
    <t>Eil. Nr.</t>
  </si>
  <si>
    <t>Kėdainių bendruomenės socialinis centras</t>
  </si>
  <si>
    <t>Dotnuvos slaugos namai</t>
  </si>
  <si>
    <t xml:space="preserve">Kėdainių rajono savivaldybės administracija </t>
  </si>
  <si>
    <t>Kėdainių rajono savivaldybės administracijos Dotnuvos seniūnija</t>
  </si>
  <si>
    <t>Kėdainių rajono savivaldybės administracijos Gudžiūnų seniūnija</t>
  </si>
  <si>
    <t>Kėdainių rajono savivaldybės administracijos Krakių seniūnija</t>
  </si>
  <si>
    <t>Kėdainių rajono savivaldybės administracijos Josvainių seniūnija</t>
  </si>
  <si>
    <t>Kėdainių rajono savivaldybės administracijos Kėdainių miesto seniūnija</t>
  </si>
  <si>
    <t>Kėdainių rajono savivaldybės administracijos Pelėdnagių seniūnija</t>
  </si>
  <si>
    <t>Kėdainių rajono savivaldybės administracijos Pernaravos seniūnija</t>
  </si>
  <si>
    <t>Kėdainių rajono savivaldybės administracijos Šėtos seniūnija</t>
  </si>
  <si>
    <t>Kėdainių rajono savivaldybės administracijos Surviliškio seniūnija</t>
  </si>
  <si>
    <t>Kėdainių rajono savivaldybės administracijos Truskavos seniūnija</t>
  </si>
  <si>
    <t>Kėdainių rajono savivaldybės administracijos Vilainių seniūnija</t>
  </si>
  <si>
    <t>Josvainių socialinis ir ugdymo centras</t>
  </si>
  <si>
    <t>Asignavimų valdytojas</t>
  </si>
  <si>
    <t>Iš viso</t>
  </si>
  <si>
    <t>2</t>
  </si>
  <si>
    <t>Šėtos socialinis ir ugdymo  centras</t>
  </si>
  <si>
    <t>Iš viso asignavimų</t>
  </si>
  <si>
    <t>03</t>
  </si>
  <si>
    <t>SOCIALINĖS APSAUGOS PLĖTOJIMAS</t>
  </si>
  <si>
    <t>10.04.01.01</t>
  </si>
  <si>
    <t>10.01.02.02</t>
  </si>
  <si>
    <t>11</t>
  </si>
  <si>
    <t>SAVIVALDYBĖS VALDYMO TOBULINIMAS</t>
  </si>
  <si>
    <t>Kėdainių rajono savivaldybės priešgaisrinė tarnyba</t>
  </si>
  <si>
    <t>03.02.01.01</t>
  </si>
  <si>
    <t>iš jų darbo užmokesčiui</t>
  </si>
  <si>
    <t>4</t>
  </si>
  <si>
    <t>10.04.01.40</t>
  </si>
  <si>
    <t>09</t>
  </si>
  <si>
    <t xml:space="preserve"> ŽEMĖS ŪKIO PLĖTRA IR MELIORACIJA</t>
  </si>
  <si>
    <t>11.1</t>
  </si>
  <si>
    <t>11.2</t>
  </si>
  <si>
    <t>11.3</t>
  </si>
  <si>
    <t>11.4</t>
  </si>
  <si>
    <t>01.06.01.02</t>
  </si>
  <si>
    <t>04.01.02.01</t>
  </si>
  <si>
    <t>Kėdainių r. Krakių Mikalojaus Katkaus gimnazija</t>
  </si>
  <si>
    <t>Kėdainių r. Dotnuvos pagrindinė mokykla</t>
  </si>
  <si>
    <t>Kėdainių r. Surviliškio Vinco Svirskio pagrindinė mokykla</t>
  </si>
  <si>
    <t>Kėdainių krašto muziejus</t>
  </si>
  <si>
    <t>Kėdainių kultūros centras</t>
  </si>
  <si>
    <t>Krakių kultūros centras</t>
  </si>
  <si>
    <t>Kėdainių šviesioji gimnazija</t>
  </si>
  <si>
    <t>Kėdainių kalbų mokykla</t>
  </si>
  <si>
    <t>Kėdainių muzikos  mokykla</t>
  </si>
  <si>
    <t>Akademijos kultūros centras</t>
  </si>
  <si>
    <t>Josvainių kultūros centras</t>
  </si>
  <si>
    <t>Šėtos kultūros centras</t>
  </si>
  <si>
    <t>Truskavos kultūros centras</t>
  </si>
  <si>
    <t>Kėdainių rajono savivaldybės Mikalojaus Daukšos viešoji biblioteka</t>
  </si>
  <si>
    <t>Kėdainių dailės mokykla</t>
  </si>
  <si>
    <t>Funkcijos kodas</t>
  </si>
  <si>
    <t>01</t>
  </si>
  <si>
    <t>ŠVIETIMAS IR UGDYMAS</t>
  </si>
  <si>
    <t>09.01.01.01</t>
  </si>
  <si>
    <t>09.01.02.01</t>
  </si>
  <si>
    <t>09.02.02.01</t>
  </si>
  <si>
    <t>09.02.01.01</t>
  </si>
  <si>
    <t>09.05.01.01</t>
  </si>
  <si>
    <t>09.08.01.01</t>
  </si>
  <si>
    <t>09.06.01.01</t>
  </si>
  <si>
    <t>02</t>
  </si>
  <si>
    <t>SVEIKATOS APSAUGA</t>
  </si>
  <si>
    <t>07.01.03.01</t>
  </si>
  <si>
    <t>07.03.01.01</t>
  </si>
  <si>
    <t>07.06.01.02</t>
  </si>
  <si>
    <t>10.01.02.02
10.07.01.01
10.09.01.01</t>
  </si>
  <si>
    <t>10.02.01.02</t>
  </si>
  <si>
    <t>10.07.01.01</t>
  </si>
  <si>
    <t>10.06.01.01</t>
  </si>
  <si>
    <t>09.06.01.01
10.01.02.40
10.02.01.40</t>
  </si>
  <si>
    <t>10.01.02.40</t>
  </si>
  <si>
    <t>04</t>
  </si>
  <si>
    <t>08.01.01.03</t>
  </si>
  <si>
    <t>05</t>
  </si>
  <si>
    <t>KULTŪROS VEIKLOS PLĖTRA</t>
  </si>
  <si>
    <t>08.02.01.08</t>
  </si>
  <si>
    <t>08.02.01.01</t>
  </si>
  <si>
    <t>08.02.01.02</t>
  </si>
  <si>
    <t>08.04.01.01</t>
  </si>
  <si>
    <t>07</t>
  </si>
  <si>
    <t>INFRASTRUKTŪROS OBJEKTŲ  PRIEŽIŪRA IR PLĖTRA</t>
  </si>
  <si>
    <t>06.04.01.01</t>
  </si>
  <si>
    <t>04.05.01.02 06.04.01.01</t>
  </si>
  <si>
    <t>06.01.01.01</t>
  </si>
  <si>
    <t>08</t>
  </si>
  <si>
    <t>APLINKOS APSAUGA</t>
  </si>
  <si>
    <t xml:space="preserve">05.01.01.01
06.02.01.01                       </t>
  </si>
  <si>
    <t>05.01.01.01</t>
  </si>
  <si>
    <t xml:space="preserve">05.01.01.01  05.02.01.01
06.03.01.01                       </t>
  </si>
  <si>
    <t xml:space="preserve">05.01.01.01               </t>
  </si>
  <si>
    <t>10</t>
  </si>
  <si>
    <t>PARAMA VERSLUI IR VERSLO PLĖTRA</t>
  </si>
  <si>
    <t>04.01.01.01</t>
  </si>
  <si>
    <t>Kėdainių rajono savivaldybės kontrolės ir audito tarnyba</t>
  </si>
  <si>
    <t xml:space="preserve">Kėdainių rajono savivaldybės administracija  </t>
  </si>
  <si>
    <t>03.01.01.01</t>
  </si>
  <si>
    <t>04.05.01.01</t>
  </si>
  <si>
    <t>01.07.01.01</t>
  </si>
  <si>
    <t xml:space="preserve">10.02.01.02 </t>
  </si>
  <si>
    <t>06</t>
  </si>
  <si>
    <t>KULTŪROS PAVELDO IŠSAUGOJIMAS, TURIZMO SKATINIMAS IR VYSTYMAS</t>
  </si>
  <si>
    <t>04.07.03.01</t>
  </si>
  <si>
    <t>10.01.02.01</t>
  </si>
  <si>
    <t xml:space="preserve">                                                               ___________________________________________</t>
  </si>
  <si>
    <t>07.06.01.09</t>
  </si>
  <si>
    <t>01.01.01.09</t>
  </si>
  <si>
    <t>Kėdainių suaugusiųjų ir jaunimo mokymo centras</t>
  </si>
  <si>
    <t>Kėdainių sporto centras</t>
  </si>
  <si>
    <t xml:space="preserve">                                                                                         ___________________________</t>
  </si>
  <si>
    <t xml:space="preserve">10.06.01.01 10.07.01.01
10.09.01.09 </t>
  </si>
  <si>
    <t>3 priedas</t>
  </si>
  <si>
    <t>08.02.01.07</t>
  </si>
  <si>
    <t>7 priedas</t>
  </si>
  <si>
    <t>Eil.   Nr.</t>
  </si>
  <si>
    <t>09.02.02.01
09.05.01.01</t>
  </si>
  <si>
    <t>Kėdainių Juozo Paukštelio progimnazija</t>
  </si>
  <si>
    <t>01.06.01.04</t>
  </si>
  <si>
    <t>Remontuoti objektus pagal administracijos direktoriaus įsakymus</t>
  </si>
  <si>
    <t>Likviduoti avarinius židinius</t>
  </si>
  <si>
    <t>Remontuoti biudžetinių įstaigų kiemus</t>
  </si>
  <si>
    <t>Remontuoti viešųjų ir biudžetinių įstaigų stogus</t>
  </si>
  <si>
    <t>08.06.01.01</t>
  </si>
  <si>
    <t>07.06.01.06</t>
  </si>
  <si>
    <t>04.09.01.01</t>
  </si>
  <si>
    <t>(tūkst. Eur)</t>
  </si>
  <si>
    <t>01.01.01.02
01.01.01.09
01.03.02.09
01.06.01.02
04.05.06.09 06.06.01.01
06.06.01.09</t>
  </si>
  <si>
    <t>05.03.01.01</t>
  </si>
  <si>
    <t>08.06.01.09</t>
  </si>
  <si>
    <t xml:space="preserve">Kėdainių švietimo pagalbos tarnyba </t>
  </si>
  <si>
    <t>Kėdainių r. Akademijos gimnazija</t>
  </si>
  <si>
    <t>Kėdainių r. Josvainių gimnazija</t>
  </si>
  <si>
    <t>Kėdainių r. Labūnavos pagrindinė mokykla</t>
  </si>
  <si>
    <t>Kėdainių r. Šėtos  gimnazija</t>
  </si>
  <si>
    <t xml:space="preserve">09.08.01.09    </t>
  </si>
  <si>
    <t xml:space="preserve">Rengti infrastruktūros objektų tvarkymo investicinius projektus, paraiškas, kitą techninę dokumentaciją  Europos Sąjungos fondų paramai gauti </t>
  </si>
  <si>
    <t>Įgyvendinti Kėdainių rajono savivaldybės bažnyčių rėmimo programą</t>
  </si>
  <si>
    <t>08.02.01.06
08.06.01.09</t>
  </si>
  <si>
    <t>08.04.01.02</t>
  </si>
  <si>
    <t>05.06.01.01</t>
  </si>
  <si>
    <t>05.02.01.01.</t>
  </si>
  <si>
    <t>Vykdyti savivaldybės viešųjų teritorijų tvarkymą</t>
  </si>
  <si>
    <t>Kėdainių r. Miegėnų pagrindinė mokykla</t>
  </si>
  <si>
    <t>Kėdainių pagalbos šeimai centras</t>
  </si>
  <si>
    <t>09.05.01.01  09.05.01.02 09.05.01.03</t>
  </si>
  <si>
    <t>Atnaujinti Lietuvos sporto universiteto Kėdainių  „Aušros“ progimnaziją, kuriant modernias ir saugias erdves</t>
  </si>
  <si>
    <t xml:space="preserve">Užtikrinti socialinio būsto fondo plėtrą Kėdainiuose </t>
  </si>
  <si>
    <t>Atnaujinti ir plėsti komunalinių atliekų tvarkymo infrastruktūrą Kėdainių rajono savivaldybėje</t>
  </si>
  <si>
    <t>06.03.01.01</t>
  </si>
  <si>
    <t>Rekonstruoti ir plėsti vandentiekio ir buitinių nuotekų infrastruktūrą Šėtos miestelyje, Kunionių kaime bei Kėdainių mieste</t>
  </si>
  <si>
    <t>09.</t>
  </si>
  <si>
    <t>01-10</t>
  </si>
  <si>
    <t>Kėdainių lopšelis-darželis „Pasaka“</t>
  </si>
  <si>
    <t>Kėdainių lopšelis-darželis „Puriena“</t>
  </si>
  <si>
    <t>Kėdainių lopšelis-darželis „Varpelis“</t>
  </si>
  <si>
    <t>Kėdainių lopšelis-darželis „Vyturėlis“</t>
  </si>
  <si>
    <t>Kėdainių lopšelis-darželis „Žilvitis“</t>
  </si>
  <si>
    <t>Kėdainių lopšelis-darželis „Vaikystė“</t>
  </si>
  <si>
    <t>Lietuvos sporto universiteto Kėdainių „Aušros“ progimnazija</t>
  </si>
  <si>
    <t>Kėdainių „Ryto“ progimnazija</t>
  </si>
  <si>
    <t>Kėdainių „Atžalyno“ gimnazija</t>
  </si>
  <si>
    <t>Kėdainių lopšelis-darželis „Aviliukas“</t>
  </si>
  <si>
    <t xml:space="preserve">Kėdainių rajono savivaldybės administracija iš viso: </t>
  </si>
  <si>
    <t>Skatinti  savivaldybės gabius mokinius</t>
  </si>
  <si>
    <t>Kėdainių rajono savivaldybės visuomenės sveikatos biuras iš viso:</t>
  </si>
  <si>
    <t xml:space="preserve">07.04.01.02 </t>
  </si>
  <si>
    <t xml:space="preserve">Vykdyti ambulatorinės akušerinės ir ginekologinės pagalbos kokybės gerinimo Kėdainių rajono savivaldybės moterims 2019-2024 m. programą </t>
  </si>
  <si>
    <t xml:space="preserve">Didinti pirminės asmens sveikatos priežiūros veiklos efektyvumą VšĮ Kėdainių pirminės sveikatos priežiūros centre </t>
  </si>
  <si>
    <t>Aktualizuoti Kėdainių krašto muziejų, padidinant kultūros paveldo aktualumą, lankomumą ir žinomumą (įskaitant ekspozicijų atnaujinimą)</t>
  </si>
  <si>
    <t>Kėdainių rajono savivaldybės administracija iš viso :</t>
  </si>
  <si>
    <t xml:space="preserve">Finansuoti žvyro įsigijimą seniūnijų keliams prižiūrėti </t>
  </si>
  <si>
    <t xml:space="preserve">Finansuoti prevencinę programą „Saugios aplinkos kūrimas ir bendruomenės teisėtvarkos kūrimas" </t>
  </si>
  <si>
    <t>15.1</t>
  </si>
  <si>
    <t>07.02.01.01</t>
  </si>
  <si>
    <t>10.06.01.40 06.01.01.01</t>
  </si>
  <si>
    <t>Gerinti pirminės asmens sveikatos priežiūros paslaugų teikimo prieinamumą tuberkuliozės srityje</t>
  </si>
  <si>
    <t>Kėdainių rajono savivaldybės administracija iš viso:</t>
  </si>
  <si>
    <t>Finansuoti VšĮ Kėdainių turizmo ir verslo informacijos centro turizmo veiklos programą</t>
  </si>
  <si>
    <t>11.5</t>
  </si>
  <si>
    <t>Mokesčiai už valstybinius gamtos išteklius</t>
  </si>
  <si>
    <t>Kėdainių r. Vilainių mokykla-darželis „Obelėlė“</t>
  </si>
  <si>
    <t>Finansuoti vaikų dienos centrų veiklos programas</t>
  </si>
  <si>
    <t>Pritaikyti viešąją aplinką specialiųjų poreikių turintiems gyventojams</t>
  </si>
  <si>
    <t>Užtikrinti rajono nevyriausybinių organizacijų (įskaitant bendruomenines organizacijas) plėtrą, finansuojant projektus socialinio, pilietinio, kultūros paveldo pažinimo, etninės kultūros puoselėjimo, užimtumo bei verslumo srityse</t>
  </si>
  <si>
    <t>Vykdyti atliekų tvarkymo sistemos organizavimo funkciją</t>
  </si>
  <si>
    <t>Likviduoti apleistus (bešeimininkius ar savivaldybei nuosavybės teise priklausančius) pastatus ir kitus aplinką žalojančius objektus</t>
  </si>
  <si>
    <t>Rengti projektus ir remontuoti gyvenviečių lietaus nuotekų-drenažų sistemas</t>
  </si>
  <si>
    <t>Finansuoti VšĮ Kėdainių turizmo ir verslo informacijos centro viešųjų paslaugų verslui  programą</t>
  </si>
  <si>
    <t>Mokėti palūkanas</t>
  </si>
  <si>
    <t xml:space="preserve">SPORTO VEIKLOS PLĖTRA </t>
  </si>
  <si>
    <t>Įgyvendinti priemones, skirtas žemo slenksčio paslaugų kokybės gerinimui Kėdainių rajono savivaldybėje</t>
  </si>
  <si>
    <t>07.06.01.05</t>
  </si>
  <si>
    <t>05.02.01.01 
06.03.01.01</t>
  </si>
  <si>
    <t>05.02.01.01</t>
  </si>
  <si>
    <t>Dalyvauti Kauno regiono plėtros agentūros veikloje</t>
  </si>
  <si>
    <t>Vykdyti endoskopinių paslaugų prieinamumo ir kokybės gerinimo Kėdainių rajono savivaldybėje 2020-2025 m. programą</t>
  </si>
  <si>
    <t>Rekonstruoti Kėdainių miesto nuotekų valyklą</t>
  </si>
  <si>
    <t>Kita tikslinė dotacija mokyklos specialiųjų ugdymosi poreikių turintiems mokiniams</t>
  </si>
  <si>
    <t>Kėdainių r. Miegenų pagrindinė mokykla</t>
  </si>
  <si>
    <t>Kėdainių švietimo pagalbos tarnyba</t>
  </si>
  <si>
    <t>Kėdainių rajono savivaldybės visuomenės sveikatos biuras</t>
  </si>
  <si>
    <t xml:space="preserve">                                                                   _____________________________________                                                                                       </t>
  </si>
  <si>
    <t xml:space="preserve">09.02.01.01   </t>
  </si>
  <si>
    <t>09.05.01.03</t>
  </si>
  <si>
    <t>07.04.01.02</t>
  </si>
  <si>
    <t>8 priedas</t>
  </si>
  <si>
    <t>02.1</t>
  </si>
  <si>
    <t>02.2</t>
  </si>
  <si>
    <t>02.3</t>
  </si>
  <si>
    <t>Neveiksnių asmenų būklės peržiūrėjimui</t>
  </si>
  <si>
    <t>03.1</t>
  </si>
  <si>
    <t>Socialinėms paslaugoms:
Socialinei globai asmenims su sunkia negalia</t>
  </si>
  <si>
    <t>03.2</t>
  </si>
  <si>
    <t>Socialinėms paslaugoms:
 Socialinei priežiūrai socialinės rizikos šeimoms</t>
  </si>
  <si>
    <t>03.3</t>
  </si>
  <si>
    <t>Socialinių išmokų ir kompensacijų skaičiavimas ir mokėjimas</t>
  </si>
  <si>
    <t xml:space="preserve">10.03.01.01
10.07.01.01
10.09.01.09 </t>
  </si>
  <si>
    <t>03.4</t>
  </si>
  <si>
    <t>Išlaidoms už įsigytus produktus, mokinio reikmenis ir socialinei paramai mokiniams administruoti</t>
  </si>
  <si>
    <t>03.5</t>
  </si>
  <si>
    <t>Būsto nuomos ar išperkamosios būsto nuomos mokesčių dalies kompensacijoms</t>
  </si>
  <si>
    <t>09.1</t>
  </si>
  <si>
    <t>Žemės ūkio funkcijoms vykdyti</t>
  </si>
  <si>
    <t>04.02.01.04</t>
  </si>
  <si>
    <t>09.2</t>
  </si>
  <si>
    <t>iš jų: polderiams eksploatuoti</t>
  </si>
  <si>
    <t>04.02.01.01</t>
  </si>
  <si>
    <t>Tvarkyti erdvinių duomenų rinkinį</t>
  </si>
  <si>
    <t>Priešgaisrinių tarnybų organizavimas</t>
  </si>
  <si>
    <t>Gyventojų registro tvarkymas ir duomenų valstybės registrui teikimas</t>
  </si>
  <si>
    <t>01.03.03.02</t>
  </si>
  <si>
    <t>Archyvinių dokumentų tvarkymas</t>
  </si>
  <si>
    <t>Civilinės būklės aktų registravimas</t>
  </si>
  <si>
    <t>Civilinės saugos organizavimas</t>
  </si>
  <si>
    <t>02.02.01.01</t>
  </si>
  <si>
    <t>11.6</t>
  </si>
  <si>
    <t>Valstybinės kalbos vartojimo ir taisyklingumo kontrolė</t>
  </si>
  <si>
    <t>11.7</t>
  </si>
  <si>
    <t>Mobilizacijos administravimas</t>
  </si>
  <si>
    <t>02.01.01.04</t>
  </si>
  <si>
    <t>11.9</t>
  </si>
  <si>
    <t>Jaunimo teisių apsauga</t>
  </si>
  <si>
    <t>11.10</t>
  </si>
  <si>
    <t>Pirminė teisinė pagalba</t>
  </si>
  <si>
    <t>11.11</t>
  </si>
  <si>
    <t>11.12</t>
  </si>
  <si>
    <t>Gyvenamosios vietos deklaravimas</t>
  </si>
  <si>
    <t xml:space="preserve">                                                                                               ________________________________</t>
  </si>
  <si>
    <t>Vykdyti aplinkos apsaugos rėmimo specialiąją programą (pridedama 13 priedas)</t>
  </si>
  <si>
    <t>Vykdyti mamografijos paslaugų tęstinumo, kokybės gerinimo Kėdainių rajono savivaldybėje 2020-2025 m. programą</t>
  </si>
  <si>
    <t>Specialioji tikslinė dotacija ugdymo reikmėms finansuoti</t>
  </si>
  <si>
    <t>09.02.01.01
09.02.02.01</t>
  </si>
  <si>
    <t>Kėdainių švietimo pagalbos tarnyba iš viso:</t>
  </si>
  <si>
    <t>Šėtos socialinis ir ugdymo centras</t>
  </si>
  <si>
    <t xml:space="preserve">Finansuoti vaikų vasaros stovyklų ir kitų neformaliojo vaikų švietimo veiklų programas  </t>
  </si>
  <si>
    <t>Teikti vienkartinę išmoką gimus vaikui Lietuvos Respublikos teritorijoje ir gyvenančiam Kėdainių rajono savivaldybėje</t>
  </si>
  <si>
    <t>Sudaryti saugias ugdymo sąlygas įstaigose, vykdančiose ugdymo programas</t>
  </si>
  <si>
    <t>Įrengti vėdinimo  ir kondicionavimo sistemas savivaldybės ugdymo įstaigose</t>
  </si>
  <si>
    <t>Atnaujinti ir (arba) plėsti bendruomeninę fizinio aktyvumo infrastruktūrą  mieste ir rajone, pritaikant ją bendruomenės poreikiams bei laisvalaikiui</t>
  </si>
  <si>
    <t>Finansuoti Kėdainių rajono vietos veiklos grupės teritorijos vietos plėtros 2015-2023 m. strategijos įgyvendinimą</t>
  </si>
  <si>
    <t>Atlikti Paberžės klebonijos ir svirno restauravimo ir remonto darbus</t>
  </si>
  <si>
    <t>Įrengti  valstybinės reikšmės kelių nuorodas į savivaldybės kultūros paveldo objektus</t>
  </si>
  <si>
    <t>Įgyvendinti projektą "Kėdainių gatvių apšvietimo modernizavimas"</t>
  </si>
  <si>
    <t>13.1</t>
  </si>
  <si>
    <t>Kėdainių krašto muziejus iš viso:</t>
  </si>
  <si>
    <t>06.04.01.01.</t>
  </si>
  <si>
    <t>Grąžinti valstybės biudžeto lėšas (dotaciją)</t>
  </si>
  <si>
    <t>iš jų: užimtumo didinimo programai įgyvendinti</t>
  </si>
  <si>
    <t>01.1</t>
  </si>
  <si>
    <t>01.2</t>
  </si>
  <si>
    <t>iš jų: modernizuoti Kėdainių krašto muziejaus Daugiakultūrio centrą</t>
  </si>
  <si>
    <t>09.08.01.09</t>
  </si>
  <si>
    <t>Koordinuotai teikiamų paslaugų vaikams nuo gimimo iki 18 metų (turintiems didelių ir labai didelių specialiųjų ugdymosi poreikių − iki 21 metų) ir vaiko atstovams koordinavimas</t>
  </si>
  <si>
    <t>01.08.01.02</t>
  </si>
  <si>
    <t>04.1</t>
  </si>
  <si>
    <t xml:space="preserve">                                                                      Kėdainių rajono savivaldybės tarybos</t>
  </si>
  <si>
    <t xml:space="preserve">                                                 1 priedas</t>
  </si>
  <si>
    <t xml:space="preserve">             Pajamų pavadinimas</t>
  </si>
  <si>
    <t>Suma (tūkst. Eur)</t>
  </si>
  <si>
    <t xml:space="preserve">Gyventojų pajamų mokestis </t>
  </si>
  <si>
    <t>Žemės mokestis</t>
  </si>
  <si>
    <t>Paveldimo turto mokestis</t>
  </si>
  <si>
    <t>Nekilnojamojo turto mokestis</t>
  </si>
  <si>
    <t>Mokestis už aplinkos teršimą</t>
  </si>
  <si>
    <t>Dotacija savivaldybėms iš Europos Sąjungos, kitos tarptautinės finansinės paramos ir bendrojo finansavimo lėšų einamiesiems tikslams</t>
  </si>
  <si>
    <t>Dotacija savivaldybėms iš Europos Sąjungos, kitos tarptautinės finansinės paramos ir bendrojo finansavimo lėšų turtui įsigyti</t>
  </si>
  <si>
    <t xml:space="preserve">     dalyvauti rengiant ir vykdant mobilizaciją</t>
  </si>
  <si>
    <t xml:space="preserve">     valstybinės kalbos vartojimo ir taisyklingumo kontrolei</t>
  </si>
  <si>
    <t xml:space="preserve">     socialinėms išmokoms ir kompensacijoms skaičiuoti ir mokėti </t>
  </si>
  <si>
    <t xml:space="preserve">     socialinei paramai mokiniams </t>
  </si>
  <si>
    <t xml:space="preserve">     socialinėms paslaugoms</t>
  </si>
  <si>
    <t xml:space="preserve">     jaunimo teisių apsaugai</t>
  </si>
  <si>
    <t xml:space="preserve">     būsto nuomos ar išperkamosios būsto nuomos mokesčių dalies kompensacijoms</t>
  </si>
  <si>
    <t xml:space="preserve">     civilinės būklės aktams registruoti</t>
  </si>
  <si>
    <t xml:space="preserve">     gyventojų registrui tvarkyti ir duomenims valstybės registrams teikti</t>
  </si>
  <si>
    <t xml:space="preserve">     civilinei saugai</t>
  </si>
  <si>
    <t xml:space="preserve">     priešgaisrinei saugai</t>
  </si>
  <si>
    <t xml:space="preserve">     žemės ūkio funkcijoms atlikti</t>
  </si>
  <si>
    <t xml:space="preserve">     melioracijai</t>
  </si>
  <si>
    <t xml:space="preserve">     savivaldybėms priskirtiems archyviniems dokumentams tvarkyti</t>
  </si>
  <si>
    <t xml:space="preserve">     neveiksnių asmenų būklės peržiūrėjimui</t>
  </si>
  <si>
    <t>Kita tikslinė dotacija, iš jos:</t>
  </si>
  <si>
    <t xml:space="preserve">     mokyklos specialiųjų ugdymosi poreikių turintiems mokiniams</t>
  </si>
  <si>
    <t>Kitos dotacijos, iš jų:</t>
  </si>
  <si>
    <t>Dividendai</t>
  </si>
  <si>
    <t xml:space="preserve">Nuomos mokestis už valstybinę žemę ir valstybinio vidaus  vandenų fondo vandens telkinius  </t>
  </si>
  <si>
    <t>Mokesčiai už medžiojamųjų gyvūnų išteklius</t>
  </si>
  <si>
    <t>Pajamos už prekes ir paslaugas</t>
  </si>
  <si>
    <t>Pajamos už ilgalaikio ir trumpalaikio materialiojo turto nuomą</t>
  </si>
  <si>
    <t xml:space="preserve">Įmokos už išlaikymą švietimo, socialinės apsaugos ir kitose  įstaigose </t>
  </si>
  <si>
    <t>Valstybės rinkliava</t>
  </si>
  <si>
    <t>Vietinė rinkliava</t>
  </si>
  <si>
    <t>Pajamos iš baudų ir konfiskacijos</t>
  </si>
  <si>
    <t>Materialiojo ir nematerialiojo turto realizavimo pajamos</t>
  </si>
  <si>
    <t>FINANSINIŲ ĮSIPAREIGOJIMŲ PRISIĖMIMO (SKOLINIMOSI) PAJAMOS</t>
  </si>
  <si>
    <t xml:space="preserve">Biudžeto apyvartos </t>
  </si>
  <si>
    <t>Prekių ir paslaugų</t>
  </si>
  <si>
    <t>Ilgalaikio ir trumpalaikio materialiojo turto nuomos</t>
  </si>
  <si>
    <t>Įmokų už išlaikymą švietimo, socialinės apsaugos ir kitose įstaigose</t>
  </si>
  <si>
    <t xml:space="preserve">Aplinkos apsaugos rėmimo programos apyvartos </t>
  </si>
  <si>
    <t>Pajamų už vietinę rinkliavą</t>
  </si>
  <si>
    <t>Pajamų už parduotą turtą</t>
  </si>
  <si>
    <t>Dotacija savivaldybėms iš Europos Sąjungos, kitos tarptautinės finansinės paramos ir bendrojo finansavimo lėšų turtui įsigyti iš jų:</t>
  </si>
  <si>
    <t>IŠ VISO (34+35)</t>
  </si>
  <si>
    <t>________________________________________________</t>
  </si>
  <si>
    <t xml:space="preserve">                                                                 Kėdainių rajono savivaldybės tarybos</t>
  </si>
  <si>
    <t>09.02.01.01
09.02.02.01 
09.05.01.01
09.05.01.02</t>
  </si>
  <si>
    <t>16.1</t>
  </si>
  <si>
    <t>Organizuoti ir vykdyti mokymosi pasiekimų patikrinimus</t>
  </si>
  <si>
    <t>Kėdainių švietimo pagalbos tarnyba (pedagoginė - psichologinė tarnyba)</t>
  </si>
  <si>
    <t xml:space="preserve"> VšĮ Alternatyviojo ugdymo centras</t>
  </si>
  <si>
    <t xml:space="preserve"> VšĮ „Pažinimo taku“</t>
  </si>
  <si>
    <t>Kėdainių „Spindulio“ mokykla</t>
  </si>
  <si>
    <t>Progra- mos kodas</t>
  </si>
  <si>
    <t xml:space="preserve">                                                               Kėdainių rajono savivaldybės tarybos</t>
  </si>
  <si>
    <t>9 priedas</t>
  </si>
  <si>
    <t>10 priedas</t>
  </si>
  <si>
    <t xml:space="preserve">                                                    Kėdainių rajono savivaldybės tarybos</t>
  </si>
  <si>
    <t>Remontuoti Kėdainių „Ryto“ progimnaziją, kuriant šiuolaikines mokymosi erdves</t>
  </si>
  <si>
    <t>Vykdyti E. sveikatos informacinės sistemos diegimo,  palaikymo ir tobulinimo VšĮ PSPC  ir VšĮ Kėdainių ligoninėje 2022 -2026 m. programą</t>
  </si>
  <si>
    <t>Vykdyti anestezijos paslaugų vaikams ir suaugusiesiems kokybės gerinimo Kėdainių rajono savivaldybėje 2022-2027 m. programą</t>
  </si>
  <si>
    <t>Vykdyti rentgeno paslaugų atnaujinimo, kokybės gerinimo Kėdainių rajono savivaldybėje 2022-2027 m. programą</t>
  </si>
  <si>
    <t>Organizuoti  nemokamą socialiai remtinų vaikų maitinimą ikimokyklinėse įstaigose</t>
  </si>
  <si>
    <t>Kompensuoti nemokamo mokinių maitinimo kainą bendrojo lavinimo mokyklose</t>
  </si>
  <si>
    <t xml:space="preserve">Organizuoti socialinės reabilitacijos paslaugų neįgaliesiems bendruomenėje projektų konkursus </t>
  </si>
  <si>
    <t>Dengti kainų skirtumą gyventojams už šildymą</t>
  </si>
  <si>
    <t>Kompensuoti  karšto ir šalto vandens pardavimo kainą socialiai remtiniems  asmenims</t>
  </si>
  <si>
    <t>Kompensuoti kelionės išlaidas už lengvatinį keleivių vežimą</t>
  </si>
  <si>
    <t xml:space="preserve">Remontuoti savivaldybės ir socialinį būstą </t>
  </si>
  <si>
    <t>Sudaryti sąlygas bendruomeninių organizacijų veiklai</t>
  </si>
  <si>
    <t>Skatinti nevyriausybinių organizacijų, bendruomeninių organizacijų plėtrą rajone</t>
  </si>
  <si>
    <t xml:space="preserve"> </t>
  </si>
  <si>
    <t>Atlikti archeologinius ir kitus tyrinėjimus kultūros paveldo teritorijose, vykdyti paveldo objektams parengtų tvarkybos projektų ekspertizę, parengti sąmatas</t>
  </si>
  <si>
    <t>Teikti finansinę paramą verslą pradedantiems ar sunkumų patiriantiems SVV subjektams Kėdainių rajone per Savivaldybės smulkiojo verslo rėmimo fondą</t>
  </si>
  <si>
    <t xml:space="preserve">Kompensuoti UAB "Kėdbusas" nuostolingus  maršrutus </t>
  </si>
  <si>
    <t xml:space="preserve">Įgyvendinti priemones, finansuojamas iš Savivaldybės mero fondo </t>
  </si>
  <si>
    <t>Rengti specialiuosius, bendruosius, detaliuosius, geodezinius planus bei  topografines nuotraukas</t>
  </si>
  <si>
    <t xml:space="preserve">Atlikti turto inventorizavimą, teisinę registraciją, parengti  dokumentus turto pardavimui  </t>
  </si>
  <si>
    <t xml:space="preserve">Plėsti vandentiekio ir nuotekų tinklus Šlapaberžės kaime </t>
  </si>
  <si>
    <t>Parengti nuotekų tinklų įrengimo Josvainių mstl. P.Cvirkos g. projektą</t>
  </si>
  <si>
    <t>Finansuoti inžinerines paslaugas, darbus ir įrengimus</t>
  </si>
  <si>
    <t>Apmokėti Europos Sąjungos projektų,  kuriems taikomas apmokėjimas kompensavimo būdu, išlaidas</t>
  </si>
  <si>
    <t xml:space="preserve"> MOKESČIAI (2+3+4+8)</t>
  </si>
  <si>
    <t>Gyventojų pajamų mokestis, mokamas už pajamas, gautas iš veiklos, kuria verčiamasi turint verslo liudijimą</t>
  </si>
  <si>
    <t>Turto mokesčiai (5+6+7)</t>
  </si>
  <si>
    <t>Prekių ir paslaugų mokesčiai (9)</t>
  </si>
  <si>
    <t>DOTACIJOS (11+12+16)</t>
  </si>
  <si>
    <t>Dotacija savivaldybėms iš Europos Sąjungos, kitos tarptautinės finansinės paramos ir bendrojo finansavimo lėšų (11.1+11.2 )</t>
  </si>
  <si>
    <t>Speciali tikslinė dotacija (13+14+15), iš jos:</t>
  </si>
  <si>
    <t>Valstybinėms (perduotoms savivaldybėms) funkcijoms atlikti, iš jos: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</si>
  <si>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</si>
  <si>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</si>
  <si>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</si>
  <si>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</si>
  <si>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</si>
  <si>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</si>
  <si>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</si>
  <si>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</si>
  <si>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</si>
  <si>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13.11</t>
  </si>
  <si>
    <t>13.12</t>
  </si>
  <si>
    <t>13.13</t>
  </si>
  <si>
    <t>13.14</t>
  </si>
  <si>
    <t>13.15</t>
  </si>
  <si>
    <t>13.16</t>
  </si>
  <si>
    <t>13.17</t>
  </si>
  <si>
    <t>13.18</t>
  </si>
  <si>
    <t>13.19</t>
  </si>
  <si>
    <t>13.20</t>
  </si>
  <si>
    <t>13.21</t>
  </si>
  <si>
    <t xml:space="preserve">     sveikos gyvensenos plėtojimui ir stiprinimui, visuomenės sveikatos stebėsenai</t>
  </si>
  <si>
    <t>13.22</t>
  </si>
  <si>
    <t>13.23</t>
  </si>
  <si>
    <t>Ugdymo reikmėms finansuoti</t>
  </si>
  <si>
    <t>KITOS PAJAMOS (18+23+27+30+31+32)</t>
  </si>
  <si>
    <t>Turto pajamos (19+20+21+22)</t>
  </si>
  <si>
    <t>Pajamos už prekes ir paslaugas (24+25+26)</t>
  </si>
  <si>
    <t>Rinkliavos (28+29 )</t>
  </si>
  <si>
    <t xml:space="preserve">                                       IŠ VISO PAJAMŲ IR DOTACIJŲ (1+10+17)</t>
  </si>
  <si>
    <t>IŠ VISO (33+34)</t>
  </si>
  <si>
    <t>iš jų: aprūpinti ikimokyklinio ugdymo įstaigų sveikatos kabinetus metodinėmis priemonėmis</t>
  </si>
  <si>
    <t>11.8</t>
  </si>
  <si>
    <t xml:space="preserve">Parengti vandentiekio ir nuotekų tinklų išplėtimo Mantviliškio  kaime techninį projektą </t>
  </si>
  <si>
    <t xml:space="preserve"> Sveikos gyvensenos plėtojimui ir stiprinimui, visuomenės sveikatos stebėsenai</t>
  </si>
  <si>
    <t>04.01.02.09</t>
  </si>
  <si>
    <t xml:space="preserve">Įgyvendinti kultūros paveldo objektų, esančių Kėdainių rajono savivaldybės teritorijoje ir kultūros paveldo statinių, esančių Kėdainių senamiesčio dalyje išsaugojimo darbų finansavimo programą </t>
  </si>
  <si>
    <t>03.6</t>
  </si>
  <si>
    <t xml:space="preserve">Teikti apdovanojimus aukšto meistriškumo sportininkams ir jų treneriams už sporto pasiekimus </t>
  </si>
  <si>
    <t xml:space="preserve">Parengti Senojo Upytės kelio specialųjį planą ("Isos slėnis") </t>
  </si>
  <si>
    <t>Sutvarkyti namų ūkiuose susidariusias asbesto atliekas</t>
  </si>
  <si>
    <t xml:space="preserve">Socialinėms paslaugoms:
Teikti šeimoms individualios priežiūros darbuotojų paslaugas </t>
  </si>
  <si>
    <t>Vykdyti Kėdainių lopšelio-darželio „Žilvitis“ infrastruktūros modernizavimo projektą</t>
  </si>
  <si>
    <t>10.01.02.01
10.01.02.02
10.06.01.01
10.09.01.01 
10.09.01.09</t>
  </si>
  <si>
    <t>Rekonstruoti/įrengti/modernizuoti Kėdainių miesto ir rajono  gatvių apšvietimą</t>
  </si>
  <si>
    <t xml:space="preserve">2023 METŲ VALSTYBĖS BIUDŽETO SPECIALIOS TIKSLINĖS DOTACIJOS SAVIVALDYBĖS BIUDŽETUI KITI ASIGNAVIMAI </t>
  </si>
  <si>
    <t>2023 METŲ VALSTYBĖS BIUDŽETO SPECIALIOS TIKSLINĖS DOTACIJOS SAVIVALDYBĖS BIUDŽETUI UGDYMO REIKMĖMS FINANSUOTI ASIGNAVIMAI</t>
  </si>
  <si>
    <t>2023 METŲ VALSTYBĖS BIUDŽETO SPECIALIOS TIKSLINĖS DOTACIJOS SAVIVALDYBĖS BIUDŽETUI VALSTYBINĖMS (VALSTYBĖS PERDUOTOMS SAVIVALDYBEI) FUNKCIJOMS ATLIKTI ASIGNAVIMAI</t>
  </si>
  <si>
    <t xml:space="preserve">KĖDAINIŲ RAJONO SAVIVALDYBĖS 2023 METŲ BIUDŽETO ASIGNAVIMAI PROJEKTAMS FINANSUOTI EUROPOS SĄJUNGOS LĖŠOMIS </t>
  </si>
  <si>
    <t>KĖDAINIŲ RAJONO SAVIVALDYBĖS 2023 METŲ BIUDŽETO ASIGNAVIMAI  SAVARANKIŠKOMS FUNKCIJOMS ATLIKTI</t>
  </si>
  <si>
    <t xml:space="preserve">          KĖDAINIŲ RAJONO SAVIVALDYBĖS 2023 METŲ BIUDŽETO PAJAMOS</t>
  </si>
  <si>
    <t>Kėdainių rajono savivaldybės 2023 m. biudžeto asignavimai investicijų projektams ir remonto darbams finansuoti pagal objektus:</t>
  </si>
  <si>
    <t>iš jų: vykdyti socialinės paramos 2023 m. programą</t>
  </si>
  <si>
    <t>28.1</t>
  </si>
  <si>
    <t>28.2</t>
  </si>
  <si>
    <t>28.3</t>
  </si>
  <si>
    <t>28.4</t>
  </si>
  <si>
    <t>28.5</t>
  </si>
  <si>
    <t>Ugdymo finansavimo poreikių skirtumams sumažinti</t>
  </si>
  <si>
    <t xml:space="preserve">Įdiegti saulės elektrinės pagamintos  energijos kaupimo įrenginį Kėdainių r. Šėtos gimnazijoje </t>
  </si>
  <si>
    <t>Didinti Kėdainių lopšelio-darželio „Varpelis“ (Pavasario g. 8, Kėdainiai) pastato energinį efektyvumą, modernizuoti vidaus erdves</t>
  </si>
  <si>
    <t>Didinti Kėdainių lopšelio-darželio „Vyturėlis“ (Josvainių g. 53, Kėdainiai) pastato energinį efektyvumą, modernizuoti vidaus erdves</t>
  </si>
  <si>
    <t xml:space="preserve">Didinti ugdymo prieinamumą atskirtį patiriantiems vaikams </t>
  </si>
  <si>
    <t>Plėtoti įvairialypį švietimą, vykdant visos dienos mokyklos veiklą</t>
  </si>
  <si>
    <t xml:space="preserve">Vykdyti Kėdainių rajono tuberkuliozės prevencijos, ankstyvosios diagnostikos, gydymo ir kontrolės 2023–2027 m. programą </t>
  </si>
  <si>
    <t>Vykdyti pirminės asmens sveikatos priežiūros paslaugų prieinamumo ir kokybės užtikrinimo Kėdainių rajono kaimiškųjų vietovių gyventojams 2017–2025 m. programą</t>
  </si>
  <si>
    <t>Įgyvendinti žemo slenksčio paslaugų kokybės  Kėdainių rajone užtikrinimo 2023-2027 m. programą</t>
  </si>
  <si>
    <t>Stiprinti vaikų, turinčių  autizmo spektro ir kitų raidos sutrikimų, sveikatą, sudaryti galimybes siekti asmeninės pažangos, užtikrinti pilnaverčio socialinio dalyvavimo prielaidas</t>
  </si>
  <si>
    <t xml:space="preserve">Teikti pagalbą į krizines situacijas patekusiems, smurtą artimoje aplinkoje patyrusiems asmenims ir jų šeimų nariams </t>
  </si>
  <si>
    <t>Įgyvendinti savarankiško gyvenimo namų paslaugų senyvo amžiaus asmenims teikimo programą</t>
  </si>
  <si>
    <t xml:space="preserve">Užtikrinti laisvės atėmimo bausmę atlikusių asmenų integraciją į visuomenę </t>
  </si>
  <si>
    <t>Plėsti Kėdainių rajono savivaldybės socialines paslaugas teikiančių įstaigų informacinių technologijų aplinką bei elektronines paslaugas</t>
  </si>
  <si>
    <t>Futbolo komandos Kėdainių „Nevėžis“ klubinio futbolo vystymo programai</t>
  </si>
  <si>
    <t>Bokso sporto šakos vystymo programai</t>
  </si>
  <si>
    <t>Kėdainių rajono vaikų ir jaunimo futbolo plėtros programai</t>
  </si>
  <si>
    <t>3 prieš 3 krepšinio plėtros programai</t>
  </si>
  <si>
    <t>Moterų futbolo komandos Kėdainių „Nevėžis“ programai</t>
  </si>
  <si>
    <t>Finansuoti sporto projektus</t>
  </si>
  <si>
    <t>Rengti techninę dokumentaciją  Kėdainių miesto ir rajono ugdymo įstaigų stadionų /sporto aikštynų atnaujinimui</t>
  </si>
  <si>
    <t xml:space="preserve">Kėdainių krepšinio komandos „Nevėžis-Optibet“ klubinio krepšinio vystymo programai </t>
  </si>
  <si>
    <t>iš jų: dalyvauti Žydų kultūros paveldo kelio asociacijos veikloje ir puoselėti žydų kultūros paveldo atminimą Kėdainiuose</t>
  </si>
  <si>
    <t xml:space="preserve">Įsigyti Janinos Monkutės-Marks pastatą </t>
  </si>
  <si>
    <t xml:space="preserve">Parengti Nekilnojamųjų kultūros vertybių vertinimo medžiagą,  nekilnojamųjų kultūros paveldo objektų, vietovių  individualius apsaugos reglamentus </t>
  </si>
  <si>
    <t>Rengti dokumentaciją, atlikti lankytinų objektų,  kultūros paveldo objektų ar objektų, esančių kultūros paveldo teritorijų prieigose, tvarkybos, atnaujinimo, restauravimo darbus seniūnijose</t>
  </si>
  <si>
    <t>Įrengti, rekonstruoti, išplėsti vandentiekio ir/ar nuotekų tinklus Kėdainių mieste ( Šviesos, g. Pievų g.)</t>
  </si>
  <si>
    <t xml:space="preserve">Įrengti biologinius nuotekų valymo įrenginius </t>
  </si>
  <si>
    <t>Parengti  nuotekų tinklų ir nuotekų valyklos įrengimo  Okainių k. techninį projektą</t>
  </si>
  <si>
    <t>Parengti vandentiekio ir nuotekų tinklų, nuotekų valyklos įrengimo  Langakių k. techninį projektą</t>
  </si>
  <si>
    <t>Sutvarkyti naudotas padangas, kurių turėtojų nustatyti neįmanoma arba kurie neegzistuoja</t>
  </si>
  <si>
    <t>Vykdyti Kėdainių rajono Dotnuvos seniūnijos Kruostos upės Vaidatonių tvenkinio hidrotechnikos statinių rekonstrukciją ir techninės priežiūros paslaugas</t>
  </si>
  <si>
    <t>Dalyvauti projekto „MSNA „Daukšių drenažas“ nariams priklausančių ir valstybinių melioracijos statinių rekonstravimas“ įgyvendinime</t>
  </si>
  <si>
    <t xml:space="preserve">Parengti techninę dokumentaciją ir atlikti Kėdainių miesto hidrotechnikos statinio ant Dotnuvėlės upės remonto darbus </t>
  </si>
  <si>
    <t>Didinti piliečių įtraukimo į biudžeto formavimą galimybes, įgyvendinant dalyvaujamojo biudžeto iniciatyvas</t>
  </si>
  <si>
    <t xml:space="preserve">Kita dotacija kompleksinėms paslaugoms šeimai organizuoti 2023 metais </t>
  </si>
  <si>
    <t>2022 METŲ NEPANAUDOTOS BIUDŽETO PAJAMOS, IŠ JŲ:</t>
  </si>
  <si>
    <t>Kėdainių rajono savivaldybės 2023 m. valstybei nuosavybės teise priklausančių melioracijos statinių priežiūrai ir remonto darbams įskaitant priešprojektinius tyrinėjimus, techninės sąmatinės dokumentacijos sudarymą, ekspertizę, darbų techninę priežiūrą bei kitus susijusius darbus</t>
  </si>
  <si>
    <t>31.1</t>
  </si>
  <si>
    <t>31.2</t>
  </si>
  <si>
    <t>31.3</t>
  </si>
  <si>
    <t>31.4</t>
  </si>
  <si>
    <t>31.5</t>
  </si>
  <si>
    <t>31.5.1</t>
  </si>
  <si>
    <t>31.5.2</t>
  </si>
  <si>
    <t>31.5.3</t>
  </si>
  <si>
    <t>31.5.4</t>
  </si>
  <si>
    <t>31.5.5</t>
  </si>
  <si>
    <t>31.5.6</t>
  </si>
  <si>
    <t>31.5.7</t>
  </si>
  <si>
    <t>31.5.8</t>
  </si>
  <si>
    <t>31.5.9</t>
  </si>
  <si>
    <t>31.5.10</t>
  </si>
  <si>
    <t>34.1</t>
  </si>
  <si>
    <t>34.2</t>
  </si>
  <si>
    <t>34.3</t>
  </si>
  <si>
    <t>34.4</t>
  </si>
  <si>
    <t>34.5</t>
  </si>
  <si>
    <t>34.6</t>
  </si>
  <si>
    <t>34.7</t>
  </si>
  <si>
    <t>34.8</t>
  </si>
  <si>
    <t>34.9</t>
  </si>
  <si>
    <t>34.10</t>
  </si>
  <si>
    <t>34.11</t>
  </si>
  <si>
    <t>34.12</t>
  </si>
  <si>
    <t>34.13</t>
  </si>
  <si>
    <t>34.14</t>
  </si>
  <si>
    <t>41.1</t>
  </si>
  <si>
    <t>41.2</t>
  </si>
  <si>
    <t>41.3</t>
  </si>
  <si>
    <t>41.4</t>
  </si>
  <si>
    <t>41.5</t>
  </si>
  <si>
    <t>41.6</t>
  </si>
  <si>
    <t>41.7</t>
  </si>
  <si>
    <t>41.8</t>
  </si>
  <si>
    <t>41.9</t>
  </si>
  <si>
    <t>41.10</t>
  </si>
  <si>
    <t>41.11</t>
  </si>
  <si>
    <t>41.12</t>
  </si>
  <si>
    <t>41.13</t>
  </si>
  <si>
    <t>41.14</t>
  </si>
  <si>
    <t>41.15</t>
  </si>
  <si>
    <t>55.1</t>
  </si>
  <si>
    <t>55.2</t>
  </si>
  <si>
    <t>55.3</t>
  </si>
  <si>
    <t>55.4</t>
  </si>
  <si>
    <t>55.5</t>
  </si>
  <si>
    <t>55.6</t>
  </si>
  <si>
    <t>55.6.1</t>
  </si>
  <si>
    <t>55.6.2</t>
  </si>
  <si>
    <t>74.1</t>
  </si>
  <si>
    <t>74.2</t>
  </si>
  <si>
    <t>74.3</t>
  </si>
  <si>
    <t>74.4</t>
  </si>
  <si>
    <t>74.5</t>
  </si>
  <si>
    <t>74.6</t>
  </si>
  <si>
    <t>74.7</t>
  </si>
  <si>
    <t>74.7.1</t>
  </si>
  <si>
    <t>74.7.2</t>
  </si>
  <si>
    <t>78.1</t>
  </si>
  <si>
    <t>Finansuoti sporto šakų programas, iš jų:</t>
  </si>
  <si>
    <t>78.2</t>
  </si>
  <si>
    <t>78.3</t>
  </si>
  <si>
    <t>78.4</t>
  </si>
  <si>
    <t>2.1</t>
  </si>
  <si>
    <t>2.2</t>
  </si>
  <si>
    <t>2.3</t>
  </si>
  <si>
    <t>2.4</t>
  </si>
  <si>
    <t>3</t>
  </si>
  <si>
    <t>4.1</t>
  </si>
  <si>
    <t>8.1</t>
  </si>
  <si>
    <t>10.1</t>
  </si>
  <si>
    <t>5</t>
  </si>
  <si>
    <t>6</t>
  </si>
  <si>
    <t>10.</t>
  </si>
  <si>
    <t xml:space="preserve">01.03.02.09
</t>
  </si>
  <si>
    <t>Vykdyti kompiuterinės tomografijos paslaugų kokybės gerinimo Kėdainių rajono savivaldybėje 2023-2030 m. programą</t>
  </si>
  <si>
    <t xml:space="preserve">     užimtumo didinimo programoms įgyvendinti</t>
  </si>
  <si>
    <t>Užimtumo didinimo programų įgyvendinimas</t>
  </si>
  <si>
    <t xml:space="preserve">   pirminei valstybės garantuojamai teisinei pagalbai teikti</t>
  </si>
  <si>
    <t xml:space="preserve">     gyvenamosios vietos deklaravimo duomenų ir gyvenamosios vietos nedeklaravusių asmenų apskaitos duomenims tvarkyti</t>
  </si>
  <si>
    <t xml:space="preserve">     erdvinių duomenų rinkiniui tvarkyti</t>
  </si>
  <si>
    <t xml:space="preserve">     duomenų teikimas suteiktos valstybės pagalbos registrui</t>
  </si>
  <si>
    <t>Duomenų teikimas suteiktos valstybės pagalbos registrui</t>
  </si>
  <si>
    <t xml:space="preserve">     psichosocialinės pagalbos ir savižudžių prevencijos priemonių įgyvendinimui</t>
  </si>
  <si>
    <t xml:space="preserve"> Psichosocialinės pagalbos ir savižudžių prevencijos priemonių įgyvendinimui</t>
  </si>
  <si>
    <t xml:space="preserve">     koordinuotai teikiamų paslaugų vaikams nuo gimimo iki 18 metų (turintiems didelių ir labai didelių specialiųjų ugdymosi poreikių − iki 21 metų) ir vaiko atstovams koordinavimui</t>
  </si>
  <si>
    <t>03.7</t>
  </si>
  <si>
    <t xml:space="preserve">04.01.02.01 10.06.01.01 10.07.01.01
10.09.01.09 </t>
  </si>
  <si>
    <t>04.01.02.01 10.06.01.01 10.07.01.01
10.09.01.09</t>
  </si>
  <si>
    <t>iš jų: parengti Kėdainių evangelikų ir reformatų bažnyčios tvarkybos darbų projektą ir atlikti tvarkybos darbus</t>
  </si>
  <si>
    <t xml:space="preserve"> 10.06.01.01 10.07.01.01
10.09.01.09</t>
  </si>
  <si>
    <t>16.2</t>
  </si>
  <si>
    <t>16.3</t>
  </si>
  <si>
    <t xml:space="preserve">      valstybės biudžeto lėšos, skirtos 2023 metais socialinės reabilitacijos paslaugų neįgaliesiems teikimo bendruomenėje organizuoti, teikti ir administruoti</t>
  </si>
  <si>
    <t>Kita dotacija 2023 metais socialinės reabilitacijos paslaugų neįgaliesiems teikimo bendruomenėje organizuoti, teikti ir administruoti</t>
  </si>
  <si>
    <t>Kita dotacija 2023 m. akredituotai vaikų dienos socialinei priežiūrai organizuoti, teikti ir administruot</t>
  </si>
  <si>
    <t>Įgyvendinti mokytojų ir pagalbos mokiniui specialistų  motyvacijos programą</t>
  </si>
  <si>
    <t>Prisidėti prie savivaldybei priklausančio būsto renovacijos savivaldybės biudžeto lėšomis</t>
  </si>
  <si>
    <t>31.5.11</t>
  </si>
  <si>
    <t>Koofinansuoti  ugdymo įstaigų dalyvavimą infrastruktūros gerinimo/modernizavimo projektuose</t>
  </si>
  <si>
    <t xml:space="preserve">Įrengti pėsčiųjų ir dviračių takus Pramonės g. Kėdainių mieste  </t>
  </si>
  <si>
    <t>04.05.01.02</t>
  </si>
  <si>
    <t>Kompleksiškai sutvarkyti ir pritaikyti bendruomenei ir verslui Kėdainių miesto viešąsias erdves</t>
  </si>
  <si>
    <t>8</t>
  </si>
  <si>
    <t>7</t>
  </si>
  <si>
    <t>05.1</t>
  </si>
  <si>
    <t xml:space="preserve">  savivaldybės viešajai bibliotekai dokumentams 2023 m. įsigyti</t>
  </si>
  <si>
    <t xml:space="preserve">     valstybės biudžeto lėšos, skirtos 2023 m. asmeninei pagalbai teikti ir administruoti</t>
  </si>
  <si>
    <t xml:space="preserve">     valstybės biudžeto lėšos, skirtos vykdyti Nevėžio upės vientisumo atkūrimą, nugriaunant neeksploatuojamus hidroelektrinės statinius ir techninės priežiūros paslaugas </t>
  </si>
  <si>
    <t>16.4</t>
  </si>
  <si>
    <t>16.5</t>
  </si>
  <si>
    <t>16.6</t>
  </si>
  <si>
    <t>16.7</t>
  </si>
  <si>
    <t>08.1</t>
  </si>
  <si>
    <t xml:space="preserve">Kita dotacija  vykdyti Nevėžio upės vientisumo atkūrimą, nugriaunant neeksploatuojamus hidroelektrinės statinius ir techninės priežiūros paslaugas </t>
  </si>
  <si>
    <t>Kita dotacija 2023 metais asmeninei pagalbai teikti ir administruoti</t>
  </si>
  <si>
    <t>prioritetinės ir neprioritetinės infrastruktūros įmokos</t>
  </si>
  <si>
    <t>Kitos neišvardytos pajamos, iš jų:</t>
  </si>
  <si>
    <t>Teikti kompleksines paslaugas šeimai Kėdainių rajone</t>
  </si>
  <si>
    <t>Rengti infrastruktūros plėtros  technines dokumentacijas</t>
  </si>
  <si>
    <t>Mokėti išmokas pagal savivaldybės infrastruktūros plėtros sutartis</t>
  </si>
  <si>
    <t>10.2</t>
  </si>
  <si>
    <t>16.8</t>
  </si>
  <si>
    <t xml:space="preserve">  valstybės biudžeto lėšos, skirtos 2023 m. akredituotai vaikų dienos socialinei priežiūrai organizuoti, teikti ir administruoti</t>
  </si>
  <si>
    <t xml:space="preserve">  valstybės biudžeto lėšos kompleksinėms paslaugoms šeimai organizuoti 2023 metais </t>
  </si>
  <si>
    <t xml:space="preserve">    valstybės biudžeto lėšos, skirtos savivaldybės administracijai vienkartinėms išmokoms įsikurti gyvenamojoje vietoje savivaldybės teritorijoje ir (ar) mėnesinėms kompensacijoms atlyginimui švietimo teikėjui už vaiko, ugdymo pagal ikimokyklinio ir priešmokyklinio ugdymo programą išlaidoms</t>
  </si>
  <si>
    <t>Kita dotacija  vienkartinėms išmokoms įsikurti gyvenamojoje vietoje savivaldybės teritorijoje ir (ar) mėnesinėms kompensacijoms atlyginimui švietimo teikėjui už vaiko, ugdymo pagal ikimokyklinio ir priešmokyklinio ugdymo programą išlaidoms</t>
  </si>
  <si>
    <t xml:space="preserve">Teikti ir administruoti asmeninę pagalbą </t>
  </si>
  <si>
    <t>41.16</t>
  </si>
  <si>
    <t>41.16.1</t>
  </si>
  <si>
    <t>41.16.2</t>
  </si>
  <si>
    <t>41.16.3</t>
  </si>
  <si>
    <t>41.16.4</t>
  </si>
  <si>
    <t>Įrengti gamtos ir technologijų mokslų laboratorijas</t>
  </si>
  <si>
    <t>Atnaujinti Kėdainių muzikos mokyklos pastato fasadą, laiptus į rūsį</t>
  </si>
  <si>
    <t>Parengti Akademijos parko tvarkybos  techninį projektą</t>
  </si>
  <si>
    <t>78.5</t>
  </si>
  <si>
    <t>78.5.1</t>
  </si>
  <si>
    <t>78.5.2</t>
  </si>
  <si>
    <t>78.5.3</t>
  </si>
  <si>
    <t>78.5.4</t>
  </si>
  <si>
    <t>78.5.5</t>
  </si>
  <si>
    <t>78.5.6</t>
  </si>
  <si>
    <t>iš jų: vykdyti socialinio - emocinio ugdymo programas</t>
  </si>
  <si>
    <t>31.5.12</t>
  </si>
  <si>
    <t>Kita dotacija už būsto suteikimą užsieniečiams, pasitraukusiems iš Ukrainos dėl Rusijos federacijos karinės agresijos, finansuoti</t>
  </si>
  <si>
    <t>16.9</t>
  </si>
  <si>
    <t xml:space="preserve">     kompensuoti išlaidas už būsto suteikimą užsieniečiams, pasitraukusiems iš Ukrainos dėl Rusijos federacijos karinės agresijos</t>
  </si>
  <si>
    <t xml:space="preserve">    valstybės biudžeto lėšos, skirtos neformaliajam vaikų švietimui </t>
  </si>
  <si>
    <t>16.10</t>
  </si>
  <si>
    <t>Kita dotacija neformaliajam vaikų švietimui</t>
  </si>
  <si>
    <t xml:space="preserve"> 09.05.01.03</t>
  </si>
  <si>
    <t>Kėdainių rajono savivaldybės administracija</t>
  </si>
  <si>
    <t>iš jų: kurti modernias ir šiuolaikines mokymosi erdves Kėdainių kalbų mokykloje</t>
  </si>
  <si>
    <t>11.13</t>
  </si>
  <si>
    <t>Įgyvendinti savarankiško gyvenimo namų paslaugų asmenims su sutrikusiu intelekĮgyvendinti savarankiško gyvenimo namų paslaugų asmenims su sutrikusiu intelektu teikimo programą</t>
  </si>
  <si>
    <t xml:space="preserve">Finansuoti vaikų mokymo plaukti veiklos programą, dalyvaujant projekte „Mokėk plaukti ir saugiau elgtis vandenyje“ </t>
  </si>
  <si>
    <t>Užtikrinti Kėdainių miesto vietos veiklos grupės 2023–2027 m. vietos plėtros strategijos parengimą ir programos "Vietos plėtros strategijos rengimo ir įgyvendinimo programa" įgyvendinimą</t>
  </si>
  <si>
    <t>Parengti bendrojo ir ikimokyklinio ugdymo įstaigų (skyrių) pastatų modernizavimo technines dokumentacijas</t>
  </si>
  <si>
    <t>Įsigyti tekstilės atliekų surinkimo konteinerius</t>
  </si>
  <si>
    <t>Parengti projektus hidrotechninių įrenginių atnaujinimui</t>
  </si>
  <si>
    <t>Vykdyti pacientų eilių valdymo sistemos palaikymo Kėdainių pirminės priežiūros centre 2022-2026 m. programą</t>
  </si>
  <si>
    <t>Vykdyti VšĮ Kėdainių ligoninės sterilizacinės modernizavimo 2023-2028 m. programą</t>
  </si>
  <si>
    <t>Vykdyti tinkamų ir saugių darbo sąlygų užtikrinimo, įrengiant vėdinimo bei kondicionavimo sistemas VšĮ Kėdainių ligoninėje 2023-2028 m. programą "</t>
  </si>
  <si>
    <t xml:space="preserve">Vykdyti tinkamų ir saugių darbo sąlygų užtikrinimo, įrengiant vėdinimo bei kondicionavimo sistemas VšĮ Kėdainių  PSPC 2022-2026 m. programą  </t>
  </si>
  <si>
    <t>34.15</t>
  </si>
  <si>
    <t>34.16</t>
  </si>
  <si>
    <t>34.17</t>
  </si>
  <si>
    <t>34.18</t>
  </si>
  <si>
    <t>34.19</t>
  </si>
  <si>
    <t>34.20</t>
  </si>
  <si>
    <t>34.20.1</t>
  </si>
  <si>
    <t>34.20.2</t>
  </si>
  <si>
    <t>81.1</t>
  </si>
  <si>
    <t>81.1.1</t>
  </si>
  <si>
    <t>81.1.2</t>
  </si>
  <si>
    <t>81.1.3</t>
  </si>
  <si>
    <t>81.1.4</t>
  </si>
  <si>
    <t>81.1.5</t>
  </si>
  <si>
    <t>81.1.6</t>
  </si>
  <si>
    <t>81.1.7</t>
  </si>
  <si>
    <t>81.1.8</t>
  </si>
  <si>
    <t>81.1.9</t>
  </si>
  <si>
    <t>81.1.10</t>
  </si>
  <si>
    <t>81.1.11</t>
  </si>
  <si>
    <t>81.1.12</t>
  </si>
  <si>
    <t>81.1.13</t>
  </si>
  <si>
    <t>81.1.14</t>
  </si>
  <si>
    <t>81.1.15</t>
  </si>
  <si>
    <t>81.1.16</t>
  </si>
  <si>
    <t>81.1.17</t>
  </si>
  <si>
    <t>81.1.18</t>
  </si>
  <si>
    <t>81.1.19</t>
  </si>
  <si>
    <t>81.1.20</t>
  </si>
  <si>
    <t>81.1.21</t>
  </si>
  <si>
    <t>81.1.22</t>
  </si>
  <si>
    <t>81.1.23</t>
  </si>
  <si>
    <t>94.1</t>
  </si>
  <si>
    <t>94.2</t>
  </si>
  <si>
    <t>94.3</t>
  </si>
  <si>
    <t>94.4</t>
  </si>
  <si>
    <t>94.5</t>
  </si>
  <si>
    <t>94.6</t>
  </si>
  <si>
    <t>94.7</t>
  </si>
  <si>
    <t>94.8</t>
  </si>
  <si>
    <t>94.8.1</t>
  </si>
  <si>
    <t>94.8.2</t>
  </si>
  <si>
    <t>94.8.3</t>
  </si>
  <si>
    <t>107.1</t>
  </si>
  <si>
    <t>107.2</t>
  </si>
  <si>
    <t>107.2.1</t>
  </si>
  <si>
    <t>107.2.2</t>
  </si>
  <si>
    <t>107.2.3</t>
  </si>
  <si>
    <t>107.2.4</t>
  </si>
  <si>
    <t>107.2.5</t>
  </si>
  <si>
    <t>109.1</t>
  </si>
  <si>
    <t>109.2</t>
  </si>
  <si>
    <t>109.3</t>
  </si>
  <si>
    <t>113.1</t>
  </si>
  <si>
    <t>113.2</t>
  </si>
  <si>
    <t>113.3</t>
  </si>
  <si>
    <t>113.4</t>
  </si>
  <si>
    <t>113.5</t>
  </si>
  <si>
    <t>113.6</t>
  </si>
  <si>
    <t>113.7</t>
  </si>
  <si>
    <t>113.8</t>
  </si>
  <si>
    <t>113.9</t>
  </si>
  <si>
    <t>Vykdyti trūkstamos kvalifikacijos sveikatos priežiūros specialistų skatinimo VšĮ Kėdainių pirminės priežiūros centre  2023-2026 m. programą</t>
  </si>
  <si>
    <t xml:space="preserve">     valstybės biudžeto lėšos, skirtos savivaldybės administracijai  mokėti 20 proc. bazinės socialinės išmokos (BSĮ) neįgaliesiems</t>
  </si>
  <si>
    <t>Kita dotacija savivaldybės administracijai  mokėti 20 proc. bazinės socialinės išmokos (BSĮ) neįgaliesiems</t>
  </si>
  <si>
    <t xml:space="preserve">      valstybės biudžeto lėšos, skirtos 2023 metais būstams pritaikyti neįgaliesiems</t>
  </si>
  <si>
    <t>03.8</t>
  </si>
  <si>
    <t>03.9</t>
  </si>
  <si>
    <t xml:space="preserve">      valstybės biudžeto lėšos, skirtos socialinių paslaugų šakos kolektyvinėje sutartyje nustatytiems įsipareigojimams igyvendinti</t>
  </si>
  <si>
    <t xml:space="preserve">       valstybės investicijų 2023 m. programoje numatytoms kapitalo investicijoms</t>
  </si>
  <si>
    <t>03.10</t>
  </si>
  <si>
    <t>Kita dotacija socialinių paslaugų šakos kolektyvinėje sutartyje nustatytiems įsipareigojimams igyvendinti</t>
  </si>
  <si>
    <t xml:space="preserve">Modernizuoti Kėdainių šviesiosios gimnazijos pastatą Kėdainiuose, Didžioji g. 60 </t>
  </si>
  <si>
    <t>Rekonstruoti Kėdainių rajono savivaldybės kultūros centro pastatą Kėdainiuose, J. Basanavičiaus g. 24</t>
  </si>
  <si>
    <t>Kita dotacija valstybės investicijų 2023 m. programoje numatytoms kapitalo investicijoms</t>
  </si>
  <si>
    <t>05.2</t>
  </si>
  <si>
    <t xml:space="preserve">Remontuoti Akademijos kultūros centrą </t>
  </si>
  <si>
    <t xml:space="preserve">      savivaldybės institucijos valdomiems vietinės reikšmės keliams</t>
  </si>
  <si>
    <t>16.11</t>
  </si>
  <si>
    <t>16.12</t>
  </si>
  <si>
    <t>16.13</t>
  </si>
  <si>
    <t>16.14</t>
  </si>
  <si>
    <t>16.15</t>
  </si>
  <si>
    <t xml:space="preserve">       lėšos, skirtos ugdyti ir pavėžėti į mokyklą ir atgal vaikus, atvykusius į Lietuvos Respubliką iš Ukrainos dėl Rusijos federacijos karinių veiksmų Ukrainoje</t>
  </si>
  <si>
    <t>16.16</t>
  </si>
  <si>
    <t>16.17</t>
  </si>
  <si>
    <t xml:space="preserve">     valstybės biudžeto lėšos, skirtos viešosios paskirties rekreacijai ir poilsiui skirtų valstybės miško žemės sklypų priežiūros, apsaugos ir tvarkymo darbams Kėdainių mieste</t>
  </si>
  <si>
    <t>16.18</t>
  </si>
  <si>
    <t>07.1</t>
  </si>
  <si>
    <t>Kita dotacija  savivaldybės institucijos valdomiems vietinės reikšmės keliams</t>
  </si>
  <si>
    <t>Kita dotacija ugdyti ir pavežėti į mokyklą ir atgal vaikus, atvykusius į Lietuvos Respubliką iš Ukrainos dėl Rusijos federacijos karinių veiksmų Ukrainoje</t>
  </si>
  <si>
    <t>01.3</t>
  </si>
  <si>
    <t>Kita dotacija viešosios paskirties rekreacijai ir poilsiui skirtų valstybės miško žemės sklypų priežiūros, apsaugos ir tvarkymo darbams Kėdainių mieste</t>
  </si>
  <si>
    <t>Atnaujinti Kėdainių Juozo Paukštelio progimnazijos sporto aikštyną</t>
  </si>
  <si>
    <t xml:space="preserve">      valstybės biudžeto lėšos, skirtos 2023 metais švietimo įstaigų sporto aikštynų atnaujinimo programos įgyvendinimui</t>
  </si>
  <si>
    <t>01.4</t>
  </si>
  <si>
    <t xml:space="preserve">     valstybės biudžeto lėšos, skirtos užtikrinti 2023 metais Lietuvos Respublikos piniginės socialinės paramos nepasiturintiems gyventojams įstatymo įgyvendinimą </t>
  </si>
  <si>
    <t xml:space="preserve">Kita dotacija užtikrinti 2023 metais Lietuvos Respublikos piniginės socialinės paramos nepasiturintiems gyventojams įstatymo įgyvendinimą </t>
  </si>
  <si>
    <t xml:space="preserve">     kompensuoti savivaldybės patirtas išlaidas valdant nepaprastąją padėtį dėl užsieniečių, pasitraukusių iš Ukrainos dėl Rusijos federacijos karinių veiksmų Ukrainoje</t>
  </si>
  <si>
    <t xml:space="preserve"> Kita dotacija kompensuoti savivaldybės patirtas išlaidas valdant nepaprastąją padėtį dėl užsieniečių, pasitraukusių iš Ukrainos dėl Rusijos federacijos karinių veiksmų Ukrainoje</t>
  </si>
  <si>
    <t xml:space="preserve">     valstybės biudžeto lėšos, skirtos išlaidoms, susijusioms su savivaldybės mokyklų mokytojų, dirbančių pagal ikimokyklinio, priešmokyklinio, bendrojo ugdymo programas, personalo optimizavimu ir atnaujinimu</t>
  </si>
  <si>
    <t>Kita dotacija savivaldybės mokyklų mokytojų, dirbančių pagal ikimokyklinio, priešmokyklinio, bendrojo ugdymo programas, personalo optimizavimui ir atnaujinimui</t>
  </si>
  <si>
    <t xml:space="preserve">      valstybės biudžeto lėšos, skirtos sutvarkyti naudotas padangas, kurių turėtojų nustatyti neįmanoma arba kurie neegzistuoja     </t>
  </si>
  <si>
    <t>Kita dotacija sutvarkyti naudotas padangas, kurių turėtojų nustatyti neįmanoma arba kurie neegzistuoja</t>
  </si>
  <si>
    <t xml:space="preserve">     valstybės biudžeto lėšos, skirtos sutvarkyti namų ūkiuose susidariusias asbesto atliekas</t>
  </si>
  <si>
    <t>Kita dotacija sutvarkyti namų ūkiuose susidariusias asbesto atliekas</t>
  </si>
  <si>
    <t>08.2</t>
  </si>
  <si>
    <t>08.3</t>
  </si>
  <si>
    <t>Kita dotacija įsigyti tekstilės atliekų surinkimo konteinerius</t>
  </si>
  <si>
    <t>08.4</t>
  </si>
  <si>
    <t>03.11</t>
  </si>
  <si>
    <t>16.19</t>
  </si>
  <si>
    <t>16.20</t>
  </si>
  <si>
    <t>16.21</t>
  </si>
  <si>
    <t>16.22</t>
  </si>
  <si>
    <t>16.23</t>
  </si>
  <si>
    <t>16.24</t>
  </si>
  <si>
    <t>16.25</t>
  </si>
  <si>
    <t xml:space="preserve">     valstybei nuosavybės teise priklausančių žemės savininkų ir kitų naudotojų žemėje esančių melioracijos statinių rekonstravimo ir remonto darbams</t>
  </si>
  <si>
    <t>16.26</t>
  </si>
  <si>
    <t xml:space="preserve">     valstybės biudžeto lėšos, skirtos įsigyti tekstilės atliekų surinkimo konteinerius</t>
  </si>
  <si>
    <t>05.3</t>
  </si>
  <si>
    <t>Kita dotacija stiprinti bendruomenines veiklas savivaldybėje</t>
  </si>
  <si>
    <t>10.09.01.01</t>
  </si>
  <si>
    <t xml:space="preserve">      valstybės biudžeto lėšos, skirtos stiprinti bendruomeninę veiklą savivaldybėje įgyvendinant bandomąjį modelį</t>
  </si>
  <si>
    <t xml:space="preserve">Įgyvendinti projektą "Kėdainių miesto A. Kanapinsko, P. Lukšio, Mindaugo, Pavasario ir Žemaitės gatvių rekonstrukcija"     </t>
  </si>
  <si>
    <t xml:space="preserve">04.05.01.02 </t>
  </si>
  <si>
    <t>16.27</t>
  </si>
  <si>
    <t>16.28</t>
  </si>
  <si>
    <t>16.29</t>
  </si>
  <si>
    <t>03.12</t>
  </si>
  <si>
    <t>16.30</t>
  </si>
  <si>
    <t xml:space="preserve">     valstybės biudžeto lėšos, skirtos socialinių paslaugų srities darbuotojų minimaliems pareiginės algos pastoviosios dalies koeficientams didinti</t>
  </si>
  <si>
    <t>Kita dotacija socialinių paslaugų srities darbuotojų minimaliems pareiginės algos pastoviosios dalies koeficientams didinti</t>
  </si>
  <si>
    <t>16.31</t>
  </si>
  <si>
    <t>16.32</t>
  </si>
  <si>
    <t xml:space="preserve">      valstybės biudžeto lėšos, skirtos projektui „Kėdainių miesto viešosios inžinierinės infrastruktūros, svarbios verslui, atnaujinimas ir plėtra“ (LEZ gatvių projektas)</t>
  </si>
  <si>
    <t>Kita dotacija įgyvendinti projektą „Kėdainių miesto viešosios inžinierinės infrastruktūros, svarbios verslui, atnaujinimas ir plėtra“ (LEZ gatvių projektas)</t>
  </si>
  <si>
    <t>Kita dotacija investicinių žemės sklypų, iki kurių ribos ir (ar) kurių ribose įrengiama ir (ar) sutvarkoma infrastruktūra, projektui "Kėdainių miesto viešosios infrastruktūros, svarbios verslui, atnaujinimas ir plėtra" įgyvendinti</t>
  </si>
  <si>
    <t xml:space="preserve">    valstybės biudžeto lėšos, skirtos investicinių žemės sklypų, iki kurių ribos ir (ar) kurių ribose įrengiama ir (ar) sutvarkoma infrastruktūra, projektui „Kėdainių miesto viešosios inžinierinės infrastruktūros, svarbios verslui, atnaujinimas ir plėtra“</t>
  </si>
  <si>
    <t>03.13</t>
  </si>
  <si>
    <t>03.14</t>
  </si>
  <si>
    <t>03.15</t>
  </si>
  <si>
    <t>31.5.13</t>
  </si>
  <si>
    <t>74.7.3</t>
  </si>
  <si>
    <t>55.6.3</t>
  </si>
  <si>
    <t xml:space="preserve">     valstybės biudžeto lėšos, skirtos išlaidoms, patirtoms teikiant socialinę paramą mokiniams pagal Lietuvos Respublikos socialinės paramos mokiniams įstatymą užsieniečiams, pasitraukusiems iš Ukrainos dėl Rusijos federacijos karinių veiksmų Ukrainoje</t>
  </si>
  <si>
    <t xml:space="preserve">     valstybės biudžeto lėšos, skirtos išlaidoms patirtoms teikiant piniginę socialinę paramą vadovaujantis Lietuvos Respublikos piniginės socialinės paramos nepasiturintiems gyventojams įstatymu, užsieniečiams, pasitraukusiems iš Ukrainos dėl Rusijos federacijos karinių veiksmų Ukrainoje</t>
  </si>
  <si>
    <t xml:space="preserve">     valstybės biudžeto lėšos, skirtos išlaidoms patirtoms teikiant paramą būstui išsinuomoti pagal Lietuvos Respublikos paramos būstui įsigyti ar išsinuomoti įstatymą užsieniečiams, pasitraukusiems iš Ukrainos dėl Rusijos federacijos karinių veiksmų Ukrainoje</t>
  </si>
  <si>
    <t xml:space="preserve"> Kita dotacija teikti socialinę paramą mokiniams pagal Lietuvos Respublikos socialinės paramos mokiniams įstatymą užsieniečiams, pasitraukusiems iš Ukrainos dėl Rusijos federacijos karinių veiksmų Ukrainoje</t>
  </si>
  <si>
    <t>Kita dotacija  teikti piniginę socialinę paramą vadovaujantis Lietuvos Respublikos piniginės socialinės paramos nepasiturintiems gyventojams įstatymu, užsieniečiams, pasitraukusiems iš Ukrainos dėl Rusijos federacijos karinių veiksmų Ukrainoje</t>
  </si>
  <si>
    <t>Kita dotacija teikti paramą būstui išsinuomoti pagal Lietuvos Respublikos paramos būstui įsigyti ar išsinuomoti įstatymą užsieniečiams, pasitraukusiems iš Ukrainos dėl Rusijos federacijos karinių veiksmų Ukrainoje</t>
  </si>
  <si>
    <t>16.33</t>
  </si>
  <si>
    <t xml:space="preserve">     valstybės biudžeto lėšos, skirtos savivaldybės administracijai padengti išlaidas patirtas teikiant specialiąsias socialines paslaugas užsieniečiams, pasitraukusiems iš Ukrainos dėl Rusijos federacijos karinių veiksmų Ukrainoje</t>
  </si>
  <si>
    <t>03.16</t>
  </si>
  <si>
    <t>Kita dotacija padengti išlaidas patirtas teikiant specialiąsias socialines paslaugas užsieniečiams, pasitraukusiems iš Ukrainos dėl Rusijos federacijos karinių veiksmų Ukrainoje</t>
  </si>
  <si>
    <t>Kita dotacija 2023 metais švietimo įstaigų sporto aikštynų atnaujinimo programos įgyvendinimui</t>
  </si>
  <si>
    <t>Įgyvendinti priemones, finansuojamas iš Savivaldybės mero rezervo</t>
  </si>
  <si>
    <t>16.34</t>
  </si>
  <si>
    <t xml:space="preserve">     valstybės biudžeto lėšos, skirtos valstybės tarnybos reformai įgyvendinti</t>
  </si>
  <si>
    <t>Kita dotacija valstybės tarnybos reformai įgyvendinti</t>
  </si>
  <si>
    <t>31.5.14</t>
  </si>
  <si>
    <t xml:space="preserve">                                                                          Kėdainių rajono savivaldybės tarybos</t>
  </si>
  <si>
    <t>16.35</t>
  </si>
  <si>
    <t>08.5</t>
  </si>
  <si>
    <t>Kita dotacija „Sosnovskio barsčio naikinimas Kėdainių rajone“</t>
  </si>
  <si>
    <t xml:space="preserve">      valstybės biudžeto lėšos Sosnovskio barščio naikinimui Kėdainių rajone</t>
  </si>
  <si>
    <t>Vykdyti sveikatos priežiūros specialistų skatinimo dirbti VšĮ Kėdainių ligoninėje 2023-2026 m. programą</t>
  </si>
  <si>
    <t>Kita dotacija išlaidoms, susijusioms su ugdymu, maitinimu ir pavėžėjimu socialinę riziką patiriantiems vaikams ikimokykliniame ugdyme</t>
  </si>
  <si>
    <t>01.5</t>
  </si>
  <si>
    <t>10.06.01.01 10.07.01.01</t>
  </si>
  <si>
    <t xml:space="preserve">iš jų: teikti integralią pagalbą į namus Kėdainių rajone </t>
  </si>
  <si>
    <t>Kėdainių pagalbos šeimai centras iš viso:</t>
  </si>
  <si>
    <t>Įgyvendinti projektą „Vaikų gerovės ir saugumo didinimo, paslaugų šeimai, globėjams (rūpintojams) kokybės didinimo bei prieinamumo plėtra“</t>
  </si>
  <si>
    <t>Įgyvendinti projektą „Paslaugų, skatinančių ir efektyviai palaikančių globą šeimos aplinkoje, vystymas“</t>
  </si>
  <si>
    <t>Įgyvendinti projektą  „Kompleksinių paslaugų (KOPA)"</t>
  </si>
  <si>
    <t xml:space="preserve">09.02.01.01 09.02.02.01 </t>
  </si>
  <si>
    <t>Įgyvendinti projektą "Karjeros specialistų tinklo vystymas"</t>
  </si>
  <si>
    <t>iš jų: įgyvendinti projektą „Kėdainių ir Anykščių rajono savivaldybių mokyklų sveikatos kabinetų atnaujinimas"</t>
  </si>
  <si>
    <t>Įgyvendinti projektą „Tūkstantmečio mokyklos programa"</t>
  </si>
  <si>
    <t>Įgyvendinti projektą  „Pabėgėlių iš Ukrainos priėmimas ir ankstyva integracija“</t>
  </si>
  <si>
    <t>2.5</t>
  </si>
  <si>
    <t>2.6</t>
  </si>
  <si>
    <t>5.1</t>
  </si>
  <si>
    <t>7.1</t>
  </si>
  <si>
    <t>8.2</t>
  </si>
  <si>
    <t>8.3</t>
  </si>
  <si>
    <t>9</t>
  </si>
  <si>
    <t>9.1</t>
  </si>
  <si>
    <t>9.2</t>
  </si>
  <si>
    <t>9.3</t>
  </si>
  <si>
    <t>15.2</t>
  </si>
  <si>
    <t>16</t>
  </si>
  <si>
    <t>17</t>
  </si>
  <si>
    <t>17.1</t>
  </si>
  <si>
    <t>2.7</t>
  </si>
  <si>
    <t>Įgyvendinti projektą "Kokybės krepšelis"</t>
  </si>
  <si>
    <t xml:space="preserve">     valstybės biudžeto lėšos, skirtos užtikrinti ugdymo, maitinimo ir pavėžėjimo lėšas socialinę riziką patiriantiems vaikams ikimokykliniame ugdyme</t>
  </si>
  <si>
    <t>Kita dotacija savivaldybės viešajai bibliotekai dokumentams 2023 metais įsigyti</t>
  </si>
  <si>
    <t>Kita dotacija įgyvendinti valstybei nuosavybės teise priklausančių žemės savininkų ir kitų naudotojų žemėje esančių melioracijos statinių rekonstravimo ir remonto darbus</t>
  </si>
  <si>
    <t>Kita dotaacija 2023 metais būstams pritaikyti neįgaliesiems</t>
  </si>
  <si>
    <t xml:space="preserve">                                                                 2023 m. gruodžio 22 d. sprendimo Nr. TS-</t>
  </si>
  <si>
    <t xml:space="preserve">                                                                      2023 m. gruodžio 22 d. sprendimo Nr. TS-</t>
  </si>
  <si>
    <t xml:space="preserve">                                                                          2023 m. gruodžio 22 d. sprendimo Nr. TS-</t>
  </si>
  <si>
    <t xml:space="preserve">                                                               2023 m. gruodžio 22 d. sprendimo Nr. TS-</t>
  </si>
  <si>
    <t xml:space="preserve">                                                             2023 m. gruodžio 22 d. sprendimo Nr. TS-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</si>
</sst>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-* #,##0.00_-;\-* #,##0.00_-;_-* &quot;-&quot;??_-;_-@_-"/>
    <numFmt numFmtId="164" formatCode="_(* #,##0.00_);_(* \(#,##0.00\);_(* &quot;-&quot;??_);_(@_)"/>
    <numFmt numFmtId="165" formatCode="_-* #,##0.00\ _€_-;\-* #,##0.00\ _€_-;_-* &quot;-&quot;??\ _€_-;_-@_-"/>
    <numFmt numFmtId="166" formatCode="_-* #,##0.00\ _L_t_-;\-* #,##0.00\ _L_t_-;_-* &quot;-&quot;??\ _L_t_-;_-@_-"/>
    <numFmt numFmtId="167" formatCode="0.0"/>
    <numFmt numFmtId="168" formatCode="#,##0.0"/>
    <numFmt numFmtId="169" formatCode="0.0_ ;\-0.0\ "/>
    <numFmt numFmtId="170" formatCode="#,##0.0_ ;\-#,##0.0\ "/>
    <numFmt numFmtId="171" formatCode="0.0;\-0.0;;"/>
  </numFmts>
  <fonts count="22" x14ac:knownFonts="1">
    <font>
      <sz val="10"/>
      <name val="Arial"/>
    </font>
    <font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name val="Times New Roman"/>
      <family val="1"/>
      <charset val="186"/>
    </font>
    <font>
      <sz val="9"/>
      <name val="Times New Roman"/>
      <family val="1"/>
      <charset val="186"/>
    </font>
    <font>
      <sz val="8"/>
      <name val="Arial"/>
      <family val="2"/>
      <charset val="186"/>
    </font>
    <font>
      <i/>
      <sz val="10"/>
      <name val="Times New Roman"/>
      <family val="1"/>
      <charset val="186"/>
    </font>
    <font>
      <sz val="10"/>
      <name val="Arial"/>
      <family val="2"/>
      <charset val="186"/>
    </font>
    <font>
      <b/>
      <sz val="9"/>
      <name val="Times New Roman"/>
      <family val="1"/>
      <charset val="186"/>
    </font>
    <font>
      <sz val="8"/>
      <name val="Times New Roman"/>
      <family val="1"/>
      <charset val="186"/>
    </font>
    <font>
      <b/>
      <sz val="11"/>
      <name val="Times New Roman"/>
      <family val="1"/>
      <charset val="186"/>
    </font>
    <font>
      <b/>
      <i/>
      <sz val="10"/>
      <name val="Times New Roman"/>
      <family val="1"/>
      <charset val="186"/>
    </font>
    <font>
      <sz val="11"/>
      <name val="Calibri"/>
      <family val="2"/>
      <charset val="186"/>
    </font>
    <font>
      <sz val="8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10"/>
      <color rgb="FFFF0000"/>
      <name val="Times New Roman"/>
      <family val="1"/>
      <charset val="186"/>
    </font>
    <font>
      <sz val="8"/>
      <name val="Arial"/>
      <family val="2"/>
      <charset val="186"/>
    </font>
    <font>
      <sz val="10"/>
      <color theme="1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sz val="10"/>
      <color rgb="FF0070C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b/>
      <sz val="12"/>
      <color rgb="FFFF0000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2">
    <xf numFmtId="0" fontId="0" fillId="0" borderId="0"/>
    <xf numFmtId="0" fontId="7" fillId="0" borderId="0"/>
    <xf numFmtId="0" fontId="1" fillId="0" borderId="0"/>
    <xf numFmtId="0" fontId="7" fillId="0" borderId="0"/>
    <xf numFmtId="0" fontId="14" fillId="0" borderId="0"/>
    <xf numFmtId="166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6" fontId="14" fillId="0" borderId="0" applyFont="0" applyFill="0" applyBorder="0" applyAlignment="0" applyProtection="0"/>
    <xf numFmtId="164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7" fillId="0" borderId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" fillId="0" borderId="0"/>
  </cellStyleXfs>
  <cellXfs count="226">
    <xf numFmtId="0" fontId="0" fillId="0" borderId="0" xfId="0"/>
    <xf numFmtId="0" fontId="1" fillId="0" borderId="0" xfId="1" applyFont="1" applyAlignment="1">
      <alignment vertical="center"/>
    </xf>
    <xf numFmtId="0" fontId="1" fillId="0" borderId="0" xfId="0" applyFont="1"/>
    <xf numFmtId="0" fontId="3" fillId="0" borderId="0" xfId="1" applyFont="1" applyAlignment="1">
      <alignment horizontal="right"/>
    </xf>
    <xf numFmtId="0" fontId="3" fillId="0" borderId="0" xfId="1" applyFont="1" applyAlignment="1">
      <alignment horizontal="right" vertical="center"/>
    </xf>
    <xf numFmtId="0" fontId="2" fillId="0" borderId="0" xfId="1" applyFont="1" applyAlignment="1">
      <alignment vertical="center"/>
    </xf>
    <xf numFmtId="0" fontId="1" fillId="0" borderId="0" xfId="1" applyFont="1"/>
    <xf numFmtId="0" fontId="2" fillId="0" borderId="1" xfId="1" applyFont="1" applyBorder="1" applyAlignment="1">
      <alignment vertical="center"/>
    </xf>
    <xf numFmtId="0" fontId="2" fillId="0" borderId="1" xfId="1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1" xfId="1" applyFont="1" applyBorder="1" applyAlignment="1">
      <alignment horizontal="right" vertical="center"/>
    </xf>
    <xf numFmtId="168" fontId="2" fillId="0" borderId="1" xfId="0" applyNumberFormat="1" applyFont="1" applyBorder="1"/>
    <xf numFmtId="167" fontId="1" fillId="0" borderId="0" xfId="0" applyNumberFormat="1" applyFont="1"/>
    <xf numFmtId="168" fontId="1" fillId="0" borderId="0" xfId="0" applyNumberFormat="1" applyFont="1"/>
    <xf numFmtId="168" fontId="2" fillId="0" borderId="1" xfId="0" applyNumberFormat="1" applyFont="1" applyBorder="1" applyAlignment="1">
      <alignment vertical="center"/>
    </xf>
    <xf numFmtId="2" fontId="1" fillId="0" borderId="0" xfId="0" applyNumberFormat="1" applyFont="1"/>
    <xf numFmtId="0" fontId="2" fillId="0" borderId="1" xfId="1" applyFont="1" applyBorder="1" applyAlignment="1">
      <alignment vertical="center" wrapText="1"/>
    </xf>
    <xf numFmtId="18" fontId="1" fillId="0" borderId="0" xfId="0" applyNumberFormat="1" applyFont="1"/>
    <xf numFmtId="167" fontId="2" fillId="0" borderId="0" xfId="0" applyNumberFormat="1" applyFont="1"/>
    <xf numFmtId="0" fontId="1" fillId="0" borderId="1" xfId="1" applyFont="1" applyBorder="1" applyAlignment="1">
      <alignment vertical="center"/>
    </xf>
    <xf numFmtId="168" fontId="1" fillId="0" borderId="1" xfId="0" applyNumberFormat="1" applyFont="1" applyBorder="1" applyAlignment="1">
      <alignment vertical="center"/>
    </xf>
    <xf numFmtId="168" fontId="2" fillId="0" borderId="0" xfId="0" applyNumberFormat="1" applyFont="1"/>
    <xf numFmtId="0" fontId="1" fillId="0" borderId="1" xfId="1" applyFont="1" applyBorder="1" applyAlignment="1">
      <alignment vertical="center" wrapText="1"/>
    </xf>
    <xf numFmtId="167" fontId="15" fillId="0" borderId="0" xfId="0" applyNumberFormat="1" applyFont="1"/>
    <xf numFmtId="1" fontId="1" fillId="0" borderId="0" xfId="0" applyNumberFormat="1" applyFont="1"/>
    <xf numFmtId="16" fontId="1" fillId="0" borderId="1" xfId="1" applyNumberFormat="1" applyFont="1" applyBorder="1" applyAlignment="1">
      <alignment horizontal="right" vertical="center"/>
    </xf>
    <xf numFmtId="168" fontId="15" fillId="0" borderId="0" xfId="0" applyNumberFormat="1" applyFont="1"/>
    <xf numFmtId="0" fontId="15" fillId="0" borderId="0" xfId="0" applyFont="1"/>
    <xf numFmtId="0" fontId="1" fillId="0" borderId="1" xfId="1" applyFont="1" applyBorder="1" applyAlignment="1">
      <alignment horizontal="left" vertical="center" wrapText="1"/>
    </xf>
    <xf numFmtId="168" fontId="17" fillId="0" borderId="1" xfId="0" applyNumberFormat="1" applyFont="1" applyBorder="1" applyAlignment="1">
      <alignment vertical="center"/>
    </xf>
    <xf numFmtId="168" fontId="1" fillId="0" borderId="1" xfId="0" applyNumberFormat="1" applyFont="1" applyBorder="1"/>
    <xf numFmtId="49" fontId="1" fillId="0" borderId="1" xfId="1" applyNumberFormat="1" applyFont="1" applyBorder="1" applyAlignment="1">
      <alignment horizontal="right" vertical="center"/>
    </xf>
    <xf numFmtId="0" fontId="7" fillId="0" borderId="0" xfId="0" applyFont="1"/>
    <xf numFmtId="0" fontId="1" fillId="0" borderId="1" xfId="0" applyFont="1" applyBorder="1" applyAlignment="1">
      <alignment horizontal="justify" vertical="center" wrapText="1"/>
    </xf>
    <xf numFmtId="0" fontId="1" fillId="0" borderId="1" xfId="1" applyFont="1" applyBorder="1" applyAlignment="1">
      <alignment horizontal="justify" vertical="center" wrapText="1"/>
    </xf>
    <xf numFmtId="0" fontId="2" fillId="0" borderId="1" xfId="1" applyFont="1" applyBorder="1" applyAlignment="1">
      <alignment horizontal="right" vertical="center"/>
    </xf>
    <xf numFmtId="167" fontId="11" fillId="0" borderId="0" xfId="0" applyNumberFormat="1" applyFont="1"/>
    <xf numFmtId="168" fontId="19" fillId="0" borderId="0" xfId="0" applyNumberFormat="1" applyFont="1" applyAlignment="1">
      <alignment vertical="center"/>
    </xf>
    <xf numFmtId="168" fontId="19" fillId="0" borderId="0" xfId="0" applyNumberFormat="1" applyFont="1"/>
    <xf numFmtId="167" fontId="1" fillId="0" borderId="0" xfId="0" applyNumberFormat="1" applyFont="1" applyAlignment="1">
      <alignment vertical="center" wrapText="1"/>
    </xf>
    <xf numFmtId="168" fontId="2" fillId="0" borderId="1" xfId="1" applyNumberFormat="1" applyFont="1" applyBorder="1" applyAlignment="1">
      <alignment vertical="center"/>
    </xf>
    <xf numFmtId="0" fontId="1" fillId="0" borderId="0" xfId="1" applyFont="1" applyAlignment="1">
      <alignment horizontal="right"/>
    </xf>
    <xf numFmtId="168" fontId="2" fillId="0" borderId="0" xfId="1" applyNumberFormat="1" applyFont="1"/>
    <xf numFmtId="0" fontId="1" fillId="0" borderId="0" xfId="0" applyFont="1" applyAlignment="1">
      <alignment horizontal="right"/>
    </xf>
    <xf numFmtId="0" fontId="3" fillId="0" borderId="0" xfId="0" applyFont="1"/>
    <xf numFmtId="168" fontId="18" fillId="0" borderId="0" xfId="0" applyNumberFormat="1" applyFont="1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left"/>
    </xf>
    <xf numFmtId="49" fontId="2" fillId="0" borderId="0" xfId="0" applyNumberFormat="1" applyFont="1" applyAlignment="1">
      <alignment horizontal="center" vertical="center" wrapText="1"/>
    </xf>
    <xf numFmtId="0" fontId="1" fillId="0" borderId="5" xfId="0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 wrapText="1"/>
    </xf>
    <xf numFmtId="168" fontId="2" fillId="0" borderId="1" xfId="0" applyNumberFormat="1" applyFont="1" applyBorder="1" applyAlignment="1">
      <alignment horizontal="center" vertical="center" wrapText="1"/>
    </xf>
    <xf numFmtId="168" fontId="2" fillId="0" borderId="0" xfId="0" applyNumberFormat="1" applyFont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167" fontId="1" fillId="0" borderId="1" xfId="0" applyNumberFormat="1" applyFont="1" applyBorder="1" applyAlignment="1">
      <alignment vertical="center"/>
    </xf>
    <xf numFmtId="168" fontId="1" fillId="0" borderId="1" xfId="0" applyNumberFormat="1" applyFont="1" applyBorder="1" applyAlignment="1">
      <alignment horizontal="right" vertical="center"/>
    </xf>
    <xf numFmtId="167" fontId="1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167" fontId="1" fillId="0" borderId="2" xfId="0" applyNumberFormat="1" applyFont="1" applyBorder="1" applyAlignment="1">
      <alignment vertical="center"/>
    </xf>
    <xf numFmtId="0" fontId="1" fillId="0" borderId="3" xfId="0" applyFont="1" applyBorder="1" applyAlignment="1">
      <alignment horizontal="right"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wrapText="1"/>
    </xf>
    <xf numFmtId="167" fontId="1" fillId="0" borderId="1" xfId="20" applyNumberFormat="1" applyBorder="1" applyAlignment="1">
      <alignment horizontal="left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167" fontId="1" fillId="0" borderId="1" xfId="20" applyNumberFormat="1" applyBorder="1" applyAlignment="1">
      <alignment vertical="center" wrapText="1"/>
    </xf>
    <xf numFmtId="167" fontId="1" fillId="0" borderId="1" xfId="0" applyNumberFormat="1" applyFont="1" applyBorder="1" applyAlignment="1">
      <alignment horizontal="left" vertical="center" wrapText="1"/>
    </xf>
    <xf numFmtId="168" fontId="1" fillId="0" borderId="1" xfId="20" applyNumberFormat="1" applyBorder="1" applyAlignment="1">
      <alignment horizontal="right" vertical="center"/>
    </xf>
    <xf numFmtId="49" fontId="9" fillId="0" borderId="1" xfId="0" applyNumberFormat="1" applyFont="1" applyBorder="1" applyAlignment="1">
      <alignment horizontal="right" vertical="center"/>
    </xf>
    <xf numFmtId="49" fontId="11" fillId="0" borderId="1" xfId="0" applyNumberFormat="1" applyFont="1" applyBorder="1" applyAlignment="1">
      <alignment vertical="center" wrapText="1"/>
    </xf>
    <xf numFmtId="168" fontId="2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vertical="center" wrapText="1"/>
    </xf>
    <xf numFmtId="49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7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left" vertical="center" wrapText="1"/>
    </xf>
    <xf numFmtId="168" fontId="2" fillId="0" borderId="1" xfId="0" applyNumberFormat="1" applyFont="1" applyBorder="1" applyAlignment="1">
      <alignment horizontal="center" vertical="center"/>
    </xf>
    <xf numFmtId="167" fontId="6" fillId="0" borderId="1" xfId="0" applyNumberFormat="1" applyFont="1" applyBorder="1" applyAlignment="1">
      <alignment vertical="center" wrapText="1"/>
    </xf>
    <xf numFmtId="0" fontId="1" fillId="0" borderId="1" xfId="18" applyBorder="1" applyAlignment="1">
      <alignment vertical="center" wrapText="1"/>
    </xf>
    <xf numFmtId="0" fontId="1" fillId="0" borderId="1" xfId="0" applyFont="1" applyBorder="1" applyAlignment="1">
      <alignment horizontal="left" vertical="top" wrapText="1"/>
    </xf>
    <xf numFmtId="0" fontId="20" fillId="0" borderId="1" xfId="0" applyFont="1" applyBorder="1" applyAlignment="1">
      <alignment horizontal="center" vertical="center" wrapText="1"/>
    </xf>
    <xf numFmtId="0" fontId="1" fillId="0" borderId="6" xfId="18" applyBorder="1" applyAlignment="1">
      <alignment vertical="center" wrapText="1"/>
    </xf>
    <xf numFmtId="168" fontId="1" fillId="0" borderId="6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horizontal="left" vertical="center" wrapText="1"/>
    </xf>
    <xf numFmtId="167" fontId="1" fillId="0" borderId="1" xfId="20" applyNumberFormat="1" applyBorder="1" applyAlignment="1">
      <alignment vertical="center"/>
    </xf>
    <xf numFmtId="49" fontId="1" fillId="0" borderId="1" xfId="2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49" fontId="1" fillId="0" borderId="1" xfId="20" applyNumberFormat="1" applyBorder="1" applyAlignment="1">
      <alignment horizontal="center" vertical="center" wrapText="1"/>
    </xf>
    <xf numFmtId="168" fontId="2" fillId="0" borderId="1" xfId="20" applyNumberFormat="1" applyFont="1" applyBorder="1" applyAlignment="1">
      <alignment horizontal="right" vertical="center"/>
    </xf>
    <xf numFmtId="0" fontId="6" fillId="0" borderId="1" xfId="18" applyFont="1" applyBorder="1" applyAlignment="1">
      <alignment vertical="center" wrapText="1"/>
    </xf>
    <xf numFmtId="167" fontId="2" fillId="0" borderId="1" xfId="0" applyNumberFormat="1" applyFont="1" applyBorder="1" applyAlignment="1">
      <alignment vertical="center" wrapText="1"/>
    </xf>
    <xf numFmtId="49" fontId="2" fillId="0" borderId="3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168" fontId="1" fillId="0" borderId="1" xfId="0" applyNumberFormat="1" applyFont="1" applyBorder="1" applyAlignment="1">
      <alignment horizontal="center" vertical="center" wrapText="1"/>
    </xf>
    <xf numFmtId="170" fontId="1" fillId="0" borderId="1" xfId="0" applyNumberFormat="1" applyFont="1" applyBorder="1" applyAlignment="1">
      <alignment horizontal="center" vertical="center" wrapText="1"/>
    </xf>
    <xf numFmtId="170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49" fontId="1" fillId="0" borderId="1" xfId="18" applyNumberFormat="1" applyBorder="1" applyAlignment="1">
      <alignment horizontal="center" vertical="center" wrapText="1"/>
    </xf>
    <xf numFmtId="49" fontId="2" fillId="0" borderId="1" xfId="2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right" vertical="center" wrapText="1"/>
    </xf>
    <xf numFmtId="168" fontId="1" fillId="0" borderId="0" xfId="0" applyNumberFormat="1" applyFont="1" applyAlignment="1">
      <alignment vertical="center"/>
    </xf>
    <xf numFmtId="0" fontId="2" fillId="0" borderId="0" xfId="0" applyFont="1"/>
    <xf numFmtId="0" fontId="1" fillId="0" borderId="0" xfId="0" applyFont="1" applyAlignment="1">
      <alignment vertical="center" wrapText="1"/>
    </xf>
    <xf numFmtId="168" fontId="2" fillId="0" borderId="0" xfId="0" applyNumberFormat="1" applyFont="1" applyAlignment="1">
      <alignment vertical="center"/>
    </xf>
    <xf numFmtId="0" fontId="21" fillId="0" borderId="0" xfId="0" applyFont="1" applyAlignment="1">
      <alignment horizontal="right" vertical="center"/>
    </xf>
    <xf numFmtId="0" fontId="15" fillId="0" borderId="0" xfId="0" applyFont="1" applyAlignment="1">
      <alignment horizontal="right" vertical="center"/>
    </xf>
    <xf numFmtId="168" fontId="18" fillId="0" borderId="0" xfId="0" applyNumberFormat="1" applyFont="1" applyAlignment="1">
      <alignment vertical="center"/>
    </xf>
    <xf numFmtId="168" fontId="1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167" fontId="1" fillId="0" borderId="0" xfId="0" applyNumberFormat="1" applyFont="1" applyAlignment="1">
      <alignment vertical="center"/>
    </xf>
    <xf numFmtId="168" fontId="6" fillId="0" borderId="0" xfId="0" applyNumberFormat="1" applyFont="1" applyAlignment="1">
      <alignment horizontal="right" vertical="center"/>
    </xf>
    <xf numFmtId="167" fontId="6" fillId="0" borderId="0" xfId="0" applyNumberFormat="1" applyFont="1" applyAlignment="1">
      <alignment vertical="center"/>
    </xf>
    <xf numFmtId="2" fontId="1" fillId="0" borderId="0" xfId="0" applyNumberFormat="1" applyFont="1" applyAlignment="1">
      <alignment horizontal="center" vertical="center"/>
    </xf>
    <xf numFmtId="167" fontId="18" fillId="0" borderId="0" xfId="0" applyNumberFormat="1" applyFont="1" applyAlignment="1">
      <alignment vertical="center"/>
    </xf>
    <xf numFmtId="169" fontId="1" fillId="0" borderId="0" xfId="0" applyNumberFormat="1" applyFont="1" applyAlignment="1">
      <alignment vertical="center"/>
    </xf>
    <xf numFmtId="168" fontId="2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center"/>
    </xf>
    <xf numFmtId="167" fontId="1" fillId="0" borderId="2" xfId="0" applyNumberFormat="1" applyFont="1" applyBorder="1" applyAlignment="1">
      <alignment horizontal="left" vertical="center" wrapText="1"/>
    </xf>
    <xf numFmtId="167" fontId="9" fillId="0" borderId="0" xfId="0" applyNumberFormat="1" applyFont="1"/>
    <xf numFmtId="49" fontId="1" fillId="0" borderId="1" xfId="0" applyNumberFormat="1" applyFont="1" applyBorder="1" applyAlignment="1">
      <alignment horizontal="right" vertical="center"/>
    </xf>
    <xf numFmtId="168" fontId="1" fillId="0" borderId="1" xfId="20" applyNumberFormat="1" applyBorder="1" applyAlignment="1">
      <alignment horizontal="center" vertical="center"/>
    </xf>
    <xf numFmtId="168" fontId="2" fillId="0" borderId="1" xfId="2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vertical="center" wrapText="1"/>
    </xf>
    <xf numFmtId="49" fontId="1" fillId="0" borderId="1" xfId="0" applyNumberFormat="1" applyFont="1" applyBorder="1" applyAlignment="1">
      <alignment horizontal="left" vertical="center" wrapText="1"/>
    </xf>
    <xf numFmtId="167" fontId="6" fillId="0" borderId="2" xfId="0" applyNumberFormat="1" applyFont="1" applyBorder="1" applyAlignment="1">
      <alignment vertical="center" wrapText="1"/>
    </xf>
    <xf numFmtId="167" fontId="1" fillId="0" borderId="2" xfId="0" applyNumberFormat="1" applyFont="1" applyBorder="1" applyAlignment="1">
      <alignment vertical="center" wrapText="1"/>
    </xf>
    <xf numFmtId="49" fontId="1" fillId="0" borderId="4" xfId="0" applyNumberFormat="1" applyFont="1" applyBorder="1" applyAlignment="1">
      <alignment vertical="center" wrapText="1"/>
    </xf>
    <xf numFmtId="49" fontId="2" fillId="0" borderId="4" xfId="0" applyNumberFormat="1" applyFont="1" applyBorder="1" applyAlignment="1">
      <alignment horizontal="right" vertical="center"/>
    </xf>
    <xf numFmtId="167" fontId="9" fillId="0" borderId="0" xfId="0" applyNumberFormat="1" applyFont="1" applyAlignment="1">
      <alignment vertical="center"/>
    </xf>
    <xf numFmtId="0" fontId="1" fillId="0" borderId="0" xfId="1" applyFont="1" applyAlignment="1">
      <alignment horizontal="left" vertical="center"/>
    </xf>
    <xf numFmtId="0" fontId="6" fillId="0" borderId="0" xfId="1" applyFont="1" applyAlignment="1">
      <alignment horizontal="left" vertical="center"/>
    </xf>
    <xf numFmtId="167" fontId="2" fillId="0" borderId="0" xfId="0" applyNumberFormat="1" applyFont="1" applyAlignment="1">
      <alignment vertical="center"/>
    </xf>
    <xf numFmtId="0" fontId="3" fillId="0" borderId="0" xfId="0" applyFont="1" applyAlignment="1">
      <alignment horizontal="right"/>
    </xf>
    <xf numFmtId="49" fontId="1" fillId="0" borderId="0" xfId="0" applyNumberFormat="1" applyFont="1" applyAlignment="1">
      <alignment horizontal="right" vertical="center"/>
    </xf>
    <xf numFmtId="167" fontId="1" fillId="0" borderId="0" xfId="0" applyNumberFormat="1" applyFont="1" applyAlignment="1">
      <alignment horizontal="center"/>
    </xf>
    <xf numFmtId="167" fontId="1" fillId="0" borderId="0" xfId="0" applyNumberFormat="1" applyFont="1" applyAlignment="1">
      <alignment horizontal="left"/>
    </xf>
    <xf numFmtId="168" fontId="6" fillId="0" borderId="1" xfId="0" applyNumberFormat="1" applyFont="1" applyBorder="1" applyAlignment="1">
      <alignment horizontal="right" vertical="center" wrapText="1"/>
    </xf>
    <xf numFmtId="167" fontId="12" fillId="0" borderId="0" xfId="0" applyNumberFormat="1" applyFont="1"/>
    <xf numFmtId="168" fontId="1" fillId="0" borderId="1" xfId="0" applyNumberFormat="1" applyFont="1" applyBorder="1" applyAlignment="1">
      <alignment horizontal="right" vertical="center" wrapText="1"/>
    </xf>
    <xf numFmtId="167" fontId="1" fillId="0" borderId="1" xfId="0" applyNumberFormat="1" applyFont="1" applyBorder="1" applyAlignment="1">
      <alignment horizontal="left" vertical="center"/>
    </xf>
    <xf numFmtId="168" fontId="6" fillId="0" borderId="1" xfId="0" applyNumberFormat="1" applyFont="1" applyBorder="1" applyAlignment="1">
      <alignment horizontal="right" vertical="center"/>
    </xf>
    <xf numFmtId="0" fontId="6" fillId="0" borderId="1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right" vertical="center" wrapText="1"/>
    </xf>
    <xf numFmtId="167" fontId="1" fillId="0" borderId="0" xfId="0" applyNumberFormat="1" applyFont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/>
    </xf>
    <xf numFmtId="49" fontId="1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4" fillId="0" borderId="0" xfId="0" applyFont="1" applyAlignment="1">
      <alignment vertical="center"/>
    </xf>
    <xf numFmtId="49" fontId="4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 wrapText="1"/>
    </xf>
    <xf numFmtId="49" fontId="6" fillId="0" borderId="1" xfId="0" applyNumberFormat="1" applyFont="1" applyBorder="1" applyAlignment="1">
      <alignment horizontal="left" vertical="center" wrapText="1"/>
    </xf>
    <xf numFmtId="168" fontId="6" fillId="0" borderId="1" xfId="0" applyNumberFormat="1" applyFont="1" applyBorder="1" applyAlignment="1">
      <alignment horizontal="center" vertical="center" wrapText="1"/>
    </xf>
    <xf numFmtId="168" fontId="6" fillId="0" borderId="0" xfId="0" applyNumberFormat="1" applyFont="1" applyAlignment="1">
      <alignment horizontal="center" vertical="center" wrapText="1"/>
    </xf>
    <xf numFmtId="167" fontId="1" fillId="0" borderId="0" xfId="0" applyNumberFormat="1" applyFont="1" applyAlignment="1">
      <alignment horizontal="right"/>
    </xf>
    <xf numFmtId="49" fontId="1" fillId="0" borderId="3" xfId="0" applyNumberFormat="1" applyFont="1" applyBorder="1" applyAlignment="1">
      <alignment horizontal="right" vertical="center"/>
    </xf>
    <xf numFmtId="17" fontId="9" fillId="0" borderId="1" xfId="0" applyNumberFormat="1" applyFont="1" applyBorder="1" applyAlignment="1">
      <alignment horizontal="right" vertical="center"/>
    </xf>
    <xf numFmtId="49" fontId="6" fillId="0" borderId="1" xfId="0" applyNumberFormat="1" applyFont="1" applyBorder="1" applyAlignment="1">
      <alignment horizontal="center" vertical="center"/>
    </xf>
    <xf numFmtId="49" fontId="6" fillId="0" borderId="3" xfId="0" applyNumberFormat="1" applyFont="1" applyBorder="1" applyAlignment="1">
      <alignment horizontal="center" vertical="center"/>
    </xf>
    <xf numFmtId="167" fontId="1" fillId="0" borderId="1" xfId="19" applyNumberFormat="1" applyBorder="1" applyAlignment="1">
      <alignment vertical="center" wrapText="1"/>
    </xf>
    <xf numFmtId="170" fontId="2" fillId="0" borderId="1" xfId="0" applyNumberFormat="1" applyFont="1" applyBorder="1" applyAlignment="1">
      <alignment horizontal="center" vertical="center"/>
    </xf>
    <xf numFmtId="170" fontId="2" fillId="0" borderId="0" xfId="0" applyNumberFormat="1" applyFont="1" applyAlignment="1">
      <alignment horizontal="center" vertical="center"/>
    </xf>
    <xf numFmtId="168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2" fillId="0" borderId="0" xfId="0" applyNumberFormat="1" applyFont="1" applyAlignment="1">
      <alignment horizontal="right" vertical="center"/>
    </xf>
    <xf numFmtId="168" fontId="1" fillId="0" borderId="0" xfId="0" applyNumberFormat="1" applyFont="1" applyAlignment="1">
      <alignment horizontal="center" vertical="center"/>
    </xf>
    <xf numFmtId="167" fontId="1" fillId="0" borderId="1" xfId="0" applyNumberFormat="1" applyFont="1" applyBorder="1" applyAlignment="1">
      <alignment horizontal="right"/>
    </xf>
    <xf numFmtId="167" fontId="6" fillId="0" borderId="1" xfId="19" applyNumberFormat="1" applyFont="1" applyBorder="1" applyAlignment="1">
      <alignment vertical="center" wrapText="1"/>
    </xf>
    <xf numFmtId="167" fontId="6" fillId="0" borderId="1" xfId="0" applyNumberFormat="1" applyFont="1" applyBorder="1" applyAlignment="1">
      <alignment horizontal="center" vertical="center"/>
    </xf>
    <xf numFmtId="169" fontId="1" fillId="0" borderId="1" xfId="0" applyNumberFormat="1" applyFont="1" applyBorder="1" applyAlignment="1">
      <alignment horizontal="right"/>
    </xf>
    <xf numFmtId="169" fontId="1" fillId="0" borderId="1" xfId="0" applyNumberFormat="1" applyFont="1" applyBorder="1" applyAlignment="1">
      <alignment horizontal="right" vertical="center"/>
    </xf>
    <xf numFmtId="49" fontId="6" fillId="0" borderId="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171" fontId="2" fillId="0" borderId="1" xfId="0" applyNumberFormat="1" applyFont="1" applyBorder="1" applyAlignment="1">
      <alignment horizontal="center" vertical="center"/>
    </xf>
    <xf numFmtId="167" fontId="6" fillId="0" borderId="1" xfId="0" applyNumberFormat="1" applyFont="1" applyBorder="1" applyAlignment="1">
      <alignment horizontal="left" vertical="center" wrapText="1"/>
    </xf>
    <xf numFmtId="167" fontId="6" fillId="0" borderId="1" xfId="0" applyNumberFormat="1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right" vertical="center"/>
    </xf>
    <xf numFmtId="167" fontId="2" fillId="0" borderId="0" xfId="0" applyNumberFormat="1" applyFont="1" applyAlignment="1">
      <alignment horizontal="right"/>
    </xf>
    <xf numFmtId="0" fontId="1" fillId="0" borderId="0" xfId="1" applyFont="1" applyAlignment="1">
      <alignment vertical="center" wrapText="1"/>
    </xf>
    <xf numFmtId="49" fontId="6" fillId="0" borderId="0" xfId="0" applyNumberFormat="1" applyFont="1" applyAlignment="1">
      <alignment horizontal="left" vertical="center" wrapText="1"/>
    </xf>
    <xf numFmtId="167" fontId="6" fillId="0" borderId="0" xfId="0" applyNumberFormat="1" applyFont="1" applyAlignment="1">
      <alignment horizontal="left" vertical="center" wrapText="1"/>
    </xf>
    <xf numFmtId="167" fontId="6" fillId="0" borderId="0" xfId="0" applyNumberFormat="1" applyFont="1" applyAlignment="1">
      <alignment vertical="center" wrapText="1"/>
    </xf>
    <xf numFmtId="49" fontId="1" fillId="0" borderId="0" xfId="0" applyNumberFormat="1" applyFont="1" applyAlignment="1">
      <alignment vertical="center" wrapText="1"/>
    </xf>
    <xf numFmtId="0" fontId="3" fillId="0" borderId="0" xfId="1" applyFont="1" applyAlignment="1">
      <alignment horizontal="right"/>
    </xf>
    <xf numFmtId="0" fontId="3" fillId="0" borderId="0" xfId="1" applyFont="1"/>
    <xf numFmtId="0" fontId="3" fillId="0" borderId="0" xfId="1" applyFont="1" applyAlignment="1">
      <alignment horizontal="left"/>
    </xf>
    <xf numFmtId="0" fontId="1" fillId="0" borderId="3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49" fontId="1" fillId="0" borderId="3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49" fontId="1" fillId="0" borderId="3" xfId="0" applyNumberFormat="1" applyFont="1" applyBorder="1" applyAlignment="1">
      <alignment horizontal="center" vertical="center" wrapText="1"/>
    </xf>
    <xf numFmtId="49" fontId="1" fillId="0" borderId="6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right" vertical="center"/>
    </xf>
    <xf numFmtId="0" fontId="1" fillId="0" borderId="6" xfId="0" applyFont="1" applyBorder="1" applyAlignment="1">
      <alignment horizontal="right" vertic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 vertical="center"/>
    </xf>
    <xf numFmtId="49" fontId="2" fillId="0" borderId="0" xfId="0" applyNumberFormat="1" applyFont="1" applyAlignment="1">
      <alignment horizontal="center" vertical="center" wrapText="1"/>
    </xf>
    <xf numFmtId="49" fontId="9" fillId="0" borderId="3" xfId="0" applyNumberFormat="1" applyFont="1" applyBorder="1" applyAlignment="1">
      <alignment horizontal="right" vertical="center"/>
    </xf>
    <xf numFmtId="49" fontId="9" fillId="0" borderId="7" xfId="0" applyNumberFormat="1" applyFont="1" applyBorder="1" applyAlignment="1">
      <alignment horizontal="right" vertical="center"/>
    </xf>
    <xf numFmtId="49" fontId="9" fillId="0" borderId="6" xfId="0" applyNumberFormat="1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right" vertical="center"/>
    </xf>
    <xf numFmtId="49" fontId="1" fillId="0" borderId="7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49" fontId="2" fillId="0" borderId="3" xfId="0" applyNumberFormat="1" applyFont="1" applyBorder="1" applyAlignment="1">
      <alignment horizontal="center" vertical="center"/>
    </xf>
    <xf numFmtId="49" fontId="2" fillId="0" borderId="7" xfId="0" applyNumberFormat="1" applyFont="1" applyBorder="1" applyAlignment="1">
      <alignment horizontal="center" vertical="center"/>
    </xf>
    <xf numFmtId="49" fontId="2" fillId="0" borderId="6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2">
    <cellStyle name="Įprastas" xfId="0" builtinId="0"/>
    <cellStyle name="Įprastas 2" xfId="1" xr:uid="{00000000-0005-0000-0000-000001000000}"/>
    <cellStyle name="Įprastas 3" xfId="2" xr:uid="{00000000-0005-0000-0000-000002000000}"/>
    <cellStyle name="Įprastas 4" xfId="3" xr:uid="{00000000-0005-0000-0000-000003000000}"/>
    <cellStyle name="Įprastas 5" xfId="4" xr:uid="{00000000-0005-0000-0000-000004000000}"/>
    <cellStyle name="Kablelis 2" xfId="5" xr:uid="{00000000-0005-0000-0000-000005000000}"/>
    <cellStyle name="Kablelis 2 2" xfId="6" xr:uid="{00000000-0005-0000-0000-000006000000}"/>
    <cellStyle name="Kablelis 2 2 2" xfId="7" xr:uid="{00000000-0005-0000-0000-000007000000}"/>
    <cellStyle name="Kablelis 3" xfId="8" xr:uid="{00000000-0005-0000-0000-000008000000}"/>
    <cellStyle name="Kablelis 4" xfId="9" xr:uid="{00000000-0005-0000-0000-000009000000}"/>
    <cellStyle name="Kablelis 4 2" xfId="10" xr:uid="{00000000-0005-0000-0000-00000A000000}"/>
    <cellStyle name="Kablelis 4 3" xfId="11" xr:uid="{00000000-0005-0000-0000-00000B000000}"/>
    <cellStyle name="Kablelis 4 3 2" xfId="12" xr:uid="{00000000-0005-0000-0000-00000C000000}"/>
    <cellStyle name="Kablelis 5" xfId="13" xr:uid="{00000000-0005-0000-0000-00000D000000}"/>
    <cellStyle name="Kablelis 5 2" xfId="14" xr:uid="{00000000-0005-0000-0000-00000E000000}"/>
    <cellStyle name="Normal 2" xfId="15" xr:uid="{00000000-0005-0000-0000-00000F000000}"/>
    <cellStyle name="Normal 3" xfId="16" xr:uid="{00000000-0005-0000-0000-000010000000}"/>
    <cellStyle name="Normal_biudžetas 6" xfId="17" xr:uid="{00000000-0005-0000-0000-000011000000}"/>
    <cellStyle name="Normal_biudžetas 6_2009 m 02 men biudzetas." xfId="18" xr:uid="{00000000-0005-0000-0000-000012000000}"/>
    <cellStyle name="Normal_Sheet1" xfId="19" xr:uid="{00000000-0005-0000-0000-000013000000}"/>
    <cellStyle name="Normal_Sheet1_2009 m 02 men biudzetas." xfId="20" xr:uid="{00000000-0005-0000-0000-000014000000}"/>
    <cellStyle name="Paprastas 2" xfId="21" xr:uid="{00000000-0005-0000-0000-00001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microsoft.com/office/2017/10/relationships/person" Target="persons/person6.xml"/><Relationship Id="rId21" Type="http://schemas.microsoft.com/office/2017/10/relationships/person" Target="persons/person0.xml"/><Relationship Id="rId42" Type="http://schemas.microsoft.com/office/2017/10/relationships/person" Target="persons/person20.xml"/><Relationship Id="rId47" Type="http://schemas.microsoft.com/office/2017/10/relationships/person" Target="persons/person25.xml"/><Relationship Id="rId63" Type="http://schemas.microsoft.com/office/2017/10/relationships/person" Target="persons/person43.xml"/><Relationship Id="rId68" Type="http://schemas.microsoft.com/office/2017/10/relationships/person" Target="persons/person47.xml"/><Relationship Id="rId84" Type="http://schemas.microsoft.com/office/2017/10/relationships/person" Target="persons/person62.xml"/><Relationship Id="rId89" Type="http://schemas.microsoft.com/office/2017/10/relationships/person" Target="persons/person69.xml"/><Relationship Id="rId32" Type="http://schemas.microsoft.com/office/2017/10/relationships/person" Target="persons/person10.xml"/><Relationship Id="rId37" Type="http://schemas.microsoft.com/office/2017/10/relationships/person" Target="persons/person15.xml"/><Relationship Id="rId53" Type="http://schemas.microsoft.com/office/2017/10/relationships/person" Target="persons/person31.xml"/><Relationship Id="rId58" Type="http://schemas.microsoft.com/office/2017/10/relationships/person" Target="persons/person36.xml"/><Relationship Id="rId74" Type="http://schemas.microsoft.com/office/2017/10/relationships/person" Target="persons/person51.xml"/><Relationship Id="rId79" Type="http://schemas.microsoft.com/office/2017/10/relationships/person" Target="persons/person58.xml"/><Relationship Id="rId5" Type="http://schemas.openxmlformats.org/officeDocument/2006/relationships/worksheet" Target="worksheets/sheet5.xml"/><Relationship Id="rId61" Type="http://schemas.microsoft.com/office/2017/10/relationships/person" Target="persons/person39.xml"/><Relationship Id="rId82" Type="http://schemas.microsoft.com/office/2017/10/relationships/person" Target="persons/person61.xml"/><Relationship Id="rId90" Type="http://schemas.microsoft.com/office/2017/10/relationships/person" Target="persons/person.xml"/><Relationship Id="rId19" Type="http://schemas.microsoft.com/office/2017/10/relationships/person" Target="persons/person65.xml"/><Relationship Id="rId64" Type="http://schemas.microsoft.com/office/2017/10/relationships/person" Target="persons/person46.xml"/><Relationship Id="rId56" Type="http://schemas.microsoft.com/office/2017/10/relationships/person" Target="persons/person38.xml"/><Relationship Id="rId48" Type="http://schemas.microsoft.com/office/2017/10/relationships/person" Target="persons/person29.xml"/><Relationship Id="rId43" Type="http://schemas.microsoft.com/office/2017/10/relationships/person" Target="persons/person24.xml"/><Relationship Id="rId35" Type="http://schemas.microsoft.com/office/2017/10/relationships/person" Target="persons/person17.xml"/><Relationship Id="rId27" Type="http://schemas.microsoft.com/office/2017/10/relationships/person" Target="persons/person12.xml"/><Relationship Id="rId30" Type="http://schemas.microsoft.com/office/2017/10/relationships/person" Target="persons/person9.xml"/><Relationship Id="rId22" Type="http://schemas.microsoft.com/office/2017/10/relationships/person" Target="persons/person4.xml"/><Relationship Id="rId69" Type="http://schemas.microsoft.com/office/2017/10/relationships/person" Target="persons/person48.xml"/><Relationship Id="rId77" Type="http://schemas.microsoft.com/office/2017/10/relationships/person" Target="persons/person56.xml"/><Relationship Id="rId8" Type="http://schemas.openxmlformats.org/officeDocument/2006/relationships/styles" Target="styles.xml"/><Relationship Id="rId85" Type="http://schemas.microsoft.com/office/2017/10/relationships/person" Target="persons/person68.xml"/><Relationship Id="rId72" Type="http://schemas.microsoft.com/office/2017/10/relationships/person" Target="persons/person54.xml"/><Relationship Id="rId51" Type="http://schemas.microsoft.com/office/2017/10/relationships/person" Target="persons/person34.xml"/><Relationship Id="rId80" Type="http://schemas.microsoft.com/office/2017/10/relationships/person" Target="persons/person59.xml"/><Relationship Id="rId3" Type="http://schemas.openxmlformats.org/officeDocument/2006/relationships/worksheet" Target="worksheets/sheet3.xml"/><Relationship Id="rId67" Type="http://schemas.microsoft.com/office/2017/10/relationships/person" Target="persons/person45.xml"/><Relationship Id="rId25" Type="http://schemas.microsoft.com/office/2017/10/relationships/person" Target="persons/person3.xml"/><Relationship Id="rId33" Type="http://schemas.microsoft.com/office/2017/10/relationships/person" Target="persons/person11.xml"/><Relationship Id="rId38" Type="http://schemas.microsoft.com/office/2017/10/relationships/person" Target="persons/person16.xml"/><Relationship Id="rId46" Type="http://schemas.microsoft.com/office/2017/10/relationships/person" Target="persons/person26.xml"/><Relationship Id="rId59" Type="http://schemas.microsoft.com/office/2017/10/relationships/person" Target="persons/person37.xml"/><Relationship Id="rId88" Type="http://schemas.microsoft.com/office/2017/10/relationships/person" Target="persons/person70.xml"/><Relationship Id="rId20" Type="http://schemas.microsoft.com/office/2017/10/relationships/person" Target="persons/person64.xml"/><Relationship Id="rId83" Type="http://schemas.microsoft.com/office/2017/10/relationships/person" Target="persons/person63.xml"/><Relationship Id="rId75" Type="http://schemas.microsoft.com/office/2017/10/relationships/person" Target="persons/person55.xml"/><Relationship Id="rId70" Type="http://schemas.microsoft.com/office/2017/10/relationships/person" Target="persons/person50.xml"/><Relationship Id="rId41" Type="http://schemas.microsoft.com/office/2017/10/relationships/person" Target="persons/person21.xml"/><Relationship Id="rId54" Type="http://schemas.microsoft.com/office/2017/10/relationships/person" Target="persons/person33.xml"/><Relationship Id="rId62" Type="http://schemas.microsoft.com/office/2017/10/relationships/person" Target="persons/person4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23" Type="http://schemas.microsoft.com/office/2017/10/relationships/person" Target="persons/person1.xml"/><Relationship Id="rId28" Type="http://schemas.microsoft.com/office/2017/10/relationships/person" Target="persons/person5.xml"/><Relationship Id="rId36" Type="http://schemas.microsoft.com/office/2017/10/relationships/person" Target="persons/person14.xml"/><Relationship Id="rId49" Type="http://schemas.microsoft.com/office/2017/10/relationships/person" Target="persons/person27.xml"/><Relationship Id="rId57" Type="http://schemas.microsoft.com/office/2017/10/relationships/person" Target="persons/person35.xml"/><Relationship Id="rId10" Type="http://schemas.openxmlformats.org/officeDocument/2006/relationships/calcChain" Target="calcChain.xml"/><Relationship Id="rId60" Type="http://schemas.microsoft.com/office/2017/10/relationships/person" Target="persons/person40.xml"/><Relationship Id="rId31" Type="http://schemas.microsoft.com/office/2017/10/relationships/person" Target="persons/person8.xml"/><Relationship Id="rId44" Type="http://schemas.microsoft.com/office/2017/10/relationships/person" Target="persons/person22.xml"/><Relationship Id="rId52" Type="http://schemas.microsoft.com/office/2017/10/relationships/person" Target="persons/person30.xml"/><Relationship Id="rId65" Type="http://schemas.microsoft.com/office/2017/10/relationships/person" Target="persons/person41.xml"/><Relationship Id="rId73" Type="http://schemas.microsoft.com/office/2017/10/relationships/person" Target="persons/person52.xml"/><Relationship Id="rId78" Type="http://schemas.microsoft.com/office/2017/10/relationships/person" Target="persons/person57.xml"/><Relationship Id="rId81" Type="http://schemas.microsoft.com/office/2017/10/relationships/person" Target="persons/person60.xml"/><Relationship Id="rId86" Type="http://schemas.microsoft.com/office/2017/10/relationships/person" Target="persons/person66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39" Type="http://schemas.microsoft.com/office/2017/10/relationships/person" Target="persons/person18.xml"/><Relationship Id="rId34" Type="http://schemas.microsoft.com/office/2017/10/relationships/person" Target="persons/person13.xml"/><Relationship Id="rId50" Type="http://schemas.microsoft.com/office/2017/10/relationships/person" Target="persons/person28.xml"/><Relationship Id="rId55" Type="http://schemas.microsoft.com/office/2017/10/relationships/person" Target="persons/person32.xml"/><Relationship Id="rId76" Type="http://schemas.microsoft.com/office/2017/10/relationships/person" Target="persons/person53.xml"/><Relationship Id="rId7" Type="http://schemas.openxmlformats.org/officeDocument/2006/relationships/theme" Target="theme/theme1.xml"/><Relationship Id="rId71" Type="http://schemas.microsoft.com/office/2017/10/relationships/person" Target="persons/person49.xml"/><Relationship Id="rId2" Type="http://schemas.openxmlformats.org/officeDocument/2006/relationships/worksheet" Target="worksheets/sheet2.xml"/><Relationship Id="rId29" Type="http://schemas.microsoft.com/office/2017/10/relationships/person" Target="persons/person7.xml"/><Relationship Id="rId40" Type="http://schemas.microsoft.com/office/2017/10/relationships/person" Target="persons/person19.xml"/><Relationship Id="rId24" Type="http://schemas.microsoft.com/office/2017/10/relationships/person" Target="persons/person2.xml"/><Relationship Id="rId45" Type="http://schemas.microsoft.com/office/2017/10/relationships/person" Target="persons/person23.xml"/><Relationship Id="rId66" Type="http://schemas.microsoft.com/office/2017/10/relationships/person" Target="persons/person44.xml"/><Relationship Id="rId87" Type="http://schemas.microsoft.com/office/2017/10/relationships/person" Target="persons/person67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50.xml><?xml version="1.0" encoding="utf-8"?>
<personList xmlns="http://schemas.microsoft.com/office/spreadsheetml/2018/threadedcomments" xmlns:x="http://schemas.openxmlformats.org/spreadsheetml/2006/main"/>
</file>

<file path=xl/persons/person51.xml><?xml version="1.0" encoding="utf-8"?>
<personList xmlns="http://schemas.microsoft.com/office/spreadsheetml/2018/threadedcomments" xmlns:x="http://schemas.openxmlformats.org/spreadsheetml/2006/main"/>
</file>

<file path=xl/persons/person52.xml><?xml version="1.0" encoding="utf-8"?>
<personList xmlns="http://schemas.microsoft.com/office/spreadsheetml/2018/threadedcomments" xmlns:x="http://schemas.openxmlformats.org/spreadsheetml/2006/main"/>
</file>

<file path=xl/persons/person53.xml><?xml version="1.0" encoding="utf-8"?>
<personList xmlns="http://schemas.microsoft.com/office/spreadsheetml/2018/threadedcomments" xmlns:x="http://schemas.openxmlformats.org/spreadsheetml/2006/main"/>
</file>

<file path=xl/persons/person54.xml><?xml version="1.0" encoding="utf-8"?>
<personList xmlns="http://schemas.microsoft.com/office/spreadsheetml/2018/threadedcomments" xmlns:x="http://schemas.openxmlformats.org/spreadsheetml/2006/main"/>
</file>

<file path=xl/persons/person55.xml><?xml version="1.0" encoding="utf-8"?>
<personList xmlns="http://schemas.microsoft.com/office/spreadsheetml/2018/threadedcomments" xmlns:x="http://schemas.openxmlformats.org/spreadsheetml/2006/main"/>
</file>

<file path=xl/persons/person56.xml><?xml version="1.0" encoding="utf-8"?>
<personList xmlns="http://schemas.microsoft.com/office/spreadsheetml/2018/threadedcomments" xmlns:x="http://schemas.openxmlformats.org/spreadsheetml/2006/main"/>
</file>

<file path=xl/persons/person57.xml><?xml version="1.0" encoding="utf-8"?>
<personList xmlns="http://schemas.microsoft.com/office/spreadsheetml/2018/threadedcomments" xmlns:x="http://schemas.openxmlformats.org/spreadsheetml/2006/main"/>
</file>

<file path=xl/persons/person58.xml><?xml version="1.0" encoding="utf-8"?>
<personList xmlns="http://schemas.microsoft.com/office/spreadsheetml/2018/threadedcomments" xmlns:x="http://schemas.openxmlformats.org/spreadsheetml/2006/main"/>
</file>

<file path=xl/persons/person59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60.xml><?xml version="1.0" encoding="utf-8"?>
<personList xmlns="http://schemas.microsoft.com/office/spreadsheetml/2018/threadedcomments" xmlns:x="http://schemas.openxmlformats.org/spreadsheetml/2006/main"/>
</file>

<file path=xl/persons/person61.xml><?xml version="1.0" encoding="utf-8"?>
<personList xmlns="http://schemas.microsoft.com/office/spreadsheetml/2018/threadedcomments" xmlns:x="http://schemas.openxmlformats.org/spreadsheetml/2006/main"/>
</file>

<file path=xl/persons/person62.xml><?xml version="1.0" encoding="utf-8"?>
<personList xmlns="http://schemas.microsoft.com/office/spreadsheetml/2018/threadedcomments" xmlns:x="http://schemas.openxmlformats.org/spreadsheetml/2006/main"/>
</file>

<file path=xl/persons/person63.xml><?xml version="1.0" encoding="utf-8"?>
<personList xmlns="http://schemas.microsoft.com/office/spreadsheetml/2018/threadedcomments" xmlns:x="http://schemas.openxmlformats.org/spreadsheetml/2006/main"/>
</file>

<file path=xl/persons/person64.xml><?xml version="1.0" encoding="utf-8"?>
<personList xmlns="http://schemas.microsoft.com/office/spreadsheetml/2018/threadedcomments" xmlns:x="http://schemas.openxmlformats.org/spreadsheetml/2006/main"/>
</file>

<file path=xl/persons/person65.xml><?xml version="1.0" encoding="utf-8"?>
<personList xmlns="http://schemas.microsoft.com/office/spreadsheetml/2018/threadedcomments" xmlns:x="http://schemas.openxmlformats.org/spreadsheetml/2006/main"/>
</file>

<file path=xl/persons/person66.xml><?xml version="1.0" encoding="utf-8"?>
<personList xmlns="http://schemas.microsoft.com/office/spreadsheetml/2018/threadedcomments" xmlns:x="http://schemas.openxmlformats.org/spreadsheetml/2006/main"/>
</file>

<file path=xl/persons/person67.xml><?xml version="1.0" encoding="utf-8"?>
<personList xmlns="http://schemas.microsoft.com/office/spreadsheetml/2018/threadedcomments" xmlns:x="http://schemas.openxmlformats.org/spreadsheetml/2006/main"/>
</file>

<file path=xl/persons/person68.xml><?xml version="1.0" encoding="utf-8"?>
<personList xmlns="http://schemas.microsoft.com/office/spreadsheetml/2018/threadedcomments" xmlns:x="http://schemas.openxmlformats.org/spreadsheetml/2006/main"/>
</file>

<file path=xl/persons/person69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70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41"/>
  <sheetViews>
    <sheetView tabSelected="1" zoomScaleNormal="100" workbookViewId="0">
      <selection activeCell="F13" sqref="F13"/>
    </sheetView>
  </sheetViews>
  <sheetFormatPr defaultColWidth="9.140625" defaultRowHeight="12.75" x14ac:dyDescent="0.2"/>
  <cols>
    <col min="1" max="1" width="6.28515625" style="9" customWidth="1"/>
    <col min="2" max="2" width="69.28515625" style="2" customWidth="1"/>
    <col min="3" max="3" width="14.5703125" style="2" bestFit="1" customWidth="1"/>
    <col min="4" max="4" width="9.28515625" style="2" customWidth="1"/>
    <col min="5" max="5" width="11.7109375" style="2" bestFit="1" customWidth="1"/>
    <col min="6" max="6" width="15.140625" style="2" customWidth="1"/>
    <col min="7" max="16384" width="9.140625" style="2"/>
  </cols>
  <sheetData>
    <row r="1" spans="1:15" ht="15.75" x14ac:dyDescent="0.25">
      <c r="A1" s="1"/>
      <c r="B1" s="198" t="s">
        <v>329</v>
      </c>
      <c r="C1" s="198"/>
    </row>
    <row r="2" spans="1:15" ht="15.75" x14ac:dyDescent="0.25">
      <c r="A2" s="1"/>
      <c r="B2" s="199" t="s">
        <v>838</v>
      </c>
      <c r="C2" s="199"/>
    </row>
    <row r="3" spans="1:15" ht="15.75" x14ac:dyDescent="0.25">
      <c r="A3" s="197" t="s">
        <v>280</v>
      </c>
      <c r="B3" s="197"/>
      <c r="C3" s="197"/>
    </row>
    <row r="4" spans="1:15" ht="15.75" x14ac:dyDescent="0.25">
      <c r="A4" s="4"/>
      <c r="B4" s="3"/>
      <c r="C4" s="3"/>
    </row>
    <row r="5" spans="1:15" x14ac:dyDescent="0.2">
      <c r="A5" s="1"/>
      <c r="B5" s="5" t="s">
        <v>423</v>
      </c>
      <c r="C5" s="6"/>
    </row>
    <row r="6" spans="1:15" x14ac:dyDescent="0.2">
      <c r="A6" s="1"/>
      <c r="B6" s="6"/>
      <c r="C6" s="6"/>
    </row>
    <row r="7" spans="1:15" s="9" customFormat="1" x14ac:dyDescent="0.2">
      <c r="A7" s="7" t="s">
        <v>0</v>
      </c>
      <c r="B7" s="8" t="s">
        <v>281</v>
      </c>
      <c r="C7" s="8" t="s">
        <v>282</v>
      </c>
    </row>
    <row r="8" spans="1:15" ht="12.6" customHeight="1" x14ac:dyDescent="0.2">
      <c r="A8" s="10">
        <v>1</v>
      </c>
      <c r="B8" s="7" t="s">
        <v>366</v>
      </c>
      <c r="C8" s="11">
        <f>+C9+C10+C11+C15</f>
        <v>46154.9</v>
      </c>
      <c r="E8" s="12"/>
      <c r="G8" s="13"/>
    </row>
    <row r="9" spans="1:15" ht="12.6" customHeight="1" x14ac:dyDescent="0.2">
      <c r="A9" s="10">
        <v>2</v>
      </c>
      <c r="B9" s="7" t="s">
        <v>283</v>
      </c>
      <c r="C9" s="14">
        <f>39669+2701.9+300+500</f>
        <v>43170.9</v>
      </c>
      <c r="D9" s="15"/>
      <c r="E9" s="13"/>
      <c r="G9" s="13"/>
    </row>
    <row r="10" spans="1:15" ht="25.5" x14ac:dyDescent="0.2">
      <c r="A10" s="10">
        <v>3</v>
      </c>
      <c r="B10" s="16" t="s">
        <v>367</v>
      </c>
      <c r="C10" s="14">
        <v>50</v>
      </c>
      <c r="D10" s="17"/>
      <c r="E10" s="13"/>
      <c r="F10" s="18"/>
    </row>
    <row r="11" spans="1:15" ht="12.6" customHeight="1" x14ac:dyDescent="0.2">
      <c r="A11" s="10">
        <v>4</v>
      </c>
      <c r="B11" s="7" t="s">
        <v>368</v>
      </c>
      <c r="C11" s="14">
        <f>+C12+C14+C13</f>
        <v>2601.1999999999998</v>
      </c>
      <c r="D11" s="17"/>
      <c r="F11" s="18"/>
      <c r="G11" s="13"/>
    </row>
    <row r="12" spans="1:15" ht="12.6" customHeight="1" x14ac:dyDescent="0.2">
      <c r="A12" s="10">
        <v>5</v>
      </c>
      <c r="B12" s="19" t="s">
        <v>284</v>
      </c>
      <c r="C12" s="20">
        <v>900</v>
      </c>
      <c r="D12" s="12"/>
      <c r="F12" s="21"/>
      <c r="G12" s="13"/>
    </row>
    <row r="13" spans="1:15" ht="12.6" customHeight="1" x14ac:dyDescent="0.2">
      <c r="A13" s="10">
        <v>6</v>
      </c>
      <c r="B13" s="19" t="s">
        <v>285</v>
      </c>
      <c r="C13" s="20">
        <v>15</v>
      </c>
      <c r="D13" s="12"/>
      <c r="F13" s="21"/>
    </row>
    <row r="14" spans="1:15" ht="12.6" customHeight="1" x14ac:dyDescent="0.2">
      <c r="A14" s="10">
        <v>7</v>
      </c>
      <c r="B14" s="19" t="s">
        <v>286</v>
      </c>
      <c r="C14" s="20">
        <f>1500+186.2</f>
        <v>1686.2</v>
      </c>
      <c r="D14" s="12"/>
      <c r="F14" s="18"/>
      <c r="O14" s="12"/>
    </row>
    <row r="15" spans="1:15" ht="12.6" customHeight="1" x14ac:dyDescent="0.2">
      <c r="A15" s="10">
        <v>8</v>
      </c>
      <c r="B15" s="7" t="s">
        <v>369</v>
      </c>
      <c r="C15" s="11">
        <f>+C16</f>
        <v>332.8</v>
      </c>
      <c r="D15" s="17"/>
    </row>
    <row r="16" spans="1:15" ht="12.6" customHeight="1" x14ac:dyDescent="0.2">
      <c r="A16" s="10">
        <v>9</v>
      </c>
      <c r="B16" s="19" t="s">
        <v>287</v>
      </c>
      <c r="C16" s="20">
        <f>250+82.8</f>
        <v>332.8</v>
      </c>
    </row>
    <row r="17" spans="1:8" x14ac:dyDescent="0.2">
      <c r="A17" s="10">
        <v>10</v>
      </c>
      <c r="B17" s="7" t="s">
        <v>370</v>
      </c>
      <c r="C17" s="11">
        <f>+C21+C49+C18</f>
        <v>41589.4</v>
      </c>
      <c r="D17" s="12"/>
    </row>
    <row r="18" spans="1:8" ht="25.5" x14ac:dyDescent="0.2">
      <c r="A18" s="10">
        <v>11</v>
      </c>
      <c r="B18" s="16" t="s">
        <v>371</v>
      </c>
      <c r="C18" s="11">
        <f>+C19+C20</f>
        <v>3232.8999999999996</v>
      </c>
      <c r="D18" s="12"/>
    </row>
    <row r="19" spans="1:8" ht="25.5" x14ac:dyDescent="0.2">
      <c r="A19" s="10" t="s">
        <v>34</v>
      </c>
      <c r="B19" s="22" t="s">
        <v>288</v>
      </c>
      <c r="C19" s="20">
        <f>1941.5-213.2+58.7-46.7+1298.7+24.6+10.1</f>
        <v>3073.7</v>
      </c>
      <c r="D19" s="12"/>
      <c r="E19" s="23"/>
      <c r="F19" s="17"/>
      <c r="G19" s="2" t="s">
        <v>355</v>
      </c>
      <c r="H19" s="13"/>
    </row>
    <row r="20" spans="1:8" ht="25.5" x14ac:dyDescent="0.2">
      <c r="A20" s="10" t="s">
        <v>35</v>
      </c>
      <c r="B20" s="22" t="s">
        <v>289</v>
      </c>
      <c r="C20" s="20">
        <f>38.1-0.4+112.8+8.7</f>
        <v>159.19999999999999</v>
      </c>
      <c r="D20" s="12"/>
      <c r="E20" s="17"/>
      <c r="F20" s="17"/>
      <c r="H20" s="13"/>
    </row>
    <row r="21" spans="1:8" ht="12.6" customHeight="1" x14ac:dyDescent="0.2">
      <c r="A21" s="10">
        <v>12</v>
      </c>
      <c r="B21" s="7" t="s">
        <v>372</v>
      </c>
      <c r="C21" s="14">
        <f>+C22+C46+C47</f>
        <v>26152.1</v>
      </c>
      <c r="D21" s="12"/>
    </row>
    <row r="22" spans="1:8" ht="12.6" customHeight="1" x14ac:dyDescent="0.2">
      <c r="A22" s="10">
        <v>13</v>
      </c>
      <c r="B22" s="19" t="s">
        <v>373</v>
      </c>
      <c r="C22" s="20">
        <f>SUM(C23:C45)</f>
        <v>6520.4999999999982</v>
      </c>
      <c r="D22" s="12"/>
      <c r="E22" s="17"/>
      <c r="F22" s="24"/>
    </row>
    <row r="23" spans="1:8" ht="12.6" customHeight="1" x14ac:dyDescent="0.2">
      <c r="A23" s="25" t="s">
        <v>267</v>
      </c>
      <c r="B23" s="19" t="s">
        <v>290</v>
      </c>
      <c r="C23" s="20">
        <v>32.6</v>
      </c>
      <c r="D23" s="12"/>
      <c r="E23" s="17"/>
      <c r="G23" s="12"/>
    </row>
    <row r="24" spans="1:8" ht="12.6" customHeight="1" x14ac:dyDescent="0.2">
      <c r="A24" s="10" t="s">
        <v>374</v>
      </c>
      <c r="B24" s="19" t="s">
        <v>291</v>
      </c>
      <c r="C24" s="20">
        <v>9</v>
      </c>
      <c r="D24" s="12"/>
      <c r="E24" s="17"/>
      <c r="G24" s="12"/>
    </row>
    <row r="25" spans="1:8" ht="12.6" customHeight="1" x14ac:dyDescent="0.2">
      <c r="A25" s="25" t="s">
        <v>375</v>
      </c>
      <c r="B25" s="19" t="s">
        <v>292</v>
      </c>
      <c r="C25" s="20">
        <f>(6.8-0.1)+(391.7-44-19.2)</f>
        <v>335.2</v>
      </c>
      <c r="E25" s="23"/>
      <c r="F25" s="26"/>
      <c r="G25" s="12"/>
    </row>
    <row r="26" spans="1:8" ht="12.6" customHeight="1" x14ac:dyDescent="0.2">
      <c r="A26" s="10" t="s">
        <v>376</v>
      </c>
      <c r="B26" s="19" t="s">
        <v>293</v>
      </c>
      <c r="C26" s="20">
        <f>947.6-23.4</f>
        <v>924.2</v>
      </c>
      <c r="E26" s="23"/>
    </row>
    <row r="27" spans="1:8" ht="12.6" customHeight="1" x14ac:dyDescent="0.2">
      <c r="A27" s="25" t="s">
        <v>377</v>
      </c>
      <c r="B27" s="19" t="s">
        <v>294</v>
      </c>
      <c r="C27" s="20">
        <f>1658.1+71.9+454.4+191.8</f>
        <v>2376.2000000000003</v>
      </c>
      <c r="D27" s="12"/>
      <c r="E27" s="12"/>
      <c r="F27" s="27"/>
      <c r="G27" s="12"/>
    </row>
    <row r="28" spans="1:8" x14ac:dyDescent="0.2">
      <c r="A28" s="10" t="s">
        <v>378</v>
      </c>
      <c r="B28" s="19" t="s">
        <v>295</v>
      </c>
      <c r="C28" s="20">
        <f>19.5+2.2</f>
        <v>21.7</v>
      </c>
      <c r="D28" s="12"/>
    </row>
    <row r="29" spans="1:8" x14ac:dyDescent="0.2">
      <c r="A29" s="25" t="s">
        <v>379</v>
      </c>
      <c r="B29" s="22" t="s">
        <v>296</v>
      </c>
      <c r="C29" s="20">
        <f>11.1+2-0.1</f>
        <v>13</v>
      </c>
      <c r="D29" s="12"/>
      <c r="E29" s="24"/>
    </row>
    <row r="30" spans="1:8" ht="12.6" customHeight="1" x14ac:dyDescent="0.2">
      <c r="A30" s="10" t="s">
        <v>380</v>
      </c>
      <c r="B30" s="28" t="s">
        <v>548</v>
      </c>
      <c r="C30" s="20">
        <f>190.1-10</f>
        <v>180.1</v>
      </c>
      <c r="D30" s="12"/>
    </row>
    <row r="31" spans="1:8" ht="12.6" customHeight="1" x14ac:dyDescent="0.2">
      <c r="A31" s="25" t="s">
        <v>381</v>
      </c>
      <c r="B31" s="28" t="s">
        <v>297</v>
      </c>
      <c r="C31" s="20">
        <v>35.5</v>
      </c>
      <c r="D31" s="12"/>
    </row>
    <row r="32" spans="1:8" ht="12.6" customHeight="1" x14ac:dyDescent="0.2">
      <c r="A32" s="10" t="s">
        <v>382</v>
      </c>
      <c r="B32" s="28" t="s">
        <v>550</v>
      </c>
      <c r="C32" s="20">
        <v>12.2</v>
      </c>
      <c r="D32" s="12"/>
    </row>
    <row r="33" spans="1:7" ht="12.6" customHeight="1" x14ac:dyDescent="0.2">
      <c r="A33" s="25" t="s">
        <v>383</v>
      </c>
      <c r="B33" s="28" t="s">
        <v>298</v>
      </c>
      <c r="C33" s="20">
        <v>0.8</v>
      </c>
      <c r="D33" s="12"/>
    </row>
    <row r="34" spans="1:7" ht="12.6" customHeight="1" x14ac:dyDescent="0.2">
      <c r="A34" s="10" t="s">
        <v>384</v>
      </c>
      <c r="B34" s="28" t="s">
        <v>299</v>
      </c>
      <c r="C34" s="20">
        <v>57.8</v>
      </c>
      <c r="D34" s="12"/>
    </row>
    <row r="35" spans="1:7" x14ac:dyDescent="0.2">
      <c r="A35" s="25" t="s">
        <v>385</v>
      </c>
      <c r="B35" s="28" t="s">
        <v>300</v>
      </c>
      <c r="C35" s="20">
        <f>1234.6+72</f>
        <v>1306.5999999999999</v>
      </c>
      <c r="D35" s="12"/>
    </row>
    <row r="36" spans="1:7" ht="25.5" x14ac:dyDescent="0.2">
      <c r="A36" s="10" t="s">
        <v>386</v>
      </c>
      <c r="B36" s="28" t="s">
        <v>551</v>
      </c>
      <c r="C36" s="20">
        <v>5</v>
      </c>
      <c r="D36" s="12"/>
    </row>
    <row r="37" spans="1:7" ht="12.6" customHeight="1" x14ac:dyDescent="0.2">
      <c r="A37" s="25" t="s">
        <v>387</v>
      </c>
      <c r="B37" s="28" t="s">
        <v>301</v>
      </c>
      <c r="C37" s="20">
        <v>254.8</v>
      </c>
      <c r="D37" s="12"/>
    </row>
    <row r="38" spans="1:7" ht="12.6" customHeight="1" x14ac:dyDescent="0.2">
      <c r="A38" s="10" t="s">
        <v>388</v>
      </c>
      <c r="B38" s="19" t="s">
        <v>302</v>
      </c>
      <c r="C38" s="20">
        <v>360</v>
      </c>
      <c r="D38" s="12"/>
    </row>
    <row r="39" spans="1:7" ht="12.6" customHeight="1" x14ac:dyDescent="0.2">
      <c r="A39" s="25" t="s">
        <v>389</v>
      </c>
      <c r="B39" s="19" t="s">
        <v>552</v>
      </c>
      <c r="C39" s="29">
        <v>19.899999999999999</v>
      </c>
      <c r="D39" s="12"/>
    </row>
    <row r="40" spans="1:7" ht="12.6" customHeight="1" x14ac:dyDescent="0.2">
      <c r="A40" s="25" t="s">
        <v>390</v>
      </c>
      <c r="B40" s="19" t="s">
        <v>303</v>
      </c>
      <c r="C40" s="20">
        <v>47.9</v>
      </c>
      <c r="D40" s="12"/>
    </row>
    <row r="41" spans="1:7" ht="12.6" customHeight="1" x14ac:dyDescent="0.2">
      <c r="A41" s="25" t="s">
        <v>391</v>
      </c>
      <c r="B41" s="22" t="s">
        <v>553</v>
      </c>
      <c r="C41" s="20">
        <v>1.2</v>
      </c>
      <c r="D41" s="12"/>
    </row>
    <row r="42" spans="1:7" x14ac:dyDescent="0.2">
      <c r="A42" s="10" t="s">
        <v>392</v>
      </c>
      <c r="B42" s="22" t="s">
        <v>394</v>
      </c>
      <c r="C42" s="20">
        <v>416.4</v>
      </c>
      <c r="D42" s="12"/>
    </row>
    <row r="43" spans="1:7" ht="15.75" customHeight="1" x14ac:dyDescent="0.2">
      <c r="A43" s="25" t="s">
        <v>393</v>
      </c>
      <c r="B43" s="22" t="s">
        <v>304</v>
      </c>
      <c r="C43" s="20">
        <v>1.8</v>
      </c>
      <c r="D43" s="12"/>
    </row>
    <row r="44" spans="1:7" ht="12.75" customHeight="1" x14ac:dyDescent="0.2">
      <c r="A44" s="10" t="s">
        <v>395</v>
      </c>
      <c r="B44" s="22" t="s">
        <v>555</v>
      </c>
      <c r="C44" s="20">
        <v>88.4</v>
      </c>
      <c r="D44" s="12"/>
    </row>
    <row r="45" spans="1:7" ht="26.25" customHeight="1" x14ac:dyDescent="0.2">
      <c r="A45" s="25" t="s">
        <v>396</v>
      </c>
      <c r="B45" s="22" t="s">
        <v>557</v>
      </c>
      <c r="C45" s="20">
        <v>20.2</v>
      </c>
      <c r="D45" s="12"/>
    </row>
    <row r="46" spans="1:7" x14ac:dyDescent="0.2">
      <c r="A46" s="10">
        <v>14</v>
      </c>
      <c r="B46" s="19" t="s">
        <v>397</v>
      </c>
      <c r="C46" s="20">
        <f>18397.8+336.8+208.6</f>
        <v>18943.199999999997</v>
      </c>
      <c r="D46" s="12"/>
      <c r="E46" s="17"/>
      <c r="F46" s="24"/>
      <c r="G46" s="12"/>
    </row>
    <row r="47" spans="1:7" ht="12.6" customHeight="1" x14ac:dyDescent="0.2">
      <c r="A47" s="10">
        <v>15</v>
      </c>
      <c r="B47" s="19" t="s">
        <v>305</v>
      </c>
      <c r="C47" s="30">
        <f>+C48</f>
        <v>688.4</v>
      </c>
      <c r="D47" s="12"/>
      <c r="E47" s="17"/>
      <c r="F47" s="24"/>
      <c r="G47" s="12"/>
    </row>
    <row r="48" spans="1:7" ht="12.6" customHeight="1" x14ac:dyDescent="0.2">
      <c r="A48" s="31" t="s">
        <v>176</v>
      </c>
      <c r="B48" s="22" t="s">
        <v>306</v>
      </c>
      <c r="C48" s="20">
        <v>688.4</v>
      </c>
      <c r="D48" s="12"/>
      <c r="F48" s="24"/>
      <c r="G48" s="12"/>
    </row>
    <row r="49" spans="1:14" ht="12.6" customHeight="1" x14ac:dyDescent="0.2">
      <c r="A49" s="10">
        <v>16</v>
      </c>
      <c r="B49" s="7" t="s">
        <v>307</v>
      </c>
      <c r="C49" s="14">
        <f>SUM(C50:C84)</f>
        <v>12204.4</v>
      </c>
      <c r="D49" s="12"/>
      <c r="E49" s="12"/>
    </row>
    <row r="50" spans="1:14" ht="12.6" customHeight="1" x14ac:dyDescent="0.2">
      <c r="A50" s="10" t="s">
        <v>331</v>
      </c>
      <c r="B50" s="19" t="s">
        <v>620</v>
      </c>
      <c r="C50" s="20">
        <v>261.60000000000002</v>
      </c>
      <c r="D50" s="12"/>
      <c r="E50" s="12"/>
    </row>
    <row r="51" spans="1:14" x14ac:dyDescent="0.2">
      <c r="A51" s="10" t="s">
        <v>563</v>
      </c>
      <c r="B51" s="22" t="s">
        <v>596</v>
      </c>
      <c r="C51" s="20">
        <v>24.7</v>
      </c>
      <c r="E51" s="12"/>
    </row>
    <row r="52" spans="1:14" ht="25.5" x14ac:dyDescent="0.2">
      <c r="A52" s="10" t="s">
        <v>564</v>
      </c>
      <c r="B52" s="22" t="s">
        <v>595</v>
      </c>
      <c r="C52" s="20">
        <f>160.7-1.7</f>
        <v>159</v>
      </c>
      <c r="D52" s="12"/>
      <c r="E52" s="12"/>
      <c r="F52" s="12"/>
    </row>
    <row r="53" spans="1:14" ht="25.5" x14ac:dyDescent="0.2">
      <c r="A53" s="10" t="s">
        <v>581</v>
      </c>
      <c r="B53" s="22" t="s">
        <v>565</v>
      </c>
      <c r="C53" s="20">
        <f>102.6-8.9-4.6</f>
        <v>89.1</v>
      </c>
      <c r="D53" s="12"/>
      <c r="E53" s="12"/>
    </row>
    <row r="54" spans="1:14" x14ac:dyDescent="0.2">
      <c r="A54" s="10" t="s">
        <v>582</v>
      </c>
      <c r="B54" s="22" t="s">
        <v>579</v>
      </c>
      <c r="C54" s="20">
        <f>132.8-65.1-23.1</f>
        <v>44.600000000000016</v>
      </c>
      <c r="D54" s="12"/>
      <c r="E54" s="12"/>
    </row>
    <row r="55" spans="1:14" ht="51" x14ac:dyDescent="0.2">
      <c r="A55" s="10" t="s">
        <v>583</v>
      </c>
      <c r="B55" s="22" t="s">
        <v>597</v>
      </c>
      <c r="C55" s="20">
        <f>0.6+1+1</f>
        <v>2.6</v>
      </c>
      <c r="D55" s="12"/>
      <c r="E55" s="12"/>
    </row>
    <row r="56" spans="1:14" ht="25.5" x14ac:dyDescent="0.2">
      <c r="A56" s="10" t="s">
        <v>584</v>
      </c>
      <c r="B56" s="22" t="s">
        <v>619</v>
      </c>
      <c r="C56" s="20">
        <f>24.9+22.6+16.5+19+23.3+23.7+20.6+23.9+25.9+27.1+28.3+26.1</f>
        <v>281.90000000000003</v>
      </c>
      <c r="D56" s="12"/>
      <c r="E56" s="12"/>
      <c r="F56" s="23"/>
    </row>
    <row r="57" spans="1:14" x14ac:dyDescent="0.2">
      <c r="A57" s="10" t="s">
        <v>594</v>
      </c>
      <c r="B57" s="19" t="s">
        <v>578</v>
      </c>
      <c r="C57" s="20">
        <v>54.6</v>
      </c>
      <c r="D57" s="12"/>
      <c r="E57" s="12"/>
    </row>
    <row r="58" spans="1:14" ht="25.5" customHeight="1" x14ac:dyDescent="0.2">
      <c r="A58" s="10" t="s">
        <v>618</v>
      </c>
      <c r="B58" s="22" t="s">
        <v>580</v>
      </c>
      <c r="C58" s="20">
        <v>282</v>
      </c>
      <c r="D58" s="12"/>
      <c r="E58" s="12"/>
      <c r="F58" s="12"/>
      <c r="G58" s="32"/>
      <c r="H58" s="32"/>
      <c r="I58" s="32"/>
      <c r="J58" s="32"/>
      <c r="K58" s="32"/>
      <c r="L58" s="32"/>
      <c r="M58" s="32"/>
      <c r="N58" s="32"/>
    </row>
    <row r="59" spans="1:14" ht="25.5" x14ac:dyDescent="0.2">
      <c r="A59" s="10" t="s">
        <v>621</v>
      </c>
      <c r="B59" s="22" t="s">
        <v>700</v>
      </c>
      <c r="C59" s="20">
        <v>0.1</v>
      </c>
      <c r="D59" s="12"/>
      <c r="E59" s="12"/>
      <c r="G59" s="32"/>
      <c r="H59" s="32"/>
      <c r="I59" s="32"/>
      <c r="J59" s="32"/>
      <c r="K59" s="32"/>
      <c r="L59" s="32"/>
      <c r="M59" s="32"/>
      <c r="N59" s="32"/>
    </row>
    <row r="60" spans="1:14" x14ac:dyDescent="0.2">
      <c r="A60" s="10" t="s">
        <v>715</v>
      </c>
      <c r="B60" s="22" t="s">
        <v>702</v>
      </c>
      <c r="C60" s="20">
        <v>28.7</v>
      </c>
      <c r="D60" s="12"/>
      <c r="E60" s="12"/>
      <c r="G60" s="32"/>
      <c r="H60" s="32"/>
      <c r="I60" s="32"/>
      <c r="J60" s="32"/>
      <c r="K60" s="32"/>
      <c r="L60" s="32"/>
      <c r="M60" s="32"/>
      <c r="N60" s="32"/>
    </row>
    <row r="61" spans="1:14" ht="25.5" x14ac:dyDescent="0.2">
      <c r="A61" s="10" t="s">
        <v>716</v>
      </c>
      <c r="B61" s="22" t="s">
        <v>705</v>
      </c>
      <c r="C61" s="20">
        <v>18</v>
      </c>
      <c r="D61" s="12"/>
      <c r="E61" s="12"/>
      <c r="G61" s="32"/>
      <c r="H61" s="32"/>
      <c r="I61" s="32"/>
      <c r="J61" s="32"/>
      <c r="K61" s="32"/>
      <c r="L61" s="32"/>
      <c r="M61" s="32"/>
      <c r="N61" s="32"/>
    </row>
    <row r="62" spans="1:14" x14ac:dyDescent="0.2">
      <c r="A62" s="10" t="s">
        <v>717</v>
      </c>
      <c r="B62" s="22" t="s">
        <v>706</v>
      </c>
      <c r="C62" s="20">
        <f>300+484</f>
        <v>784</v>
      </c>
      <c r="D62" s="12"/>
      <c r="E62" s="12"/>
      <c r="G62" s="32"/>
      <c r="H62" s="32"/>
      <c r="I62" s="32"/>
      <c r="J62" s="32"/>
      <c r="K62" s="32"/>
      <c r="L62" s="32"/>
      <c r="M62" s="32"/>
      <c r="N62" s="32"/>
    </row>
    <row r="63" spans="1:14" x14ac:dyDescent="0.2">
      <c r="A63" s="10" t="s">
        <v>718</v>
      </c>
      <c r="B63" s="22" t="s">
        <v>714</v>
      </c>
      <c r="C63" s="20">
        <f>2878.6+117</f>
        <v>2995.6</v>
      </c>
      <c r="D63" s="12"/>
      <c r="E63" s="12"/>
      <c r="G63" s="32"/>
      <c r="H63" s="32"/>
      <c r="I63" s="32"/>
      <c r="J63" s="32"/>
      <c r="K63" s="32"/>
      <c r="L63" s="32"/>
      <c r="M63" s="32"/>
      <c r="N63" s="32"/>
    </row>
    <row r="64" spans="1:14" ht="25.5" x14ac:dyDescent="0.2">
      <c r="A64" s="10" t="s">
        <v>719</v>
      </c>
      <c r="B64" s="22" t="s">
        <v>731</v>
      </c>
      <c r="C64" s="20">
        <v>232</v>
      </c>
      <c r="D64" s="12"/>
      <c r="E64" s="12"/>
      <c r="G64" s="32"/>
      <c r="H64" s="32"/>
      <c r="I64" s="32"/>
      <c r="J64" s="32"/>
      <c r="K64" s="32"/>
      <c r="L64" s="32"/>
      <c r="M64" s="32"/>
      <c r="N64" s="32"/>
    </row>
    <row r="65" spans="1:14" ht="25.5" x14ac:dyDescent="0.2">
      <c r="A65" s="10" t="s">
        <v>721</v>
      </c>
      <c r="B65" s="22" t="s">
        <v>720</v>
      </c>
      <c r="C65" s="20">
        <f>18.5+18.7+38.8+20</f>
        <v>96</v>
      </c>
      <c r="D65" s="12"/>
      <c r="E65" s="12"/>
      <c r="G65" s="32"/>
      <c r="H65" s="32"/>
      <c r="I65" s="32"/>
      <c r="J65" s="32"/>
      <c r="K65" s="32"/>
      <c r="L65" s="32"/>
      <c r="M65" s="32"/>
      <c r="N65" s="32"/>
    </row>
    <row r="66" spans="1:14" ht="25.5" customHeight="1" x14ac:dyDescent="0.2">
      <c r="A66" s="10" t="s">
        <v>722</v>
      </c>
      <c r="B66" s="22" t="s">
        <v>723</v>
      </c>
      <c r="C66" s="20">
        <v>14.1</v>
      </c>
      <c r="D66" s="12"/>
      <c r="E66" s="12"/>
      <c r="G66" s="32"/>
      <c r="H66" s="32"/>
      <c r="I66" s="32"/>
      <c r="J66" s="32"/>
      <c r="K66" s="32"/>
      <c r="L66" s="32"/>
      <c r="M66" s="32"/>
      <c r="N66" s="32"/>
    </row>
    <row r="67" spans="1:14" ht="25.5" customHeight="1" x14ac:dyDescent="0.2">
      <c r="A67" s="10" t="s">
        <v>724</v>
      </c>
      <c r="B67" s="22" t="s">
        <v>733</v>
      </c>
      <c r="C67" s="20">
        <f>1639.3+639.7+78.7+404.8</f>
        <v>2762.5</v>
      </c>
      <c r="D67" s="12"/>
      <c r="E67" s="12"/>
      <c r="G67" s="32"/>
      <c r="H67" s="32"/>
      <c r="I67" s="32"/>
      <c r="J67" s="32"/>
      <c r="K67" s="32"/>
      <c r="L67" s="32"/>
      <c r="M67" s="32"/>
      <c r="N67" s="32"/>
    </row>
    <row r="68" spans="1:14" ht="25.5" customHeight="1" x14ac:dyDescent="0.2">
      <c r="A68" s="10" t="s">
        <v>748</v>
      </c>
      <c r="B68" s="22" t="s">
        <v>755</v>
      </c>
      <c r="C68" s="20">
        <v>300</v>
      </c>
      <c r="D68" s="12"/>
      <c r="E68" s="12"/>
      <c r="G68" s="32"/>
      <c r="H68" s="32"/>
      <c r="I68" s="32"/>
      <c r="J68" s="32"/>
      <c r="K68" s="32"/>
      <c r="L68" s="32"/>
      <c r="M68" s="32"/>
      <c r="N68" s="32"/>
    </row>
    <row r="69" spans="1:14" ht="25.5" customHeight="1" x14ac:dyDescent="0.2">
      <c r="A69" s="10" t="s">
        <v>749</v>
      </c>
      <c r="B69" s="22" t="s">
        <v>735</v>
      </c>
      <c r="C69" s="20">
        <f>8.6+10.5+4.1+3.5</f>
        <v>26.700000000000003</v>
      </c>
      <c r="D69" s="12"/>
      <c r="E69" s="12"/>
      <c r="G69" s="32"/>
      <c r="H69" s="32"/>
      <c r="I69" s="32"/>
      <c r="J69" s="32"/>
      <c r="K69" s="32"/>
      <c r="L69" s="32"/>
      <c r="M69" s="32"/>
      <c r="N69" s="32"/>
    </row>
    <row r="70" spans="1:14" ht="25.5" customHeight="1" x14ac:dyDescent="0.2">
      <c r="A70" s="10" t="s">
        <v>750</v>
      </c>
      <c r="B70" s="22" t="s">
        <v>737</v>
      </c>
      <c r="C70" s="20">
        <v>13.6</v>
      </c>
      <c r="D70" s="12"/>
      <c r="E70" s="12"/>
      <c r="G70" s="32"/>
      <c r="H70" s="32"/>
      <c r="I70" s="32"/>
      <c r="J70" s="32"/>
      <c r="K70" s="32"/>
      <c r="L70" s="32"/>
      <c r="M70" s="32"/>
      <c r="N70" s="32"/>
    </row>
    <row r="71" spans="1:14" ht="25.5" customHeight="1" x14ac:dyDescent="0.2">
      <c r="A71" s="10" t="s">
        <v>751</v>
      </c>
      <c r="B71" s="22" t="s">
        <v>739</v>
      </c>
      <c r="C71" s="20">
        <v>15.4</v>
      </c>
      <c r="D71" s="12"/>
      <c r="E71" s="12"/>
      <c r="G71" s="32"/>
      <c r="H71" s="32"/>
      <c r="I71" s="32"/>
      <c r="J71" s="32"/>
      <c r="K71" s="32"/>
      <c r="L71" s="32"/>
      <c r="M71" s="32"/>
      <c r="N71" s="32"/>
    </row>
    <row r="72" spans="1:14" ht="25.5" customHeight="1" x14ac:dyDescent="0.2">
      <c r="A72" s="10" t="s">
        <v>752</v>
      </c>
      <c r="B72" s="22" t="s">
        <v>741</v>
      </c>
      <c r="C72" s="20">
        <v>27.8</v>
      </c>
      <c r="D72" s="12"/>
      <c r="E72" s="12"/>
      <c r="G72" s="32"/>
      <c r="H72" s="32"/>
      <c r="I72" s="32"/>
      <c r="J72" s="32"/>
      <c r="K72" s="32"/>
      <c r="L72" s="32"/>
      <c r="M72" s="32"/>
      <c r="N72" s="32"/>
    </row>
    <row r="73" spans="1:14" ht="25.5" customHeight="1" x14ac:dyDescent="0.2">
      <c r="A73" s="10" t="s">
        <v>753</v>
      </c>
      <c r="B73" s="22" t="s">
        <v>757</v>
      </c>
      <c r="C73" s="20">
        <v>30</v>
      </c>
      <c r="D73" s="12"/>
      <c r="E73" s="12"/>
      <c r="G73" s="32"/>
      <c r="H73" s="32"/>
      <c r="I73" s="32"/>
      <c r="J73" s="32"/>
      <c r="K73" s="32"/>
      <c r="L73" s="32"/>
      <c r="M73" s="32"/>
      <c r="N73" s="32"/>
    </row>
    <row r="74" spans="1:14" ht="25.5" customHeight="1" x14ac:dyDescent="0.2">
      <c r="A74" s="10" t="s">
        <v>754</v>
      </c>
      <c r="B74" s="22" t="s">
        <v>761</v>
      </c>
      <c r="C74" s="20">
        <v>32</v>
      </c>
      <c r="D74" s="12"/>
      <c r="E74" s="12"/>
      <c r="G74" s="32"/>
      <c r="H74" s="32"/>
      <c r="I74" s="32"/>
      <c r="J74" s="32"/>
      <c r="K74" s="32"/>
      <c r="L74" s="32"/>
      <c r="M74" s="32"/>
      <c r="N74" s="32"/>
    </row>
    <row r="75" spans="1:14" ht="51" x14ac:dyDescent="0.2">
      <c r="A75" s="10" t="s">
        <v>756</v>
      </c>
      <c r="B75" s="22" t="s">
        <v>783</v>
      </c>
      <c r="C75" s="20">
        <f>5.8+10.2+7.8+9.9</f>
        <v>33.700000000000003</v>
      </c>
      <c r="D75" s="12"/>
      <c r="E75" s="12"/>
      <c r="G75" s="32"/>
      <c r="H75" s="32"/>
      <c r="I75" s="32"/>
      <c r="J75" s="32"/>
      <c r="K75" s="32"/>
      <c r="L75" s="32"/>
      <c r="M75" s="32"/>
      <c r="N75" s="32"/>
    </row>
    <row r="76" spans="1:14" ht="51" x14ac:dyDescent="0.2">
      <c r="A76" s="10" t="s">
        <v>764</v>
      </c>
      <c r="B76" s="22" t="s">
        <v>784</v>
      </c>
      <c r="C76" s="20">
        <f>51.7+46+47.5+49.7</f>
        <v>194.89999999999998</v>
      </c>
      <c r="D76" s="12"/>
      <c r="E76" s="12"/>
      <c r="G76" s="32"/>
      <c r="H76" s="32"/>
      <c r="I76" s="32"/>
      <c r="J76" s="32"/>
      <c r="K76" s="32"/>
      <c r="L76" s="32"/>
      <c r="M76" s="32"/>
      <c r="N76" s="32"/>
    </row>
    <row r="77" spans="1:14" ht="51" x14ac:dyDescent="0.2">
      <c r="A77" s="10" t="s">
        <v>765</v>
      </c>
      <c r="B77" s="22" t="s">
        <v>785</v>
      </c>
      <c r="C77" s="20">
        <f>0.4+0.6+0.6+1</f>
        <v>2.6</v>
      </c>
      <c r="D77" s="12"/>
      <c r="E77" s="12"/>
      <c r="G77" s="32"/>
      <c r="H77" s="32"/>
      <c r="I77" s="32"/>
      <c r="J77" s="32"/>
      <c r="K77" s="32"/>
      <c r="L77" s="32"/>
      <c r="M77" s="32"/>
      <c r="N77" s="32"/>
    </row>
    <row r="78" spans="1:14" ht="25.5" x14ac:dyDescent="0.2">
      <c r="A78" s="10" t="s">
        <v>766</v>
      </c>
      <c r="B78" s="22" t="s">
        <v>769</v>
      </c>
      <c r="C78" s="20">
        <v>147.19999999999999</v>
      </c>
      <c r="D78" s="12"/>
      <c r="E78" s="12"/>
      <c r="G78" s="32"/>
      <c r="H78" s="32"/>
      <c r="I78" s="32"/>
      <c r="J78" s="32"/>
      <c r="K78" s="32"/>
      <c r="L78" s="32"/>
      <c r="M78" s="32"/>
      <c r="N78" s="32"/>
    </row>
    <row r="79" spans="1:14" ht="38.25" x14ac:dyDescent="0.2">
      <c r="A79" s="10" t="s">
        <v>768</v>
      </c>
      <c r="B79" s="22" t="s">
        <v>776</v>
      </c>
      <c r="C79" s="20">
        <f>1482.4-753</f>
        <v>729.40000000000009</v>
      </c>
      <c r="D79" s="12"/>
      <c r="E79" s="12"/>
      <c r="G79" s="32"/>
      <c r="H79" s="32"/>
      <c r="I79" s="32"/>
      <c r="J79" s="32"/>
      <c r="K79" s="32"/>
      <c r="L79" s="32"/>
      <c r="M79" s="32"/>
      <c r="N79" s="32"/>
    </row>
    <row r="80" spans="1:14" ht="25.5" x14ac:dyDescent="0.2">
      <c r="A80" s="10" t="s">
        <v>771</v>
      </c>
      <c r="B80" s="22" t="s">
        <v>773</v>
      </c>
      <c r="C80" s="20">
        <v>2496.5</v>
      </c>
      <c r="D80" s="12"/>
      <c r="E80" s="12"/>
      <c r="G80" s="32"/>
      <c r="H80" s="32"/>
      <c r="I80" s="32"/>
      <c r="J80" s="32"/>
      <c r="K80" s="32"/>
      <c r="L80" s="32"/>
      <c r="M80" s="32"/>
      <c r="N80" s="32"/>
    </row>
    <row r="81" spans="1:14" ht="38.25" x14ac:dyDescent="0.2">
      <c r="A81" s="10" t="s">
        <v>772</v>
      </c>
      <c r="B81" s="22" t="s">
        <v>790</v>
      </c>
      <c r="C81" s="20">
        <f>0.5+0.3+0.2</f>
        <v>1</v>
      </c>
      <c r="D81" s="12"/>
      <c r="E81" s="12"/>
      <c r="G81" s="32"/>
      <c r="H81" s="32"/>
      <c r="I81" s="32"/>
      <c r="J81" s="32"/>
      <c r="K81" s="32"/>
      <c r="L81" s="32"/>
      <c r="M81" s="32"/>
      <c r="N81" s="32"/>
    </row>
    <row r="82" spans="1:14" x14ac:dyDescent="0.2">
      <c r="A82" s="10" t="s">
        <v>789</v>
      </c>
      <c r="B82" s="22" t="s">
        <v>796</v>
      </c>
      <c r="C82" s="20">
        <v>6.3</v>
      </c>
      <c r="D82" s="12"/>
      <c r="E82" s="12"/>
      <c r="G82" s="32"/>
      <c r="H82" s="32"/>
      <c r="I82" s="32"/>
      <c r="J82" s="32"/>
      <c r="K82" s="32"/>
      <c r="L82" s="32"/>
      <c r="M82" s="32"/>
      <c r="N82" s="32"/>
    </row>
    <row r="83" spans="1:14" x14ac:dyDescent="0.2">
      <c r="A83" s="10" t="s">
        <v>795</v>
      </c>
      <c r="B83" s="22" t="s">
        <v>803</v>
      </c>
      <c r="C83" s="20">
        <v>7.3</v>
      </c>
      <c r="D83" s="12"/>
      <c r="E83" s="12"/>
      <c r="G83" s="32"/>
      <c r="H83" s="32"/>
      <c r="I83" s="32"/>
      <c r="J83" s="32"/>
      <c r="K83" s="32"/>
      <c r="L83" s="32"/>
      <c r="M83" s="32"/>
      <c r="N83" s="32"/>
    </row>
    <row r="84" spans="1:14" ht="25.5" x14ac:dyDescent="0.2">
      <c r="A84" s="10" t="s">
        <v>800</v>
      </c>
      <c r="B84" s="22" t="s">
        <v>834</v>
      </c>
      <c r="C84" s="20">
        <v>8.9</v>
      </c>
      <c r="D84" s="12"/>
      <c r="E84" s="12"/>
      <c r="G84" s="32"/>
      <c r="H84" s="32"/>
      <c r="I84" s="32"/>
      <c r="J84" s="32"/>
      <c r="K84" s="32"/>
      <c r="L84" s="32"/>
      <c r="M84" s="32"/>
      <c r="N84" s="32"/>
    </row>
    <row r="85" spans="1:14" x14ac:dyDescent="0.2">
      <c r="A85" s="10">
        <v>17</v>
      </c>
      <c r="B85" s="7" t="s">
        <v>398</v>
      </c>
      <c r="C85" s="14">
        <f>C86+C91+C95+C98+C99+C101</f>
        <v>5006.5</v>
      </c>
      <c r="D85" s="12"/>
      <c r="G85" s="13"/>
    </row>
    <row r="86" spans="1:14" x14ac:dyDescent="0.2">
      <c r="A86" s="10">
        <v>18</v>
      </c>
      <c r="B86" s="7" t="s">
        <v>399</v>
      </c>
      <c r="C86" s="14">
        <f>C88+C89+C90+C87</f>
        <v>720</v>
      </c>
      <c r="D86" s="17"/>
    </row>
    <row r="87" spans="1:14" x14ac:dyDescent="0.2">
      <c r="A87" s="10">
        <v>19</v>
      </c>
      <c r="B87" s="33" t="s">
        <v>308</v>
      </c>
      <c r="C87" s="20">
        <v>20</v>
      </c>
      <c r="D87" s="12"/>
    </row>
    <row r="88" spans="1:14" ht="25.5" x14ac:dyDescent="0.2">
      <c r="A88" s="10">
        <v>20</v>
      </c>
      <c r="B88" s="22" t="s">
        <v>309</v>
      </c>
      <c r="C88" s="20">
        <v>600</v>
      </c>
      <c r="D88" s="12"/>
    </row>
    <row r="89" spans="1:14" x14ac:dyDescent="0.2">
      <c r="A89" s="10">
        <v>21</v>
      </c>
      <c r="B89" s="19" t="s">
        <v>310</v>
      </c>
      <c r="C89" s="20">
        <v>50</v>
      </c>
      <c r="D89" s="17"/>
    </row>
    <row r="90" spans="1:14" x14ac:dyDescent="0.2">
      <c r="A90" s="10">
        <v>22</v>
      </c>
      <c r="B90" s="34" t="s">
        <v>183</v>
      </c>
      <c r="C90" s="20">
        <v>50</v>
      </c>
      <c r="D90" s="17"/>
    </row>
    <row r="91" spans="1:14" x14ac:dyDescent="0.2">
      <c r="A91" s="10">
        <v>23</v>
      </c>
      <c r="B91" s="7" t="s">
        <v>400</v>
      </c>
      <c r="C91" s="14">
        <f>+C93+C92+C94</f>
        <v>2157.5</v>
      </c>
      <c r="D91" s="12"/>
    </row>
    <row r="92" spans="1:14" x14ac:dyDescent="0.2">
      <c r="A92" s="10">
        <v>24</v>
      </c>
      <c r="B92" s="19" t="s">
        <v>311</v>
      </c>
      <c r="C92" s="20">
        <f>259.1+20.4</f>
        <v>279.5</v>
      </c>
      <c r="D92" s="12"/>
      <c r="E92" s="17"/>
      <c r="F92" s="24"/>
    </row>
    <row r="93" spans="1:14" x14ac:dyDescent="0.2">
      <c r="A93" s="10">
        <v>25</v>
      </c>
      <c r="B93" s="19" t="s">
        <v>312</v>
      </c>
      <c r="C93" s="20">
        <f>148.7+4.9</f>
        <v>153.6</v>
      </c>
      <c r="D93" s="12"/>
      <c r="E93" s="17"/>
      <c r="F93" s="24"/>
    </row>
    <row r="94" spans="1:14" x14ac:dyDescent="0.2">
      <c r="A94" s="10">
        <v>26</v>
      </c>
      <c r="B94" s="19" t="s">
        <v>313</v>
      </c>
      <c r="C94" s="20">
        <f>1675.2+49.2</f>
        <v>1724.4</v>
      </c>
      <c r="D94" s="12"/>
      <c r="E94" s="17"/>
      <c r="F94" s="24"/>
    </row>
    <row r="95" spans="1:14" x14ac:dyDescent="0.2">
      <c r="A95" s="10">
        <v>27</v>
      </c>
      <c r="B95" s="7" t="s">
        <v>401</v>
      </c>
      <c r="C95" s="11">
        <f>+C96+C97</f>
        <v>1745</v>
      </c>
      <c r="D95" s="12"/>
      <c r="E95" s="24"/>
      <c r="F95" s="24"/>
    </row>
    <row r="96" spans="1:14" x14ac:dyDescent="0.2">
      <c r="A96" s="10">
        <v>28</v>
      </c>
      <c r="B96" s="19" t="s">
        <v>314</v>
      </c>
      <c r="C96" s="20">
        <v>45</v>
      </c>
      <c r="D96" s="12"/>
      <c r="G96" s="13"/>
    </row>
    <row r="97" spans="1:8" x14ac:dyDescent="0.2">
      <c r="A97" s="10">
        <v>29</v>
      </c>
      <c r="B97" s="19" t="s">
        <v>315</v>
      </c>
      <c r="C97" s="20">
        <f>1600+100</f>
        <v>1700</v>
      </c>
      <c r="E97" s="17"/>
    </row>
    <row r="98" spans="1:8" x14ac:dyDescent="0.2">
      <c r="A98" s="10">
        <v>30</v>
      </c>
      <c r="B98" s="7" t="s">
        <v>316</v>
      </c>
      <c r="C98" s="14">
        <v>50</v>
      </c>
      <c r="D98" s="12"/>
      <c r="E98" s="24"/>
      <c r="F98" s="24"/>
    </row>
    <row r="99" spans="1:8" x14ac:dyDescent="0.2">
      <c r="A99" s="10">
        <v>31</v>
      </c>
      <c r="B99" s="7" t="s">
        <v>589</v>
      </c>
      <c r="C99" s="14">
        <f>8+C100</f>
        <v>233</v>
      </c>
      <c r="D99" s="12"/>
      <c r="E99" s="12"/>
    </row>
    <row r="100" spans="1:8" x14ac:dyDescent="0.2">
      <c r="A100" s="10" t="s">
        <v>469</v>
      </c>
      <c r="B100" s="19" t="s">
        <v>588</v>
      </c>
      <c r="C100" s="20">
        <v>225</v>
      </c>
      <c r="D100" s="12"/>
      <c r="E100" s="12"/>
    </row>
    <row r="101" spans="1:8" x14ac:dyDescent="0.2">
      <c r="A101" s="10">
        <v>32</v>
      </c>
      <c r="B101" s="7" t="s">
        <v>317</v>
      </c>
      <c r="C101" s="14">
        <v>101</v>
      </c>
      <c r="D101" s="12"/>
    </row>
    <row r="102" spans="1:8" ht="13.5" x14ac:dyDescent="0.25">
      <c r="A102" s="10">
        <v>33</v>
      </c>
      <c r="B102" s="35" t="s">
        <v>402</v>
      </c>
      <c r="C102" s="14">
        <f>+C8+C17+C85</f>
        <v>92750.8</v>
      </c>
      <c r="D102" s="36"/>
      <c r="E102" s="12"/>
      <c r="G102" s="37"/>
      <c r="H102" s="38"/>
    </row>
    <row r="103" spans="1:8" ht="12.6" customHeight="1" x14ac:dyDescent="0.2">
      <c r="A103" s="10">
        <v>34</v>
      </c>
      <c r="B103" s="16" t="s">
        <v>318</v>
      </c>
      <c r="C103" s="11">
        <f>1836.7+426+532+1046</f>
        <v>3840.7</v>
      </c>
      <c r="D103" s="21"/>
      <c r="F103" s="12"/>
    </row>
    <row r="104" spans="1:8" ht="12.6" customHeight="1" x14ac:dyDescent="0.2">
      <c r="A104" s="10">
        <v>35</v>
      </c>
      <c r="B104" s="35" t="s">
        <v>403</v>
      </c>
      <c r="C104" s="14">
        <f>+C102+C103</f>
        <v>96591.5</v>
      </c>
      <c r="D104" s="12"/>
      <c r="E104" s="12"/>
      <c r="F104" s="12"/>
      <c r="G104" s="12"/>
    </row>
    <row r="105" spans="1:8" ht="12.6" customHeight="1" x14ac:dyDescent="0.2">
      <c r="A105" s="10">
        <v>36</v>
      </c>
      <c r="B105" s="7" t="s">
        <v>467</v>
      </c>
      <c r="C105" s="14">
        <f>+C106+C108+C107+C109+C110+C111+C112+C113+C114</f>
        <v>7372.4</v>
      </c>
      <c r="E105" s="12"/>
      <c r="F105" s="12"/>
      <c r="G105" s="12"/>
    </row>
    <row r="106" spans="1:8" x14ac:dyDescent="0.2">
      <c r="A106" s="10">
        <v>37</v>
      </c>
      <c r="B106" s="19" t="s">
        <v>319</v>
      </c>
      <c r="C106" s="20">
        <v>6100.4</v>
      </c>
      <c r="D106" s="12"/>
      <c r="E106" s="12"/>
      <c r="F106" s="23"/>
      <c r="G106" s="23"/>
      <c r="H106" s="13"/>
    </row>
    <row r="107" spans="1:8" ht="12.6" customHeight="1" x14ac:dyDescent="0.2">
      <c r="A107" s="10">
        <v>38</v>
      </c>
      <c r="B107" s="19" t="s">
        <v>320</v>
      </c>
      <c r="C107" s="20">
        <v>109.5</v>
      </c>
      <c r="D107" s="17"/>
      <c r="E107" s="17"/>
      <c r="F107" s="12"/>
      <c r="G107" s="12"/>
    </row>
    <row r="108" spans="1:8" ht="12.6" customHeight="1" x14ac:dyDescent="0.2">
      <c r="A108" s="10">
        <v>39</v>
      </c>
      <c r="B108" s="19" t="s">
        <v>321</v>
      </c>
      <c r="C108" s="20">
        <v>49.3</v>
      </c>
      <c r="D108" s="17"/>
      <c r="E108" s="17"/>
      <c r="F108" s="12"/>
      <c r="G108" s="12"/>
    </row>
    <row r="109" spans="1:8" ht="12.6" customHeight="1" x14ac:dyDescent="0.2">
      <c r="A109" s="10">
        <v>40</v>
      </c>
      <c r="B109" s="22" t="s">
        <v>322</v>
      </c>
      <c r="C109" s="20">
        <v>193.8</v>
      </c>
      <c r="D109" s="17"/>
      <c r="E109" s="17"/>
      <c r="F109" s="12"/>
      <c r="G109" s="12"/>
    </row>
    <row r="110" spans="1:8" ht="12.6" customHeight="1" x14ac:dyDescent="0.2">
      <c r="A110" s="10">
        <v>41</v>
      </c>
      <c r="B110" s="19" t="s">
        <v>323</v>
      </c>
      <c r="C110" s="20">
        <v>331.2</v>
      </c>
      <c r="D110" s="12"/>
      <c r="G110" s="12"/>
    </row>
    <row r="111" spans="1:8" ht="12.6" customHeight="1" x14ac:dyDescent="0.2">
      <c r="A111" s="10">
        <v>42</v>
      </c>
      <c r="B111" s="19" t="s">
        <v>324</v>
      </c>
      <c r="C111" s="20">
        <v>13</v>
      </c>
      <c r="D111" s="12"/>
      <c r="E111" s="17"/>
      <c r="F111" s="12"/>
      <c r="G111" s="12"/>
    </row>
    <row r="112" spans="1:8" ht="12.6" customHeight="1" x14ac:dyDescent="0.2">
      <c r="A112" s="10">
        <v>43</v>
      </c>
      <c r="B112" s="19" t="s">
        <v>325</v>
      </c>
      <c r="C112" s="20">
        <f>+(224.1+69.8-57.3)+(295.8+10.2-181)</f>
        <v>361.59999999999997</v>
      </c>
      <c r="D112" s="12"/>
      <c r="E112" s="39"/>
      <c r="F112" s="12"/>
      <c r="G112" s="12"/>
    </row>
    <row r="113" spans="1:11" ht="12.6" customHeight="1" x14ac:dyDescent="0.2">
      <c r="A113" s="10">
        <v>44</v>
      </c>
      <c r="B113" s="28" t="s">
        <v>288</v>
      </c>
      <c r="C113" s="20">
        <v>213.2</v>
      </c>
      <c r="D113" s="12"/>
      <c r="E113" s="17"/>
      <c r="F113" s="17"/>
      <c r="G113" s="12"/>
      <c r="K113" s="13"/>
    </row>
    <row r="114" spans="1:11" ht="12.6" customHeight="1" x14ac:dyDescent="0.2">
      <c r="A114" s="10">
        <v>45</v>
      </c>
      <c r="B114" s="28" t="s">
        <v>326</v>
      </c>
      <c r="C114" s="20">
        <v>0.4</v>
      </c>
      <c r="D114" s="12"/>
      <c r="E114" s="17"/>
      <c r="F114" s="17"/>
      <c r="G114" s="12"/>
    </row>
    <row r="115" spans="1:11" ht="12.6" customHeight="1" x14ac:dyDescent="0.2">
      <c r="A115" s="10">
        <v>46</v>
      </c>
      <c r="B115" s="35" t="s">
        <v>327</v>
      </c>
      <c r="C115" s="40">
        <f>+C104+C105</f>
        <v>103963.9</v>
      </c>
      <c r="D115" s="18"/>
      <c r="E115" s="18"/>
      <c r="G115" s="13"/>
    </row>
    <row r="116" spans="1:11" ht="12.6" customHeight="1" x14ac:dyDescent="0.2">
      <c r="A116" s="1"/>
      <c r="B116" s="41" t="s">
        <v>328</v>
      </c>
      <c r="C116" s="42"/>
    </row>
    <row r="117" spans="1:11" ht="12.6" customHeight="1" x14ac:dyDescent="0.2">
      <c r="A117" s="1"/>
      <c r="B117" s="41"/>
      <c r="C117" s="21"/>
    </row>
    <row r="118" spans="1:11" ht="12.6" customHeight="1" x14ac:dyDescent="0.2">
      <c r="A118" s="1"/>
      <c r="B118" s="41"/>
      <c r="C118" s="21"/>
    </row>
    <row r="119" spans="1:11" x14ac:dyDescent="0.2">
      <c r="B119" s="43"/>
      <c r="G119" s="13"/>
    </row>
    <row r="120" spans="1:11" x14ac:dyDescent="0.2">
      <c r="B120" s="43"/>
      <c r="C120" s="21"/>
      <c r="G120" s="13"/>
    </row>
    <row r="121" spans="1:11" x14ac:dyDescent="0.2">
      <c r="B121" s="43"/>
      <c r="C121" s="21"/>
      <c r="G121" s="13"/>
    </row>
    <row r="122" spans="1:11" x14ac:dyDescent="0.2">
      <c r="B122" s="43"/>
      <c r="C122" s="21"/>
      <c r="G122" s="13"/>
    </row>
    <row r="123" spans="1:11" x14ac:dyDescent="0.2">
      <c r="B123" s="43"/>
      <c r="C123" s="13"/>
      <c r="D123" s="21"/>
      <c r="F123" s="12"/>
      <c r="G123" s="13"/>
    </row>
    <row r="124" spans="1:11" x14ac:dyDescent="0.2">
      <c r="B124" s="43"/>
      <c r="C124" s="21"/>
      <c r="D124" s="13"/>
    </row>
    <row r="125" spans="1:11" ht="15.75" x14ac:dyDescent="0.25">
      <c r="B125" s="44"/>
      <c r="C125" s="45"/>
      <c r="G125" s="13"/>
    </row>
    <row r="131" spans="5:7" x14ac:dyDescent="0.2">
      <c r="G131" s="13"/>
    </row>
    <row r="133" spans="5:7" ht="12" customHeight="1" x14ac:dyDescent="0.2"/>
    <row r="134" spans="5:7" ht="12" customHeight="1" x14ac:dyDescent="0.2"/>
    <row r="135" spans="5:7" ht="12" customHeight="1" x14ac:dyDescent="0.2"/>
    <row r="136" spans="5:7" ht="12" customHeight="1" x14ac:dyDescent="0.2"/>
    <row r="137" spans="5:7" ht="12" customHeight="1" x14ac:dyDescent="0.2"/>
    <row r="138" spans="5:7" ht="12" customHeight="1" x14ac:dyDescent="0.2"/>
    <row r="139" spans="5:7" ht="12" customHeight="1" x14ac:dyDescent="0.2"/>
    <row r="140" spans="5:7" ht="12" customHeight="1" x14ac:dyDescent="0.2"/>
    <row r="141" spans="5:7" x14ac:dyDescent="0.2">
      <c r="E141" s="26"/>
    </row>
  </sheetData>
  <mergeCells count="3">
    <mergeCell ref="A3:C3"/>
    <mergeCell ref="B1:C1"/>
    <mergeCell ref="B2:C2"/>
  </mergeCells>
  <phoneticPr fontId="13" type="noConversion"/>
  <pageMargins left="0.31496062992125984" right="0" top="0.35433070866141736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M336"/>
  <sheetViews>
    <sheetView zoomScaleNormal="100" workbookViewId="0">
      <selection activeCell="E285" sqref="E285"/>
    </sheetView>
  </sheetViews>
  <sheetFormatPr defaultColWidth="9.140625" defaultRowHeight="12.75" x14ac:dyDescent="0.2"/>
  <cols>
    <col min="1" max="1" width="5.85546875" style="46" customWidth="1"/>
    <col min="2" max="2" width="6.7109375" style="47" customWidth="1"/>
    <col min="3" max="3" width="51.28515625" style="9" customWidth="1"/>
    <col min="4" max="4" width="11.42578125" style="48" customWidth="1"/>
    <col min="5" max="5" width="9.7109375" style="9" customWidth="1"/>
    <col min="6" max="6" width="11" style="9" customWidth="1"/>
    <col min="7" max="12" width="9.140625" style="2" customWidth="1"/>
    <col min="13" max="16384" width="9.140625" style="2"/>
  </cols>
  <sheetData>
    <row r="1" spans="1:11" ht="15.75" customHeight="1" x14ac:dyDescent="0.25">
      <c r="C1" s="208" t="s">
        <v>799</v>
      </c>
      <c r="D1" s="208"/>
      <c r="E1" s="208"/>
      <c r="F1" s="208"/>
    </row>
    <row r="2" spans="1:11" ht="15.75" x14ac:dyDescent="0.25">
      <c r="C2" s="208" t="s">
        <v>840</v>
      </c>
      <c r="D2" s="208"/>
      <c r="E2" s="208"/>
      <c r="F2" s="208"/>
    </row>
    <row r="3" spans="1:11" ht="14.25" customHeight="1" x14ac:dyDescent="0.2">
      <c r="B3" s="48"/>
      <c r="E3" s="209" t="s">
        <v>115</v>
      </c>
      <c r="F3" s="209"/>
      <c r="K3" s="50"/>
    </row>
    <row r="4" spans="1:11" ht="15.75" x14ac:dyDescent="0.2">
      <c r="B4" s="48"/>
      <c r="E4" s="49"/>
      <c r="F4" s="49"/>
    </row>
    <row r="5" spans="1:11" ht="25.5" customHeight="1" x14ac:dyDescent="0.2">
      <c r="A5" s="210" t="s">
        <v>422</v>
      </c>
      <c r="B5" s="210"/>
      <c r="C5" s="210"/>
      <c r="D5" s="210"/>
      <c r="E5" s="210"/>
      <c r="F5" s="210"/>
    </row>
    <row r="6" spans="1:11" x14ac:dyDescent="0.2">
      <c r="A6" s="51"/>
      <c r="B6" s="51"/>
      <c r="C6" s="51"/>
      <c r="D6" s="51"/>
      <c r="E6" s="51"/>
      <c r="F6" s="51"/>
    </row>
    <row r="7" spans="1:11" x14ac:dyDescent="0.2">
      <c r="B7" s="48"/>
      <c r="E7" s="46"/>
      <c r="F7" s="52" t="s">
        <v>129</v>
      </c>
    </row>
    <row r="8" spans="1:11" ht="43.5" customHeight="1" x14ac:dyDescent="0.2">
      <c r="A8" s="53" t="s">
        <v>118</v>
      </c>
      <c r="B8" s="54" t="s">
        <v>337</v>
      </c>
      <c r="C8" s="53" t="s">
        <v>16</v>
      </c>
      <c r="D8" s="54" t="s">
        <v>55</v>
      </c>
      <c r="E8" s="53" t="s">
        <v>17</v>
      </c>
      <c r="F8" s="53" t="s">
        <v>29</v>
      </c>
      <c r="G8" s="12"/>
      <c r="H8" s="12"/>
    </row>
    <row r="9" spans="1:11" x14ac:dyDescent="0.2">
      <c r="A9" s="55">
        <v>1</v>
      </c>
      <c r="B9" s="56" t="s">
        <v>18</v>
      </c>
      <c r="C9" s="53">
        <v>3</v>
      </c>
      <c r="D9" s="54">
        <v>4</v>
      </c>
      <c r="E9" s="53">
        <v>5</v>
      </c>
      <c r="F9" s="53">
        <v>6</v>
      </c>
      <c r="G9" s="12"/>
      <c r="H9" s="12"/>
    </row>
    <row r="10" spans="1:11" ht="20.100000000000001" customHeight="1" x14ac:dyDescent="0.2">
      <c r="A10" s="57">
        <v>1</v>
      </c>
      <c r="B10" s="56" t="s">
        <v>56</v>
      </c>
      <c r="C10" s="58" t="s">
        <v>57</v>
      </c>
      <c r="D10" s="54"/>
      <c r="E10" s="59">
        <f>+E11+E12+E13+E14+E15+E16+E17+E18+E19+E20+E21+E22+E23+E24+E25+E26+E27+E28+E29+E30+E31+E32+E33+E34+E35+E37+E38+E40+E41+E42</f>
        <v>16354.5</v>
      </c>
      <c r="F10" s="59">
        <f>+F11+F12+F13+F14+F15+F16+F17+F18+F19+F20+F21+F22+F23+F24+F25+F26+F27+F28+F29+F30+F31+F32+F33+F34+F35+F37+F38+F40+F41+F42</f>
        <v>11184.099999999999</v>
      </c>
      <c r="G10" s="12"/>
      <c r="H10" s="12"/>
      <c r="I10" s="60"/>
      <c r="J10" s="60"/>
    </row>
    <row r="11" spans="1:11" ht="12.6" customHeight="1" x14ac:dyDescent="0.2">
      <c r="A11" s="57">
        <v>2</v>
      </c>
      <c r="B11" s="61"/>
      <c r="C11" s="62" t="s">
        <v>165</v>
      </c>
      <c r="D11" s="61" t="s">
        <v>58</v>
      </c>
      <c r="E11" s="63">
        <f>447.7+32.9+0.7</f>
        <v>481.29999999999995</v>
      </c>
      <c r="F11" s="63">
        <f>354.9+32.2+12.3+0.7</f>
        <v>400.09999999999997</v>
      </c>
      <c r="G11" s="12"/>
      <c r="H11" s="12"/>
    </row>
    <row r="12" spans="1:11" ht="12.6" customHeight="1" x14ac:dyDescent="0.2">
      <c r="A12" s="57">
        <v>3</v>
      </c>
      <c r="B12" s="61"/>
      <c r="C12" s="62" t="s">
        <v>156</v>
      </c>
      <c r="D12" s="61" t="s">
        <v>58</v>
      </c>
      <c r="E12" s="63">
        <f>486.3+35.9</f>
        <v>522.20000000000005</v>
      </c>
      <c r="F12" s="63">
        <f>387.8+35.2</f>
        <v>423</v>
      </c>
      <c r="G12" s="12"/>
      <c r="H12" s="12"/>
    </row>
    <row r="13" spans="1:11" ht="12.6" customHeight="1" x14ac:dyDescent="0.2">
      <c r="A13" s="57">
        <v>4</v>
      </c>
      <c r="B13" s="61"/>
      <c r="C13" s="62" t="s">
        <v>157</v>
      </c>
      <c r="D13" s="61" t="s">
        <v>58</v>
      </c>
      <c r="E13" s="63">
        <f>448.2+32.6+4.9+1.1</f>
        <v>486.8</v>
      </c>
      <c r="F13" s="63">
        <f>351.9+31.9-21</f>
        <v>362.79999999999995</v>
      </c>
      <c r="G13" s="12"/>
      <c r="H13" s="12"/>
    </row>
    <row r="14" spans="1:11" ht="12.6" customHeight="1" x14ac:dyDescent="0.2">
      <c r="A14" s="57">
        <v>5</v>
      </c>
      <c r="B14" s="61"/>
      <c r="C14" s="62" t="s">
        <v>161</v>
      </c>
      <c r="D14" s="61" t="s">
        <v>58</v>
      </c>
      <c r="E14" s="63">
        <f>450.2+32.7</f>
        <v>482.9</v>
      </c>
      <c r="F14" s="63">
        <f>352.9+32</f>
        <v>384.9</v>
      </c>
      <c r="G14" s="12"/>
      <c r="H14" s="12"/>
    </row>
    <row r="15" spans="1:11" ht="12.6" customHeight="1" x14ac:dyDescent="0.2">
      <c r="A15" s="57">
        <v>6</v>
      </c>
      <c r="B15" s="61"/>
      <c r="C15" s="62" t="s">
        <v>158</v>
      </c>
      <c r="D15" s="61" t="s">
        <v>58</v>
      </c>
      <c r="E15" s="63">
        <f>468.8+34.3+2.1</f>
        <v>505.20000000000005</v>
      </c>
      <c r="F15" s="63">
        <f>369.8+33.6-2</f>
        <v>401.40000000000003</v>
      </c>
      <c r="G15" s="12"/>
      <c r="H15" s="12"/>
    </row>
    <row r="16" spans="1:11" ht="12.6" customHeight="1" x14ac:dyDescent="0.2">
      <c r="A16" s="57">
        <v>7</v>
      </c>
      <c r="B16" s="61"/>
      <c r="C16" s="62" t="s">
        <v>159</v>
      </c>
      <c r="D16" s="61" t="s">
        <v>58</v>
      </c>
      <c r="E16" s="63">
        <f>541.5+40.3+2.9</f>
        <v>584.69999999999993</v>
      </c>
      <c r="F16" s="63">
        <f>435.1+39.5+2.9</f>
        <v>477.5</v>
      </c>
      <c r="G16" s="12"/>
      <c r="H16" s="12"/>
    </row>
    <row r="17" spans="1:8" ht="12.6" customHeight="1" x14ac:dyDescent="0.2">
      <c r="A17" s="57">
        <v>8</v>
      </c>
      <c r="B17" s="61"/>
      <c r="C17" s="62" t="s">
        <v>160</v>
      </c>
      <c r="D17" s="61" t="s">
        <v>58</v>
      </c>
      <c r="E17" s="63">
        <f>510+36.7+0.7</f>
        <v>547.40000000000009</v>
      </c>
      <c r="F17" s="63">
        <f>396.3+36+0.7</f>
        <v>433</v>
      </c>
      <c r="G17" s="12"/>
      <c r="H17" s="12"/>
    </row>
    <row r="18" spans="1:8" ht="12.6" customHeight="1" x14ac:dyDescent="0.2">
      <c r="A18" s="57">
        <v>9</v>
      </c>
      <c r="B18" s="61"/>
      <c r="C18" s="64" t="s">
        <v>184</v>
      </c>
      <c r="D18" s="61" t="s">
        <v>59</v>
      </c>
      <c r="E18" s="63">
        <f>444.6+32.1+1.8</f>
        <v>478.50000000000006</v>
      </c>
      <c r="F18" s="63">
        <f>346.2+31.4-4.9</f>
        <v>372.7</v>
      </c>
      <c r="G18" s="12"/>
      <c r="H18" s="12"/>
    </row>
    <row r="19" spans="1:8" ht="12.6" customHeight="1" x14ac:dyDescent="0.2">
      <c r="A19" s="57">
        <v>10</v>
      </c>
      <c r="B19" s="61"/>
      <c r="C19" s="62" t="s">
        <v>164</v>
      </c>
      <c r="D19" s="61" t="s">
        <v>60</v>
      </c>
      <c r="E19" s="63">
        <f>459.3+28.5+3+1.3+0.9</f>
        <v>493</v>
      </c>
      <c r="F19" s="63">
        <f>307.8+27.9+1.3+0.9</f>
        <v>337.9</v>
      </c>
      <c r="G19" s="12"/>
      <c r="H19" s="12"/>
    </row>
    <row r="20" spans="1:8" ht="25.5" x14ac:dyDescent="0.2">
      <c r="A20" s="57">
        <v>11</v>
      </c>
      <c r="B20" s="61"/>
      <c r="C20" s="62" t="s">
        <v>46</v>
      </c>
      <c r="D20" s="65" t="s">
        <v>119</v>
      </c>
      <c r="E20" s="63">
        <f>420+28.4+1+6-1</f>
        <v>454.4</v>
      </c>
      <c r="F20" s="63">
        <f>258+23.4+3.8+1-1</f>
        <v>285.2</v>
      </c>
      <c r="G20" s="12"/>
      <c r="H20" s="12"/>
    </row>
    <row r="21" spans="1:8" ht="12.6" customHeight="1" x14ac:dyDescent="0.2">
      <c r="A21" s="57">
        <v>12</v>
      </c>
      <c r="B21" s="61"/>
      <c r="C21" s="64" t="s">
        <v>134</v>
      </c>
      <c r="D21" s="61" t="s">
        <v>60</v>
      </c>
      <c r="E21" s="63">
        <f>944.7+63+12.2+78.8-6</f>
        <v>1092.7</v>
      </c>
      <c r="F21" s="63">
        <f>679.6+61.8+12+38.1-1.5-5.9</f>
        <v>784.1</v>
      </c>
      <c r="G21" s="12"/>
      <c r="H21" s="12"/>
    </row>
    <row r="22" spans="1:8" ht="12.6" customHeight="1" x14ac:dyDescent="0.2">
      <c r="A22" s="57">
        <v>13</v>
      </c>
      <c r="B22" s="61"/>
      <c r="C22" s="64" t="s">
        <v>135</v>
      </c>
      <c r="D22" s="61" t="s">
        <v>60</v>
      </c>
      <c r="E22" s="63">
        <f>407+25.9+14.9</f>
        <v>447.79999999999995</v>
      </c>
      <c r="F22" s="63">
        <f>278.6+25.4-2.3+12</f>
        <v>313.7</v>
      </c>
      <c r="G22" s="12"/>
      <c r="H22" s="12"/>
    </row>
    <row r="23" spans="1:8" ht="12.6" customHeight="1" x14ac:dyDescent="0.2">
      <c r="A23" s="57">
        <v>14</v>
      </c>
      <c r="B23" s="61"/>
      <c r="C23" s="64" t="s">
        <v>40</v>
      </c>
      <c r="D23" s="61" t="s">
        <v>60</v>
      </c>
      <c r="E23" s="63">
        <f>948.2+60.7</f>
        <v>1008.9000000000001</v>
      </c>
      <c r="F23" s="63">
        <f>655.1+59.5</f>
        <v>714.6</v>
      </c>
      <c r="G23" s="12"/>
      <c r="H23" s="12"/>
    </row>
    <row r="24" spans="1:8" ht="12.6" customHeight="1" x14ac:dyDescent="0.2">
      <c r="A24" s="57">
        <v>15</v>
      </c>
      <c r="B24" s="61"/>
      <c r="C24" s="62" t="s">
        <v>137</v>
      </c>
      <c r="D24" s="61" t="s">
        <v>60</v>
      </c>
      <c r="E24" s="63">
        <f>672.6+17.5+40.3+1.8+1</f>
        <v>733.19999999999993</v>
      </c>
      <c r="F24" s="63">
        <f>435+39.5+4+1.8+1</f>
        <v>481.3</v>
      </c>
      <c r="G24" s="12"/>
      <c r="H24" s="12"/>
    </row>
    <row r="25" spans="1:8" ht="12.6" customHeight="1" x14ac:dyDescent="0.2">
      <c r="A25" s="57">
        <v>16</v>
      </c>
      <c r="B25" s="61"/>
      <c r="C25" s="64" t="s">
        <v>162</v>
      </c>
      <c r="D25" s="61" t="s">
        <v>61</v>
      </c>
      <c r="E25" s="63">
        <f>638.7+37.1</f>
        <v>675.80000000000007</v>
      </c>
      <c r="F25" s="63">
        <f>400.9+36.4+4</f>
        <v>441.29999999999995</v>
      </c>
      <c r="G25" s="12"/>
      <c r="H25" s="12"/>
    </row>
    <row r="26" spans="1:8" ht="12.6" customHeight="1" x14ac:dyDescent="0.2">
      <c r="A26" s="57">
        <v>17</v>
      </c>
      <c r="B26" s="61"/>
      <c r="C26" s="62" t="s">
        <v>163</v>
      </c>
      <c r="D26" s="61" t="s">
        <v>61</v>
      </c>
      <c r="E26" s="63">
        <f>478.1+29+2.5-0.3</f>
        <v>509.3</v>
      </c>
      <c r="F26" s="63">
        <f>312.5+28.5-1.7+2.5-0.3</f>
        <v>341.5</v>
      </c>
      <c r="G26" s="12"/>
      <c r="H26" s="12"/>
    </row>
    <row r="27" spans="1:8" ht="12.6" customHeight="1" x14ac:dyDescent="0.2">
      <c r="A27" s="57">
        <v>18</v>
      </c>
      <c r="B27" s="61"/>
      <c r="C27" s="64" t="s">
        <v>120</v>
      </c>
      <c r="D27" s="61" t="s">
        <v>61</v>
      </c>
      <c r="E27" s="63">
        <f>485.9+28.8+1.7-1.7</f>
        <v>514.69999999999993</v>
      </c>
      <c r="F27" s="63">
        <f>311.2+28.3+15+1.7-1.7</f>
        <v>354.5</v>
      </c>
      <c r="G27" s="12"/>
      <c r="H27" s="12"/>
    </row>
    <row r="28" spans="1:8" ht="12.6" customHeight="1" x14ac:dyDescent="0.2">
      <c r="A28" s="57">
        <v>19</v>
      </c>
      <c r="B28" s="61"/>
      <c r="C28" s="64" t="s">
        <v>41</v>
      </c>
      <c r="D28" s="61" t="s">
        <v>61</v>
      </c>
      <c r="E28" s="63">
        <f>321.6+19.8</f>
        <v>341.40000000000003</v>
      </c>
      <c r="F28" s="63">
        <f>214+19.4</f>
        <v>233.4</v>
      </c>
      <c r="G28" s="12"/>
      <c r="H28" s="12"/>
    </row>
    <row r="29" spans="1:8" ht="12.6" customHeight="1" x14ac:dyDescent="0.2">
      <c r="A29" s="57">
        <v>20</v>
      </c>
      <c r="B29" s="61"/>
      <c r="C29" s="64" t="s">
        <v>136</v>
      </c>
      <c r="D29" s="61" t="s">
        <v>61</v>
      </c>
      <c r="E29" s="63">
        <f>850.1+52.9+3</f>
        <v>906</v>
      </c>
      <c r="F29" s="63">
        <f>569.7+51.9+2.9</f>
        <v>624.5</v>
      </c>
      <c r="G29" s="12"/>
      <c r="H29" s="12"/>
    </row>
    <row r="30" spans="1:8" ht="12.6" customHeight="1" x14ac:dyDescent="0.2">
      <c r="A30" s="57">
        <v>21</v>
      </c>
      <c r="B30" s="61"/>
      <c r="C30" s="64" t="s">
        <v>146</v>
      </c>
      <c r="D30" s="61" t="s">
        <v>61</v>
      </c>
      <c r="E30" s="63">
        <f>213.7-78.8</f>
        <v>134.89999999999998</v>
      </c>
      <c r="F30" s="63">
        <f>131.1-38.1</f>
        <v>93</v>
      </c>
      <c r="G30" s="12"/>
      <c r="H30" s="12"/>
    </row>
    <row r="31" spans="1:8" ht="12.6" customHeight="1" x14ac:dyDescent="0.2">
      <c r="A31" s="57">
        <v>22</v>
      </c>
      <c r="B31" s="61"/>
      <c r="C31" s="64" t="s">
        <v>42</v>
      </c>
      <c r="D31" s="61" t="s">
        <v>61</v>
      </c>
      <c r="E31" s="63">
        <f>272.4+19.3</f>
        <v>291.7</v>
      </c>
      <c r="F31" s="63">
        <f>207.5+18.9-9</f>
        <v>217.4</v>
      </c>
      <c r="G31" s="12"/>
      <c r="H31" s="12"/>
    </row>
    <row r="32" spans="1:8" ht="51" x14ac:dyDescent="0.2">
      <c r="A32" s="57">
        <v>23</v>
      </c>
      <c r="B32" s="61"/>
      <c r="C32" s="64" t="s">
        <v>111</v>
      </c>
      <c r="D32" s="65" t="s">
        <v>330</v>
      </c>
      <c r="E32" s="63">
        <f>555+31.7</f>
        <v>586.70000000000005</v>
      </c>
      <c r="F32" s="63">
        <f>342.8+31.1+48</f>
        <v>421.90000000000003</v>
      </c>
      <c r="G32" s="12"/>
      <c r="H32" s="12"/>
    </row>
    <row r="33" spans="1:8" ht="12.6" customHeight="1" x14ac:dyDescent="0.2">
      <c r="A33" s="57">
        <v>24</v>
      </c>
      <c r="B33" s="61"/>
      <c r="C33" s="66" t="s">
        <v>336</v>
      </c>
      <c r="D33" s="65" t="s">
        <v>61</v>
      </c>
      <c r="E33" s="63">
        <f>0.3+37.5+0.6</f>
        <v>38.4</v>
      </c>
      <c r="F33" s="63"/>
      <c r="G33" s="12"/>
      <c r="H33" s="12"/>
    </row>
    <row r="34" spans="1:8" ht="12.6" customHeight="1" x14ac:dyDescent="0.2">
      <c r="A34" s="57">
        <v>25</v>
      </c>
      <c r="B34" s="61"/>
      <c r="C34" s="62" t="s">
        <v>54</v>
      </c>
      <c r="D34" s="61" t="s">
        <v>62</v>
      </c>
      <c r="E34" s="63">
        <f>337.5+28.6+7.6</f>
        <v>373.70000000000005</v>
      </c>
      <c r="F34" s="63">
        <f>308.6+28.1+7.5</f>
        <v>344.20000000000005</v>
      </c>
      <c r="G34" s="12"/>
      <c r="H34" s="12"/>
    </row>
    <row r="35" spans="1:8" ht="12.6" customHeight="1" x14ac:dyDescent="0.2">
      <c r="A35" s="206">
        <v>26</v>
      </c>
      <c r="B35" s="61"/>
      <c r="C35" s="62" t="s">
        <v>47</v>
      </c>
      <c r="D35" s="202" t="s">
        <v>62</v>
      </c>
      <c r="E35" s="63">
        <f>+E36+366+32.3-3</f>
        <v>409.3</v>
      </c>
      <c r="F35" s="63">
        <f>347.8+31.6-3</f>
        <v>376.40000000000003</v>
      </c>
      <c r="G35" s="12"/>
      <c r="H35" s="12"/>
    </row>
    <row r="36" spans="1:8" ht="25.5" x14ac:dyDescent="0.2">
      <c r="A36" s="207"/>
      <c r="B36" s="61"/>
      <c r="C36" s="64" t="s">
        <v>625</v>
      </c>
      <c r="D36" s="203"/>
      <c r="E36" s="63">
        <f>11+3</f>
        <v>14</v>
      </c>
      <c r="F36" s="63"/>
      <c r="G36" s="12"/>
      <c r="H36" s="12"/>
    </row>
    <row r="37" spans="1:8" ht="12.6" customHeight="1" x14ac:dyDescent="0.2">
      <c r="A37" s="57">
        <v>27</v>
      </c>
      <c r="B37" s="61"/>
      <c r="C37" s="62" t="s">
        <v>48</v>
      </c>
      <c r="D37" s="61" t="s">
        <v>62</v>
      </c>
      <c r="E37" s="63">
        <f>951.3+84.7</f>
        <v>1036</v>
      </c>
      <c r="F37" s="63">
        <f>913.9+83.1+5.4</f>
        <v>1002.4</v>
      </c>
      <c r="G37" s="12"/>
      <c r="H37" s="12"/>
    </row>
    <row r="38" spans="1:8" ht="38.25" customHeight="1" x14ac:dyDescent="0.2">
      <c r="A38" s="200">
        <v>28</v>
      </c>
      <c r="B38" s="202"/>
      <c r="C38" s="62" t="s">
        <v>133</v>
      </c>
      <c r="D38" s="204" t="s">
        <v>148</v>
      </c>
      <c r="E38" s="63">
        <f>139.6+30.2+10.4+1.7+0.5+2.1</f>
        <v>184.49999999999997</v>
      </c>
      <c r="F38" s="63">
        <f>113+10.3+0.5+2.1</f>
        <v>125.89999999999999</v>
      </c>
      <c r="G38" s="12"/>
      <c r="H38" s="12"/>
    </row>
    <row r="39" spans="1:8" x14ac:dyDescent="0.2">
      <c r="A39" s="201"/>
      <c r="B39" s="203"/>
      <c r="C39" s="70" t="s">
        <v>615</v>
      </c>
      <c r="D39" s="205"/>
      <c r="E39" s="63">
        <v>30.2</v>
      </c>
      <c r="F39" s="63"/>
      <c r="G39" s="12"/>
      <c r="H39" s="12"/>
    </row>
    <row r="40" spans="1:8" ht="12.6" customHeight="1" x14ac:dyDescent="0.2">
      <c r="A40" s="57">
        <v>29</v>
      </c>
      <c r="B40" s="61"/>
      <c r="C40" s="72" t="s">
        <v>15</v>
      </c>
      <c r="D40" s="61" t="s">
        <v>58</v>
      </c>
      <c r="E40" s="63">
        <f>165+12+10</f>
        <v>187</v>
      </c>
      <c r="F40" s="63">
        <f>134.3+11.8</f>
        <v>146.10000000000002</v>
      </c>
      <c r="G40" s="12"/>
      <c r="H40" s="12"/>
    </row>
    <row r="41" spans="1:8" ht="12.6" customHeight="1" x14ac:dyDescent="0.2">
      <c r="A41" s="57">
        <v>30</v>
      </c>
      <c r="B41" s="61"/>
      <c r="C41" s="72" t="s">
        <v>19</v>
      </c>
      <c r="D41" s="61" t="s">
        <v>58</v>
      </c>
      <c r="E41" s="63">
        <f>174.6+0.7+12.6+10</f>
        <v>197.89999999999998</v>
      </c>
      <c r="F41" s="63">
        <f>136+12.4</f>
        <v>148.4</v>
      </c>
      <c r="G41" s="12"/>
      <c r="H41" s="12"/>
    </row>
    <row r="42" spans="1:8" ht="12.6" customHeight="1" x14ac:dyDescent="0.2">
      <c r="A42" s="57">
        <v>31</v>
      </c>
      <c r="B42" s="61"/>
      <c r="C42" s="73" t="s">
        <v>166</v>
      </c>
      <c r="D42" s="61"/>
      <c r="E42" s="74">
        <f>+E43+E47+E44+E45+E46</f>
        <v>1648.2</v>
      </c>
      <c r="F42" s="74">
        <f>+F43+F47+F44+F45+F46</f>
        <v>141</v>
      </c>
      <c r="G42" s="12"/>
      <c r="H42" s="12"/>
    </row>
    <row r="43" spans="1:8" ht="15" customHeight="1" x14ac:dyDescent="0.2">
      <c r="A43" s="75" t="s">
        <v>469</v>
      </c>
      <c r="B43" s="61"/>
      <c r="C43" s="62" t="s">
        <v>3</v>
      </c>
      <c r="D43" s="65" t="s">
        <v>138</v>
      </c>
      <c r="E43" s="74">
        <f>181.7-8.2</f>
        <v>173.5</v>
      </c>
      <c r="F43" s="74">
        <f>149.2-8.2</f>
        <v>141</v>
      </c>
      <c r="G43" s="12"/>
      <c r="H43" s="12"/>
    </row>
    <row r="44" spans="1:8" ht="25.5" x14ac:dyDescent="0.2">
      <c r="A44" s="75" t="s">
        <v>470</v>
      </c>
      <c r="B44" s="61"/>
      <c r="C44" s="64" t="s">
        <v>568</v>
      </c>
      <c r="D44" s="65" t="s">
        <v>154</v>
      </c>
      <c r="E44" s="74">
        <v>95</v>
      </c>
      <c r="F44" s="63"/>
      <c r="G44" s="12"/>
      <c r="H44" s="12"/>
    </row>
    <row r="45" spans="1:8" ht="25.5" x14ac:dyDescent="0.2">
      <c r="A45" s="75" t="s">
        <v>471</v>
      </c>
      <c r="B45" s="61"/>
      <c r="C45" s="70" t="s">
        <v>258</v>
      </c>
      <c r="D45" s="61" t="s">
        <v>63</v>
      </c>
      <c r="E45" s="74">
        <v>50</v>
      </c>
      <c r="F45" s="63"/>
      <c r="G45" s="12"/>
      <c r="H45" s="12"/>
    </row>
    <row r="46" spans="1:8" ht="12.6" customHeight="1" x14ac:dyDescent="0.2">
      <c r="A46" s="75" t="s">
        <v>472</v>
      </c>
      <c r="B46" s="61"/>
      <c r="C46" s="70" t="s">
        <v>167</v>
      </c>
      <c r="D46" s="61" t="s">
        <v>64</v>
      </c>
      <c r="E46" s="74">
        <f>17-8</f>
        <v>9</v>
      </c>
      <c r="F46" s="63"/>
      <c r="G46" s="12"/>
      <c r="H46" s="12"/>
    </row>
    <row r="47" spans="1:8" ht="39" customHeight="1" x14ac:dyDescent="0.2">
      <c r="A47" s="75" t="s">
        <v>473</v>
      </c>
      <c r="B47" s="61"/>
      <c r="C47" s="76" t="s">
        <v>424</v>
      </c>
      <c r="D47" s="61"/>
      <c r="E47" s="77">
        <f>SUM(E48:E61)</f>
        <v>1320.7</v>
      </c>
      <c r="F47" s="77">
        <f>SUM(F48:F61)</f>
        <v>0</v>
      </c>
      <c r="G47" s="12"/>
      <c r="H47" s="12"/>
    </row>
    <row r="48" spans="1:8" ht="25.5" x14ac:dyDescent="0.2">
      <c r="A48" s="75" t="s">
        <v>474</v>
      </c>
      <c r="B48" s="61"/>
      <c r="C48" s="78" t="s">
        <v>149</v>
      </c>
      <c r="D48" s="61" t="s">
        <v>61</v>
      </c>
      <c r="E48" s="74">
        <f>89+82</f>
        <v>171</v>
      </c>
      <c r="F48" s="63"/>
      <c r="G48" s="12"/>
      <c r="H48" s="12"/>
    </row>
    <row r="49" spans="1:8" ht="15.75" customHeight="1" x14ac:dyDescent="0.2">
      <c r="A49" s="75" t="s">
        <v>475</v>
      </c>
      <c r="B49" s="61"/>
      <c r="C49" s="79" t="s">
        <v>435</v>
      </c>
      <c r="D49" s="65" t="s">
        <v>154</v>
      </c>
      <c r="E49" s="74">
        <f>30-20</f>
        <v>10</v>
      </c>
      <c r="F49" s="63"/>
      <c r="G49" s="12"/>
      <c r="H49" s="12"/>
    </row>
    <row r="50" spans="1:8" ht="25.5" x14ac:dyDescent="0.2">
      <c r="A50" s="75" t="s">
        <v>476</v>
      </c>
      <c r="B50" s="61"/>
      <c r="C50" s="80" t="s">
        <v>342</v>
      </c>
      <c r="D50" s="61" t="s">
        <v>61</v>
      </c>
      <c r="E50" s="74">
        <f>20</f>
        <v>20</v>
      </c>
      <c r="F50" s="63"/>
      <c r="G50" s="12"/>
      <c r="H50" s="12"/>
    </row>
    <row r="51" spans="1:8" ht="25.5" x14ac:dyDescent="0.2">
      <c r="A51" s="75" t="s">
        <v>477</v>
      </c>
      <c r="B51" s="61"/>
      <c r="C51" s="70" t="s">
        <v>432</v>
      </c>
      <c r="D51" s="61" t="s">
        <v>60</v>
      </c>
      <c r="E51" s="74">
        <v>15.7</v>
      </c>
      <c r="F51" s="63"/>
      <c r="G51" s="12"/>
      <c r="H51" s="12"/>
    </row>
    <row r="52" spans="1:8" ht="25.5" x14ac:dyDescent="0.2">
      <c r="A52" s="75" t="s">
        <v>478</v>
      </c>
      <c r="B52" s="61"/>
      <c r="C52" s="81" t="s">
        <v>260</v>
      </c>
      <c r="D52" s="65" t="s">
        <v>154</v>
      </c>
      <c r="E52" s="74">
        <f>50+13</f>
        <v>63</v>
      </c>
      <c r="F52" s="63"/>
      <c r="G52" s="12"/>
      <c r="H52" s="12"/>
    </row>
    <row r="53" spans="1:8" ht="25.5" x14ac:dyDescent="0.2">
      <c r="A53" s="75" t="s">
        <v>479</v>
      </c>
      <c r="B53" s="82"/>
      <c r="C53" s="78" t="s">
        <v>261</v>
      </c>
      <c r="D53" s="65" t="s">
        <v>154</v>
      </c>
      <c r="E53" s="20">
        <v>30</v>
      </c>
      <c r="F53" s="20"/>
      <c r="G53" s="12"/>
      <c r="H53" s="12"/>
    </row>
    <row r="54" spans="1:8" ht="25.5" x14ac:dyDescent="0.2">
      <c r="A54" s="75" t="s">
        <v>480</v>
      </c>
      <c r="B54" s="61"/>
      <c r="C54" s="70" t="s">
        <v>571</v>
      </c>
      <c r="D54" s="65" t="s">
        <v>154</v>
      </c>
      <c r="E54" s="74">
        <f>20-15</f>
        <v>5</v>
      </c>
      <c r="F54" s="63"/>
      <c r="G54" s="12"/>
      <c r="H54" s="12"/>
    </row>
    <row r="55" spans="1:8" ht="25.5" x14ac:dyDescent="0.2">
      <c r="A55" s="75" t="s">
        <v>481</v>
      </c>
      <c r="B55" s="61"/>
      <c r="C55" s="70" t="s">
        <v>436</v>
      </c>
      <c r="D55" s="65" t="s">
        <v>32</v>
      </c>
      <c r="E55" s="74">
        <f>30-20</f>
        <v>10</v>
      </c>
      <c r="F55" s="63"/>
      <c r="G55" s="12"/>
      <c r="H55" s="12"/>
    </row>
    <row r="56" spans="1:8" ht="25.5" x14ac:dyDescent="0.2">
      <c r="A56" s="75" t="s">
        <v>482</v>
      </c>
      <c r="B56" s="61"/>
      <c r="C56" s="70" t="s">
        <v>415</v>
      </c>
      <c r="D56" s="61" t="s">
        <v>58</v>
      </c>
      <c r="E56" s="74">
        <v>1</v>
      </c>
      <c r="F56" s="63"/>
      <c r="G56" s="12"/>
      <c r="H56" s="12"/>
    </row>
    <row r="57" spans="1:8" ht="31.5" customHeight="1" x14ac:dyDescent="0.2">
      <c r="A57" s="75" t="s">
        <v>483</v>
      </c>
      <c r="B57" s="61"/>
      <c r="C57" s="70" t="s">
        <v>630</v>
      </c>
      <c r="D57" s="65" t="s">
        <v>154</v>
      </c>
      <c r="E57" s="74">
        <v>18</v>
      </c>
      <c r="F57" s="63"/>
      <c r="G57" s="12"/>
      <c r="H57" s="12"/>
    </row>
    <row r="58" spans="1:8" x14ac:dyDescent="0.2">
      <c r="A58" s="75" t="s">
        <v>570</v>
      </c>
      <c r="B58" s="61"/>
      <c r="C58" s="70" t="s">
        <v>605</v>
      </c>
      <c r="D58" s="65" t="s">
        <v>154</v>
      </c>
      <c r="E58" s="74">
        <v>50</v>
      </c>
      <c r="F58" s="63"/>
      <c r="G58" s="12"/>
      <c r="H58" s="12"/>
    </row>
    <row r="59" spans="1:8" ht="31.5" customHeight="1" x14ac:dyDescent="0.2">
      <c r="A59" s="75" t="s">
        <v>616</v>
      </c>
      <c r="B59" s="61"/>
      <c r="C59" s="79" t="s">
        <v>606</v>
      </c>
      <c r="D59" s="61" t="s">
        <v>62</v>
      </c>
      <c r="E59" s="74">
        <f>5+2</f>
        <v>7</v>
      </c>
      <c r="F59" s="63"/>
      <c r="G59" s="12"/>
      <c r="H59" s="12"/>
    </row>
    <row r="60" spans="1:8" ht="39" customHeight="1" x14ac:dyDescent="0.2">
      <c r="A60" s="75" t="s">
        <v>780</v>
      </c>
      <c r="B60" s="61"/>
      <c r="C60" s="79" t="s">
        <v>433</v>
      </c>
      <c r="D60" s="61" t="s">
        <v>58</v>
      </c>
      <c r="E60" s="74">
        <f>50+170+100</f>
        <v>320</v>
      </c>
      <c r="F60" s="63"/>
      <c r="G60" s="12"/>
      <c r="H60" s="12"/>
    </row>
    <row r="61" spans="1:8" ht="38.25" x14ac:dyDescent="0.2">
      <c r="A61" s="75" t="s">
        <v>798</v>
      </c>
      <c r="B61" s="61"/>
      <c r="C61" s="79" t="s">
        <v>434</v>
      </c>
      <c r="D61" s="61" t="s">
        <v>58</v>
      </c>
      <c r="E61" s="74">
        <f>150+300+150</f>
        <v>600</v>
      </c>
      <c r="F61" s="63"/>
      <c r="G61" s="12"/>
      <c r="H61" s="12"/>
    </row>
    <row r="62" spans="1:8" ht="20.100000000000001" customHeight="1" x14ac:dyDescent="0.2">
      <c r="A62" s="57">
        <v>32</v>
      </c>
      <c r="B62" s="56" t="s">
        <v>65</v>
      </c>
      <c r="C62" s="83" t="s">
        <v>66</v>
      </c>
      <c r="D62" s="54"/>
      <c r="E62" s="84">
        <f>+E63+E65</f>
        <v>911.2</v>
      </c>
      <c r="F62" s="84">
        <f>+F63+F65</f>
        <v>82</v>
      </c>
      <c r="G62" s="12"/>
      <c r="H62" s="12"/>
    </row>
    <row r="63" spans="1:8" ht="25.5" x14ac:dyDescent="0.2">
      <c r="A63" s="206">
        <v>33</v>
      </c>
      <c r="B63" s="56"/>
      <c r="C63" s="64" t="s">
        <v>168</v>
      </c>
      <c r="D63" s="204" t="s">
        <v>169</v>
      </c>
      <c r="E63" s="63">
        <f>+E64+81.6-3.7+7.3</f>
        <v>101.19999999999999</v>
      </c>
      <c r="F63" s="63">
        <f>78.5-3.7+7.2</f>
        <v>82</v>
      </c>
      <c r="G63" s="12"/>
      <c r="H63" s="12"/>
    </row>
    <row r="64" spans="1:8" ht="25.5" x14ac:dyDescent="0.2">
      <c r="A64" s="215"/>
      <c r="B64" s="56"/>
      <c r="C64" s="85" t="s">
        <v>404</v>
      </c>
      <c r="D64" s="216"/>
      <c r="E64" s="63">
        <v>16</v>
      </c>
      <c r="F64" s="63"/>
      <c r="G64" s="12"/>
      <c r="H64" s="12"/>
    </row>
    <row r="65" spans="1:8" ht="12.6" customHeight="1" x14ac:dyDescent="0.2">
      <c r="A65" s="57">
        <v>34</v>
      </c>
      <c r="B65" s="61"/>
      <c r="C65" s="73" t="s">
        <v>166</v>
      </c>
      <c r="D65" s="65"/>
      <c r="E65" s="63">
        <f>SUM(E66:E84)+E85</f>
        <v>810</v>
      </c>
      <c r="F65" s="63">
        <f>SUM(F66:F84)</f>
        <v>0</v>
      </c>
      <c r="G65" s="12"/>
      <c r="H65" s="12"/>
    </row>
    <row r="66" spans="1:8" ht="12.6" customHeight="1" x14ac:dyDescent="0.2">
      <c r="A66" s="75" t="s">
        <v>484</v>
      </c>
      <c r="B66" s="61"/>
      <c r="C66" s="62" t="s">
        <v>3</v>
      </c>
      <c r="D66" s="61" t="s">
        <v>109</v>
      </c>
      <c r="E66" s="63">
        <v>3</v>
      </c>
      <c r="F66" s="63"/>
      <c r="G66" s="12"/>
      <c r="H66" s="12"/>
    </row>
    <row r="67" spans="1:8" ht="42" customHeight="1" x14ac:dyDescent="0.2">
      <c r="A67" s="75" t="s">
        <v>485</v>
      </c>
      <c r="B67" s="61"/>
      <c r="C67" s="86" t="s">
        <v>343</v>
      </c>
      <c r="D67" s="65" t="s">
        <v>67</v>
      </c>
      <c r="E67" s="63">
        <v>20</v>
      </c>
      <c r="F67" s="63"/>
      <c r="G67" s="12"/>
      <c r="H67" s="12"/>
    </row>
    <row r="68" spans="1:8" ht="30" customHeight="1" x14ac:dyDescent="0.2">
      <c r="A68" s="75" t="s">
        <v>486</v>
      </c>
      <c r="B68" s="61"/>
      <c r="C68" s="87" t="s">
        <v>437</v>
      </c>
      <c r="D68" s="65" t="s">
        <v>68</v>
      </c>
      <c r="E68" s="63">
        <v>1.8</v>
      </c>
      <c r="F68" s="63"/>
      <c r="G68" s="12"/>
      <c r="H68" s="12"/>
    </row>
    <row r="69" spans="1:8" ht="38.25" x14ac:dyDescent="0.2">
      <c r="A69" s="75" t="s">
        <v>487</v>
      </c>
      <c r="B69" s="61"/>
      <c r="C69" s="86" t="s">
        <v>438</v>
      </c>
      <c r="D69" s="65" t="s">
        <v>127</v>
      </c>
      <c r="E69" s="63">
        <f>65+10</f>
        <v>75</v>
      </c>
      <c r="F69" s="63"/>
      <c r="G69" s="12"/>
      <c r="H69" s="12"/>
    </row>
    <row r="70" spans="1:8" ht="45" customHeight="1" x14ac:dyDescent="0.2">
      <c r="A70" s="75" t="s">
        <v>488</v>
      </c>
      <c r="B70" s="61"/>
      <c r="C70" s="86" t="s">
        <v>170</v>
      </c>
      <c r="D70" s="65" t="s">
        <v>177</v>
      </c>
      <c r="E70" s="63">
        <v>7</v>
      </c>
      <c r="F70" s="63"/>
      <c r="G70" s="12"/>
      <c r="H70" s="12"/>
    </row>
    <row r="71" spans="1:8" ht="25.5" x14ac:dyDescent="0.2">
      <c r="A71" s="75" t="s">
        <v>489</v>
      </c>
      <c r="B71" s="61"/>
      <c r="C71" s="86" t="s">
        <v>199</v>
      </c>
      <c r="D71" s="65" t="s">
        <v>68</v>
      </c>
      <c r="E71" s="63">
        <v>21.1</v>
      </c>
      <c r="F71" s="63"/>
      <c r="G71" s="12"/>
      <c r="H71" s="12"/>
    </row>
    <row r="72" spans="1:8" ht="25.5" x14ac:dyDescent="0.2">
      <c r="A72" s="75" t="s">
        <v>490</v>
      </c>
      <c r="B72" s="61"/>
      <c r="C72" s="86" t="s">
        <v>253</v>
      </c>
      <c r="D72" s="65" t="s">
        <v>68</v>
      </c>
      <c r="E72" s="63">
        <v>19.100000000000001</v>
      </c>
      <c r="F72" s="63"/>
      <c r="G72" s="12"/>
      <c r="H72" s="12"/>
    </row>
    <row r="73" spans="1:8" ht="27.6" customHeight="1" x14ac:dyDescent="0.2">
      <c r="A73" s="75" t="s">
        <v>491</v>
      </c>
      <c r="B73" s="61"/>
      <c r="C73" s="87" t="s">
        <v>344</v>
      </c>
      <c r="D73" s="65" t="s">
        <v>177</v>
      </c>
      <c r="E73" s="63">
        <f>25.9+50</f>
        <v>75.900000000000006</v>
      </c>
      <c r="F73" s="63"/>
      <c r="G73" s="12"/>
      <c r="H73" s="12"/>
    </row>
    <row r="74" spans="1:8" ht="27.6" customHeight="1" x14ac:dyDescent="0.2">
      <c r="A74" s="75" t="s">
        <v>492</v>
      </c>
      <c r="B74" s="61"/>
      <c r="C74" s="87" t="s">
        <v>345</v>
      </c>
      <c r="D74" s="65" t="s">
        <v>177</v>
      </c>
      <c r="E74" s="63">
        <v>28.5</v>
      </c>
      <c r="F74" s="63"/>
      <c r="G74" s="12"/>
      <c r="H74" s="12"/>
    </row>
    <row r="75" spans="1:8" ht="25.5" x14ac:dyDescent="0.2">
      <c r="A75" s="75" t="s">
        <v>493</v>
      </c>
      <c r="B75" s="61"/>
      <c r="C75" s="87" t="s">
        <v>439</v>
      </c>
      <c r="D75" s="65" t="s">
        <v>195</v>
      </c>
      <c r="E75" s="63">
        <v>4.8</v>
      </c>
      <c r="F75" s="63"/>
      <c r="G75" s="12"/>
      <c r="H75" s="12"/>
    </row>
    <row r="76" spans="1:8" ht="25.5" x14ac:dyDescent="0.2">
      <c r="A76" s="75" t="s">
        <v>494</v>
      </c>
      <c r="B76" s="61"/>
      <c r="C76" s="87" t="s">
        <v>547</v>
      </c>
      <c r="D76" s="65" t="s">
        <v>177</v>
      </c>
      <c r="E76" s="63">
        <v>122.1</v>
      </c>
      <c r="F76" s="63"/>
      <c r="G76" s="12"/>
      <c r="H76" s="12"/>
    </row>
    <row r="77" spans="1:8" ht="38.25" x14ac:dyDescent="0.2">
      <c r="A77" s="75" t="s">
        <v>495</v>
      </c>
      <c r="B77" s="61"/>
      <c r="C77" s="86" t="s">
        <v>440</v>
      </c>
      <c r="D77" s="65" t="s">
        <v>67</v>
      </c>
      <c r="E77" s="63">
        <v>15</v>
      </c>
      <c r="F77" s="63"/>
      <c r="G77" s="12"/>
      <c r="H77" s="12"/>
    </row>
    <row r="78" spans="1:8" ht="25.5" x14ac:dyDescent="0.2">
      <c r="A78" s="75" t="s">
        <v>496</v>
      </c>
      <c r="B78" s="61"/>
      <c r="C78" s="86" t="s">
        <v>633</v>
      </c>
      <c r="D78" s="65" t="s">
        <v>69</v>
      </c>
      <c r="E78" s="63">
        <v>3</v>
      </c>
      <c r="F78" s="63"/>
      <c r="G78" s="12"/>
      <c r="H78" s="12"/>
    </row>
    <row r="79" spans="1:8" ht="25.5" x14ac:dyDescent="0.2">
      <c r="A79" s="75" t="s">
        <v>497</v>
      </c>
      <c r="B79" s="61"/>
      <c r="C79" s="86" t="s">
        <v>804</v>
      </c>
      <c r="D79" s="88" t="s">
        <v>109</v>
      </c>
      <c r="E79" s="63">
        <f>120-50</f>
        <v>70</v>
      </c>
      <c r="F79" s="63"/>
      <c r="G79" s="12"/>
      <c r="H79" s="12"/>
    </row>
    <row r="80" spans="1:8" ht="38.25" x14ac:dyDescent="0.2">
      <c r="A80" s="75" t="s">
        <v>637</v>
      </c>
      <c r="B80" s="61"/>
      <c r="C80" s="86" t="s">
        <v>699</v>
      </c>
      <c r="D80" s="88" t="s">
        <v>109</v>
      </c>
      <c r="E80" s="63">
        <f>105.1-56.1</f>
        <v>48.999999999999993</v>
      </c>
      <c r="F80" s="63"/>
      <c r="G80" s="12"/>
      <c r="H80" s="12"/>
    </row>
    <row r="81" spans="1:10" ht="25.5" x14ac:dyDescent="0.2">
      <c r="A81" s="75" t="s">
        <v>638</v>
      </c>
      <c r="B81" s="61"/>
      <c r="C81" s="86" t="s">
        <v>634</v>
      </c>
      <c r="D81" s="88" t="s">
        <v>68</v>
      </c>
      <c r="E81" s="63">
        <v>53.3</v>
      </c>
      <c r="F81" s="63"/>
      <c r="G81" s="12"/>
      <c r="H81" s="12"/>
    </row>
    <row r="82" spans="1:10" ht="38.25" x14ac:dyDescent="0.2">
      <c r="A82" s="75" t="s">
        <v>639</v>
      </c>
      <c r="B82" s="61"/>
      <c r="C82" s="86" t="s">
        <v>635</v>
      </c>
      <c r="D82" s="88" t="s">
        <v>109</v>
      </c>
      <c r="E82" s="63">
        <v>50.7</v>
      </c>
      <c r="F82" s="63"/>
      <c r="G82" s="12"/>
      <c r="H82" s="12"/>
    </row>
    <row r="83" spans="1:10" ht="38.25" x14ac:dyDescent="0.2">
      <c r="A83" s="75" t="s">
        <v>640</v>
      </c>
      <c r="B83" s="61"/>
      <c r="C83" s="86" t="s">
        <v>636</v>
      </c>
      <c r="D83" s="88" t="s">
        <v>109</v>
      </c>
      <c r="E83" s="63">
        <v>37.700000000000003</v>
      </c>
      <c r="F83" s="63"/>
      <c r="G83" s="12"/>
      <c r="H83" s="12"/>
    </row>
    <row r="84" spans="1:10" ht="29.25" customHeight="1" x14ac:dyDescent="0.2">
      <c r="A84" s="75" t="s">
        <v>641</v>
      </c>
      <c r="B84" s="61"/>
      <c r="C84" s="89" t="s">
        <v>252</v>
      </c>
      <c r="D84" s="71" t="s">
        <v>69</v>
      </c>
      <c r="E84" s="90">
        <f>132.4+16.6</f>
        <v>149</v>
      </c>
      <c r="F84" s="90"/>
      <c r="G84" s="12"/>
      <c r="H84" s="12"/>
    </row>
    <row r="85" spans="1:10" ht="38.450000000000003" customHeight="1" x14ac:dyDescent="0.2">
      <c r="A85" s="75" t="s">
        <v>642</v>
      </c>
      <c r="B85" s="61"/>
      <c r="C85" s="76" t="s">
        <v>424</v>
      </c>
      <c r="D85" s="65"/>
      <c r="E85" s="77">
        <f>+E86+E87</f>
        <v>4</v>
      </c>
      <c r="F85" s="77">
        <f>+F86+F87</f>
        <v>0</v>
      </c>
      <c r="G85" s="12"/>
      <c r="H85" s="12"/>
    </row>
    <row r="86" spans="1:10" ht="25.5" x14ac:dyDescent="0.2">
      <c r="A86" s="75" t="s">
        <v>643</v>
      </c>
      <c r="B86" s="61"/>
      <c r="C86" s="86" t="s">
        <v>179</v>
      </c>
      <c r="D86" s="65" t="s">
        <v>127</v>
      </c>
      <c r="E86" s="63">
        <v>0.6</v>
      </c>
      <c r="F86" s="63"/>
      <c r="G86" s="12"/>
      <c r="H86" s="12"/>
    </row>
    <row r="87" spans="1:10" ht="25.5" x14ac:dyDescent="0.2">
      <c r="A87" s="75" t="s">
        <v>644</v>
      </c>
      <c r="B87" s="61"/>
      <c r="C87" s="79" t="s">
        <v>171</v>
      </c>
      <c r="D87" s="65" t="s">
        <v>68</v>
      </c>
      <c r="E87" s="63">
        <v>3.4</v>
      </c>
      <c r="F87" s="63"/>
      <c r="G87" s="12"/>
      <c r="H87" s="12"/>
    </row>
    <row r="88" spans="1:10" ht="21.75" customHeight="1" x14ac:dyDescent="0.2">
      <c r="A88" s="57">
        <v>35</v>
      </c>
      <c r="B88" s="56" t="s">
        <v>21</v>
      </c>
      <c r="C88" s="83" t="s">
        <v>22</v>
      </c>
      <c r="D88" s="54"/>
      <c r="E88" s="84">
        <f>+E89+E91+E92+E93+E94+E95+E116+E118+E120+E121+E123+E125+E126+E128+E130+E132+E134</f>
        <v>12623.300000000001</v>
      </c>
      <c r="F88" s="84">
        <f>+F89+F91+F92+F93+F94+F95+F116+F118+F120+F121+F123+F125+F126+F128+F130+F132+F134</f>
        <v>3589.9999999999995</v>
      </c>
      <c r="G88" s="12"/>
      <c r="H88" s="12"/>
    </row>
    <row r="89" spans="1:10" ht="12.6" customHeight="1" x14ac:dyDescent="0.2">
      <c r="A89" s="217">
        <v>36</v>
      </c>
      <c r="B89" s="218"/>
      <c r="C89" s="62" t="s">
        <v>1</v>
      </c>
      <c r="D89" s="219" t="s">
        <v>70</v>
      </c>
      <c r="E89" s="63">
        <f>1378.8-60.9+99.9+14</f>
        <v>1431.8</v>
      </c>
      <c r="F89" s="63">
        <f>1078-60+98</f>
        <v>1116</v>
      </c>
      <c r="G89" s="12"/>
      <c r="H89" s="12"/>
    </row>
    <row r="90" spans="1:10" ht="12.6" customHeight="1" x14ac:dyDescent="0.2">
      <c r="A90" s="217"/>
      <c r="B90" s="218"/>
      <c r="C90" s="91" t="s">
        <v>425</v>
      </c>
      <c r="D90" s="219"/>
      <c r="E90" s="63">
        <f>201.9+12.4+14</f>
        <v>228.3</v>
      </c>
      <c r="F90" s="63"/>
      <c r="G90" s="12"/>
      <c r="H90" s="12"/>
      <c r="J90" s="27"/>
    </row>
    <row r="91" spans="1:10" ht="12.6" customHeight="1" x14ac:dyDescent="0.2">
      <c r="A91" s="57">
        <v>37</v>
      </c>
      <c r="B91" s="61"/>
      <c r="C91" s="92" t="s">
        <v>2</v>
      </c>
      <c r="D91" s="93" t="s">
        <v>71</v>
      </c>
      <c r="E91" s="63">
        <f>335.7-7+20.1+6.4</f>
        <v>355.2</v>
      </c>
      <c r="F91" s="63">
        <f>216.2-6.9+19.7+6.3</f>
        <v>235.29999999999998</v>
      </c>
      <c r="G91" s="12"/>
      <c r="H91" s="12"/>
    </row>
    <row r="92" spans="1:10" ht="12.6" customHeight="1" x14ac:dyDescent="0.2">
      <c r="A92" s="57">
        <v>38</v>
      </c>
      <c r="B92" s="61"/>
      <c r="C92" s="72" t="s">
        <v>15</v>
      </c>
      <c r="D92" s="65" t="s">
        <v>103</v>
      </c>
      <c r="E92" s="63">
        <f>352.1-12.7+28+18+3.9</f>
        <v>389.3</v>
      </c>
      <c r="F92" s="20">
        <f>296.6-12.5+27.4+3.9</f>
        <v>315.39999999999998</v>
      </c>
      <c r="G92" s="12"/>
      <c r="H92" s="12"/>
    </row>
    <row r="93" spans="1:10" ht="12.6" customHeight="1" x14ac:dyDescent="0.2">
      <c r="A93" s="57">
        <v>39</v>
      </c>
      <c r="B93" s="61"/>
      <c r="C93" s="72" t="s">
        <v>19</v>
      </c>
      <c r="D93" s="94" t="s">
        <v>71</v>
      </c>
      <c r="E93" s="63">
        <f>395.5+2.4-9.5+29.6+17</f>
        <v>435</v>
      </c>
      <c r="F93" s="63">
        <f>318.9-9.4+29.2</f>
        <v>338.7</v>
      </c>
      <c r="G93" s="12"/>
      <c r="H93" s="12"/>
    </row>
    <row r="94" spans="1:10" ht="12.6" customHeight="1" x14ac:dyDescent="0.2">
      <c r="A94" s="57">
        <v>40</v>
      </c>
      <c r="B94" s="61"/>
      <c r="C94" s="62" t="s">
        <v>147</v>
      </c>
      <c r="D94" s="93" t="s">
        <v>23</v>
      </c>
      <c r="E94" s="63">
        <f>1498.1-57.1+100.5</f>
        <v>1541.5</v>
      </c>
      <c r="F94" s="63">
        <f>1084.8-56.3+98.6</f>
        <v>1127.0999999999999</v>
      </c>
      <c r="G94" s="12"/>
      <c r="H94" s="12"/>
    </row>
    <row r="95" spans="1:10" ht="12" customHeight="1" x14ac:dyDescent="0.2">
      <c r="A95" s="57">
        <v>41</v>
      </c>
      <c r="B95" s="61"/>
      <c r="C95" s="73" t="s">
        <v>166</v>
      </c>
      <c r="D95" s="61"/>
      <c r="E95" s="74">
        <f>+E97+E98+E99+E100+E101+E102+E103+E104+E105+E106+E107+E108+E109+E111+E96+E110</f>
        <v>3087.7</v>
      </c>
      <c r="F95" s="74">
        <f>+F97+F98+F99+F100+F101+F102+F103+F104+F105+F106+F107+F108+F109+F111+F96</f>
        <v>82</v>
      </c>
      <c r="G95" s="12"/>
      <c r="H95" s="12"/>
    </row>
    <row r="96" spans="1:10" ht="63.75" x14ac:dyDescent="0.2">
      <c r="A96" s="75" t="s">
        <v>498</v>
      </c>
      <c r="B96" s="61"/>
      <c r="C96" s="73" t="s">
        <v>3</v>
      </c>
      <c r="D96" s="94" t="s">
        <v>416</v>
      </c>
      <c r="E96" s="63">
        <f>1467.9+5+9.3+107.5-(569.5+5+164+6.2)</f>
        <v>845</v>
      </c>
      <c r="F96" s="63">
        <f>68.8+9.2+4</f>
        <v>82</v>
      </c>
      <c r="G96" s="12"/>
      <c r="H96" s="12"/>
    </row>
    <row r="97" spans="1:8" ht="27.6" customHeight="1" x14ac:dyDescent="0.2">
      <c r="A97" s="75" t="s">
        <v>499</v>
      </c>
      <c r="B97" s="61"/>
      <c r="C97" s="80" t="s">
        <v>346</v>
      </c>
      <c r="D97" s="95" t="s">
        <v>72</v>
      </c>
      <c r="E97" s="63">
        <f>75+19</f>
        <v>94</v>
      </c>
      <c r="F97" s="63"/>
      <c r="G97" s="12"/>
      <c r="H97" s="12"/>
    </row>
    <row r="98" spans="1:8" ht="26.25" customHeight="1" x14ac:dyDescent="0.2">
      <c r="A98" s="75" t="s">
        <v>500</v>
      </c>
      <c r="B98" s="61"/>
      <c r="C98" s="86" t="s">
        <v>347</v>
      </c>
      <c r="D98" s="95" t="s">
        <v>72</v>
      </c>
      <c r="E98" s="63">
        <v>240</v>
      </c>
      <c r="F98" s="63"/>
      <c r="G98" s="12"/>
      <c r="H98" s="12"/>
    </row>
    <row r="99" spans="1:8" ht="28.5" customHeight="1" x14ac:dyDescent="0.2">
      <c r="A99" s="75" t="s">
        <v>501</v>
      </c>
      <c r="B99" s="61"/>
      <c r="C99" s="78" t="s">
        <v>348</v>
      </c>
      <c r="D99" s="61" t="s">
        <v>107</v>
      </c>
      <c r="E99" s="20">
        <v>58.5</v>
      </c>
      <c r="F99" s="20"/>
      <c r="G99" s="12"/>
      <c r="H99" s="12"/>
    </row>
    <row r="100" spans="1:8" ht="12.6" customHeight="1" x14ac:dyDescent="0.2">
      <c r="A100" s="75" t="s">
        <v>502</v>
      </c>
      <c r="B100" s="61"/>
      <c r="C100" s="78" t="s">
        <v>349</v>
      </c>
      <c r="D100" s="93" t="s">
        <v>73</v>
      </c>
      <c r="E100" s="63">
        <f>153.5-54</f>
        <v>99.5</v>
      </c>
      <c r="F100" s="63"/>
      <c r="G100" s="12"/>
      <c r="H100" s="12"/>
    </row>
    <row r="101" spans="1:8" ht="26.25" customHeight="1" x14ac:dyDescent="0.2">
      <c r="A101" s="75" t="s">
        <v>503</v>
      </c>
      <c r="B101" s="61"/>
      <c r="C101" s="78" t="s">
        <v>350</v>
      </c>
      <c r="D101" s="95" t="s">
        <v>73</v>
      </c>
      <c r="E101" s="63">
        <f>170-9.3</f>
        <v>160.69999999999999</v>
      </c>
      <c r="F101" s="63"/>
      <c r="G101" s="12"/>
      <c r="H101" s="12"/>
    </row>
    <row r="102" spans="1:8" ht="39" customHeight="1" x14ac:dyDescent="0.2">
      <c r="A102" s="75" t="s">
        <v>504</v>
      </c>
      <c r="B102" s="61"/>
      <c r="C102" s="78" t="s">
        <v>351</v>
      </c>
      <c r="D102" s="95" t="s">
        <v>74</v>
      </c>
      <c r="E102" s="20">
        <f>807-99.8+70+92</f>
        <v>869.2</v>
      </c>
      <c r="F102" s="20"/>
      <c r="G102" s="12"/>
      <c r="H102" s="12"/>
    </row>
    <row r="103" spans="1:8" ht="38.25" x14ac:dyDescent="0.2">
      <c r="A103" s="75" t="s">
        <v>505</v>
      </c>
      <c r="B103" s="61"/>
      <c r="C103" s="78" t="s">
        <v>627</v>
      </c>
      <c r="D103" s="61" t="s">
        <v>75</v>
      </c>
      <c r="E103" s="20">
        <v>90</v>
      </c>
      <c r="F103" s="20"/>
      <c r="G103" s="12"/>
      <c r="H103" s="12"/>
    </row>
    <row r="104" spans="1:8" ht="25.5" x14ac:dyDescent="0.2">
      <c r="A104" s="75" t="s">
        <v>506</v>
      </c>
      <c r="B104" s="61"/>
      <c r="C104" s="78" t="s">
        <v>442</v>
      </c>
      <c r="D104" s="61" t="s">
        <v>545</v>
      </c>
      <c r="E104" s="20">
        <v>15</v>
      </c>
      <c r="F104" s="20"/>
      <c r="G104" s="12"/>
      <c r="H104" s="12"/>
    </row>
    <row r="105" spans="1:8" ht="25.5" x14ac:dyDescent="0.2">
      <c r="A105" s="75" t="s">
        <v>507</v>
      </c>
      <c r="B105" s="61"/>
      <c r="C105" s="78" t="s">
        <v>443</v>
      </c>
      <c r="D105" s="61" t="s">
        <v>545</v>
      </c>
      <c r="E105" s="20">
        <v>10</v>
      </c>
      <c r="F105" s="20"/>
      <c r="G105" s="12"/>
      <c r="H105" s="12"/>
    </row>
    <row r="106" spans="1:8" x14ac:dyDescent="0.2">
      <c r="A106" s="75" t="s">
        <v>508</v>
      </c>
      <c r="B106" s="61"/>
      <c r="C106" s="78" t="s">
        <v>185</v>
      </c>
      <c r="D106" s="93" t="s">
        <v>23</v>
      </c>
      <c r="E106" s="20">
        <v>117.1</v>
      </c>
      <c r="F106" s="20"/>
      <c r="G106" s="12"/>
      <c r="H106" s="12"/>
    </row>
    <row r="107" spans="1:8" ht="25.5" x14ac:dyDescent="0.2">
      <c r="A107" s="75" t="s">
        <v>509</v>
      </c>
      <c r="B107" s="61"/>
      <c r="C107" s="78" t="s">
        <v>259</v>
      </c>
      <c r="D107" s="93" t="s">
        <v>23</v>
      </c>
      <c r="E107" s="20">
        <v>30</v>
      </c>
      <c r="F107" s="20"/>
      <c r="G107" s="12"/>
      <c r="H107" s="12"/>
    </row>
    <row r="108" spans="1:8" ht="25.5" x14ac:dyDescent="0.2">
      <c r="A108" s="75" t="s">
        <v>510</v>
      </c>
      <c r="B108" s="61"/>
      <c r="C108" s="78" t="s">
        <v>441</v>
      </c>
      <c r="D108" s="93" t="s">
        <v>31</v>
      </c>
      <c r="E108" s="20">
        <v>18.399999999999999</v>
      </c>
      <c r="F108" s="20"/>
      <c r="G108" s="12"/>
      <c r="H108" s="12"/>
    </row>
    <row r="109" spans="1:8" ht="38.25" x14ac:dyDescent="0.2">
      <c r="A109" s="75" t="s">
        <v>511</v>
      </c>
      <c r="B109" s="61"/>
      <c r="C109" s="78" t="s">
        <v>444</v>
      </c>
      <c r="D109" s="93" t="s">
        <v>545</v>
      </c>
      <c r="E109" s="20">
        <v>10.8</v>
      </c>
      <c r="F109" s="20"/>
      <c r="G109" s="12"/>
      <c r="H109" s="12"/>
    </row>
    <row r="110" spans="1:8" x14ac:dyDescent="0.2">
      <c r="A110" s="75" t="s">
        <v>512</v>
      </c>
      <c r="B110" s="61"/>
      <c r="C110" s="78" t="s">
        <v>599</v>
      </c>
      <c r="D110" s="93" t="s">
        <v>545</v>
      </c>
      <c r="E110" s="20">
        <v>2</v>
      </c>
      <c r="F110" s="20"/>
      <c r="G110" s="12"/>
      <c r="H110" s="12"/>
    </row>
    <row r="111" spans="1:8" ht="39" customHeight="1" x14ac:dyDescent="0.2">
      <c r="A111" s="75" t="s">
        <v>600</v>
      </c>
      <c r="B111" s="61"/>
      <c r="C111" s="76" t="s">
        <v>424</v>
      </c>
      <c r="D111" s="56"/>
      <c r="E111" s="96">
        <f>SUM(E112:E115)</f>
        <v>427.5</v>
      </c>
      <c r="F111" s="96">
        <f>SUM(F112:F114)</f>
        <v>0</v>
      </c>
      <c r="G111" s="12"/>
      <c r="H111" s="12"/>
    </row>
    <row r="112" spans="1:8" ht="12.6" customHeight="1" x14ac:dyDescent="0.2">
      <c r="A112" s="75" t="s">
        <v>601</v>
      </c>
      <c r="B112" s="61"/>
      <c r="C112" s="78" t="s">
        <v>150</v>
      </c>
      <c r="D112" s="61" t="s">
        <v>88</v>
      </c>
      <c r="E112" s="20">
        <v>220</v>
      </c>
      <c r="F112" s="20"/>
      <c r="G112" s="12"/>
      <c r="H112" s="12"/>
    </row>
    <row r="113" spans="1:11" ht="25.5" x14ac:dyDescent="0.2">
      <c r="A113" s="75" t="s">
        <v>602</v>
      </c>
      <c r="B113" s="61"/>
      <c r="C113" s="78" t="s">
        <v>352</v>
      </c>
      <c r="D113" s="65" t="s">
        <v>178</v>
      </c>
      <c r="E113" s="20">
        <v>150</v>
      </c>
      <c r="F113" s="20"/>
      <c r="G113" s="12"/>
      <c r="H113" s="12"/>
    </row>
    <row r="114" spans="1:11" ht="25.5" x14ac:dyDescent="0.2">
      <c r="A114" s="75" t="s">
        <v>603</v>
      </c>
      <c r="B114" s="61"/>
      <c r="C114" s="78" t="s">
        <v>186</v>
      </c>
      <c r="D114" s="61" t="s">
        <v>75</v>
      </c>
      <c r="E114" s="20">
        <v>42</v>
      </c>
      <c r="F114" s="20"/>
      <c r="G114" s="12"/>
      <c r="H114" s="12"/>
    </row>
    <row r="115" spans="1:11" ht="25.5" x14ac:dyDescent="0.2">
      <c r="A115" s="75" t="s">
        <v>604</v>
      </c>
      <c r="B115" s="68"/>
      <c r="C115" s="79" t="s">
        <v>569</v>
      </c>
      <c r="D115" s="61" t="s">
        <v>88</v>
      </c>
      <c r="E115" s="20">
        <f>15+0.5</f>
        <v>15.5</v>
      </c>
      <c r="F115" s="20"/>
      <c r="G115" s="12"/>
      <c r="H115" s="12"/>
      <c r="K115" s="13"/>
    </row>
    <row r="116" spans="1:11" ht="51" x14ac:dyDescent="0.2">
      <c r="A116" s="206">
        <v>42</v>
      </c>
      <c r="B116" s="202"/>
      <c r="C116" s="64" t="s">
        <v>8</v>
      </c>
      <c r="D116" s="65" t="s">
        <v>559</v>
      </c>
      <c r="E116" s="63">
        <f>1753.6+E117-140</f>
        <v>1635.6999999999998</v>
      </c>
      <c r="F116" s="63">
        <f>108+F117</f>
        <v>129.80000000000001</v>
      </c>
      <c r="G116" s="12"/>
      <c r="H116" s="12"/>
    </row>
    <row r="117" spans="1:11" x14ac:dyDescent="0.2">
      <c r="A117" s="207"/>
      <c r="B117" s="203"/>
      <c r="C117" s="64" t="s">
        <v>271</v>
      </c>
      <c r="D117" s="65" t="s">
        <v>39</v>
      </c>
      <c r="E117" s="63">
        <v>22.1</v>
      </c>
      <c r="F117" s="63">
        <v>21.8</v>
      </c>
      <c r="G117" s="12"/>
      <c r="H117" s="12"/>
      <c r="J117" s="13"/>
    </row>
    <row r="118" spans="1:11" ht="54" customHeight="1" x14ac:dyDescent="0.2">
      <c r="A118" s="206">
        <v>43</v>
      </c>
      <c r="B118" s="202"/>
      <c r="C118" s="64" t="s">
        <v>4</v>
      </c>
      <c r="D118" s="65" t="s">
        <v>560</v>
      </c>
      <c r="E118" s="63">
        <f>692.6+E119+0.5+0.6</f>
        <v>701.1</v>
      </c>
      <c r="F118" s="63">
        <f>32+F119+0.5+0.8</f>
        <v>40.599999999999994</v>
      </c>
      <c r="G118" s="12"/>
      <c r="H118" s="12"/>
    </row>
    <row r="119" spans="1:11" x14ac:dyDescent="0.2">
      <c r="A119" s="207"/>
      <c r="B119" s="203"/>
      <c r="C119" s="64" t="s">
        <v>271</v>
      </c>
      <c r="D119" s="65" t="s">
        <v>39</v>
      </c>
      <c r="E119" s="63">
        <v>7.4</v>
      </c>
      <c r="F119" s="63">
        <v>7.3</v>
      </c>
      <c r="G119" s="12"/>
      <c r="H119" s="12"/>
    </row>
    <row r="120" spans="1:11" ht="39.75" customHeight="1" x14ac:dyDescent="0.2">
      <c r="A120" s="57">
        <v>44</v>
      </c>
      <c r="B120" s="61"/>
      <c r="C120" s="64" t="s">
        <v>5</v>
      </c>
      <c r="D120" s="65" t="s">
        <v>114</v>
      </c>
      <c r="E120" s="63">
        <f>380+2.1-0.6-150</f>
        <v>231.5</v>
      </c>
      <c r="F120" s="63">
        <f>13.2+2.1-0.6</f>
        <v>14.7</v>
      </c>
      <c r="G120" s="12"/>
      <c r="H120" s="12"/>
    </row>
    <row r="121" spans="1:11" ht="51" customHeight="1" x14ac:dyDescent="0.2">
      <c r="A121" s="206">
        <v>45</v>
      </c>
      <c r="B121" s="202"/>
      <c r="C121" s="64" t="s">
        <v>7</v>
      </c>
      <c r="D121" s="65" t="s">
        <v>560</v>
      </c>
      <c r="E121" s="63">
        <f>329.4+E122+1.1-0.1+60</f>
        <v>394.09999999999997</v>
      </c>
      <c r="F121" s="63">
        <f>18+F122+1.1</f>
        <v>22.700000000000003</v>
      </c>
      <c r="G121" s="12"/>
      <c r="H121" s="12"/>
    </row>
    <row r="122" spans="1:11" x14ac:dyDescent="0.2">
      <c r="A122" s="207"/>
      <c r="B122" s="203"/>
      <c r="C122" s="64" t="s">
        <v>271</v>
      </c>
      <c r="D122" s="65" t="s">
        <v>39</v>
      </c>
      <c r="E122" s="63">
        <v>3.7</v>
      </c>
      <c r="F122" s="63">
        <v>3.6</v>
      </c>
      <c r="G122" s="12"/>
      <c r="H122" s="12"/>
    </row>
    <row r="123" spans="1:11" ht="50.25" customHeight="1" x14ac:dyDescent="0.2">
      <c r="A123" s="206">
        <v>46</v>
      </c>
      <c r="B123" s="202"/>
      <c r="C123" s="64" t="s">
        <v>6</v>
      </c>
      <c r="D123" s="65" t="s">
        <v>560</v>
      </c>
      <c r="E123" s="63">
        <f>357.4+E124-0.3+60</f>
        <v>420.79999999999995</v>
      </c>
      <c r="F123" s="63">
        <f>27.8+F124-0.2</f>
        <v>31.200000000000003</v>
      </c>
      <c r="G123" s="12"/>
      <c r="H123" s="12"/>
    </row>
    <row r="124" spans="1:11" x14ac:dyDescent="0.2">
      <c r="A124" s="207"/>
      <c r="B124" s="203"/>
      <c r="C124" s="64" t="s">
        <v>271</v>
      </c>
      <c r="D124" s="65" t="s">
        <v>39</v>
      </c>
      <c r="E124" s="63">
        <v>3.7</v>
      </c>
      <c r="F124" s="63">
        <v>3.6</v>
      </c>
      <c r="G124" s="12"/>
      <c r="H124" s="12"/>
    </row>
    <row r="125" spans="1:11" ht="40.5" customHeight="1" x14ac:dyDescent="0.2">
      <c r="A125" s="67">
        <v>47</v>
      </c>
      <c r="B125" s="68"/>
      <c r="C125" s="64" t="s">
        <v>9</v>
      </c>
      <c r="D125" s="65" t="s">
        <v>562</v>
      </c>
      <c r="E125" s="63">
        <f>426.9+0.3+0.1</f>
        <v>427.3</v>
      </c>
      <c r="F125" s="63">
        <f>17.6+0.3</f>
        <v>17.900000000000002</v>
      </c>
      <c r="G125" s="12"/>
      <c r="H125" s="12"/>
    </row>
    <row r="126" spans="1:11" ht="51.75" customHeight="1" x14ac:dyDescent="0.2">
      <c r="A126" s="206">
        <v>48</v>
      </c>
      <c r="B126" s="202"/>
      <c r="C126" s="73" t="s">
        <v>10</v>
      </c>
      <c r="D126" s="65" t="s">
        <v>560</v>
      </c>
      <c r="E126" s="63">
        <f>323.6+E127+2.4</f>
        <v>329.7</v>
      </c>
      <c r="F126" s="63">
        <f>14.8+F127+2.3</f>
        <v>20.700000000000003</v>
      </c>
      <c r="G126" s="12"/>
      <c r="H126" s="12"/>
    </row>
    <row r="127" spans="1:11" x14ac:dyDescent="0.2">
      <c r="A127" s="207"/>
      <c r="B127" s="203"/>
      <c r="C127" s="64" t="s">
        <v>271</v>
      </c>
      <c r="D127" s="65" t="s">
        <v>39</v>
      </c>
      <c r="E127" s="63">
        <v>3.7</v>
      </c>
      <c r="F127" s="63">
        <v>3.6</v>
      </c>
      <c r="G127" s="12"/>
      <c r="H127" s="12"/>
    </row>
    <row r="128" spans="1:11" ht="52.5" customHeight="1" x14ac:dyDescent="0.2">
      <c r="A128" s="206">
        <v>49</v>
      </c>
      <c r="B128" s="202"/>
      <c r="C128" s="64" t="s">
        <v>12</v>
      </c>
      <c r="D128" s="65" t="s">
        <v>560</v>
      </c>
      <c r="E128" s="63">
        <f>302.6+E129+2.2+30</f>
        <v>338.5</v>
      </c>
      <c r="F128" s="63">
        <f>14.3+F129+2.2-0.1</f>
        <v>20</v>
      </c>
      <c r="G128" s="12"/>
      <c r="H128" s="12"/>
    </row>
    <row r="129" spans="1:8" x14ac:dyDescent="0.2">
      <c r="A129" s="207"/>
      <c r="B129" s="203"/>
      <c r="C129" s="64" t="s">
        <v>271</v>
      </c>
      <c r="D129" s="65" t="s">
        <v>39</v>
      </c>
      <c r="E129" s="63">
        <v>3.7</v>
      </c>
      <c r="F129" s="63">
        <v>3.6</v>
      </c>
      <c r="G129" s="12"/>
      <c r="H129" s="12"/>
    </row>
    <row r="130" spans="1:8" ht="51" x14ac:dyDescent="0.2">
      <c r="A130" s="206">
        <v>50</v>
      </c>
      <c r="B130" s="202"/>
      <c r="C130" s="64" t="s">
        <v>11</v>
      </c>
      <c r="D130" s="65" t="s">
        <v>560</v>
      </c>
      <c r="E130" s="63">
        <f>344.5+E131+1</f>
        <v>349.2</v>
      </c>
      <c r="F130" s="63">
        <f>18.5+F131+1</f>
        <v>23.1</v>
      </c>
      <c r="G130" s="12"/>
      <c r="H130" s="12"/>
    </row>
    <row r="131" spans="1:8" x14ac:dyDescent="0.2">
      <c r="A131" s="207"/>
      <c r="B131" s="203"/>
      <c r="C131" s="64" t="s">
        <v>271</v>
      </c>
      <c r="D131" s="65" t="s">
        <v>39</v>
      </c>
      <c r="E131" s="63">
        <v>3.7</v>
      </c>
      <c r="F131" s="63">
        <v>3.6</v>
      </c>
      <c r="G131" s="12"/>
      <c r="H131" s="12"/>
    </row>
    <row r="132" spans="1:8" ht="53.25" customHeight="1" x14ac:dyDescent="0.2">
      <c r="A132" s="200">
        <v>51</v>
      </c>
      <c r="B132" s="202"/>
      <c r="C132" s="64" t="s">
        <v>13</v>
      </c>
      <c r="D132" s="65" t="s">
        <v>560</v>
      </c>
      <c r="E132" s="63">
        <f>170.5+E133-1.4+90</f>
        <v>262.79999999999995</v>
      </c>
      <c r="F132" s="63">
        <f>15.6+F133-0.9</f>
        <v>18.3</v>
      </c>
      <c r="G132" s="12"/>
      <c r="H132" s="12"/>
    </row>
    <row r="133" spans="1:8" x14ac:dyDescent="0.2">
      <c r="A133" s="201"/>
      <c r="B133" s="203"/>
      <c r="C133" s="64" t="s">
        <v>271</v>
      </c>
      <c r="D133" s="65" t="s">
        <v>39</v>
      </c>
      <c r="E133" s="63">
        <v>3.7</v>
      </c>
      <c r="F133" s="63">
        <v>3.6</v>
      </c>
      <c r="G133" s="12"/>
      <c r="H133" s="12"/>
    </row>
    <row r="134" spans="1:8" ht="54" customHeight="1" x14ac:dyDescent="0.2">
      <c r="A134" s="206">
        <v>52</v>
      </c>
      <c r="B134" s="202"/>
      <c r="C134" s="64" t="s">
        <v>14</v>
      </c>
      <c r="D134" s="65" t="s">
        <v>560</v>
      </c>
      <c r="E134" s="63">
        <f>232.2+E135+2.5+50</f>
        <v>292.10000000000002</v>
      </c>
      <c r="F134" s="63">
        <f>26.7+F135+2.5</f>
        <v>36.5</v>
      </c>
      <c r="G134" s="12"/>
      <c r="H134" s="12"/>
    </row>
    <row r="135" spans="1:8" x14ac:dyDescent="0.2">
      <c r="A135" s="207"/>
      <c r="B135" s="203"/>
      <c r="C135" s="64" t="s">
        <v>271</v>
      </c>
      <c r="D135" s="65" t="s">
        <v>39</v>
      </c>
      <c r="E135" s="63">
        <v>7.4</v>
      </c>
      <c r="F135" s="63">
        <v>7.3</v>
      </c>
      <c r="G135" s="12"/>
      <c r="H135" s="12"/>
    </row>
    <row r="136" spans="1:8" ht="20.100000000000001" customHeight="1" x14ac:dyDescent="0.2">
      <c r="A136" s="57">
        <v>53</v>
      </c>
      <c r="B136" s="56" t="s">
        <v>76</v>
      </c>
      <c r="C136" s="83" t="s">
        <v>193</v>
      </c>
      <c r="D136" s="61"/>
      <c r="E136" s="84">
        <f>+E138+E154+E155+E156+E157+E158+E159+E160+E161+E162+E137</f>
        <v>2050</v>
      </c>
      <c r="F136" s="84">
        <f>+F138+F154+F155+F156+F157+F158+F159+F160+F161+F162+F137</f>
        <v>800.4</v>
      </c>
      <c r="G136" s="12"/>
      <c r="H136" s="12"/>
    </row>
    <row r="137" spans="1:8" ht="12.6" customHeight="1" x14ac:dyDescent="0.2">
      <c r="A137" s="57">
        <v>54</v>
      </c>
      <c r="B137" s="61"/>
      <c r="C137" s="62" t="s">
        <v>112</v>
      </c>
      <c r="D137" s="61" t="s">
        <v>77</v>
      </c>
      <c r="E137" s="63">
        <f>1083.9+8+59.5+22</f>
        <v>1173.4000000000001</v>
      </c>
      <c r="F137" s="63">
        <f>642.1+58.4+26</f>
        <v>726.5</v>
      </c>
      <c r="G137" s="12"/>
      <c r="H137" s="12"/>
    </row>
    <row r="138" spans="1:8" ht="12.6" customHeight="1" x14ac:dyDescent="0.2">
      <c r="A138" s="57">
        <v>55</v>
      </c>
      <c r="B138" s="56"/>
      <c r="C138" s="73" t="s">
        <v>166</v>
      </c>
      <c r="D138" s="61"/>
      <c r="E138" s="63">
        <f>+E139+E140+E147+E150+E148+E149</f>
        <v>846.1</v>
      </c>
      <c r="F138" s="63">
        <f>+F139+F140+F147+F150+F148+F149</f>
        <v>44.6</v>
      </c>
      <c r="G138" s="12"/>
      <c r="H138" s="12"/>
    </row>
    <row r="139" spans="1:8" ht="12.6" customHeight="1" x14ac:dyDescent="0.2">
      <c r="A139" s="75" t="s">
        <v>513</v>
      </c>
      <c r="B139" s="61"/>
      <c r="C139" s="73" t="s">
        <v>3</v>
      </c>
      <c r="D139" s="61" t="s">
        <v>132</v>
      </c>
      <c r="E139" s="63">
        <f>108.6+12-3</f>
        <v>117.6</v>
      </c>
      <c r="F139" s="63">
        <f>47.6-3</f>
        <v>44.6</v>
      </c>
      <c r="G139" s="12"/>
      <c r="H139" s="12"/>
    </row>
    <row r="140" spans="1:8" ht="12.6" customHeight="1" x14ac:dyDescent="0.2">
      <c r="A140" s="211" t="s">
        <v>514</v>
      </c>
      <c r="B140" s="202"/>
      <c r="C140" s="86" t="s">
        <v>531</v>
      </c>
      <c r="D140" s="202" t="s">
        <v>77</v>
      </c>
      <c r="E140" s="63">
        <f>+E141+E142+E143+E144+E145+E146</f>
        <v>521.20000000000005</v>
      </c>
      <c r="F140" s="63">
        <f>+F141+F142+F143+F144+F145</f>
        <v>0</v>
      </c>
      <c r="G140" s="12"/>
      <c r="H140" s="12"/>
    </row>
    <row r="141" spans="1:8" ht="25.5" x14ac:dyDescent="0.2">
      <c r="A141" s="212"/>
      <c r="B141" s="214"/>
      <c r="C141" s="97" t="s">
        <v>452</v>
      </c>
      <c r="D141" s="214"/>
      <c r="E141" s="63">
        <f>220+6.2</f>
        <v>226.2</v>
      </c>
      <c r="F141" s="63"/>
      <c r="G141" s="12"/>
      <c r="H141" s="12"/>
    </row>
    <row r="142" spans="1:8" ht="12.6" customHeight="1" x14ac:dyDescent="0.2">
      <c r="A142" s="212"/>
      <c r="B142" s="214"/>
      <c r="C142" s="97" t="s">
        <v>447</v>
      </c>
      <c r="D142" s="214"/>
      <c r="E142" s="63">
        <f>100+20</f>
        <v>120</v>
      </c>
      <c r="F142" s="63"/>
      <c r="G142" s="12"/>
      <c r="H142" s="12"/>
    </row>
    <row r="143" spans="1:8" ht="12.6" customHeight="1" x14ac:dyDescent="0.2">
      <c r="A143" s="212"/>
      <c r="B143" s="214"/>
      <c r="C143" s="97" t="s">
        <v>446</v>
      </c>
      <c r="D143" s="214"/>
      <c r="E143" s="63">
        <v>15</v>
      </c>
      <c r="F143" s="63"/>
      <c r="G143" s="12"/>
      <c r="H143" s="12"/>
    </row>
    <row r="144" spans="1:8" ht="25.5" x14ac:dyDescent="0.2">
      <c r="A144" s="212"/>
      <c r="B144" s="214"/>
      <c r="C144" s="97" t="s">
        <v>445</v>
      </c>
      <c r="D144" s="214"/>
      <c r="E144" s="63">
        <v>120</v>
      </c>
      <c r="F144" s="63"/>
      <c r="G144" s="12"/>
      <c r="H144" s="12"/>
    </row>
    <row r="145" spans="1:8" x14ac:dyDescent="0.2">
      <c r="A145" s="212"/>
      <c r="B145" s="214"/>
      <c r="C145" s="97" t="s">
        <v>448</v>
      </c>
      <c r="D145" s="214"/>
      <c r="E145" s="63">
        <v>20</v>
      </c>
      <c r="F145" s="63"/>
      <c r="G145" s="12"/>
      <c r="H145" s="12"/>
    </row>
    <row r="146" spans="1:8" x14ac:dyDescent="0.2">
      <c r="A146" s="213"/>
      <c r="B146" s="203"/>
      <c r="C146" s="97" t="s">
        <v>449</v>
      </c>
      <c r="D146" s="203"/>
      <c r="E146" s="63">
        <f>10+10</f>
        <v>20</v>
      </c>
      <c r="F146" s="63"/>
      <c r="G146" s="12"/>
      <c r="H146" s="12"/>
    </row>
    <row r="147" spans="1:8" ht="12.6" customHeight="1" x14ac:dyDescent="0.2">
      <c r="A147" s="75" t="s">
        <v>515</v>
      </c>
      <c r="B147" s="61"/>
      <c r="C147" s="86" t="s">
        <v>450</v>
      </c>
      <c r="D147" s="61" t="s">
        <v>77</v>
      </c>
      <c r="E147" s="63">
        <v>55</v>
      </c>
      <c r="F147" s="63"/>
      <c r="G147" s="12"/>
      <c r="H147" s="12"/>
    </row>
    <row r="148" spans="1:8" ht="25.5" x14ac:dyDescent="0.2">
      <c r="A148" s="75" t="s">
        <v>516</v>
      </c>
      <c r="B148" s="61"/>
      <c r="C148" s="86" t="s">
        <v>628</v>
      </c>
      <c r="D148" s="61" t="s">
        <v>77</v>
      </c>
      <c r="E148" s="63">
        <v>10.3</v>
      </c>
      <c r="F148" s="63"/>
      <c r="G148" s="12"/>
      <c r="H148" s="12"/>
    </row>
    <row r="149" spans="1:8" ht="25.5" x14ac:dyDescent="0.2">
      <c r="A149" s="75" t="s">
        <v>517</v>
      </c>
      <c r="B149" s="61"/>
      <c r="C149" s="86" t="s">
        <v>411</v>
      </c>
      <c r="D149" s="61" t="s">
        <v>155</v>
      </c>
      <c r="E149" s="63">
        <v>10</v>
      </c>
      <c r="F149" s="63"/>
      <c r="G149" s="12"/>
      <c r="H149" s="12"/>
    </row>
    <row r="150" spans="1:8" ht="42" customHeight="1" x14ac:dyDescent="0.2">
      <c r="A150" s="75" t="s">
        <v>518</v>
      </c>
      <c r="B150" s="61"/>
      <c r="C150" s="76" t="s">
        <v>424</v>
      </c>
      <c r="D150" s="56"/>
      <c r="E150" s="77">
        <f>+E151+E152+E153</f>
        <v>132</v>
      </c>
      <c r="F150" s="77">
        <f>+F151+F152+F153</f>
        <v>0</v>
      </c>
      <c r="G150" s="12"/>
      <c r="H150" s="12"/>
    </row>
    <row r="151" spans="1:8" ht="25.5" x14ac:dyDescent="0.2">
      <c r="A151" s="75" t="s">
        <v>519</v>
      </c>
      <c r="B151" s="61"/>
      <c r="C151" s="64" t="s">
        <v>451</v>
      </c>
      <c r="D151" s="68" t="s">
        <v>77</v>
      </c>
      <c r="E151" s="63">
        <v>22</v>
      </c>
      <c r="F151" s="63"/>
      <c r="G151" s="12"/>
      <c r="H151" s="12"/>
    </row>
    <row r="152" spans="1:8" ht="38.25" x14ac:dyDescent="0.2">
      <c r="A152" s="75" t="s">
        <v>520</v>
      </c>
      <c r="B152" s="61"/>
      <c r="C152" s="64" t="s">
        <v>262</v>
      </c>
      <c r="D152" s="61" t="s">
        <v>77</v>
      </c>
      <c r="E152" s="63">
        <v>50</v>
      </c>
      <c r="F152" s="63"/>
      <c r="G152" s="12"/>
      <c r="H152" s="12"/>
    </row>
    <row r="153" spans="1:8" ht="25.5" x14ac:dyDescent="0.2">
      <c r="A153" s="75" t="s">
        <v>782</v>
      </c>
      <c r="B153" s="61"/>
      <c r="C153" s="64" t="s">
        <v>730</v>
      </c>
      <c r="D153" s="61" t="s">
        <v>61</v>
      </c>
      <c r="E153" s="63">
        <v>60</v>
      </c>
      <c r="F153" s="63"/>
      <c r="G153" s="12"/>
      <c r="H153" s="12"/>
    </row>
    <row r="154" spans="1:8" ht="25.5" x14ac:dyDescent="0.2">
      <c r="A154" s="57">
        <v>56</v>
      </c>
      <c r="B154" s="61"/>
      <c r="C154" s="64" t="s">
        <v>5</v>
      </c>
      <c r="D154" s="61" t="s">
        <v>77</v>
      </c>
      <c r="E154" s="63">
        <f>3.5+0.1-0.5</f>
        <v>3.1</v>
      </c>
      <c r="F154" s="63">
        <f>3.1+0.1-0.2</f>
        <v>3</v>
      </c>
      <c r="G154" s="12"/>
      <c r="H154" s="12"/>
    </row>
    <row r="155" spans="1:8" ht="12.6" customHeight="1" x14ac:dyDescent="0.2">
      <c r="A155" s="57">
        <v>57</v>
      </c>
      <c r="B155" s="61"/>
      <c r="C155" s="73" t="s">
        <v>7</v>
      </c>
      <c r="D155" s="61" t="s">
        <v>77</v>
      </c>
      <c r="E155" s="63">
        <f>3.4+0.3</f>
        <v>3.6999999999999997</v>
      </c>
      <c r="F155" s="63">
        <f>3.3+0.3</f>
        <v>3.5999999999999996</v>
      </c>
      <c r="G155" s="12"/>
      <c r="H155" s="12"/>
    </row>
    <row r="156" spans="1:8" ht="12.6" customHeight="1" x14ac:dyDescent="0.2">
      <c r="A156" s="57">
        <v>58</v>
      </c>
      <c r="B156" s="61"/>
      <c r="C156" s="64" t="s">
        <v>6</v>
      </c>
      <c r="D156" s="61" t="s">
        <v>77</v>
      </c>
      <c r="E156" s="63">
        <f>3.6+1.7-1.6</f>
        <v>3.6999999999999997</v>
      </c>
      <c r="F156" s="63">
        <f>3.5+1.7-1.6</f>
        <v>3.6</v>
      </c>
      <c r="G156" s="12"/>
      <c r="H156" s="12"/>
    </row>
    <row r="157" spans="1:8" ht="12.6" customHeight="1" x14ac:dyDescent="0.2">
      <c r="A157" s="57">
        <v>59</v>
      </c>
      <c r="B157" s="61"/>
      <c r="C157" s="64" t="s">
        <v>9</v>
      </c>
      <c r="D157" s="61" t="s">
        <v>77</v>
      </c>
      <c r="E157" s="63">
        <f>3.3+0.4-0.6</f>
        <v>3.0999999999999996</v>
      </c>
      <c r="F157" s="63">
        <f>3.2+0.3-0.5</f>
        <v>3</v>
      </c>
      <c r="G157" s="12"/>
      <c r="H157" s="12"/>
    </row>
    <row r="158" spans="1:8" ht="12.6" customHeight="1" x14ac:dyDescent="0.2">
      <c r="A158" s="57">
        <v>60</v>
      </c>
      <c r="B158" s="61"/>
      <c r="C158" s="73" t="s">
        <v>10</v>
      </c>
      <c r="D158" s="61" t="s">
        <v>77</v>
      </c>
      <c r="E158" s="63">
        <f>3.2+0.4</f>
        <v>3.6</v>
      </c>
      <c r="F158" s="63">
        <f>3.1+0.4</f>
        <v>3.5</v>
      </c>
      <c r="G158" s="12"/>
      <c r="H158" s="12"/>
    </row>
    <row r="159" spans="1:8" ht="12.6" customHeight="1" x14ac:dyDescent="0.2">
      <c r="A159" s="57">
        <v>61</v>
      </c>
      <c r="B159" s="61"/>
      <c r="C159" s="64" t="s">
        <v>12</v>
      </c>
      <c r="D159" s="61" t="s">
        <v>77</v>
      </c>
      <c r="E159" s="63">
        <f>3.2+0.8</f>
        <v>4</v>
      </c>
      <c r="F159" s="63">
        <f>3.1+0.5</f>
        <v>3.6</v>
      </c>
      <c r="G159" s="12"/>
      <c r="H159" s="12"/>
    </row>
    <row r="160" spans="1:8" ht="12.6" customHeight="1" x14ac:dyDescent="0.2">
      <c r="A160" s="57">
        <v>62</v>
      </c>
      <c r="B160" s="61"/>
      <c r="C160" s="64" t="s">
        <v>11</v>
      </c>
      <c r="D160" s="61" t="s">
        <v>77</v>
      </c>
      <c r="E160" s="63">
        <v>3</v>
      </c>
      <c r="F160" s="63">
        <v>2.9</v>
      </c>
      <c r="G160" s="12"/>
      <c r="H160" s="12"/>
    </row>
    <row r="161" spans="1:8" ht="12.6" customHeight="1" x14ac:dyDescent="0.2">
      <c r="A161" s="57">
        <v>63</v>
      </c>
      <c r="B161" s="61"/>
      <c r="C161" s="64" t="s">
        <v>13</v>
      </c>
      <c r="D161" s="61" t="s">
        <v>77</v>
      </c>
      <c r="E161" s="63">
        <f>2.9+0.4</f>
        <v>3.3</v>
      </c>
      <c r="F161" s="63">
        <f>2.8+0.4</f>
        <v>3.1999999999999997</v>
      </c>
      <c r="G161" s="12"/>
      <c r="H161" s="12"/>
    </row>
    <row r="162" spans="1:8" ht="12.6" customHeight="1" x14ac:dyDescent="0.2">
      <c r="A162" s="57">
        <v>64</v>
      </c>
      <c r="B162" s="61"/>
      <c r="C162" s="64" t="s">
        <v>14</v>
      </c>
      <c r="D162" s="61" t="s">
        <v>77</v>
      </c>
      <c r="E162" s="63">
        <v>3</v>
      </c>
      <c r="F162" s="63">
        <v>2.9</v>
      </c>
      <c r="G162" s="12"/>
      <c r="H162" s="12"/>
    </row>
    <row r="163" spans="1:8" ht="12.6" customHeight="1" x14ac:dyDescent="0.2">
      <c r="A163" s="57">
        <v>65</v>
      </c>
      <c r="B163" s="56" t="s">
        <v>78</v>
      </c>
      <c r="C163" s="83" t="s">
        <v>79</v>
      </c>
      <c r="D163" s="54"/>
      <c r="E163" s="84">
        <f>+E164+E165+E166+E167+E168+E169+E170+E171+E173+E184</f>
        <v>5033.9000000000005</v>
      </c>
      <c r="F163" s="84">
        <f>+F164+F165+F166+F167+F168+F169+F170+F171+F173+F184</f>
        <v>3300.9</v>
      </c>
      <c r="G163" s="12"/>
      <c r="H163" s="12"/>
    </row>
    <row r="164" spans="1:8" ht="24.75" customHeight="1" x14ac:dyDescent="0.2">
      <c r="A164" s="57">
        <v>66</v>
      </c>
      <c r="B164" s="61"/>
      <c r="C164" s="62" t="s">
        <v>44</v>
      </c>
      <c r="D164" s="61" t="s">
        <v>80</v>
      </c>
      <c r="E164" s="63">
        <f>951.3+60.6+5</f>
        <v>1016.9</v>
      </c>
      <c r="F164" s="63">
        <f>653.1+59.4+3</f>
        <v>715.5</v>
      </c>
      <c r="G164" s="12"/>
      <c r="H164" s="12"/>
    </row>
    <row r="165" spans="1:8" ht="12.6" customHeight="1" x14ac:dyDescent="0.2">
      <c r="A165" s="57">
        <v>67</v>
      </c>
      <c r="B165" s="61"/>
      <c r="C165" s="92" t="s">
        <v>49</v>
      </c>
      <c r="D165" s="61" t="s">
        <v>80</v>
      </c>
      <c r="E165" s="63">
        <f>293.8+20.3</f>
        <v>314.10000000000002</v>
      </c>
      <c r="F165" s="63">
        <f>218.5+19.9</f>
        <v>238.4</v>
      </c>
      <c r="G165" s="12"/>
      <c r="H165" s="12"/>
    </row>
    <row r="166" spans="1:8" ht="12.6" customHeight="1" x14ac:dyDescent="0.2">
      <c r="A166" s="57">
        <v>68</v>
      </c>
      <c r="B166" s="61"/>
      <c r="C166" s="92" t="s">
        <v>50</v>
      </c>
      <c r="D166" s="61" t="s">
        <v>80</v>
      </c>
      <c r="E166" s="63">
        <f>227.3+14.6</f>
        <v>241.9</v>
      </c>
      <c r="F166" s="63">
        <f>158+14.3+8.5</f>
        <v>180.8</v>
      </c>
      <c r="G166" s="12"/>
      <c r="H166" s="12"/>
    </row>
    <row r="167" spans="1:8" ht="12.6" customHeight="1" x14ac:dyDescent="0.2">
      <c r="A167" s="57">
        <v>69</v>
      </c>
      <c r="B167" s="61"/>
      <c r="C167" s="92" t="s">
        <v>45</v>
      </c>
      <c r="D167" s="61" t="s">
        <v>80</v>
      </c>
      <c r="E167" s="63">
        <f>209.9+13.8</f>
        <v>223.70000000000002</v>
      </c>
      <c r="F167" s="63">
        <f>148.8+13.5+3.2</f>
        <v>165.5</v>
      </c>
      <c r="G167" s="12"/>
      <c r="H167" s="12"/>
    </row>
    <row r="168" spans="1:8" ht="12.6" customHeight="1" x14ac:dyDescent="0.2">
      <c r="A168" s="57">
        <v>70</v>
      </c>
      <c r="B168" s="61"/>
      <c r="C168" s="92" t="s">
        <v>51</v>
      </c>
      <c r="D168" s="61" t="s">
        <v>80</v>
      </c>
      <c r="E168" s="63">
        <f>141.2+10.6</f>
        <v>151.79999999999998</v>
      </c>
      <c r="F168" s="63">
        <f>114.8+10.4-7.6</f>
        <v>117.60000000000001</v>
      </c>
      <c r="G168" s="12"/>
      <c r="H168" s="12"/>
    </row>
    <row r="169" spans="1:8" ht="12.6" customHeight="1" x14ac:dyDescent="0.2">
      <c r="A169" s="57">
        <v>71</v>
      </c>
      <c r="B169" s="61"/>
      <c r="C169" s="92" t="s">
        <v>52</v>
      </c>
      <c r="D169" s="61" t="s">
        <v>80</v>
      </c>
      <c r="E169" s="63">
        <f>128.5+8.6</f>
        <v>137.1</v>
      </c>
      <c r="F169" s="63">
        <f>93.1+8.5</f>
        <v>101.6</v>
      </c>
      <c r="G169" s="12"/>
      <c r="H169" s="12"/>
    </row>
    <row r="170" spans="1:8" ht="12.6" customHeight="1" x14ac:dyDescent="0.2">
      <c r="A170" s="57">
        <v>72</v>
      </c>
      <c r="B170" s="61"/>
      <c r="C170" s="64" t="s">
        <v>53</v>
      </c>
      <c r="D170" s="61" t="s">
        <v>81</v>
      </c>
      <c r="E170" s="63">
        <f>1257.7+95.6</f>
        <v>1353.3</v>
      </c>
      <c r="F170" s="63">
        <f>1030.7+93.7</f>
        <v>1124.4000000000001</v>
      </c>
      <c r="G170" s="12"/>
      <c r="H170" s="12"/>
    </row>
    <row r="171" spans="1:8" ht="12.6" customHeight="1" x14ac:dyDescent="0.2">
      <c r="A171" s="206">
        <v>73</v>
      </c>
      <c r="B171" s="202"/>
      <c r="C171" s="92" t="s">
        <v>43</v>
      </c>
      <c r="D171" s="61" t="s">
        <v>82</v>
      </c>
      <c r="E171" s="63">
        <f>+E172+646.2+44.9+29.6</f>
        <v>725.90000000000009</v>
      </c>
      <c r="F171" s="63">
        <f>484.4+44.1+29.1</f>
        <v>557.6</v>
      </c>
      <c r="G171" s="12"/>
      <c r="H171" s="12"/>
    </row>
    <row r="172" spans="1:8" ht="12.6" customHeight="1" x14ac:dyDescent="0.2">
      <c r="A172" s="207"/>
      <c r="B172" s="203"/>
      <c r="C172" s="72" t="s">
        <v>453</v>
      </c>
      <c r="D172" s="61" t="s">
        <v>126</v>
      </c>
      <c r="E172" s="63">
        <v>5.2</v>
      </c>
      <c r="F172" s="63"/>
      <c r="G172" s="12"/>
      <c r="H172" s="12"/>
    </row>
    <row r="173" spans="1:8" ht="42.75" customHeight="1" x14ac:dyDescent="0.2">
      <c r="A173" s="57">
        <v>74</v>
      </c>
      <c r="B173" s="61"/>
      <c r="C173" s="73" t="s">
        <v>166</v>
      </c>
      <c r="D173" s="61"/>
      <c r="E173" s="63">
        <f>+E174+E175+E176+E177+E180+E178+E179</f>
        <v>860.2</v>
      </c>
      <c r="F173" s="63">
        <f>+F174+F175+F176+F177+F180+F178+F179</f>
        <v>90.9</v>
      </c>
      <c r="G173" s="12"/>
      <c r="H173" s="12"/>
    </row>
    <row r="174" spans="1:8" ht="12.6" customHeight="1" x14ac:dyDescent="0.2">
      <c r="A174" s="75" t="s">
        <v>521</v>
      </c>
      <c r="B174" s="61"/>
      <c r="C174" s="73" t="s">
        <v>3</v>
      </c>
      <c r="D174" s="65" t="s">
        <v>141</v>
      </c>
      <c r="E174" s="63">
        <f>434.9+15.2+1.2</f>
        <v>451.29999999999995</v>
      </c>
      <c r="F174" s="63">
        <f>74.7+15+1.2</f>
        <v>90.9</v>
      </c>
      <c r="G174" s="12"/>
      <c r="H174" s="12"/>
    </row>
    <row r="175" spans="1:8" ht="51" x14ac:dyDescent="0.2">
      <c r="A175" s="75" t="s">
        <v>522</v>
      </c>
      <c r="B175" s="61"/>
      <c r="C175" s="78" t="s">
        <v>187</v>
      </c>
      <c r="D175" s="65" t="s">
        <v>83</v>
      </c>
      <c r="E175" s="63">
        <v>27</v>
      </c>
      <c r="F175" s="63"/>
      <c r="G175" s="12"/>
      <c r="H175" s="12"/>
    </row>
    <row r="176" spans="1:8" x14ac:dyDescent="0.2">
      <c r="A176" s="75" t="s">
        <v>523</v>
      </c>
      <c r="B176" s="61"/>
      <c r="C176" s="78" t="s">
        <v>353</v>
      </c>
      <c r="D176" s="65" t="s">
        <v>83</v>
      </c>
      <c r="E176" s="63">
        <v>25</v>
      </c>
      <c r="F176" s="63"/>
      <c r="G176" s="12"/>
      <c r="H176" s="12"/>
    </row>
    <row r="177" spans="1:8" ht="25.5" x14ac:dyDescent="0.2">
      <c r="A177" s="75" t="s">
        <v>524</v>
      </c>
      <c r="B177" s="61"/>
      <c r="C177" s="78" t="s">
        <v>354</v>
      </c>
      <c r="D177" s="65" t="s">
        <v>83</v>
      </c>
      <c r="E177" s="63">
        <v>10</v>
      </c>
      <c r="F177" s="63"/>
      <c r="G177" s="12"/>
      <c r="H177" s="12"/>
    </row>
    <row r="178" spans="1:8" ht="25.5" x14ac:dyDescent="0.2">
      <c r="A178" s="75" t="s">
        <v>525</v>
      </c>
      <c r="B178" s="61"/>
      <c r="C178" s="79" t="s">
        <v>263</v>
      </c>
      <c r="D178" s="65" t="s">
        <v>155</v>
      </c>
      <c r="E178" s="63">
        <v>36</v>
      </c>
      <c r="F178" s="63"/>
      <c r="G178" s="12"/>
      <c r="H178" s="12"/>
    </row>
    <row r="179" spans="1:8" ht="51" x14ac:dyDescent="0.2">
      <c r="A179" s="75" t="s">
        <v>526</v>
      </c>
      <c r="B179" s="61"/>
      <c r="C179" s="79" t="s">
        <v>629</v>
      </c>
      <c r="D179" s="65" t="s">
        <v>155</v>
      </c>
      <c r="E179" s="63">
        <v>19</v>
      </c>
      <c r="F179" s="63"/>
      <c r="G179" s="12"/>
      <c r="H179" s="12"/>
    </row>
    <row r="180" spans="1:8" ht="40.5" x14ac:dyDescent="0.2">
      <c r="A180" s="75" t="s">
        <v>527</v>
      </c>
      <c r="B180" s="61"/>
      <c r="C180" s="76" t="s">
        <v>424</v>
      </c>
      <c r="D180" s="54"/>
      <c r="E180" s="77">
        <f>SUM(E181:E183)</f>
        <v>291.90000000000003</v>
      </c>
      <c r="F180" s="77">
        <f>SUM(F181:F183)</f>
        <v>0</v>
      </c>
      <c r="G180" s="12"/>
      <c r="H180" s="12"/>
    </row>
    <row r="181" spans="1:8" ht="39" customHeight="1" x14ac:dyDescent="0.2">
      <c r="A181" s="75" t="s">
        <v>528</v>
      </c>
      <c r="B181" s="61"/>
      <c r="C181" s="79" t="s">
        <v>172</v>
      </c>
      <c r="D181" s="61" t="s">
        <v>82</v>
      </c>
      <c r="E181" s="63">
        <v>10</v>
      </c>
      <c r="F181" s="63"/>
      <c r="G181" s="12"/>
      <c r="H181" s="12"/>
    </row>
    <row r="182" spans="1:8" x14ac:dyDescent="0.2">
      <c r="A182" s="75" t="s">
        <v>529</v>
      </c>
      <c r="B182" s="61"/>
      <c r="C182" s="79" t="s">
        <v>454</v>
      </c>
      <c r="D182" s="61" t="s">
        <v>82</v>
      </c>
      <c r="E182" s="63">
        <v>267.3</v>
      </c>
      <c r="F182" s="63"/>
      <c r="G182" s="12"/>
      <c r="H182" s="12"/>
    </row>
    <row r="183" spans="1:8" x14ac:dyDescent="0.2">
      <c r="A183" s="75" t="s">
        <v>781</v>
      </c>
      <c r="B183" s="61"/>
      <c r="C183" s="64" t="s">
        <v>713</v>
      </c>
      <c r="D183" s="61" t="s">
        <v>80</v>
      </c>
      <c r="E183" s="63">
        <v>14.6</v>
      </c>
      <c r="F183" s="63"/>
      <c r="G183" s="12"/>
      <c r="H183" s="12"/>
    </row>
    <row r="184" spans="1:8" ht="12.6" customHeight="1" x14ac:dyDescent="0.2">
      <c r="A184" s="57">
        <v>75</v>
      </c>
      <c r="B184" s="61"/>
      <c r="C184" s="64" t="s">
        <v>6</v>
      </c>
      <c r="D184" s="61" t="s">
        <v>82</v>
      </c>
      <c r="E184" s="63">
        <f>8.5+0.2+0.3</f>
        <v>9</v>
      </c>
      <c r="F184" s="63">
        <f>8.3+0.3</f>
        <v>8.6000000000000014</v>
      </c>
      <c r="G184" s="12"/>
      <c r="H184" s="12"/>
    </row>
    <row r="185" spans="1:8" ht="12.6" customHeight="1" x14ac:dyDescent="0.2">
      <c r="A185" s="57">
        <v>76</v>
      </c>
      <c r="B185" s="56" t="s">
        <v>104</v>
      </c>
      <c r="C185" s="98" t="s">
        <v>105</v>
      </c>
      <c r="D185" s="61"/>
      <c r="E185" s="84">
        <f>+E189+E186</f>
        <v>384.4</v>
      </c>
      <c r="F185" s="84">
        <f>+F189</f>
        <v>0</v>
      </c>
      <c r="G185" s="12"/>
      <c r="H185" s="12"/>
    </row>
    <row r="186" spans="1:8" ht="30" customHeight="1" x14ac:dyDescent="0.2">
      <c r="A186" s="206">
        <v>77</v>
      </c>
      <c r="B186" s="220"/>
      <c r="C186" s="92" t="s">
        <v>268</v>
      </c>
      <c r="D186" s="202" t="s">
        <v>106</v>
      </c>
      <c r="E186" s="63">
        <f>+E187+E188</f>
        <v>41</v>
      </c>
      <c r="F186" s="84"/>
      <c r="G186" s="12"/>
      <c r="H186" s="12"/>
    </row>
    <row r="187" spans="1:8" ht="12.6" customHeight="1" x14ac:dyDescent="0.2">
      <c r="A187" s="215"/>
      <c r="B187" s="221"/>
      <c r="C187" s="85" t="s">
        <v>274</v>
      </c>
      <c r="D187" s="214"/>
      <c r="E187" s="63">
        <v>30</v>
      </c>
      <c r="F187" s="63"/>
      <c r="G187" s="12"/>
      <c r="H187" s="12"/>
    </row>
    <row r="188" spans="1:8" ht="25.5" x14ac:dyDescent="0.2">
      <c r="A188" s="207"/>
      <c r="B188" s="222"/>
      <c r="C188" s="85" t="s">
        <v>561</v>
      </c>
      <c r="D188" s="203"/>
      <c r="E188" s="63">
        <v>11</v>
      </c>
      <c r="F188" s="63"/>
      <c r="G188" s="12"/>
      <c r="H188" s="12"/>
    </row>
    <row r="189" spans="1:8" x14ac:dyDescent="0.2">
      <c r="A189" s="57">
        <v>78</v>
      </c>
      <c r="B189" s="61"/>
      <c r="C189" s="73" t="s">
        <v>166</v>
      </c>
      <c r="D189" s="61"/>
      <c r="E189" s="63">
        <f>+E190+E191+E194+E192+E193</f>
        <v>343.4</v>
      </c>
      <c r="F189" s="63">
        <f>+F190+F191+F194</f>
        <v>0</v>
      </c>
      <c r="G189" s="12"/>
      <c r="H189" s="12"/>
    </row>
    <row r="190" spans="1:8" ht="12.6" customHeight="1" x14ac:dyDescent="0.2">
      <c r="A190" s="100" t="s">
        <v>530</v>
      </c>
      <c r="B190" s="61"/>
      <c r="C190" s="78" t="s">
        <v>181</v>
      </c>
      <c r="D190" s="61" t="s">
        <v>106</v>
      </c>
      <c r="E190" s="63">
        <f>85-4.6</f>
        <v>80.400000000000006</v>
      </c>
      <c r="F190" s="63"/>
      <c r="G190" s="12"/>
      <c r="H190" s="12"/>
    </row>
    <row r="191" spans="1:8" ht="27.6" customHeight="1" x14ac:dyDescent="0.2">
      <c r="A191" s="100" t="s">
        <v>532</v>
      </c>
      <c r="B191" s="61"/>
      <c r="C191" s="78" t="s">
        <v>140</v>
      </c>
      <c r="D191" s="61" t="s">
        <v>142</v>
      </c>
      <c r="E191" s="63">
        <v>50</v>
      </c>
      <c r="F191" s="63"/>
      <c r="G191" s="12"/>
      <c r="H191" s="12"/>
    </row>
    <row r="192" spans="1:8" ht="51" x14ac:dyDescent="0.2">
      <c r="A192" s="100" t="s">
        <v>533</v>
      </c>
      <c r="B192" s="61"/>
      <c r="C192" s="80" t="s">
        <v>409</v>
      </c>
      <c r="D192" s="68" t="s">
        <v>106</v>
      </c>
      <c r="E192" s="63">
        <v>20</v>
      </c>
      <c r="F192" s="63"/>
      <c r="G192" s="12"/>
      <c r="H192" s="12"/>
    </row>
    <row r="193" spans="1:12" ht="25.5" x14ac:dyDescent="0.2">
      <c r="A193" s="100" t="s">
        <v>534</v>
      </c>
      <c r="B193" s="61"/>
      <c r="C193" s="80" t="s">
        <v>252</v>
      </c>
      <c r="D193" s="68" t="s">
        <v>116</v>
      </c>
      <c r="E193" s="63">
        <v>23</v>
      </c>
      <c r="F193" s="63"/>
      <c r="G193" s="12"/>
      <c r="H193" s="12"/>
    </row>
    <row r="194" spans="1:12" ht="40.5" x14ac:dyDescent="0.2">
      <c r="A194" s="100" t="s">
        <v>608</v>
      </c>
      <c r="B194" s="61"/>
      <c r="C194" s="76" t="s">
        <v>424</v>
      </c>
      <c r="D194" s="56"/>
      <c r="E194" s="77">
        <f>SUM(E195:E200)</f>
        <v>170</v>
      </c>
      <c r="F194" s="77">
        <f>SUM(F195:F200)</f>
        <v>0</v>
      </c>
      <c r="G194" s="12"/>
      <c r="H194" s="12"/>
    </row>
    <row r="195" spans="1:12" ht="41.45" customHeight="1" x14ac:dyDescent="0.2">
      <c r="A195" s="75" t="s">
        <v>609</v>
      </c>
      <c r="B195" s="61"/>
      <c r="C195" s="80" t="s">
        <v>264</v>
      </c>
      <c r="D195" s="61" t="s">
        <v>116</v>
      </c>
      <c r="E195" s="63">
        <f>47</f>
        <v>47</v>
      </c>
      <c r="F195" s="63"/>
      <c r="G195" s="12"/>
      <c r="H195" s="12"/>
    </row>
    <row r="196" spans="1:12" ht="25.5" x14ac:dyDescent="0.2">
      <c r="A196" s="75" t="s">
        <v>610</v>
      </c>
      <c r="B196" s="61"/>
      <c r="C196" s="80" t="s">
        <v>265</v>
      </c>
      <c r="D196" s="65" t="s">
        <v>126</v>
      </c>
      <c r="E196" s="63">
        <v>11</v>
      </c>
      <c r="F196" s="63"/>
      <c r="G196" s="12"/>
      <c r="H196" s="12"/>
    </row>
    <row r="197" spans="1:12" ht="38.25" x14ac:dyDescent="0.2">
      <c r="A197" s="75" t="s">
        <v>611</v>
      </c>
      <c r="B197" s="61"/>
      <c r="C197" s="80" t="s">
        <v>356</v>
      </c>
      <c r="D197" s="68" t="s">
        <v>116</v>
      </c>
      <c r="E197" s="63">
        <f>3</f>
        <v>3</v>
      </c>
      <c r="F197" s="63"/>
      <c r="G197" s="12"/>
      <c r="H197" s="12"/>
    </row>
    <row r="198" spans="1:12" ht="51" x14ac:dyDescent="0.2">
      <c r="A198" s="75" t="s">
        <v>612</v>
      </c>
      <c r="B198" s="61"/>
      <c r="C198" s="80" t="s">
        <v>456</v>
      </c>
      <c r="D198" s="68" t="s">
        <v>116</v>
      </c>
      <c r="E198" s="63">
        <v>80</v>
      </c>
      <c r="F198" s="63"/>
      <c r="G198" s="12"/>
      <c r="H198" s="12"/>
    </row>
    <row r="199" spans="1:12" ht="38.25" x14ac:dyDescent="0.2">
      <c r="A199" s="75" t="s">
        <v>613</v>
      </c>
      <c r="B199" s="61"/>
      <c r="C199" s="80" t="s">
        <v>455</v>
      </c>
      <c r="D199" s="61" t="s">
        <v>116</v>
      </c>
      <c r="E199" s="63">
        <v>6</v>
      </c>
      <c r="F199" s="63"/>
      <c r="G199" s="12"/>
      <c r="H199" s="12"/>
    </row>
    <row r="200" spans="1:12" x14ac:dyDescent="0.2">
      <c r="A200" s="75" t="s">
        <v>614</v>
      </c>
      <c r="B200" s="61"/>
      <c r="C200" s="80" t="s">
        <v>607</v>
      </c>
      <c r="D200" s="68" t="s">
        <v>116</v>
      </c>
      <c r="E200" s="63">
        <v>23</v>
      </c>
      <c r="F200" s="63"/>
      <c r="G200" s="12"/>
      <c r="H200" s="12"/>
    </row>
    <row r="201" spans="1:12" x14ac:dyDescent="0.2">
      <c r="A201" s="57">
        <v>79</v>
      </c>
      <c r="B201" s="56" t="s">
        <v>84</v>
      </c>
      <c r="C201" s="101" t="s">
        <v>85</v>
      </c>
      <c r="D201" s="54"/>
      <c r="E201" s="59">
        <f>+E202+E203+E228+E229+E230+E231+E232+E233+E234+E235+E236+E237+E238</f>
        <v>2816.4</v>
      </c>
      <c r="F201" s="59">
        <f>+F202+F203+F228+F229+F230+F231+F232+F233+F234+F235+F236+F237+F238</f>
        <v>0</v>
      </c>
      <c r="G201" s="12"/>
      <c r="H201" s="12"/>
    </row>
    <row r="202" spans="1:12" ht="27" customHeight="1" x14ac:dyDescent="0.2">
      <c r="A202" s="57">
        <v>80</v>
      </c>
      <c r="B202" s="56"/>
      <c r="C202" s="102" t="s">
        <v>252</v>
      </c>
      <c r="D202" s="65" t="s">
        <v>131</v>
      </c>
      <c r="E202" s="103">
        <f>142-16.2+66.2</f>
        <v>192</v>
      </c>
      <c r="F202" s="103"/>
      <c r="G202" s="12"/>
      <c r="H202" s="12"/>
    </row>
    <row r="203" spans="1:12" ht="27" customHeight="1" x14ac:dyDescent="0.2">
      <c r="A203" s="57">
        <v>81</v>
      </c>
      <c r="B203" s="61"/>
      <c r="C203" s="73" t="s">
        <v>173</v>
      </c>
      <c r="D203" s="65"/>
      <c r="E203" s="63">
        <f>E204</f>
        <v>1644.6000000000001</v>
      </c>
      <c r="F203" s="63">
        <f>F204</f>
        <v>0</v>
      </c>
      <c r="G203" s="12"/>
      <c r="H203" s="12"/>
    </row>
    <row r="204" spans="1:12" ht="40.5" x14ac:dyDescent="0.2">
      <c r="A204" s="75" t="s">
        <v>645</v>
      </c>
      <c r="B204" s="61"/>
      <c r="C204" s="76" t="s">
        <v>424</v>
      </c>
      <c r="D204" s="65"/>
      <c r="E204" s="77">
        <f>SUM(E205:E227)</f>
        <v>1644.6000000000001</v>
      </c>
      <c r="F204" s="77">
        <f>SUM(F205:F225)</f>
        <v>0</v>
      </c>
      <c r="G204" s="12"/>
      <c r="H204" s="12"/>
    </row>
    <row r="205" spans="1:12" ht="39" customHeight="1" x14ac:dyDescent="0.2">
      <c r="A205" s="75" t="s">
        <v>646</v>
      </c>
      <c r="B205" s="61"/>
      <c r="C205" s="79" t="s">
        <v>360</v>
      </c>
      <c r="D205" s="65" t="s">
        <v>128</v>
      </c>
      <c r="E205" s="63">
        <v>75</v>
      </c>
      <c r="F205" s="63"/>
      <c r="G205" s="12"/>
      <c r="H205" s="12"/>
    </row>
    <row r="206" spans="1:12" ht="27.6" customHeight="1" x14ac:dyDescent="0.2">
      <c r="A206" s="75" t="s">
        <v>647</v>
      </c>
      <c r="B206" s="61"/>
      <c r="C206" s="79" t="s">
        <v>412</v>
      </c>
      <c r="D206" s="65" t="s">
        <v>128</v>
      </c>
      <c r="E206" s="63">
        <v>50</v>
      </c>
      <c r="F206" s="63"/>
      <c r="G206" s="12"/>
      <c r="H206" s="12"/>
      <c r="J206" s="9"/>
      <c r="K206" s="9"/>
      <c r="L206" s="9"/>
    </row>
    <row r="207" spans="1:12" ht="25.5" x14ac:dyDescent="0.2">
      <c r="A207" s="75" t="s">
        <v>648</v>
      </c>
      <c r="B207" s="61"/>
      <c r="C207" s="80" t="s">
        <v>361</v>
      </c>
      <c r="D207" s="65" t="s">
        <v>38</v>
      </c>
      <c r="E207" s="63">
        <f>25+5</f>
        <v>30</v>
      </c>
      <c r="F207" s="63"/>
      <c r="G207" s="12"/>
      <c r="H207" s="12"/>
      <c r="J207" s="9"/>
      <c r="K207" s="9"/>
      <c r="L207" s="9"/>
    </row>
    <row r="208" spans="1:12" ht="38.25" x14ac:dyDescent="0.2">
      <c r="A208" s="75" t="s">
        <v>649</v>
      </c>
      <c r="B208" s="61"/>
      <c r="C208" s="73" t="s">
        <v>139</v>
      </c>
      <c r="D208" s="65" t="s">
        <v>128</v>
      </c>
      <c r="E208" s="63">
        <v>60</v>
      </c>
      <c r="F208" s="63"/>
      <c r="G208" s="12"/>
      <c r="H208" s="12"/>
    </row>
    <row r="209" spans="1:8" ht="40.15" customHeight="1" x14ac:dyDescent="0.2">
      <c r="A209" s="75" t="s">
        <v>650</v>
      </c>
      <c r="B209" s="61"/>
      <c r="C209" s="73" t="s">
        <v>457</v>
      </c>
      <c r="D209" s="104" t="s">
        <v>196</v>
      </c>
      <c r="E209" s="63">
        <f>60+23.1</f>
        <v>83.1</v>
      </c>
      <c r="F209" s="63"/>
      <c r="G209" s="12"/>
      <c r="H209" s="12"/>
    </row>
    <row r="210" spans="1:8" ht="38.25" x14ac:dyDescent="0.2">
      <c r="A210" s="75" t="s">
        <v>651</v>
      </c>
      <c r="B210" s="61"/>
      <c r="C210" s="64" t="s">
        <v>153</v>
      </c>
      <c r="D210" s="65" t="s">
        <v>152</v>
      </c>
      <c r="E210" s="63">
        <f>145.3+300</f>
        <v>445.3</v>
      </c>
      <c r="F210" s="63"/>
      <c r="G210" s="12"/>
      <c r="H210" s="12"/>
    </row>
    <row r="211" spans="1:8" x14ac:dyDescent="0.2">
      <c r="A211" s="75" t="s">
        <v>652</v>
      </c>
      <c r="B211" s="61"/>
      <c r="C211" s="64" t="s">
        <v>200</v>
      </c>
      <c r="D211" s="105" t="s">
        <v>197</v>
      </c>
      <c r="E211" s="63">
        <v>39.5</v>
      </c>
      <c r="F211" s="63"/>
      <c r="G211" s="12"/>
      <c r="H211" s="12"/>
    </row>
    <row r="212" spans="1:8" ht="12.6" customHeight="1" x14ac:dyDescent="0.2">
      <c r="A212" s="75" t="s">
        <v>653</v>
      </c>
      <c r="B212" s="61"/>
      <c r="C212" s="64" t="s">
        <v>362</v>
      </c>
      <c r="D212" s="104" t="s">
        <v>196</v>
      </c>
      <c r="E212" s="63">
        <f>13.5+4.2</f>
        <v>17.7</v>
      </c>
      <c r="F212" s="63"/>
      <c r="G212" s="12"/>
      <c r="H212" s="12"/>
    </row>
    <row r="213" spans="1:8" ht="25.5" x14ac:dyDescent="0.2">
      <c r="A213" s="75" t="s">
        <v>654</v>
      </c>
      <c r="B213" s="61"/>
      <c r="C213" s="64" t="s">
        <v>459</v>
      </c>
      <c r="D213" s="65" t="s">
        <v>144</v>
      </c>
      <c r="E213" s="63">
        <f>10</f>
        <v>10</v>
      </c>
      <c r="F213" s="63"/>
      <c r="G213" s="12"/>
      <c r="H213" s="12"/>
    </row>
    <row r="214" spans="1:8" x14ac:dyDescent="0.2">
      <c r="A214" s="75" t="s">
        <v>655</v>
      </c>
      <c r="B214" s="61"/>
      <c r="C214" s="80" t="s">
        <v>458</v>
      </c>
      <c r="D214" s="65" t="s">
        <v>144</v>
      </c>
      <c r="E214" s="63">
        <v>15</v>
      </c>
      <c r="F214" s="63"/>
      <c r="G214" s="12"/>
      <c r="H214" s="12"/>
    </row>
    <row r="215" spans="1:8" ht="12.6" customHeight="1" x14ac:dyDescent="0.2">
      <c r="A215" s="75" t="s">
        <v>656</v>
      </c>
      <c r="B215" s="61"/>
      <c r="C215" s="80" t="s">
        <v>363</v>
      </c>
      <c r="D215" s="65" t="s">
        <v>144</v>
      </c>
      <c r="E215" s="63">
        <v>4</v>
      </c>
      <c r="F215" s="63"/>
      <c r="G215" s="12"/>
      <c r="H215" s="12"/>
    </row>
    <row r="216" spans="1:8" ht="25.5" x14ac:dyDescent="0.2">
      <c r="A216" s="75" t="s">
        <v>657</v>
      </c>
      <c r="B216" s="61"/>
      <c r="C216" s="80" t="s">
        <v>460</v>
      </c>
      <c r="D216" s="65" t="s">
        <v>144</v>
      </c>
      <c r="E216" s="63">
        <f>17-12</f>
        <v>5</v>
      </c>
      <c r="F216" s="63"/>
      <c r="G216" s="12"/>
      <c r="H216" s="12"/>
    </row>
    <row r="217" spans="1:8" ht="25.5" x14ac:dyDescent="0.2">
      <c r="A217" s="75" t="s">
        <v>658</v>
      </c>
      <c r="B217" s="61"/>
      <c r="C217" s="80" t="s">
        <v>406</v>
      </c>
      <c r="D217" s="65" t="s">
        <v>144</v>
      </c>
      <c r="E217" s="63">
        <f>20-15</f>
        <v>5</v>
      </c>
      <c r="F217" s="63"/>
      <c r="G217" s="12"/>
      <c r="H217" s="12"/>
    </row>
    <row r="218" spans="1:8" ht="25.5" x14ac:dyDescent="0.2">
      <c r="A218" s="75" t="s">
        <v>659</v>
      </c>
      <c r="B218" s="61"/>
      <c r="C218" s="80" t="s">
        <v>122</v>
      </c>
      <c r="D218" s="65" t="s">
        <v>155</v>
      </c>
      <c r="E218" s="63">
        <f>40+40</f>
        <v>80</v>
      </c>
      <c r="F218" s="63"/>
      <c r="G218" s="12"/>
      <c r="H218" s="12"/>
    </row>
    <row r="219" spans="1:8" ht="12.75" customHeight="1" x14ac:dyDescent="0.2">
      <c r="A219" s="75" t="s">
        <v>660</v>
      </c>
      <c r="B219" s="61"/>
      <c r="C219" s="80" t="s">
        <v>123</v>
      </c>
      <c r="D219" s="65" t="s">
        <v>155</v>
      </c>
      <c r="E219" s="63">
        <v>40</v>
      </c>
      <c r="F219" s="63"/>
      <c r="G219" s="12"/>
      <c r="H219" s="12"/>
    </row>
    <row r="220" spans="1:8" ht="12.6" customHeight="1" x14ac:dyDescent="0.2">
      <c r="A220" s="75" t="s">
        <v>661</v>
      </c>
      <c r="B220" s="61"/>
      <c r="C220" s="64" t="s">
        <v>266</v>
      </c>
      <c r="D220" s="65" t="s">
        <v>86</v>
      </c>
      <c r="E220" s="63">
        <f>75-10</f>
        <v>65</v>
      </c>
      <c r="F220" s="63"/>
      <c r="G220" s="12"/>
      <c r="H220" s="12"/>
    </row>
    <row r="221" spans="1:8" ht="25.5" x14ac:dyDescent="0.2">
      <c r="A221" s="75" t="s">
        <v>662</v>
      </c>
      <c r="B221" s="61"/>
      <c r="C221" s="80" t="s">
        <v>417</v>
      </c>
      <c r="D221" s="65" t="s">
        <v>86</v>
      </c>
      <c r="E221" s="63">
        <f>60+10</f>
        <v>70</v>
      </c>
      <c r="F221" s="63"/>
      <c r="G221" s="12"/>
      <c r="H221" s="12"/>
    </row>
    <row r="222" spans="1:8" x14ac:dyDescent="0.2">
      <c r="A222" s="75" t="s">
        <v>663</v>
      </c>
      <c r="B222" s="61"/>
      <c r="C222" s="80" t="s">
        <v>124</v>
      </c>
      <c r="D222" s="65" t="s">
        <v>155</v>
      </c>
      <c r="E222" s="63">
        <v>70</v>
      </c>
      <c r="F222" s="63"/>
      <c r="G222" s="12"/>
      <c r="H222" s="12"/>
    </row>
    <row r="223" spans="1:8" ht="12.6" customHeight="1" x14ac:dyDescent="0.2">
      <c r="A223" s="75" t="s">
        <v>664</v>
      </c>
      <c r="B223" s="61"/>
      <c r="C223" s="80" t="s">
        <v>364</v>
      </c>
      <c r="D223" s="65" t="s">
        <v>155</v>
      </c>
      <c r="E223" s="63">
        <f>100+5+60</f>
        <v>165</v>
      </c>
      <c r="F223" s="63"/>
      <c r="G223" s="12"/>
      <c r="H223" s="12"/>
    </row>
    <row r="224" spans="1:8" ht="12.6" customHeight="1" x14ac:dyDescent="0.2">
      <c r="A224" s="75" t="s">
        <v>665</v>
      </c>
      <c r="B224" s="61"/>
      <c r="C224" s="80" t="s">
        <v>125</v>
      </c>
      <c r="D224" s="65" t="s">
        <v>155</v>
      </c>
      <c r="E224" s="63">
        <v>50</v>
      </c>
      <c r="F224" s="63"/>
      <c r="G224" s="12"/>
      <c r="H224" s="12"/>
    </row>
    <row r="225" spans="1:8" ht="12.6" customHeight="1" x14ac:dyDescent="0.2">
      <c r="A225" s="75" t="s">
        <v>666</v>
      </c>
      <c r="B225" s="61"/>
      <c r="C225" s="64" t="s">
        <v>365</v>
      </c>
      <c r="D225" s="65" t="s">
        <v>155</v>
      </c>
      <c r="E225" s="63">
        <f>80-40</f>
        <v>40</v>
      </c>
      <c r="F225" s="63"/>
      <c r="G225" s="12"/>
      <c r="H225" s="12"/>
    </row>
    <row r="226" spans="1:8" x14ac:dyDescent="0.2">
      <c r="A226" s="75" t="s">
        <v>667</v>
      </c>
      <c r="B226" s="61"/>
      <c r="C226" s="64" t="s">
        <v>591</v>
      </c>
      <c r="D226" s="65" t="s">
        <v>155</v>
      </c>
      <c r="E226" s="63">
        <v>50</v>
      </c>
      <c r="F226" s="63"/>
      <c r="G226" s="12"/>
      <c r="H226" s="12"/>
    </row>
    <row r="227" spans="1:8" ht="25.5" x14ac:dyDescent="0.2">
      <c r="A227" s="75" t="s">
        <v>668</v>
      </c>
      <c r="B227" s="61"/>
      <c r="C227" s="64" t="s">
        <v>592</v>
      </c>
      <c r="D227" s="65" t="s">
        <v>155</v>
      </c>
      <c r="E227" s="63">
        <v>175</v>
      </c>
      <c r="F227" s="63"/>
      <c r="G227" s="12"/>
      <c r="H227" s="12"/>
    </row>
    <row r="228" spans="1:8" ht="25.5" x14ac:dyDescent="0.2">
      <c r="A228" s="57">
        <v>82</v>
      </c>
      <c r="B228" s="56"/>
      <c r="C228" s="64" t="s">
        <v>8</v>
      </c>
      <c r="D228" s="65" t="s">
        <v>87</v>
      </c>
      <c r="E228" s="63">
        <f>788.8-76</f>
        <v>712.8</v>
      </c>
      <c r="F228" s="63"/>
      <c r="G228" s="12"/>
      <c r="H228" s="12"/>
    </row>
    <row r="229" spans="1:8" ht="25.5" x14ac:dyDescent="0.2">
      <c r="A229" s="57">
        <v>83</v>
      </c>
      <c r="B229" s="56"/>
      <c r="C229" s="64" t="s">
        <v>4</v>
      </c>
      <c r="D229" s="65" t="s">
        <v>86</v>
      </c>
      <c r="E229" s="63">
        <f>40+7</f>
        <v>47</v>
      </c>
      <c r="F229" s="63"/>
      <c r="G229" s="12"/>
      <c r="H229" s="12"/>
    </row>
    <row r="230" spans="1:8" ht="12.6" customHeight="1" x14ac:dyDescent="0.2">
      <c r="A230" s="57">
        <v>84</v>
      </c>
      <c r="B230" s="56"/>
      <c r="C230" s="64" t="s">
        <v>5</v>
      </c>
      <c r="D230" s="65" t="s">
        <v>86</v>
      </c>
      <c r="E230" s="63">
        <f>12.9+3.1</f>
        <v>16</v>
      </c>
      <c r="F230" s="63"/>
      <c r="G230" s="12"/>
      <c r="H230" s="12"/>
    </row>
    <row r="231" spans="1:8" ht="12.6" customHeight="1" x14ac:dyDescent="0.2">
      <c r="A231" s="57">
        <v>85</v>
      </c>
      <c r="B231" s="56"/>
      <c r="C231" s="73" t="s">
        <v>7</v>
      </c>
      <c r="D231" s="65" t="s">
        <v>86</v>
      </c>
      <c r="E231" s="63">
        <v>30</v>
      </c>
      <c r="F231" s="63"/>
      <c r="G231" s="12"/>
      <c r="H231" s="12"/>
    </row>
    <row r="232" spans="1:8" ht="12.6" customHeight="1" x14ac:dyDescent="0.2">
      <c r="A232" s="57">
        <v>86</v>
      </c>
      <c r="B232" s="56"/>
      <c r="C232" s="64" t="s">
        <v>6</v>
      </c>
      <c r="D232" s="65" t="s">
        <v>86</v>
      </c>
      <c r="E232" s="63">
        <f>21.4+3</f>
        <v>24.4</v>
      </c>
      <c r="F232" s="63"/>
      <c r="G232" s="12"/>
      <c r="H232" s="12"/>
    </row>
    <row r="233" spans="1:8" ht="12.6" customHeight="1" x14ac:dyDescent="0.2">
      <c r="A233" s="57">
        <v>87</v>
      </c>
      <c r="B233" s="56"/>
      <c r="C233" s="64" t="s">
        <v>9</v>
      </c>
      <c r="D233" s="65" t="s">
        <v>86</v>
      </c>
      <c r="E233" s="63">
        <v>35</v>
      </c>
      <c r="F233" s="63"/>
      <c r="G233" s="12"/>
      <c r="H233" s="12"/>
    </row>
    <row r="234" spans="1:8" ht="12.6" customHeight="1" x14ac:dyDescent="0.2">
      <c r="A234" s="57">
        <v>88</v>
      </c>
      <c r="B234" s="56"/>
      <c r="C234" s="73" t="s">
        <v>10</v>
      </c>
      <c r="D234" s="65" t="s">
        <v>86</v>
      </c>
      <c r="E234" s="63">
        <v>20</v>
      </c>
      <c r="F234" s="63"/>
      <c r="G234" s="12"/>
      <c r="H234" s="12"/>
    </row>
    <row r="235" spans="1:8" ht="12.6" customHeight="1" x14ac:dyDescent="0.2">
      <c r="A235" s="57">
        <v>89</v>
      </c>
      <c r="B235" s="56"/>
      <c r="C235" s="64" t="s">
        <v>12</v>
      </c>
      <c r="D235" s="65" t="s">
        <v>86</v>
      </c>
      <c r="E235" s="63">
        <v>22</v>
      </c>
      <c r="F235" s="63"/>
      <c r="G235" s="12"/>
      <c r="H235" s="12"/>
    </row>
    <row r="236" spans="1:8" ht="12.6" customHeight="1" x14ac:dyDescent="0.2">
      <c r="A236" s="57">
        <v>90</v>
      </c>
      <c r="B236" s="56"/>
      <c r="C236" s="64" t="s">
        <v>11</v>
      </c>
      <c r="D236" s="65" t="s">
        <v>86</v>
      </c>
      <c r="E236" s="63">
        <v>15.7</v>
      </c>
      <c r="F236" s="63"/>
      <c r="G236" s="12"/>
      <c r="H236" s="12"/>
    </row>
    <row r="237" spans="1:8" ht="12.6" customHeight="1" x14ac:dyDescent="0.2">
      <c r="A237" s="57">
        <v>91</v>
      </c>
      <c r="B237" s="56"/>
      <c r="C237" s="64" t="s">
        <v>13</v>
      </c>
      <c r="D237" s="65" t="s">
        <v>86</v>
      </c>
      <c r="E237" s="63">
        <f>9.8+4.5+8</f>
        <v>22.3</v>
      </c>
      <c r="F237" s="63"/>
      <c r="G237" s="12"/>
      <c r="H237" s="12"/>
    </row>
    <row r="238" spans="1:8" ht="12.6" customHeight="1" x14ac:dyDescent="0.2">
      <c r="A238" s="57">
        <v>92</v>
      </c>
      <c r="B238" s="61"/>
      <c r="C238" s="64" t="s">
        <v>14</v>
      </c>
      <c r="D238" s="65" t="s">
        <v>86</v>
      </c>
      <c r="E238" s="63">
        <v>34.6</v>
      </c>
      <c r="F238" s="63"/>
      <c r="G238" s="12"/>
      <c r="H238" s="12"/>
    </row>
    <row r="239" spans="1:8" ht="12.6" customHeight="1" x14ac:dyDescent="0.2">
      <c r="A239" s="57">
        <v>93</v>
      </c>
      <c r="B239" s="56" t="s">
        <v>89</v>
      </c>
      <c r="C239" s="83" t="s">
        <v>90</v>
      </c>
      <c r="D239" s="54"/>
      <c r="E239" s="84">
        <f>+E253+E254+E256+E255+E252+E257+E258+E260+E259+E261+E262+E240</f>
        <v>6026.7999999999993</v>
      </c>
      <c r="F239" s="84">
        <f>+F253+F254+F256+F255+F252+F257+F258+F260+F259+F261+F262+F240</f>
        <v>983.2</v>
      </c>
      <c r="G239" s="12"/>
      <c r="H239" s="12"/>
    </row>
    <row r="240" spans="1:8" ht="27" customHeight="1" x14ac:dyDescent="0.2">
      <c r="A240" s="57">
        <v>94</v>
      </c>
      <c r="B240" s="61"/>
      <c r="C240" s="73" t="s">
        <v>166</v>
      </c>
      <c r="D240" s="65"/>
      <c r="E240" s="63">
        <f>+E241+E242+E243+E244+E245+E246+E247+E248</f>
        <v>2568.8999999999996</v>
      </c>
      <c r="F240" s="63">
        <f>+F241+F242+F243+F244+F245+F246+F247+F248</f>
        <v>0</v>
      </c>
      <c r="G240" s="12"/>
      <c r="H240" s="12"/>
    </row>
    <row r="241" spans="1:12" ht="12.6" customHeight="1" x14ac:dyDescent="0.2">
      <c r="A241" s="75" t="s">
        <v>669</v>
      </c>
      <c r="B241" s="61"/>
      <c r="C241" s="106" t="s">
        <v>3</v>
      </c>
      <c r="D241" s="61" t="s">
        <v>143</v>
      </c>
      <c r="E241" s="63">
        <v>25</v>
      </c>
      <c r="F241" s="63"/>
      <c r="G241" s="12"/>
      <c r="H241" s="12"/>
    </row>
    <row r="242" spans="1:12" ht="12.6" customHeight="1" x14ac:dyDescent="0.2">
      <c r="A242" s="75" t="s">
        <v>670</v>
      </c>
      <c r="B242" s="61"/>
      <c r="C242" s="86" t="s">
        <v>252</v>
      </c>
      <c r="D242" s="107" t="s">
        <v>131</v>
      </c>
      <c r="E242" s="63">
        <f>548.8-23-142+16.2</f>
        <v>399.99999999999994</v>
      </c>
      <c r="F242" s="63"/>
      <c r="G242" s="12"/>
      <c r="H242" s="12"/>
    </row>
    <row r="243" spans="1:12" ht="27" customHeight="1" x14ac:dyDescent="0.2">
      <c r="A243" s="75" t="s">
        <v>671</v>
      </c>
      <c r="B243" s="61"/>
      <c r="C243" s="86" t="s">
        <v>188</v>
      </c>
      <c r="D243" s="107" t="s">
        <v>92</v>
      </c>
      <c r="E243" s="63">
        <f>1600+13+100</f>
        <v>1713</v>
      </c>
      <c r="F243" s="63"/>
      <c r="G243" s="12"/>
      <c r="H243" s="12"/>
      <c r="L243" s="13"/>
    </row>
    <row r="244" spans="1:12" ht="12.6" customHeight="1" x14ac:dyDescent="0.2">
      <c r="A244" s="75" t="s">
        <v>672</v>
      </c>
      <c r="B244" s="61"/>
      <c r="C244" s="86" t="s">
        <v>145</v>
      </c>
      <c r="D244" s="107" t="s">
        <v>92</v>
      </c>
      <c r="E244" s="63">
        <f>100+20</f>
        <v>120</v>
      </c>
      <c r="F244" s="63"/>
      <c r="G244" s="12"/>
      <c r="H244" s="12"/>
    </row>
    <row r="245" spans="1:12" ht="12.6" customHeight="1" x14ac:dyDescent="0.2">
      <c r="A245" s="75" t="s">
        <v>673</v>
      </c>
      <c r="B245" s="61"/>
      <c r="C245" s="80" t="s">
        <v>461</v>
      </c>
      <c r="D245" s="107" t="s">
        <v>92</v>
      </c>
      <c r="E245" s="63">
        <f>11.6-11.5</f>
        <v>9.9999999999999645E-2</v>
      </c>
      <c r="F245" s="63"/>
      <c r="G245" s="12"/>
      <c r="H245" s="12"/>
    </row>
    <row r="246" spans="1:12" x14ac:dyDescent="0.2">
      <c r="A246" s="75" t="s">
        <v>674</v>
      </c>
      <c r="B246" s="61"/>
      <c r="C246" s="80" t="s">
        <v>413</v>
      </c>
      <c r="D246" s="107" t="s">
        <v>92</v>
      </c>
      <c r="E246" s="63">
        <f>9.2-6</f>
        <v>3.1999999999999993</v>
      </c>
      <c r="F246" s="63"/>
      <c r="G246" s="12"/>
      <c r="H246" s="12"/>
    </row>
    <row r="247" spans="1:12" ht="12.6" customHeight="1" x14ac:dyDescent="0.2">
      <c r="A247" s="75" t="s">
        <v>675</v>
      </c>
      <c r="B247" s="61"/>
      <c r="C247" s="86" t="s">
        <v>631</v>
      </c>
      <c r="D247" s="107" t="s">
        <v>92</v>
      </c>
      <c r="E247" s="63">
        <v>7.6</v>
      </c>
      <c r="F247" s="63"/>
      <c r="G247" s="12"/>
      <c r="H247" s="12"/>
    </row>
    <row r="248" spans="1:12" ht="40.5" x14ac:dyDescent="0.2">
      <c r="A248" s="75" t="s">
        <v>676</v>
      </c>
      <c r="B248" s="61"/>
      <c r="C248" s="76" t="s">
        <v>424</v>
      </c>
      <c r="D248" s="56"/>
      <c r="E248" s="77">
        <f>+E249+E250+E251</f>
        <v>300</v>
      </c>
      <c r="F248" s="77">
        <f>+F249+F250+F251</f>
        <v>0</v>
      </c>
      <c r="G248" s="12"/>
      <c r="H248" s="12"/>
    </row>
    <row r="249" spans="1:12" x14ac:dyDescent="0.2">
      <c r="A249" s="75" t="s">
        <v>677</v>
      </c>
      <c r="B249" s="61"/>
      <c r="C249" s="79" t="s">
        <v>174</v>
      </c>
      <c r="D249" s="61" t="s">
        <v>155</v>
      </c>
      <c r="E249" s="63">
        <v>230</v>
      </c>
      <c r="F249" s="77"/>
      <c r="G249" s="12"/>
      <c r="H249" s="12"/>
    </row>
    <row r="250" spans="1:12" ht="12.6" customHeight="1" x14ac:dyDescent="0.2">
      <c r="A250" s="75" t="s">
        <v>678</v>
      </c>
      <c r="B250" s="61"/>
      <c r="C250" s="80" t="s">
        <v>151</v>
      </c>
      <c r="D250" s="107" t="s">
        <v>92</v>
      </c>
      <c r="E250" s="20">
        <f>70-10</f>
        <v>60</v>
      </c>
      <c r="F250" s="63"/>
      <c r="G250" s="12"/>
      <c r="H250" s="12"/>
    </row>
    <row r="251" spans="1:12" ht="38.25" x14ac:dyDescent="0.2">
      <c r="A251" s="75" t="s">
        <v>679</v>
      </c>
      <c r="B251" s="61"/>
      <c r="C251" s="80" t="s">
        <v>189</v>
      </c>
      <c r="D251" s="61" t="s">
        <v>143</v>
      </c>
      <c r="E251" s="20">
        <v>10</v>
      </c>
      <c r="F251" s="63"/>
      <c r="G251" s="12"/>
      <c r="H251" s="12"/>
    </row>
    <row r="252" spans="1:12" ht="38.25" x14ac:dyDescent="0.2">
      <c r="A252" s="57">
        <v>95</v>
      </c>
      <c r="B252" s="61"/>
      <c r="C252" s="78" t="s">
        <v>8</v>
      </c>
      <c r="D252" s="95" t="s">
        <v>93</v>
      </c>
      <c r="E252" s="63">
        <f>2104.5+15.7+76</f>
        <v>2196.1999999999998</v>
      </c>
      <c r="F252" s="63">
        <f>193.5+15.2+21.6</f>
        <v>230.29999999999998</v>
      </c>
      <c r="G252" s="12"/>
      <c r="H252" s="12"/>
    </row>
    <row r="253" spans="1:12" ht="25.5" x14ac:dyDescent="0.2">
      <c r="A253" s="57">
        <v>96</v>
      </c>
      <c r="B253" s="61"/>
      <c r="C253" s="64" t="s">
        <v>4</v>
      </c>
      <c r="D253" s="95" t="s">
        <v>91</v>
      </c>
      <c r="E253" s="63">
        <f>140.4+11.4-9</f>
        <v>142.80000000000001</v>
      </c>
      <c r="F253" s="63">
        <f>96.4+11.2-12.5</f>
        <v>95.100000000000009</v>
      </c>
      <c r="G253" s="12"/>
      <c r="H253" s="12"/>
    </row>
    <row r="254" spans="1:12" ht="25.5" x14ac:dyDescent="0.2">
      <c r="A254" s="57">
        <v>97</v>
      </c>
      <c r="B254" s="61"/>
      <c r="C254" s="64" t="s">
        <v>5</v>
      </c>
      <c r="D254" s="95" t="s">
        <v>92</v>
      </c>
      <c r="E254" s="63">
        <f>137.4+8.2+0.4</f>
        <v>146</v>
      </c>
      <c r="F254" s="63">
        <f>89.7+8.1+2.8</f>
        <v>100.6</v>
      </c>
      <c r="G254" s="12"/>
      <c r="H254" s="12"/>
    </row>
    <row r="255" spans="1:12" ht="26.25" customHeight="1" x14ac:dyDescent="0.2">
      <c r="A255" s="57">
        <v>98</v>
      </c>
      <c r="B255" s="61"/>
      <c r="C255" s="64" t="s">
        <v>7</v>
      </c>
      <c r="D255" s="95" t="s">
        <v>91</v>
      </c>
      <c r="E255" s="63">
        <f>103.7+9.8+12.2</f>
        <v>125.7</v>
      </c>
      <c r="F255" s="63">
        <f>61.5+9.6-15.8</f>
        <v>55.3</v>
      </c>
      <c r="G255" s="12"/>
      <c r="H255" s="12"/>
    </row>
    <row r="256" spans="1:12" ht="24.95" customHeight="1" x14ac:dyDescent="0.2">
      <c r="A256" s="57">
        <v>99</v>
      </c>
      <c r="B256" s="61"/>
      <c r="C256" s="78" t="s">
        <v>6</v>
      </c>
      <c r="D256" s="95" t="s">
        <v>91</v>
      </c>
      <c r="E256" s="63">
        <f>114.9+6.3+3.9+11</f>
        <v>136.10000000000002</v>
      </c>
      <c r="F256" s="63">
        <f>71+6.3-5.5</f>
        <v>71.8</v>
      </c>
      <c r="G256" s="12"/>
      <c r="H256" s="12"/>
    </row>
    <row r="257" spans="1:8" ht="24.95" customHeight="1" x14ac:dyDescent="0.2">
      <c r="A257" s="57">
        <v>100</v>
      </c>
      <c r="B257" s="61"/>
      <c r="C257" s="64" t="s">
        <v>9</v>
      </c>
      <c r="D257" s="95" t="s">
        <v>94</v>
      </c>
      <c r="E257" s="63">
        <f>97.6+4.5+9.6+4.4</f>
        <v>116.1</v>
      </c>
      <c r="F257" s="63">
        <f>57.1+4.3-1.1</f>
        <v>60.3</v>
      </c>
      <c r="G257" s="12"/>
      <c r="H257" s="12"/>
    </row>
    <row r="258" spans="1:8" ht="12.6" customHeight="1" x14ac:dyDescent="0.2">
      <c r="A258" s="57">
        <v>101</v>
      </c>
      <c r="B258" s="61"/>
      <c r="C258" s="73" t="s">
        <v>10</v>
      </c>
      <c r="D258" s="95" t="s">
        <v>91</v>
      </c>
      <c r="E258" s="63">
        <f>96.4+4.8-1.9+2</f>
        <v>101.3</v>
      </c>
      <c r="F258" s="63">
        <f>73.1+4.7-9.1</f>
        <v>68.7</v>
      </c>
      <c r="G258" s="12"/>
      <c r="H258" s="12"/>
    </row>
    <row r="259" spans="1:8" ht="24.95" customHeight="1" x14ac:dyDescent="0.2">
      <c r="A259" s="57">
        <v>102</v>
      </c>
      <c r="B259" s="61"/>
      <c r="C259" s="64" t="s">
        <v>12</v>
      </c>
      <c r="D259" s="95" t="s">
        <v>91</v>
      </c>
      <c r="E259" s="63">
        <f>68+3+1.5</f>
        <v>72.5</v>
      </c>
      <c r="F259" s="63">
        <f>44.8+3-6.2</f>
        <v>41.599999999999994</v>
      </c>
      <c r="G259" s="12"/>
      <c r="H259" s="12"/>
    </row>
    <row r="260" spans="1:8" ht="24.95" customHeight="1" x14ac:dyDescent="0.2">
      <c r="A260" s="57">
        <v>103</v>
      </c>
      <c r="B260" s="61"/>
      <c r="C260" s="78" t="s">
        <v>11</v>
      </c>
      <c r="D260" s="95" t="s">
        <v>91</v>
      </c>
      <c r="E260" s="63">
        <f>81.8+2.4+25</f>
        <v>109.2</v>
      </c>
      <c r="F260" s="63">
        <f>62.8+2.1</f>
        <v>64.899999999999991</v>
      </c>
      <c r="G260" s="12"/>
      <c r="H260" s="12"/>
    </row>
    <row r="261" spans="1:8" ht="29.25" customHeight="1" x14ac:dyDescent="0.2">
      <c r="A261" s="57">
        <v>104</v>
      </c>
      <c r="B261" s="61"/>
      <c r="C261" s="64" t="s">
        <v>13</v>
      </c>
      <c r="D261" s="95" t="s">
        <v>91</v>
      </c>
      <c r="E261" s="63">
        <f>89.1+4.3+1.4</f>
        <v>94.8</v>
      </c>
      <c r="F261" s="63">
        <f>51.9+4.2</f>
        <v>56.1</v>
      </c>
      <c r="G261" s="12"/>
      <c r="H261" s="12"/>
    </row>
    <row r="262" spans="1:8" ht="27" customHeight="1" x14ac:dyDescent="0.2">
      <c r="A262" s="57">
        <v>105</v>
      </c>
      <c r="B262" s="61"/>
      <c r="C262" s="64" t="s">
        <v>14</v>
      </c>
      <c r="D262" s="95" t="s">
        <v>91</v>
      </c>
      <c r="E262" s="63">
        <f>187.3+4.6+25.3</f>
        <v>217.20000000000002</v>
      </c>
      <c r="F262" s="63">
        <f>133.9+4.6</f>
        <v>138.5</v>
      </c>
      <c r="G262" s="12"/>
      <c r="H262" s="12"/>
    </row>
    <row r="263" spans="1:8" ht="24.95" customHeight="1" x14ac:dyDescent="0.2">
      <c r="A263" s="57">
        <v>106</v>
      </c>
      <c r="B263" s="56" t="s">
        <v>32</v>
      </c>
      <c r="C263" s="83" t="s">
        <v>33</v>
      </c>
      <c r="D263" s="95"/>
      <c r="E263" s="84">
        <f>+E264</f>
        <v>334.8</v>
      </c>
      <c r="F263" s="84">
        <f>+F264</f>
        <v>86.1</v>
      </c>
      <c r="G263" s="12"/>
      <c r="H263" s="12"/>
    </row>
    <row r="264" spans="1:8" x14ac:dyDescent="0.2">
      <c r="A264" s="57">
        <v>107</v>
      </c>
      <c r="B264" s="56"/>
      <c r="C264" s="73" t="s">
        <v>180</v>
      </c>
      <c r="D264" s="95"/>
      <c r="E264" s="63">
        <f>+E266+E265</f>
        <v>334.8</v>
      </c>
      <c r="F264" s="63">
        <f>+F266+F265</f>
        <v>86.1</v>
      </c>
      <c r="G264" s="12"/>
      <c r="H264" s="12"/>
    </row>
    <row r="265" spans="1:8" ht="12.6" customHeight="1" x14ac:dyDescent="0.2">
      <c r="A265" s="57" t="s">
        <v>680</v>
      </c>
      <c r="B265" s="56"/>
      <c r="C265" s="73" t="s">
        <v>99</v>
      </c>
      <c r="D265" s="61" t="s">
        <v>227</v>
      </c>
      <c r="E265" s="63">
        <f>119.5-19.5</f>
        <v>100</v>
      </c>
      <c r="F265" s="63">
        <f>105.6-19.5</f>
        <v>86.1</v>
      </c>
      <c r="G265" s="12"/>
      <c r="H265" s="12"/>
    </row>
    <row r="266" spans="1:8" ht="12.6" customHeight="1" x14ac:dyDescent="0.2">
      <c r="A266" s="75" t="s">
        <v>681</v>
      </c>
      <c r="B266" s="61"/>
      <c r="C266" s="76" t="s">
        <v>424</v>
      </c>
      <c r="D266" s="108"/>
      <c r="E266" s="77">
        <f>SUM(E267:E271)</f>
        <v>234.8</v>
      </c>
      <c r="F266" s="77">
        <f>+F267+F268</f>
        <v>0</v>
      </c>
      <c r="G266" s="12"/>
      <c r="H266" s="12"/>
    </row>
    <row r="267" spans="1:8" ht="25.5" x14ac:dyDescent="0.2">
      <c r="A267" s="100" t="s">
        <v>682</v>
      </c>
      <c r="B267" s="61"/>
      <c r="C267" s="64" t="s">
        <v>190</v>
      </c>
      <c r="D267" s="95" t="s">
        <v>144</v>
      </c>
      <c r="E267" s="63">
        <v>40</v>
      </c>
      <c r="F267" s="63"/>
      <c r="G267" s="12"/>
      <c r="H267" s="12"/>
    </row>
    <row r="268" spans="1:8" x14ac:dyDescent="0.2">
      <c r="A268" s="100" t="s">
        <v>683</v>
      </c>
      <c r="B268" s="61"/>
      <c r="C268" s="64" t="s">
        <v>632</v>
      </c>
      <c r="D268" s="65" t="s">
        <v>230</v>
      </c>
      <c r="E268" s="63">
        <v>10</v>
      </c>
      <c r="F268" s="63"/>
      <c r="G268" s="12"/>
      <c r="H268" s="12"/>
    </row>
    <row r="269" spans="1:8" ht="38.25" x14ac:dyDescent="0.2">
      <c r="A269" s="100" t="s">
        <v>684</v>
      </c>
      <c r="B269" s="61"/>
      <c r="C269" s="64" t="s">
        <v>462</v>
      </c>
      <c r="D269" s="65" t="s">
        <v>144</v>
      </c>
      <c r="E269" s="63">
        <f>151+10.7</f>
        <v>161.69999999999999</v>
      </c>
      <c r="F269" s="63"/>
      <c r="G269" s="12"/>
      <c r="H269" s="12"/>
    </row>
    <row r="270" spans="1:8" ht="38.25" x14ac:dyDescent="0.2">
      <c r="A270" s="100" t="s">
        <v>685</v>
      </c>
      <c r="B270" s="61"/>
      <c r="C270" s="64" t="s">
        <v>463</v>
      </c>
      <c r="D270" s="65" t="s">
        <v>144</v>
      </c>
      <c r="E270" s="63">
        <v>3.8</v>
      </c>
      <c r="F270" s="63"/>
      <c r="G270" s="12"/>
      <c r="H270" s="12"/>
    </row>
    <row r="271" spans="1:8" ht="25.5" x14ac:dyDescent="0.2">
      <c r="A271" s="100" t="s">
        <v>686</v>
      </c>
      <c r="B271" s="61"/>
      <c r="C271" s="64" t="s">
        <v>464</v>
      </c>
      <c r="D271" s="65" t="s">
        <v>144</v>
      </c>
      <c r="E271" s="63">
        <f>30-10.7</f>
        <v>19.3</v>
      </c>
      <c r="F271" s="63"/>
      <c r="G271" s="12"/>
      <c r="H271" s="12"/>
    </row>
    <row r="272" spans="1:8" x14ac:dyDescent="0.2">
      <c r="A272" s="57">
        <v>108</v>
      </c>
      <c r="B272" s="56" t="s">
        <v>95</v>
      </c>
      <c r="C272" s="83" t="s">
        <v>96</v>
      </c>
      <c r="D272" s="54"/>
      <c r="E272" s="84">
        <f>+E273</f>
        <v>89</v>
      </c>
      <c r="F272" s="84">
        <f>+F273</f>
        <v>0</v>
      </c>
      <c r="G272" s="12"/>
      <c r="H272" s="12"/>
    </row>
    <row r="273" spans="1:8" x14ac:dyDescent="0.2">
      <c r="A273" s="57">
        <v>109</v>
      </c>
      <c r="B273" s="56"/>
      <c r="C273" s="73" t="s">
        <v>166</v>
      </c>
      <c r="D273" s="54"/>
      <c r="E273" s="63">
        <f>+E275+E276+E274</f>
        <v>89</v>
      </c>
      <c r="F273" s="63">
        <f>+F275+F276+F274</f>
        <v>0</v>
      </c>
      <c r="G273" s="12"/>
      <c r="H273" s="12"/>
    </row>
    <row r="274" spans="1:8" ht="12.6" customHeight="1" x14ac:dyDescent="0.2">
      <c r="A274" s="100" t="s">
        <v>687</v>
      </c>
      <c r="B274" s="56"/>
      <c r="C274" s="78" t="s">
        <v>99</v>
      </c>
      <c r="D274" s="65" t="s">
        <v>408</v>
      </c>
      <c r="E274" s="63">
        <v>3</v>
      </c>
      <c r="F274" s="63"/>
      <c r="G274" s="12"/>
      <c r="H274" s="12"/>
    </row>
    <row r="275" spans="1:8" ht="12.6" customHeight="1" x14ac:dyDescent="0.2">
      <c r="A275" s="100" t="s">
        <v>688</v>
      </c>
      <c r="B275" s="61"/>
      <c r="C275" s="78" t="s">
        <v>191</v>
      </c>
      <c r="D275" s="65" t="s">
        <v>97</v>
      </c>
      <c r="E275" s="63">
        <v>36</v>
      </c>
      <c r="F275" s="63"/>
      <c r="G275" s="12"/>
      <c r="H275" s="12"/>
    </row>
    <row r="276" spans="1:8" ht="38.25" x14ac:dyDescent="0.2">
      <c r="A276" s="100" t="s">
        <v>689</v>
      </c>
      <c r="B276" s="61"/>
      <c r="C276" s="78" t="s">
        <v>357</v>
      </c>
      <c r="D276" s="65" t="s">
        <v>97</v>
      </c>
      <c r="E276" s="63">
        <v>50</v>
      </c>
      <c r="F276" s="63"/>
      <c r="G276" s="12"/>
      <c r="H276" s="12"/>
    </row>
    <row r="277" spans="1:8" x14ac:dyDescent="0.2">
      <c r="A277" s="57">
        <v>110</v>
      </c>
      <c r="B277" s="56" t="s">
        <v>25</v>
      </c>
      <c r="C277" s="83" t="s">
        <v>26</v>
      </c>
      <c r="D277" s="54"/>
      <c r="E277" s="84">
        <f>+E278+E279+E280+E290+E291+E292+E293+E294+E295+E296+E297+E298+E299+E300</f>
        <v>9298.6000000000022</v>
      </c>
      <c r="F277" s="84">
        <f>+F278+F279+F280+F290+F291+F292+F293+F294+F295+F296+F297+F298+F299+F300</f>
        <v>4481.0000000000009</v>
      </c>
      <c r="G277" s="12"/>
      <c r="H277" s="12"/>
    </row>
    <row r="278" spans="1:8" x14ac:dyDescent="0.2">
      <c r="A278" s="57">
        <v>111</v>
      </c>
      <c r="B278" s="56"/>
      <c r="C278" s="64" t="s">
        <v>27</v>
      </c>
      <c r="D278" s="65" t="s">
        <v>28</v>
      </c>
      <c r="E278" s="63">
        <f>92+1.4+2.5+4</f>
        <v>99.9</v>
      </c>
      <c r="F278" s="63">
        <f>15.2+1.4+2.5+3.9</f>
        <v>22.999999999999996</v>
      </c>
      <c r="G278" s="12"/>
      <c r="H278" s="12"/>
    </row>
    <row r="279" spans="1:8" x14ac:dyDescent="0.2">
      <c r="A279" s="57">
        <v>112</v>
      </c>
      <c r="B279" s="56"/>
      <c r="C279" s="73" t="s">
        <v>98</v>
      </c>
      <c r="D279" s="65" t="s">
        <v>110</v>
      </c>
      <c r="E279" s="63">
        <f>171.1+14.6+19.7</f>
        <v>205.39999999999998</v>
      </c>
      <c r="F279" s="63">
        <f>156+14.2+4.6+13.6</f>
        <v>188.39999999999998</v>
      </c>
      <c r="G279" s="12"/>
      <c r="H279" s="12"/>
    </row>
    <row r="280" spans="1:8" x14ac:dyDescent="0.2">
      <c r="A280" s="57">
        <v>113</v>
      </c>
      <c r="B280" s="56"/>
      <c r="C280" s="73" t="s">
        <v>166</v>
      </c>
      <c r="D280" s="65"/>
      <c r="E280" s="63">
        <f>+E281+E283+E284+E285+E286+E287+E288+E289+E282</f>
        <v>7563.7000000000016</v>
      </c>
      <c r="F280" s="63">
        <f>+F281+F283+F284+F285+F286+F287+F288+F289+F282</f>
        <v>3400.5</v>
      </c>
      <c r="G280" s="12"/>
      <c r="H280" s="12"/>
    </row>
    <row r="281" spans="1:8" ht="89.25" x14ac:dyDescent="0.2">
      <c r="A281" s="100" t="s">
        <v>690</v>
      </c>
      <c r="B281" s="56"/>
      <c r="C281" s="73" t="s">
        <v>99</v>
      </c>
      <c r="D281" s="65" t="s">
        <v>130</v>
      </c>
      <c r="E281" s="63">
        <f>5051.8-5.5+285.1+110+47.1-33.5</f>
        <v>5455.0000000000009</v>
      </c>
      <c r="F281" s="63">
        <f>2865.1+24+279.1+110+46.4+75.9</f>
        <v>3400.5</v>
      </c>
      <c r="G281" s="12"/>
      <c r="H281" s="12"/>
    </row>
    <row r="282" spans="1:8" ht="25.5" x14ac:dyDescent="0.2">
      <c r="A282" s="100" t="s">
        <v>691</v>
      </c>
      <c r="B282" s="56"/>
      <c r="C282" s="73" t="s">
        <v>465</v>
      </c>
      <c r="D282" s="65" t="s">
        <v>155</v>
      </c>
      <c r="E282" s="63">
        <v>40</v>
      </c>
      <c r="F282" s="63"/>
      <c r="G282" s="12"/>
      <c r="H282" s="12"/>
    </row>
    <row r="283" spans="1:8" ht="25.5" x14ac:dyDescent="0.2">
      <c r="A283" s="100" t="s">
        <v>692</v>
      </c>
      <c r="B283" s="61"/>
      <c r="C283" s="78" t="s">
        <v>794</v>
      </c>
      <c r="D283" s="65" t="s">
        <v>121</v>
      </c>
      <c r="E283" s="63">
        <v>120</v>
      </c>
      <c r="F283" s="63"/>
      <c r="G283" s="12"/>
      <c r="H283" s="12"/>
    </row>
    <row r="284" spans="1:8" ht="25.5" x14ac:dyDescent="0.2">
      <c r="A284" s="100" t="s">
        <v>693</v>
      </c>
      <c r="B284" s="61"/>
      <c r="C284" s="78" t="s">
        <v>359</v>
      </c>
      <c r="D284" s="65" t="s">
        <v>38</v>
      </c>
      <c r="E284" s="63">
        <v>21.6</v>
      </c>
      <c r="F284" s="63"/>
      <c r="G284" s="12"/>
      <c r="H284" s="12"/>
    </row>
    <row r="285" spans="1:8" ht="12.6" customHeight="1" x14ac:dyDescent="0.2">
      <c r="A285" s="100" t="s">
        <v>694</v>
      </c>
      <c r="B285" s="61"/>
      <c r="C285" s="78" t="s">
        <v>358</v>
      </c>
      <c r="D285" s="65" t="s">
        <v>101</v>
      </c>
      <c r="E285" s="63">
        <f>1150-100+72+500</f>
        <v>1622</v>
      </c>
      <c r="F285" s="63"/>
      <c r="G285" s="12"/>
      <c r="H285" s="12"/>
    </row>
    <row r="286" spans="1:8" x14ac:dyDescent="0.2">
      <c r="A286" s="100" t="s">
        <v>695</v>
      </c>
      <c r="B286" s="61"/>
      <c r="C286" s="78" t="s">
        <v>198</v>
      </c>
      <c r="D286" s="65" t="s">
        <v>38</v>
      </c>
      <c r="E286" s="63">
        <v>15</v>
      </c>
      <c r="F286" s="63"/>
      <c r="G286" s="12"/>
      <c r="H286" s="12"/>
    </row>
    <row r="287" spans="1:8" ht="25.5" x14ac:dyDescent="0.2">
      <c r="A287" s="100" t="s">
        <v>696</v>
      </c>
      <c r="B287" s="61"/>
      <c r="C287" s="78" t="s">
        <v>175</v>
      </c>
      <c r="D287" s="65" t="s">
        <v>100</v>
      </c>
      <c r="E287" s="63">
        <v>12</v>
      </c>
      <c r="F287" s="63"/>
      <c r="G287" s="12"/>
      <c r="H287" s="12"/>
    </row>
    <row r="288" spans="1:8" x14ac:dyDescent="0.2">
      <c r="A288" s="100" t="s">
        <v>697</v>
      </c>
      <c r="B288" s="61"/>
      <c r="C288" s="78" t="s">
        <v>192</v>
      </c>
      <c r="D288" s="65" t="s">
        <v>102</v>
      </c>
      <c r="E288" s="63">
        <f>110+120</f>
        <v>230</v>
      </c>
      <c r="F288" s="63"/>
      <c r="G288" s="12"/>
      <c r="H288" s="12"/>
    </row>
    <row r="289" spans="1:13" ht="12.6" customHeight="1" x14ac:dyDescent="0.2">
      <c r="A289" s="100" t="s">
        <v>698</v>
      </c>
      <c r="B289" s="61"/>
      <c r="C289" s="78" t="s">
        <v>270</v>
      </c>
      <c r="D289" s="65" t="s">
        <v>277</v>
      </c>
      <c r="E289" s="63">
        <v>48.1</v>
      </c>
      <c r="F289" s="63"/>
      <c r="G289" s="12"/>
      <c r="H289" s="12"/>
    </row>
    <row r="290" spans="1:13" ht="12.6" customHeight="1" x14ac:dyDescent="0.2">
      <c r="A290" s="67">
        <v>114</v>
      </c>
      <c r="B290" s="68"/>
      <c r="C290" s="64" t="s">
        <v>8</v>
      </c>
      <c r="D290" s="61" t="s">
        <v>546</v>
      </c>
      <c r="E290" s="63">
        <f>184.1+22.5</f>
        <v>206.6</v>
      </c>
      <c r="F290" s="63">
        <f>111+22.3</f>
        <v>133.30000000000001</v>
      </c>
      <c r="G290" s="12"/>
      <c r="H290" s="12"/>
    </row>
    <row r="291" spans="1:13" ht="25.5" customHeight="1" x14ac:dyDescent="0.2">
      <c r="A291" s="67">
        <v>115</v>
      </c>
      <c r="B291" s="68"/>
      <c r="C291" s="64" t="s">
        <v>4</v>
      </c>
      <c r="D291" s="61" t="s">
        <v>546</v>
      </c>
      <c r="E291" s="63">
        <f>72+4.6+1.4</f>
        <v>78</v>
      </c>
      <c r="F291" s="63">
        <f>50.3+4.5+1.9</f>
        <v>56.699999999999996</v>
      </c>
      <c r="G291" s="12"/>
      <c r="H291" s="12"/>
    </row>
    <row r="292" spans="1:13" ht="25.5" x14ac:dyDescent="0.2">
      <c r="A292" s="67">
        <v>116</v>
      </c>
      <c r="B292" s="68"/>
      <c r="C292" s="64" t="s">
        <v>5</v>
      </c>
      <c r="D292" s="61" t="s">
        <v>546</v>
      </c>
      <c r="E292" s="63">
        <f>125.4+5.4-2.4</f>
        <v>128.4</v>
      </c>
      <c r="F292" s="63">
        <f>65+5.3-2.4</f>
        <v>67.899999999999991</v>
      </c>
      <c r="G292" s="12"/>
      <c r="H292" s="12"/>
    </row>
    <row r="293" spans="1:13" ht="15" customHeight="1" x14ac:dyDescent="0.2">
      <c r="A293" s="67">
        <v>117</v>
      </c>
      <c r="B293" s="68"/>
      <c r="C293" s="64" t="s">
        <v>7</v>
      </c>
      <c r="D293" s="61" t="s">
        <v>546</v>
      </c>
      <c r="E293" s="63">
        <f>97+2.1-12.1</f>
        <v>87</v>
      </c>
      <c r="F293" s="63">
        <f>61+2-0.1</f>
        <v>62.9</v>
      </c>
      <c r="G293" s="12"/>
      <c r="H293" s="12"/>
    </row>
    <row r="294" spans="1:13" x14ac:dyDescent="0.2">
      <c r="A294" s="67">
        <v>118</v>
      </c>
      <c r="B294" s="68"/>
      <c r="C294" s="64" t="s">
        <v>6</v>
      </c>
      <c r="D294" s="61" t="s">
        <v>546</v>
      </c>
      <c r="E294" s="63">
        <f>82.7+7.1-5.3</f>
        <v>84.5</v>
      </c>
      <c r="F294" s="63">
        <f>54.6+7-3.7</f>
        <v>57.9</v>
      </c>
      <c r="G294" s="12"/>
      <c r="H294" s="12"/>
    </row>
    <row r="295" spans="1:13" ht="25.5" x14ac:dyDescent="0.2">
      <c r="A295" s="67">
        <v>119</v>
      </c>
      <c r="B295" s="68"/>
      <c r="C295" s="64" t="s">
        <v>9</v>
      </c>
      <c r="D295" s="61" t="s">
        <v>546</v>
      </c>
      <c r="E295" s="63">
        <f>91+7.8-9.1</f>
        <v>89.7</v>
      </c>
      <c r="F295" s="63">
        <f>61.7+7.8-1</f>
        <v>68.5</v>
      </c>
      <c r="G295" s="12"/>
      <c r="H295" s="12"/>
    </row>
    <row r="296" spans="1:13" ht="25.5" x14ac:dyDescent="0.2">
      <c r="A296" s="67">
        <v>120</v>
      </c>
      <c r="B296" s="68"/>
      <c r="C296" s="73" t="s">
        <v>10</v>
      </c>
      <c r="D296" s="61" t="s">
        <v>546</v>
      </c>
      <c r="E296" s="63">
        <f>206.6+12.3-0.9</f>
        <v>218</v>
      </c>
      <c r="F296" s="63">
        <f>92.9+12-1.5</f>
        <v>103.4</v>
      </c>
      <c r="G296" s="12"/>
      <c r="H296" s="12"/>
    </row>
    <row r="297" spans="1:13" ht="25.5" x14ac:dyDescent="0.2">
      <c r="A297" s="67">
        <v>121</v>
      </c>
      <c r="B297" s="68"/>
      <c r="C297" s="64" t="s">
        <v>12</v>
      </c>
      <c r="D297" s="61" t="s">
        <v>546</v>
      </c>
      <c r="E297" s="63">
        <f>89.1+5.5-1.5+1.9</f>
        <v>95</v>
      </c>
      <c r="F297" s="63">
        <f>61.2+5.5+1.7+1.9</f>
        <v>70.300000000000011</v>
      </c>
      <c r="G297" s="12"/>
      <c r="H297" s="12"/>
    </row>
    <row r="298" spans="1:13" x14ac:dyDescent="0.2">
      <c r="A298" s="67">
        <v>122</v>
      </c>
      <c r="B298" s="68"/>
      <c r="C298" s="64" t="s">
        <v>11</v>
      </c>
      <c r="D298" s="61" t="s">
        <v>546</v>
      </c>
      <c r="E298" s="63">
        <f>143.5+10.3-25</f>
        <v>128.80000000000001</v>
      </c>
      <c r="F298" s="63">
        <f>64+10.3</f>
        <v>74.3</v>
      </c>
      <c r="G298" s="12"/>
      <c r="H298" s="12"/>
    </row>
    <row r="299" spans="1:13" ht="15.75" customHeight="1" x14ac:dyDescent="0.2">
      <c r="A299" s="67">
        <v>123</v>
      </c>
      <c r="B299" s="68"/>
      <c r="C299" s="64" t="s">
        <v>13</v>
      </c>
      <c r="D299" s="61" t="s">
        <v>546</v>
      </c>
      <c r="E299" s="63">
        <f>96.2-4.5+7.7</f>
        <v>99.4</v>
      </c>
      <c r="F299" s="63">
        <f>63.5+7.6</f>
        <v>71.099999999999994</v>
      </c>
      <c r="G299" s="12"/>
      <c r="H299" s="12"/>
    </row>
    <row r="300" spans="1:13" x14ac:dyDescent="0.2">
      <c r="A300" s="67">
        <v>124</v>
      </c>
      <c r="B300" s="68"/>
      <c r="C300" s="64" t="s">
        <v>14</v>
      </c>
      <c r="D300" s="61" t="s">
        <v>546</v>
      </c>
      <c r="E300" s="63">
        <f>223.4+16.1-25.3</f>
        <v>214.2</v>
      </c>
      <c r="F300" s="63">
        <f>87.1+15.7</f>
        <v>102.8</v>
      </c>
      <c r="G300" s="12"/>
      <c r="H300" s="12"/>
    </row>
    <row r="301" spans="1:13" ht="14.25" x14ac:dyDescent="0.2">
      <c r="A301" s="57">
        <v>125</v>
      </c>
      <c r="B301" s="61"/>
      <c r="C301" s="109" t="s">
        <v>20</v>
      </c>
      <c r="D301" s="61"/>
      <c r="E301" s="77">
        <f>+E10+E62+E88+E136+E163+E185+E201+E239+E263+E272+E277</f>
        <v>55922.900000000009</v>
      </c>
      <c r="F301" s="77">
        <f>+F10+F62+F88+F136+F163+F185+F201+F239+F263+F272+F277</f>
        <v>24507.699999999997</v>
      </c>
      <c r="G301" s="18"/>
      <c r="H301" s="18"/>
      <c r="I301" s="18"/>
      <c r="J301" s="18"/>
      <c r="K301" s="18"/>
    </row>
    <row r="302" spans="1:13" x14ac:dyDescent="0.2">
      <c r="C302" s="46"/>
      <c r="F302" s="110"/>
      <c r="G302" s="111"/>
      <c r="H302" s="111"/>
    </row>
    <row r="303" spans="1:13" x14ac:dyDescent="0.2">
      <c r="A303" s="2" t="s">
        <v>205</v>
      </c>
      <c r="B303" s="2"/>
      <c r="C303" s="2"/>
      <c r="D303" s="2"/>
      <c r="E303" s="2"/>
      <c r="F303" s="2"/>
    </row>
    <row r="304" spans="1:13" x14ac:dyDescent="0.2">
      <c r="C304" s="112"/>
      <c r="E304" s="110"/>
      <c r="F304" s="110"/>
      <c r="J304" s="12"/>
      <c r="M304" s="12"/>
    </row>
    <row r="305" spans="3:7" x14ac:dyDescent="0.2">
      <c r="C305" s="46"/>
      <c r="E305" s="113"/>
      <c r="F305" s="113"/>
    </row>
    <row r="306" spans="3:7" ht="15.75" x14ac:dyDescent="0.2">
      <c r="C306" s="114"/>
      <c r="D306" s="115"/>
      <c r="E306" s="116"/>
      <c r="F306" s="110"/>
    </row>
    <row r="307" spans="3:7" x14ac:dyDescent="0.2">
      <c r="C307" s="46"/>
      <c r="D307" s="46"/>
      <c r="E307" s="13"/>
      <c r="F307" s="13"/>
    </row>
    <row r="308" spans="3:7" x14ac:dyDescent="0.2">
      <c r="C308" s="46"/>
      <c r="D308" s="117"/>
      <c r="E308" s="2"/>
      <c r="F308" s="13"/>
    </row>
    <row r="309" spans="3:7" x14ac:dyDescent="0.2">
      <c r="C309" s="118"/>
      <c r="D309" s="2"/>
      <c r="E309" s="2"/>
      <c r="F309" s="119"/>
      <c r="G309" s="119"/>
    </row>
    <row r="310" spans="3:7" x14ac:dyDescent="0.2">
      <c r="C310" s="118"/>
      <c r="D310" s="120"/>
      <c r="E310" s="119"/>
      <c r="F310" s="121"/>
      <c r="G310" s="121"/>
    </row>
    <row r="311" spans="3:7" ht="15.75" x14ac:dyDescent="0.2">
      <c r="C311" s="114"/>
      <c r="D311" s="122"/>
      <c r="E311" s="119"/>
      <c r="F311" s="123"/>
    </row>
    <row r="312" spans="3:7" ht="15.75" x14ac:dyDescent="0.2">
      <c r="C312" s="114"/>
      <c r="D312" s="122"/>
      <c r="E312" s="123"/>
      <c r="F312" s="123"/>
    </row>
    <row r="313" spans="3:7" x14ac:dyDescent="0.2">
      <c r="C313" s="46"/>
    </row>
    <row r="314" spans="3:7" x14ac:dyDescent="0.2">
      <c r="C314" s="46"/>
      <c r="D314" s="117"/>
      <c r="E314" s="124"/>
      <c r="F314" s="117"/>
    </row>
    <row r="315" spans="3:7" x14ac:dyDescent="0.2">
      <c r="C315" s="46"/>
      <c r="D315" s="117"/>
      <c r="F315" s="110"/>
    </row>
    <row r="316" spans="3:7" x14ac:dyDescent="0.2">
      <c r="G316" s="12"/>
    </row>
    <row r="317" spans="3:7" x14ac:dyDescent="0.2">
      <c r="C317" s="46"/>
      <c r="D317" s="122"/>
      <c r="E317" s="119"/>
      <c r="F317" s="110"/>
    </row>
    <row r="318" spans="3:7" x14ac:dyDescent="0.2">
      <c r="C318" s="46"/>
      <c r="D318" s="122"/>
      <c r="E318" s="124"/>
    </row>
    <row r="319" spans="3:7" x14ac:dyDescent="0.2">
      <c r="C319" s="112"/>
      <c r="E319" s="110"/>
    </row>
    <row r="320" spans="3:7" x14ac:dyDescent="0.2">
      <c r="C320" s="46"/>
      <c r="E320" s="125"/>
      <c r="F320" s="125"/>
    </row>
    <row r="321" spans="5:10" x14ac:dyDescent="0.2">
      <c r="E321" s="110"/>
    </row>
    <row r="322" spans="5:10" x14ac:dyDescent="0.2">
      <c r="E322" s="110"/>
      <c r="J322" s="2" t="s">
        <v>355</v>
      </c>
    </row>
    <row r="323" spans="5:10" x14ac:dyDescent="0.2">
      <c r="E323" s="110"/>
    </row>
    <row r="325" spans="5:10" x14ac:dyDescent="0.2">
      <c r="E325" s="110"/>
      <c r="F325" s="110"/>
    </row>
    <row r="327" spans="5:10" x14ac:dyDescent="0.2">
      <c r="E327" s="110"/>
      <c r="F327" s="110"/>
    </row>
    <row r="336" spans="5:10" x14ac:dyDescent="0.2">
      <c r="E336" s="110"/>
      <c r="F336" s="110"/>
    </row>
  </sheetData>
  <mergeCells count="40">
    <mergeCell ref="A171:A172"/>
    <mergeCell ref="B171:B172"/>
    <mergeCell ref="A186:A188"/>
    <mergeCell ref="B186:B188"/>
    <mergeCell ref="D186:D188"/>
    <mergeCell ref="A140:A146"/>
    <mergeCell ref="B140:B146"/>
    <mergeCell ref="D140:D146"/>
    <mergeCell ref="A63:A64"/>
    <mergeCell ref="D63:D64"/>
    <mergeCell ref="A89:A90"/>
    <mergeCell ref="B89:B90"/>
    <mergeCell ref="D89:D90"/>
    <mergeCell ref="A116:A117"/>
    <mergeCell ref="B116:B117"/>
    <mergeCell ref="A118:A119"/>
    <mergeCell ref="B118:B119"/>
    <mergeCell ref="A121:A122"/>
    <mergeCell ref="B121:B122"/>
    <mergeCell ref="A132:A133"/>
    <mergeCell ref="B132:B133"/>
    <mergeCell ref="C1:F1"/>
    <mergeCell ref="E3:F3"/>
    <mergeCell ref="A5:F5"/>
    <mergeCell ref="A35:A36"/>
    <mergeCell ref="D35:D36"/>
    <mergeCell ref="C2:F2"/>
    <mergeCell ref="A38:A39"/>
    <mergeCell ref="B38:B39"/>
    <mergeCell ref="D38:D39"/>
    <mergeCell ref="A134:A135"/>
    <mergeCell ref="B134:B135"/>
    <mergeCell ref="A123:A124"/>
    <mergeCell ref="B123:B124"/>
    <mergeCell ref="A128:A129"/>
    <mergeCell ref="B128:B129"/>
    <mergeCell ref="A126:A127"/>
    <mergeCell ref="B126:B127"/>
    <mergeCell ref="A130:A131"/>
    <mergeCell ref="B130:B131"/>
  </mergeCells>
  <phoneticPr fontId="13" type="noConversion"/>
  <pageMargins left="0.51181102362204722" right="0" top="0.35433070866141736" bottom="0.19685039370078741" header="0.31496062992125984" footer="0.31496062992125984"/>
  <pageSetup paperSize="9" fitToHeight="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M70"/>
  <sheetViews>
    <sheetView zoomScaleNormal="100" workbookViewId="0">
      <selection activeCell="N8" sqref="N8"/>
    </sheetView>
  </sheetViews>
  <sheetFormatPr defaultColWidth="9.140625" defaultRowHeight="12.75" x14ac:dyDescent="0.2"/>
  <cols>
    <col min="1" max="1" width="4.85546875" style="9" customWidth="1"/>
    <col min="2" max="2" width="7.140625" style="126" customWidth="1"/>
    <col min="3" max="3" width="50.28515625" style="9" customWidth="1"/>
    <col min="4" max="4" width="10.28515625" style="48" customWidth="1"/>
    <col min="5" max="5" width="8.140625" style="9" customWidth="1"/>
    <col min="6" max="6" width="11.28515625" style="9" customWidth="1"/>
    <col min="7" max="8" width="9.140625" style="2" customWidth="1"/>
    <col min="9" max="16384" width="9.140625" style="2"/>
  </cols>
  <sheetData>
    <row r="1" spans="1:12" ht="15.75" customHeight="1" x14ac:dyDescent="0.25">
      <c r="C1" s="208" t="s">
        <v>338</v>
      </c>
      <c r="D1" s="208"/>
      <c r="E1" s="208"/>
      <c r="F1" s="208"/>
    </row>
    <row r="2" spans="1:12" ht="15.75" customHeight="1" x14ac:dyDescent="0.25">
      <c r="C2" s="208" t="s">
        <v>841</v>
      </c>
      <c r="D2" s="208"/>
      <c r="E2" s="208"/>
      <c r="F2" s="208"/>
    </row>
    <row r="3" spans="1:12" ht="15.75" x14ac:dyDescent="0.2">
      <c r="B3" s="48"/>
      <c r="E3" s="209" t="s">
        <v>117</v>
      </c>
      <c r="F3" s="209"/>
    </row>
    <row r="4" spans="1:12" ht="15.75" x14ac:dyDescent="0.2">
      <c r="B4" s="48"/>
      <c r="E4" s="49"/>
      <c r="F4" s="49"/>
    </row>
    <row r="5" spans="1:12" ht="30" customHeight="1" x14ac:dyDescent="0.2">
      <c r="A5" s="210" t="s">
        <v>421</v>
      </c>
      <c r="B5" s="210"/>
      <c r="C5" s="210"/>
      <c r="D5" s="210"/>
      <c r="E5" s="210"/>
      <c r="F5" s="210"/>
    </row>
    <row r="6" spans="1:12" x14ac:dyDescent="0.2">
      <c r="A6" s="51"/>
      <c r="B6" s="51"/>
      <c r="C6" s="51"/>
      <c r="D6" s="51"/>
      <c r="E6" s="51"/>
      <c r="F6" s="51"/>
    </row>
    <row r="7" spans="1:12" x14ac:dyDescent="0.2">
      <c r="B7" s="48"/>
      <c r="E7" s="46"/>
      <c r="F7" s="46" t="s">
        <v>129</v>
      </c>
    </row>
    <row r="8" spans="1:12" ht="46.5" customHeight="1" x14ac:dyDescent="0.2">
      <c r="A8" s="53" t="s">
        <v>118</v>
      </c>
      <c r="B8" s="54" t="s">
        <v>337</v>
      </c>
      <c r="C8" s="53" t="s">
        <v>16</v>
      </c>
      <c r="D8" s="54" t="s">
        <v>55</v>
      </c>
      <c r="E8" s="53" t="s">
        <v>17</v>
      </c>
      <c r="F8" s="53" t="s">
        <v>29</v>
      </c>
    </row>
    <row r="9" spans="1:12" x14ac:dyDescent="0.2">
      <c r="A9" s="55">
        <v>1</v>
      </c>
      <c r="B9" s="56" t="s">
        <v>18</v>
      </c>
      <c r="C9" s="53">
        <v>3</v>
      </c>
      <c r="D9" s="54">
        <v>4</v>
      </c>
      <c r="E9" s="53">
        <v>5</v>
      </c>
      <c r="F9" s="53">
        <v>6</v>
      </c>
    </row>
    <row r="10" spans="1:12" x14ac:dyDescent="0.2">
      <c r="A10" s="57">
        <v>1</v>
      </c>
      <c r="B10" s="56" t="s">
        <v>56</v>
      </c>
      <c r="C10" s="58" t="s">
        <v>57</v>
      </c>
      <c r="D10" s="54"/>
      <c r="E10" s="59">
        <f>+E11</f>
        <v>1971.4999999999998</v>
      </c>
      <c r="F10" s="59">
        <f>+F11</f>
        <v>0</v>
      </c>
      <c r="G10" s="12"/>
      <c r="H10" s="12"/>
      <c r="I10" s="12"/>
      <c r="J10" s="12"/>
      <c r="K10" s="12"/>
      <c r="L10" s="12"/>
    </row>
    <row r="11" spans="1:12" x14ac:dyDescent="0.2">
      <c r="A11" s="57">
        <v>2</v>
      </c>
      <c r="B11" s="61"/>
      <c r="C11" s="127" t="s">
        <v>180</v>
      </c>
      <c r="D11" s="61"/>
      <c r="E11" s="74">
        <f>SUM(E12:E18)</f>
        <v>1971.4999999999998</v>
      </c>
      <c r="F11" s="74">
        <f>SUM(F12:F18)</f>
        <v>0</v>
      </c>
      <c r="G11" s="12"/>
      <c r="H11" s="12"/>
      <c r="I11" s="12"/>
      <c r="J11" s="12"/>
      <c r="K11" s="12"/>
      <c r="L11" s="128"/>
    </row>
    <row r="12" spans="1:12" ht="25.5" x14ac:dyDescent="0.2">
      <c r="A12" s="129" t="s">
        <v>535</v>
      </c>
      <c r="B12" s="61"/>
      <c r="C12" s="79" t="s">
        <v>149</v>
      </c>
      <c r="D12" s="61" t="s">
        <v>61</v>
      </c>
      <c r="E12" s="74">
        <v>22.4</v>
      </c>
      <c r="F12" s="130"/>
      <c r="G12" s="12"/>
      <c r="H12" s="12"/>
      <c r="I12" s="12"/>
      <c r="J12" s="12"/>
      <c r="K12" s="12"/>
      <c r="L12" s="128"/>
    </row>
    <row r="13" spans="1:12" ht="38.25" x14ac:dyDescent="0.2">
      <c r="A13" s="129" t="s">
        <v>536</v>
      </c>
      <c r="B13" s="61"/>
      <c r="C13" s="79" t="s">
        <v>433</v>
      </c>
      <c r="D13" s="61" t="s">
        <v>58</v>
      </c>
      <c r="E13" s="74">
        <v>426</v>
      </c>
      <c r="F13" s="130"/>
      <c r="G13" s="12"/>
      <c r="H13" s="12"/>
      <c r="I13" s="12"/>
      <c r="J13" s="12"/>
      <c r="K13" s="12"/>
      <c r="L13" s="128"/>
    </row>
    <row r="14" spans="1:12" ht="38.25" x14ac:dyDescent="0.2">
      <c r="A14" s="129" t="s">
        <v>537</v>
      </c>
      <c r="B14" s="61"/>
      <c r="C14" s="79" t="s">
        <v>434</v>
      </c>
      <c r="D14" s="61" t="s">
        <v>58</v>
      </c>
      <c r="E14" s="74">
        <v>532</v>
      </c>
      <c r="F14" s="130"/>
      <c r="G14" s="12"/>
      <c r="H14" s="12"/>
      <c r="I14" s="12"/>
      <c r="J14" s="12"/>
      <c r="K14" s="12"/>
      <c r="L14" s="128"/>
    </row>
    <row r="15" spans="1:12" ht="25.5" x14ac:dyDescent="0.2">
      <c r="A15" s="129" t="s">
        <v>538</v>
      </c>
      <c r="B15" s="61"/>
      <c r="C15" s="70" t="s">
        <v>415</v>
      </c>
      <c r="D15" s="61" t="s">
        <v>58</v>
      </c>
      <c r="E15" s="74">
        <v>8.4</v>
      </c>
      <c r="F15" s="130"/>
      <c r="G15" s="12"/>
      <c r="H15" s="12"/>
      <c r="I15" s="12"/>
      <c r="J15" s="12"/>
      <c r="K15" s="12"/>
      <c r="L15" s="128"/>
    </row>
    <row r="16" spans="1:12" ht="25.5" x14ac:dyDescent="0.2">
      <c r="A16" s="129" t="s">
        <v>818</v>
      </c>
      <c r="B16" s="61"/>
      <c r="C16" s="70" t="s">
        <v>816</v>
      </c>
      <c r="D16" s="65" t="s">
        <v>813</v>
      </c>
      <c r="E16" s="74">
        <v>840</v>
      </c>
      <c r="F16" s="130"/>
      <c r="G16" s="12"/>
      <c r="H16" s="12"/>
      <c r="I16" s="12"/>
      <c r="J16" s="12"/>
      <c r="K16" s="12"/>
      <c r="L16" s="128"/>
    </row>
    <row r="17" spans="1:12" x14ac:dyDescent="0.2">
      <c r="A17" s="129" t="s">
        <v>819</v>
      </c>
      <c r="B17" s="61"/>
      <c r="C17" s="70" t="s">
        <v>814</v>
      </c>
      <c r="D17" s="61" t="s">
        <v>154</v>
      </c>
      <c r="E17" s="74">
        <f>108+10.1</f>
        <v>118.1</v>
      </c>
      <c r="F17" s="130"/>
      <c r="G17" s="12"/>
      <c r="H17" s="12"/>
      <c r="I17" s="12"/>
      <c r="J17" s="12"/>
      <c r="K17" s="12"/>
      <c r="L17" s="128"/>
    </row>
    <row r="18" spans="1:12" x14ac:dyDescent="0.2">
      <c r="A18" s="129" t="s">
        <v>832</v>
      </c>
      <c r="B18" s="61"/>
      <c r="C18" s="70" t="s">
        <v>833</v>
      </c>
      <c r="D18" s="61" t="s">
        <v>154</v>
      </c>
      <c r="E18" s="74">
        <v>24.6</v>
      </c>
      <c r="F18" s="130"/>
      <c r="G18" s="12"/>
      <c r="H18" s="12"/>
      <c r="I18" s="12"/>
      <c r="J18" s="12"/>
      <c r="K18" s="12"/>
      <c r="L18" s="128"/>
    </row>
    <row r="19" spans="1:12" x14ac:dyDescent="0.2">
      <c r="A19" s="129" t="s">
        <v>539</v>
      </c>
      <c r="B19" s="56" t="s">
        <v>65</v>
      </c>
      <c r="C19" s="83" t="s">
        <v>66</v>
      </c>
      <c r="D19" s="61"/>
      <c r="E19" s="131">
        <f>+E22+E20</f>
        <v>55</v>
      </c>
      <c r="F19" s="131">
        <f>+F22+F20</f>
        <v>0.4</v>
      </c>
      <c r="G19" s="12"/>
      <c r="H19" s="12"/>
      <c r="I19" s="12"/>
      <c r="J19" s="12"/>
      <c r="K19" s="12"/>
      <c r="L19" s="128"/>
    </row>
    <row r="20" spans="1:12" ht="25.5" x14ac:dyDescent="0.2">
      <c r="A20" s="129" t="s">
        <v>30</v>
      </c>
      <c r="B20" s="56"/>
      <c r="C20" s="64" t="s">
        <v>168</v>
      </c>
      <c r="D20" s="65"/>
      <c r="E20" s="74">
        <f>+E21</f>
        <v>49.5</v>
      </c>
      <c r="F20" s="130">
        <f>+F21</f>
        <v>0.4</v>
      </c>
      <c r="G20" s="12"/>
      <c r="H20" s="12"/>
      <c r="I20" s="12"/>
      <c r="J20" s="12"/>
      <c r="K20" s="12"/>
      <c r="L20" s="128"/>
    </row>
    <row r="21" spans="1:12" ht="25.5" x14ac:dyDescent="0.2">
      <c r="A21" s="129" t="s">
        <v>540</v>
      </c>
      <c r="B21" s="56"/>
      <c r="C21" s="132" t="s">
        <v>815</v>
      </c>
      <c r="D21" s="61" t="s">
        <v>208</v>
      </c>
      <c r="E21" s="74">
        <v>49.5</v>
      </c>
      <c r="F21" s="130">
        <v>0.4</v>
      </c>
      <c r="G21" s="12"/>
      <c r="H21" s="12"/>
      <c r="I21" s="12"/>
      <c r="J21" s="12"/>
      <c r="K21" s="12"/>
      <c r="L21" s="128"/>
    </row>
    <row r="22" spans="1:12" x14ac:dyDescent="0.2">
      <c r="A22" s="129" t="s">
        <v>543</v>
      </c>
      <c r="B22" s="56"/>
      <c r="C22" s="127" t="s">
        <v>180</v>
      </c>
      <c r="D22" s="61"/>
      <c r="E22" s="74">
        <f>+E23</f>
        <v>5.5</v>
      </c>
      <c r="F22" s="130">
        <f>+F23</f>
        <v>0</v>
      </c>
      <c r="G22" s="12"/>
      <c r="H22" s="12"/>
      <c r="I22" s="12"/>
      <c r="J22" s="12"/>
      <c r="K22" s="12"/>
      <c r="L22" s="128"/>
    </row>
    <row r="23" spans="1:12" ht="25.5" x14ac:dyDescent="0.2">
      <c r="A23" s="129" t="s">
        <v>820</v>
      </c>
      <c r="B23" s="56"/>
      <c r="C23" s="133" t="s">
        <v>194</v>
      </c>
      <c r="D23" s="65" t="s">
        <v>195</v>
      </c>
      <c r="E23" s="74">
        <v>5.5</v>
      </c>
      <c r="F23" s="130"/>
      <c r="G23" s="12"/>
      <c r="H23" s="12"/>
      <c r="I23" s="12"/>
      <c r="J23" s="12"/>
      <c r="K23" s="12"/>
      <c r="L23" s="128"/>
    </row>
    <row r="24" spans="1:12" x14ac:dyDescent="0.2">
      <c r="A24" s="129" t="s">
        <v>544</v>
      </c>
      <c r="B24" s="56" t="s">
        <v>21</v>
      </c>
      <c r="C24" s="83" t="s">
        <v>22</v>
      </c>
      <c r="D24" s="65"/>
      <c r="E24" s="131">
        <f>+E31+E25+E27</f>
        <v>434.4</v>
      </c>
      <c r="F24" s="131">
        <f>+F31+F25+F27</f>
        <v>217.4</v>
      </c>
      <c r="G24" s="12"/>
      <c r="H24" s="12"/>
      <c r="I24" s="12"/>
      <c r="J24" s="12"/>
      <c r="K24" s="12"/>
      <c r="L24" s="128"/>
    </row>
    <row r="25" spans="1:12" x14ac:dyDescent="0.2">
      <c r="A25" s="129" t="s">
        <v>576</v>
      </c>
      <c r="B25" s="56"/>
      <c r="C25" s="62" t="s">
        <v>1</v>
      </c>
      <c r="D25" s="61"/>
      <c r="E25" s="74">
        <f>+E26</f>
        <v>137</v>
      </c>
      <c r="F25" s="74">
        <f>+F26</f>
        <v>128.5</v>
      </c>
      <c r="G25" s="12"/>
      <c r="H25" s="12"/>
      <c r="I25" s="12"/>
      <c r="J25" s="12"/>
      <c r="K25" s="12"/>
      <c r="L25" s="128"/>
    </row>
    <row r="26" spans="1:12" x14ac:dyDescent="0.2">
      <c r="A26" s="129" t="s">
        <v>821</v>
      </c>
      <c r="B26" s="56"/>
      <c r="C26" s="85" t="s">
        <v>808</v>
      </c>
      <c r="D26" s="61" t="s">
        <v>24</v>
      </c>
      <c r="E26" s="74">
        <v>137</v>
      </c>
      <c r="F26" s="74">
        <v>128.5</v>
      </c>
      <c r="G26" s="12"/>
      <c r="H26" s="12"/>
      <c r="I26" s="12"/>
      <c r="J26" s="12"/>
      <c r="K26" s="12"/>
      <c r="L26" s="128"/>
    </row>
    <row r="27" spans="1:12" x14ac:dyDescent="0.2">
      <c r="A27" s="129" t="s">
        <v>575</v>
      </c>
      <c r="B27" s="56"/>
      <c r="C27" s="79" t="s">
        <v>809</v>
      </c>
      <c r="D27" s="61"/>
      <c r="E27" s="74">
        <f>+E28+E29+E30</f>
        <v>122.9</v>
      </c>
      <c r="F27" s="74">
        <f>+F28+F29+F30</f>
        <v>87.9</v>
      </c>
      <c r="G27" s="12"/>
      <c r="H27" s="12"/>
      <c r="I27" s="12"/>
      <c r="J27" s="12"/>
      <c r="K27" s="12"/>
      <c r="L27" s="128"/>
    </row>
    <row r="28" spans="1:12" ht="38.25" x14ac:dyDescent="0.2">
      <c r="A28" s="129" t="s">
        <v>541</v>
      </c>
      <c r="B28" s="56"/>
      <c r="C28" s="132" t="s">
        <v>810</v>
      </c>
      <c r="D28" s="61" t="s">
        <v>23</v>
      </c>
      <c r="E28" s="74">
        <v>40.200000000000003</v>
      </c>
      <c r="F28" s="74">
        <v>37.700000000000003</v>
      </c>
      <c r="G28" s="12"/>
      <c r="H28" s="12"/>
      <c r="I28" s="12"/>
      <c r="J28" s="12"/>
      <c r="K28" s="12"/>
      <c r="L28" s="128"/>
    </row>
    <row r="29" spans="1:12" x14ac:dyDescent="0.2">
      <c r="A29" s="129" t="s">
        <v>822</v>
      </c>
      <c r="B29" s="56"/>
      <c r="C29" s="134" t="s">
        <v>812</v>
      </c>
      <c r="D29" s="61" t="s">
        <v>31</v>
      </c>
      <c r="E29" s="74">
        <v>50</v>
      </c>
      <c r="F29" s="74">
        <v>18</v>
      </c>
      <c r="G29" s="12"/>
      <c r="H29" s="12"/>
      <c r="I29" s="12"/>
      <c r="J29" s="12"/>
      <c r="K29" s="12"/>
      <c r="L29" s="128"/>
    </row>
    <row r="30" spans="1:12" ht="25.5" x14ac:dyDescent="0.2">
      <c r="A30" s="129" t="s">
        <v>823</v>
      </c>
      <c r="B30" s="56"/>
      <c r="C30" s="134" t="s">
        <v>811</v>
      </c>
      <c r="D30" s="61" t="s">
        <v>23</v>
      </c>
      <c r="E30" s="74">
        <v>32.700000000000003</v>
      </c>
      <c r="F30" s="74">
        <v>32.200000000000003</v>
      </c>
      <c r="G30" s="12"/>
      <c r="H30" s="12"/>
      <c r="I30" s="12"/>
      <c r="J30" s="12"/>
      <c r="K30" s="12"/>
      <c r="L30" s="128"/>
    </row>
    <row r="31" spans="1:12" x14ac:dyDescent="0.2">
      <c r="A31" s="129" t="s">
        <v>824</v>
      </c>
      <c r="B31" s="56"/>
      <c r="C31" s="127" t="s">
        <v>180</v>
      </c>
      <c r="D31" s="65"/>
      <c r="E31" s="74">
        <f>+E32+E33+E34</f>
        <v>174.5</v>
      </c>
      <c r="F31" s="74">
        <f>+F32+F33+F34</f>
        <v>1</v>
      </c>
      <c r="G31" s="12"/>
      <c r="H31" s="12"/>
      <c r="I31" s="12"/>
      <c r="J31" s="12"/>
      <c r="K31" s="12"/>
      <c r="L31" s="128"/>
    </row>
    <row r="32" spans="1:12" x14ac:dyDescent="0.2">
      <c r="A32" s="129" t="s">
        <v>825</v>
      </c>
      <c r="B32" s="56"/>
      <c r="C32" s="78" t="s">
        <v>150</v>
      </c>
      <c r="D32" s="68" t="s">
        <v>88</v>
      </c>
      <c r="E32" s="74">
        <v>9.8000000000000007</v>
      </c>
      <c r="F32" s="130"/>
      <c r="G32" s="12"/>
      <c r="H32" s="12"/>
      <c r="I32" s="12"/>
      <c r="J32" s="12"/>
      <c r="K32" s="12"/>
      <c r="L32" s="128"/>
    </row>
    <row r="33" spans="1:13" x14ac:dyDescent="0.2">
      <c r="A33" s="129" t="s">
        <v>826</v>
      </c>
      <c r="B33" s="56"/>
      <c r="C33" s="79" t="s">
        <v>590</v>
      </c>
      <c r="D33" s="68"/>
      <c r="E33" s="74">
        <v>123.4</v>
      </c>
      <c r="F33" s="130"/>
      <c r="G33" s="12"/>
      <c r="H33" s="12"/>
      <c r="I33" s="12"/>
      <c r="J33" s="12"/>
      <c r="K33" s="12"/>
      <c r="L33" s="128"/>
    </row>
    <row r="34" spans="1:13" ht="25.5" x14ac:dyDescent="0.2">
      <c r="A34" s="129" t="s">
        <v>827</v>
      </c>
      <c r="B34" s="56"/>
      <c r="C34" s="79" t="s">
        <v>817</v>
      </c>
      <c r="D34" s="61" t="s">
        <v>760</v>
      </c>
      <c r="E34" s="74">
        <v>41.3</v>
      </c>
      <c r="F34" s="130">
        <v>1</v>
      </c>
      <c r="G34" s="12"/>
      <c r="H34" s="12"/>
      <c r="I34" s="12"/>
      <c r="J34" s="12"/>
      <c r="K34" s="12"/>
      <c r="L34" s="128"/>
    </row>
    <row r="35" spans="1:13" ht="25.5" x14ac:dyDescent="0.2">
      <c r="A35" s="57">
        <v>10</v>
      </c>
      <c r="B35" s="56" t="s">
        <v>104</v>
      </c>
      <c r="C35" s="98" t="s">
        <v>105</v>
      </c>
      <c r="D35" s="65"/>
      <c r="E35" s="131">
        <f>+E36</f>
        <v>250.8</v>
      </c>
      <c r="F35" s="131">
        <v>0</v>
      </c>
      <c r="G35" s="12"/>
      <c r="H35" s="12"/>
      <c r="I35" s="12"/>
      <c r="J35" s="12"/>
      <c r="K35" s="12"/>
      <c r="L35" s="128"/>
    </row>
    <row r="36" spans="1:13" x14ac:dyDescent="0.2">
      <c r="A36" s="57">
        <v>11</v>
      </c>
      <c r="B36" s="61"/>
      <c r="C36" s="127" t="s">
        <v>180</v>
      </c>
      <c r="D36" s="65"/>
      <c r="E36" s="74">
        <f>+E37</f>
        <v>250.8</v>
      </c>
      <c r="F36" s="130">
        <v>0</v>
      </c>
      <c r="G36" s="12"/>
      <c r="H36" s="12"/>
      <c r="I36" s="12"/>
      <c r="J36" s="12"/>
      <c r="K36" s="12"/>
      <c r="L36" s="128"/>
    </row>
    <row r="37" spans="1:13" ht="25.5" x14ac:dyDescent="0.2">
      <c r="A37" s="129" t="s">
        <v>34</v>
      </c>
      <c r="B37" s="61"/>
      <c r="C37" s="127" t="s">
        <v>574</v>
      </c>
      <c r="D37" s="61" t="s">
        <v>155</v>
      </c>
      <c r="E37" s="74">
        <v>250.8</v>
      </c>
      <c r="F37" s="130"/>
      <c r="G37" s="12"/>
      <c r="H37" s="12"/>
      <c r="I37" s="12"/>
      <c r="J37" s="12"/>
      <c r="K37" s="12"/>
      <c r="L37" s="128"/>
    </row>
    <row r="38" spans="1:13" ht="18" customHeight="1" x14ac:dyDescent="0.2">
      <c r="A38" s="57">
        <v>12</v>
      </c>
      <c r="B38" s="56" t="s">
        <v>84</v>
      </c>
      <c r="C38" s="101" t="s">
        <v>85</v>
      </c>
      <c r="D38" s="61"/>
      <c r="E38" s="131">
        <f>+E39</f>
        <v>168.9</v>
      </c>
      <c r="F38" s="131">
        <f>+F39</f>
        <v>0</v>
      </c>
      <c r="G38" s="12"/>
      <c r="H38" s="12"/>
      <c r="I38" s="12"/>
      <c r="J38" s="12"/>
      <c r="K38" s="12"/>
      <c r="L38" s="128"/>
    </row>
    <row r="39" spans="1:13" ht="12.6" customHeight="1" x14ac:dyDescent="0.2">
      <c r="A39" s="57">
        <v>13</v>
      </c>
      <c r="B39" s="61"/>
      <c r="C39" s="127" t="s">
        <v>180</v>
      </c>
      <c r="D39" s="65"/>
      <c r="E39" s="74">
        <f>+E40+E41+E42</f>
        <v>168.9</v>
      </c>
      <c r="F39" s="74">
        <f>+F40</f>
        <v>0</v>
      </c>
      <c r="G39" s="12"/>
      <c r="H39" s="12"/>
      <c r="I39" s="12"/>
      <c r="J39" s="12"/>
      <c r="K39" s="12"/>
      <c r="L39" s="128"/>
    </row>
    <row r="40" spans="1:13" ht="25.5" x14ac:dyDescent="0.2">
      <c r="A40" s="129" t="s">
        <v>267</v>
      </c>
      <c r="B40" s="61"/>
      <c r="C40" s="127" t="s">
        <v>266</v>
      </c>
      <c r="D40" s="65" t="s">
        <v>269</v>
      </c>
      <c r="E40" s="74">
        <v>75</v>
      </c>
      <c r="F40" s="130"/>
      <c r="G40" s="12"/>
      <c r="H40" s="12"/>
      <c r="I40" s="12"/>
      <c r="J40" s="12"/>
      <c r="K40" s="12"/>
      <c r="L40" s="128"/>
    </row>
    <row r="41" spans="1:13" x14ac:dyDescent="0.2">
      <c r="A41" s="129" t="s">
        <v>374</v>
      </c>
      <c r="B41" s="61"/>
      <c r="C41" s="135" t="s">
        <v>572</v>
      </c>
      <c r="D41" s="65" t="s">
        <v>573</v>
      </c>
      <c r="E41" s="74">
        <v>35.200000000000003</v>
      </c>
      <c r="F41" s="130"/>
      <c r="G41" s="12"/>
      <c r="H41" s="12"/>
      <c r="I41" s="12"/>
      <c r="J41" s="12"/>
      <c r="K41" s="12"/>
      <c r="L41" s="128"/>
    </row>
    <row r="42" spans="1:13" ht="38.25" x14ac:dyDescent="0.2">
      <c r="A42" s="129" t="s">
        <v>375</v>
      </c>
      <c r="B42" s="61"/>
      <c r="C42" s="64" t="s">
        <v>762</v>
      </c>
      <c r="D42" s="65" t="s">
        <v>763</v>
      </c>
      <c r="E42" s="74">
        <v>58.7</v>
      </c>
      <c r="F42" s="130"/>
      <c r="G42" s="12"/>
      <c r="H42" s="12"/>
      <c r="I42" s="12"/>
      <c r="J42" s="12"/>
      <c r="K42" s="12"/>
      <c r="L42" s="128"/>
    </row>
    <row r="43" spans="1:13" ht="18" customHeight="1" x14ac:dyDescent="0.2">
      <c r="A43" s="57">
        <v>14</v>
      </c>
      <c r="B43" s="56" t="s">
        <v>89</v>
      </c>
      <c r="C43" s="83" t="s">
        <v>90</v>
      </c>
      <c r="D43" s="61"/>
      <c r="E43" s="131">
        <f>+E44</f>
        <v>317.40000000000003</v>
      </c>
      <c r="F43" s="131">
        <f>+F44</f>
        <v>0</v>
      </c>
      <c r="G43" s="12"/>
      <c r="H43" s="12"/>
      <c r="I43" s="12"/>
      <c r="J43" s="12"/>
      <c r="K43" s="12"/>
      <c r="L43" s="128"/>
    </row>
    <row r="44" spans="1:13" x14ac:dyDescent="0.2">
      <c r="A44" s="57">
        <v>15</v>
      </c>
      <c r="B44" s="61"/>
      <c r="C44" s="127" t="s">
        <v>180</v>
      </c>
      <c r="D44" s="61"/>
      <c r="E44" s="74">
        <f>+E45+E46</f>
        <v>317.40000000000003</v>
      </c>
      <c r="F44" s="130">
        <f>+F45+F46</f>
        <v>0</v>
      </c>
      <c r="G44" s="12"/>
      <c r="H44" s="12"/>
      <c r="I44" s="12"/>
      <c r="J44" s="12"/>
      <c r="K44" s="12"/>
      <c r="L44" s="128"/>
    </row>
    <row r="45" spans="1:13" ht="29.25" customHeight="1" x14ac:dyDescent="0.2">
      <c r="A45" s="129" t="s">
        <v>176</v>
      </c>
      <c r="B45" s="61"/>
      <c r="C45" s="136" t="s">
        <v>151</v>
      </c>
      <c r="D45" s="61" t="s">
        <v>92</v>
      </c>
      <c r="E45" s="74">
        <f>367-12.9-46.7</f>
        <v>307.40000000000003</v>
      </c>
      <c r="F45" s="130"/>
      <c r="G45" s="12"/>
      <c r="H45" s="12"/>
      <c r="I45" s="23"/>
      <c r="J45" s="12"/>
      <c r="K45" s="12"/>
      <c r="L45" s="128"/>
      <c r="M45" s="2" t="s">
        <v>355</v>
      </c>
    </row>
    <row r="46" spans="1:13" ht="38.25" x14ac:dyDescent="0.2">
      <c r="A46" s="129" t="s">
        <v>828</v>
      </c>
      <c r="B46" s="61"/>
      <c r="C46" s="136" t="s">
        <v>189</v>
      </c>
      <c r="D46" s="61" t="s">
        <v>143</v>
      </c>
      <c r="E46" s="74">
        <v>10</v>
      </c>
      <c r="F46" s="130"/>
      <c r="G46" s="12"/>
      <c r="H46" s="12"/>
      <c r="I46" s="12"/>
      <c r="J46" s="12"/>
      <c r="K46" s="12"/>
      <c r="L46" s="128"/>
    </row>
    <row r="47" spans="1:13" x14ac:dyDescent="0.2">
      <c r="A47" s="129" t="s">
        <v>829</v>
      </c>
      <c r="B47" s="56" t="s">
        <v>32</v>
      </c>
      <c r="C47" s="83" t="s">
        <v>33</v>
      </c>
      <c r="D47" s="61"/>
      <c r="E47" s="131">
        <f>+E48</f>
        <v>76</v>
      </c>
      <c r="F47" s="131">
        <f>+F48</f>
        <v>0</v>
      </c>
      <c r="G47" s="12"/>
      <c r="H47" s="12"/>
      <c r="I47" s="12"/>
      <c r="J47" s="12"/>
      <c r="K47" s="12"/>
      <c r="L47" s="128"/>
    </row>
    <row r="48" spans="1:13" x14ac:dyDescent="0.2">
      <c r="A48" s="129" t="s">
        <v>830</v>
      </c>
      <c r="B48" s="61"/>
      <c r="C48" s="127" t="s">
        <v>180</v>
      </c>
      <c r="D48" s="61"/>
      <c r="E48" s="74">
        <f>+E49</f>
        <v>76</v>
      </c>
      <c r="F48" s="74">
        <f>+F49</f>
        <v>0</v>
      </c>
      <c r="G48" s="12"/>
      <c r="H48" s="12"/>
      <c r="I48" s="12"/>
      <c r="J48" s="12"/>
      <c r="K48" s="12"/>
      <c r="L48" s="128"/>
    </row>
    <row r="49" spans="1:12" ht="38.25" x14ac:dyDescent="0.2">
      <c r="A49" s="129" t="s">
        <v>831</v>
      </c>
      <c r="B49" s="61"/>
      <c r="C49" s="136" t="s">
        <v>462</v>
      </c>
      <c r="D49" s="65" t="s">
        <v>144</v>
      </c>
      <c r="E49" s="74">
        <v>76</v>
      </c>
      <c r="F49" s="130"/>
      <c r="G49" s="12"/>
      <c r="H49" s="12"/>
      <c r="I49" s="12"/>
      <c r="J49" s="12"/>
      <c r="K49" s="12"/>
      <c r="L49" s="128"/>
    </row>
    <row r="50" spans="1:12" ht="15.75" customHeight="1" x14ac:dyDescent="0.2">
      <c r="A50" s="57">
        <v>18</v>
      </c>
      <c r="B50" s="61"/>
      <c r="C50" s="137" t="s">
        <v>20</v>
      </c>
      <c r="D50" s="61"/>
      <c r="E50" s="84">
        <f>+E10+E19+E24+E35+E38+E43+E47</f>
        <v>3274</v>
      </c>
      <c r="F50" s="84">
        <f>+F10+F19+F24+F35+F38+F43+F47</f>
        <v>217.8</v>
      </c>
      <c r="G50" s="12"/>
      <c r="H50" s="12"/>
      <c r="I50" s="12"/>
      <c r="J50" s="12"/>
      <c r="K50" s="12"/>
      <c r="L50" s="12"/>
    </row>
    <row r="51" spans="1:12" x14ac:dyDescent="0.2">
      <c r="C51" s="9" t="s">
        <v>108</v>
      </c>
      <c r="E51" s="119"/>
      <c r="F51" s="119"/>
    </row>
    <row r="52" spans="1:12" x14ac:dyDescent="0.2">
      <c r="D52" s="47"/>
      <c r="E52" s="119"/>
      <c r="F52" s="119"/>
    </row>
    <row r="53" spans="1:12" x14ac:dyDescent="0.2">
      <c r="C53" s="112"/>
      <c r="E53" s="138"/>
      <c r="F53" s="138"/>
    </row>
    <row r="54" spans="1:12" x14ac:dyDescent="0.2">
      <c r="C54" s="43"/>
      <c r="E54" s="119"/>
      <c r="F54" s="119"/>
    </row>
    <row r="55" spans="1:12" x14ac:dyDescent="0.2">
      <c r="C55" s="43"/>
      <c r="E55" s="119"/>
      <c r="F55" s="119"/>
    </row>
    <row r="56" spans="1:12" x14ac:dyDescent="0.2">
      <c r="F56" s="119"/>
    </row>
    <row r="57" spans="1:12" x14ac:dyDescent="0.2">
      <c r="C57" s="46"/>
      <c r="E57" s="119"/>
      <c r="F57" s="119"/>
    </row>
    <row r="58" spans="1:12" x14ac:dyDescent="0.2">
      <c r="C58" s="46"/>
    </row>
    <row r="59" spans="1:12" x14ac:dyDescent="0.2">
      <c r="C59" s="46"/>
    </row>
    <row r="60" spans="1:12" x14ac:dyDescent="0.2">
      <c r="C60" s="46"/>
      <c r="E60" s="119"/>
      <c r="F60" s="119"/>
    </row>
    <row r="61" spans="1:12" x14ac:dyDescent="0.2">
      <c r="C61" s="46"/>
      <c r="E61" s="119"/>
      <c r="F61" s="119"/>
    </row>
    <row r="62" spans="1:12" x14ac:dyDescent="0.2">
      <c r="C62" s="139"/>
      <c r="D62" s="9"/>
      <c r="E62" s="119"/>
      <c r="F62" s="119"/>
    </row>
    <row r="63" spans="1:12" x14ac:dyDescent="0.2">
      <c r="C63" s="140"/>
      <c r="D63" s="119"/>
    </row>
    <row r="64" spans="1:12" x14ac:dyDescent="0.2">
      <c r="C64" s="46"/>
      <c r="D64" s="119"/>
    </row>
    <row r="65" spans="3:4" x14ac:dyDescent="0.2">
      <c r="C65" s="46"/>
      <c r="D65" s="141"/>
    </row>
    <row r="66" spans="3:4" x14ac:dyDescent="0.2">
      <c r="C66" s="46"/>
    </row>
    <row r="67" spans="3:4" x14ac:dyDescent="0.2">
      <c r="C67" s="46"/>
    </row>
    <row r="68" spans="3:4" x14ac:dyDescent="0.2">
      <c r="D68" s="9"/>
    </row>
    <row r="70" spans="3:4" x14ac:dyDescent="0.2">
      <c r="C70" s="46"/>
    </row>
  </sheetData>
  <mergeCells count="4">
    <mergeCell ref="C1:F1"/>
    <mergeCell ref="E3:F3"/>
    <mergeCell ref="A5:F5"/>
    <mergeCell ref="C2:F2"/>
  </mergeCells>
  <phoneticPr fontId="5" type="noConversion"/>
  <pageMargins left="0.51181102362204722" right="0" top="0.35433070866141736" bottom="0.19685039370078741" header="0.31496062992125984" footer="0.31496062992125984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09"/>
  <sheetViews>
    <sheetView zoomScaleNormal="100" workbookViewId="0">
      <selection activeCell="E105" sqref="E105:F106"/>
    </sheetView>
  </sheetViews>
  <sheetFormatPr defaultColWidth="9.140625" defaultRowHeight="12.75" x14ac:dyDescent="0.2"/>
  <cols>
    <col min="1" max="1" width="3.85546875" style="9" customWidth="1"/>
    <col min="2" max="2" width="7.28515625" style="48" customWidth="1"/>
    <col min="3" max="3" width="55.140625" style="112" customWidth="1"/>
    <col min="4" max="4" width="10.28515625" style="143" customWidth="1"/>
    <col min="5" max="6" width="7.7109375" style="46" customWidth="1"/>
    <col min="7" max="9" width="9.140625" style="2" customWidth="1"/>
    <col min="10" max="16384" width="9.140625" style="2"/>
  </cols>
  <sheetData>
    <row r="1" spans="1:8" ht="15.75" x14ac:dyDescent="0.25">
      <c r="C1" s="208" t="s">
        <v>279</v>
      </c>
      <c r="D1" s="208"/>
      <c r="E1" s="208"/>
      <c r="F1" s="208"/>
    </row>
    <row r="2" spans="1:8" ht="15.75" x14ac:dyDescent="0.25">
      <c r="C2" s="208" t="s">
        <v>839</v>
      </c>
      <c r="D2" s="208"/>
      <c r="E2" s="208"/>
      <c r="F2" s="208"/>
    </row>
    <row r="3" spans="1:8" ht="15.75" x14ac:dyDescent="0.25">
      <c r="C3" s="142"/>
      <c r="D3" s="142"/>
      <c r="E3" s="209" t="s">
        <v>209</v>
      </c>
      <c r="F3" s="209"/>
    </row>
    <row r="4" spans="1:8" ht="12" customHeight="1" x14ac:dyDescent="0.2">
      <c r="C4" s="47"/>
      <c r="D4" s="47"/>
      <c r="E4" s="47"/>
      <c r="F4" s="47"/>
    </row>
    <row r="5" spans="1:8" ht="25.5" customHeight="1" x14ac:dyDescent="0.2">
      <c r="A5" s="210" t="s">
        <v>420</v>
      </c>
      <c r="B5" s="210"/>
      <c r="C5" s="210"/>
      <c r="D5" s="210"/>
      <c r="E5" s="210"/>
      <c r="F5" s="210"/>
    </row>
    <row r="6" spans="1:8" x14ac:dyDescent="0.2">
      <c r="A6" s="51"/>
      <c r="B6" s="51"/>
      <c r="C6" s="51"/>
      <c r="D6" s="51"/>
      <c r="E6" s="51"/>
      <c r="F6" s="51"/>
    </row>
    <row r="7" spans="1:8" x14ac:dyDescent="0.2">
      <c r="F7" s="52" t="s">
        <v>129</v>
      </c>
    </row>
    <row r="8" spans="1:8" ht="51.75" customHeight="1" x14ac:dyDescent="0.2">
      <c r="A8" s="53" t="s">
        <v>118</v>
      </c>
      <c r="B8" s="54" t="s">
        <v>337</v>
      </c>
      <c r="C8" s="53" t="s">
        <v>16</v>
      </c>
      <c r="D8" s="54" t="s">
        <v>55</v>
      </c>
      <c r="E8" s="53" t="s">
        <v>17</v>
      </c>
      <c r="F8" s="53" t="s">
        <v>29</v>
      </c>
    </row>
    <row r="9" spans="1:8" s="126" customFormat="1" ht="12" customHeight="1" x14ac:dyDescent="0.2">
      <c r="A9" s="55">
        <v>1</v>
      </c>
      <c r="B9" s="56" t="s">
        <v>18</v>
      </c>
      <c r="C9" s="53">
        <v>3</v>
      </c>
      <c r="D9" s="54">
        <v>4</v>
      </c>
      <c r="E9" s="53">
        <v>5</v>
      </c>
      <c r="F9" s="53">
        <v>6</v>
      </c>
    </row>
    <row r="10" spans="1:8" s="126" customFormat="1" ht="20.100000000000001" customHeight="1" x14ac:dyDescent="0.2">
      <c r="A10" s="57">
        <v>1</v>
      </c>
      <c r="B10" s="54" t="s">
        <v>65</v>
      </c>
      <c r="C10" s="58" t="s">
        <v>66</v>
      </c>
      <c r="D10" s="54"/>
      <c r="E10" s="84">
        <f>SUM(+E11+E13+E15)</f>
        <v>506.59999999999997</v>
      </c>
      <c r="F10" s="84">
        <f>SUM(+F11+F13+F15)</f>
        <v>372.40000000000003</v>
      </c>
      <c r="G10" s="144"/>
      <c r="H10" s="145"/>
    </row>
    <row r="11" spans="1:8" s="126" customFormat="1" ht="24.75" customHeight="1" x14ac:dyDescent="0.25">
      <c r="A11" s="57">
        <v>2</v>
      </c>
      <c r="B11" s="65" t="s">
        <v>210</v>
      </c>
      <c r="C11" s="91" t="s">
        <v>407</v>
      </c>
      <c r="D11" s="65" t="s">
        <v>208</v>
      </c>
      <c r="E11" s="146">
        <f>+E12</f>
        <v>416.4</v>
      </c>
      <c r="F11" s="146">
        <f>+F12</f>
        <v>345.6</v>
      </c>
      <c r="G11" s="144"/>
      <c r="H11" s="147"/>
    </row>
    <row r="12" spans="1:8" s="126" customFormat="1" ht="12.6" customHeight="1" x14ac:dyDescent="0.2">
      <c r="A12" s="57">
        <v>3</v>
      </c>
      <c r="B12" s="65"/>
      <c r="C12" s="80" t="s">
        <v>204</v>
      </c>
      <c r="D12" s="54"/>
      <c r="E12" s="148">
        <v>416.4</v>
      </c>
      <c r="F12" s="148">
        <f>348.3-2.7</f>
        <v>345.6</v>
      </c>
      <c r="G12" s="144"/>
      <c r="H12" s="144"/>
    </row>
    <row r="13" spans="1:8" s="126" customFormat="1" ht="25.5" x14ac:dyDescent="0.2">
      <c r="A13" s="57">
        <v>4</v>
      </c>
      <c r="B13" s="65" t="s">
        <v>211</v>
      </c>
      <c r="C13" s="91" t="s">
        <v>556</v>
      </c>
      <c r="D13" s="65" t="s">
        <v>208</v>
      </c>
      <c r="E13" s="146">
        <f>+E14</f>
        <v>88.4</v>
      </c>
      <c r="F13" s="146">
        <f>+F14</f>
        <v>25</v>
      </c>
      <c r="G13" s="144"/>
      <c r="H13" s="144"/>
    </row>
    <row r="14" spans="1:8" s="126" customFormat="1" ht="12.6" customHeight="1" x14ac:dyDescent="0.2">
      <c r="A14" s="57">
        <v>5</v>
      </c>
      <c r="B14" s="65"/>
      <c r="C14" s="80" t="s">
        <v>204</v>
      </c>
      <c r="D14" s="54"/>
      <c r="E14" s="148">
        <v>88.4</v>
      </c>
      <c r="F14" s="148">
        <v>25</v>
      </c>
      <c r="G14" s="144"/>
      <c r="H14" s="144"/>
    </row>
    <row r="15" spans="1:8" s="126" customFormat="1" ht="12.6" customHeight="1" x14ac:dyDescent="0.2">
      <c r="A15" s="57">
        <v>6</v>
      </c>
      <c r="B15" s="65" t="s">
        <v>212</v>
      </c>
      <c r="C15" s="91" t="s">
        <v>213</v>
      </c>
      <c r="D15" s="65" t="s">
        <v>69</v>
      </c>
      <c r="E15" s="146">
        <f>+E16</f>
        <v>1.8</v>
      </c>
      <c r="F15" s="146">
        <f>+F16</f>
        <v>1.8</v>
      </c>
      <c r="G15" s="144"/>
      <c r="H15" s="144"/>
    </row>
    <row r="16" spans="1:8" s="126" customFormat="1" ht="12.6" customHeight="1" x14ac:dyDescent="0.2">
      <c r="A16" s="57">
        <v>7</v>
      </c>
      <c r="B16" s="54"/>
      <c r="C16" s="149" t="s">
        <v>3</v>
      </c>
      <c r="D16" s="54"/>
      <c r="E16" s="148">
        <v>1.8</v>
      </c>
      <c r="F16" s="148">
        <v>1.8</v>
      </c>
      <c r="G16" s="144"/>
      <c r="H16" s="144"/>
    </row>
    <row r="17" spans="1:11" ht="18" customHeight="1" x14ac:dyDescent="0.2">
      <c r="A17" s="57">
        <v>8</v>
      </c>
      <c r="B17" s="56" t="s">
        <v>21</v>
      </c>
      <c r="C17" s="83" t="s">
        <v>22</v>
      </c>
      <c r="D17" s="61"/>
      <c r="E17" s="84">
        <f>SUM(E18+E24+E26+E28+E41+E43+E45)</f>
        <v>3828.7000000000003</v>
      </c>
      <c r="F17" s="84">
        <f>SUM(F18+F24+F26+F28+F41+F43+F45)</f>
        <v>1902.6000000000004</v>
      </c>
      <c r="G17" s="12"/>
      <c r="H17" s="12"/>
    </row>
    <row r="18" spans="1:11" ht="24.95" customHeight="1" x14ac:dyDescent="0.2">
      <c r="A18" s="57">
        <v>9</v>
      </c>
      <c r="B18" s="61" t="s">
        <v>214</v>
      </c>
      <c r="C18" s="91" t="s">
        <v>215</v>
      </c>
      <c r="D18" s="82" t="s">
        <v>24</v>
      </c>
      <c r="E18" s="150">
        <f>SUM(E19:E23)</f>
        <v>1368.1000000000001</v>
      </c>
      <c r="F18" s="150">
        <f>SUM(F19:F23)</f>
        <v>759.8</v>
      </c>
      <c r="G18" s="12"/>
      <c r="H18" s="12"/>
      <c r="K18" s="13"/>
    </row>
    <row r="19" spans="1:11" ht="12.6" customHeight="1" x14ac:dyDescent="0.2">
      <c r="A19" s="57">
        <v>10</v>
      </c>
      <c r="B19" s="61"/>
      <c r="C19" s="73" t="s">
        <v>1</v>
      </c>
      <c r="D19" s="82"/>
      <c r="E19" s="63">
        <f>212+215.1</f>
        <v>427.1</v>
      </c>
      <c r="F19" s="63">
        <f>208.7+208.3</f>
        <v>417</v>
      </c>
      <c r="G19" s="12"/>
      <c r="H19" s="12"/>
    </row>
    <row r="20" spans="1:11" ht="12.6" customHeight="1" x14ac:dyDescent="0.2">
      <c r="A20" s="57">
        <v>11</v>
      </c>
      <c r="B20" s="61"/>
      <c r="C20" s="78" t="s">
        <v>2</v>
      </c>
      <c r="D20" s="82"/>
      <c r="E20" s="63">
        <f>80+92.6</f>
        <v>172.6</v>
      </c>
      <c r="F20" s="63">
        <f>78.8+50</f>
        <v>128.80000000000001</v>
      </c>
      <c r="G20" s="12"/>
      <c r="H20" s="12"/>
    </row>
    <row r="21" spans="1:11" ht="12.6" customHeight="1" x14ac:dyDescent="0.2">
      <c r="A21" s="57">
        <v>12</v>
      </c>
      <c r="B21" s="61"/>
      <c r="C21" s="78" t="s">
        <v>15</v>
      </c>
      <c r="D21" s="82"/>
      <c r="E21" s="63">
        <f>51+64.7</f>
        <v>115.7</v>
      </c>
      <c r="F21" s="63">
        <f>31+63</f>
        <v>94</v>
      </c>
      <c r="G21" s="12"/>
      <c r="H21" s="12"/>
    </row>
    <row r="22" spans="1:11" ht="12.6" customHeight="1" x14ac:dyDescent="0.2">
      <c r="A22" s="57">
        <v>13</v>
      </c>
      <c r="B22" s="61"/>
      <c r="C22" s="78" t="s">
        <v>19</v>
      </c>
      <c r="D22" s="82"/>
      <c r="E22" s="63">
        <f>60+82</f>
        <v>142</v>
      </c>
      <c r="F22" s="63">
        <f>59.1-1.7+62.6</f>
        <v>120</v>
      </c>
      <c r="G22" s="12"/>
      <c r="H22" s="12"/>
    </row>
    <row r="23" spans="1:11" ht="12.6" customHeight="1" x14ac:dyDescent="0.2">
      <c r="A23" s="67">
        <v>14</v>
      </c>
      <c r="B23" s="68"/>
      <c r="C23" s="149" t="s">
        <v>3</v>
      </c>
      <c r="D23" s="82"/>
      <c r="E23" s="63">
        <f>247+71.9+191.8</f>
        <v>510.7</v>
      </c>
      <c r="F23" s="63"/>
      <c r="G23" s="12"/>
      <c r="H23" s="12"/>
      <c r="K23" s="13"/>
    </row>
    <row r="24" spans="1:11" ht="24.95" customHeight="1" x14ac:dyDescent="0.2">
      <c r="A24" s="57">
        <v>15</v>
      </c>
      <c r="B24" s="61" t="s">
        <v>216</v>
      </c>
      <c r="C24" s="91" t="s">
        <v>217</v>
      </c>
      <c r="D24" s="61" t="s">
        <v>23</v>
      </c>
      <c r="E24" s="150">
        <f>SUM(E25:E25)</f>
        <v>872.1</v>
      </c>
      <c r="F24" s="150">
        <f>SUM(F25:F25)</f>
        <v>839</v>
      </c>
      <c r="G24" s="12"/>
      <c r="H24" s="12"/>
    </row>
    <row r="25" spans="1:11" ht="12.6" customHeight="1" x14ac:dyDescent="0.2">
      <c r="A25" s="57">
        <v>16</v>
      </c>
      <c r="B25" s="61"/>
      <c r="C25" s="73" t="s">
        <v>147</v>
      </c>
      <c r="D25" s="61"/>
      <c r="E25" s="63">
        <v>872.1</v>
      </c>
      <c r="F25" s="63">
        <v>839</v>
      </c>
      <c r="G25" s="12"/>
      <c r="H25" s="12"/>
    </row>
    <row r="26" spans="1:11" ht="25.5" x14ac:dyDescent="0.2">
      <c r="A26" s="57">
        <v>17</v>
      </c>
      <c r="B26" s="61" t="s">
        <v>218</v>
      </c>
      <c r="C26" s="91" t="s">
        <v>414</v>
      </c>
      <c r="D26" s="61" t="s">
        <v>23</v>
      </c>
      <c r="E26" s="150">
        <f>SUM(E27:E27)</f>
        <v>136</v>
      </c>
      <c r="F26" s="150">
        <f>SUM(F27:F27)</f>
        <v>130.9</v>
      </c>
      <c r="G26" s="12"/>
      <c r="H26" s="12"/>
    </row>
    <row r="27" spans="1:11" x14ac:dyDescent="0.2">
      <c r="A27" s="57">
        <v>18</v>
      </c>
      <c r="B27" s="61"/>
      <c r="C27" s="73" t="s">
        <v>147</v>
      </c>
      <c r="D27" s="61"/>
      <c r="E27" s="63">
        <v>136</v>
      </c>
      <c r="F27" s="63">
        <f>134.1-3.2</f>
        <v>130.9</v>
      </c>
      <c r="G27" s="12"/>
      <c r="H27" s="12"/>
    </row>
    <row r="28" spans="1:11" ht="45.6" customHeight="1" x14ac:dyDescent="0.2">
      <c r="A28" s="57">
        <v>19</v>
      </c>
      <c r="B28" s="61" t="s">
        <v>221</v>
      </c>
      <c r="C28" s="91" t="s">
        <v>219</v>
      </c>
      <c r="D28" s="65" t="s">
        <v>220</v>
      </c>
      <c r="E28" s="150">
        <f>SUM(E29:E40)</f>
        <v>335.19999999999993</v>
      </c>
      <c r="F28" s="150">
        <f>SUM(F29:F40)</f>
        <v>9.3999999999999986</v>
      </c>
      <c r="G28" s="12"/>
      <c r="H28" s="12"/>
    </row>
    <row r="29" spans="1:11" ht="12.6" customHeight="1" x14ac:dyDescent="0.2">
      <c r="A29" s="57">
        <v>20</v>
      </c>
      <c r="B29" s="61"/>
      <c r="C29" s="149" t="s">
        <v>3</v>
      </c>
      <c r="D29" s="65"/>
      <c r="E29" s="63">
        <v>5</v>
      </c>
      <c r="F29" s="63"/>
      <c r="G29" s="12"/>
      <c r="H29" s="12"/>
    </row>
    <row r="30" spans="1:11" ht="12.6" customHeight="1" x14ac:dyDescent="0.2">
      <c r="A30" s="57">
        <v>21</v>
      </c>
      <c r="B30" s="61"/>
      <c r="C30" s="64" t="s">
        <v>8</v>
      </c>
      <c r="D30" s="61"/>
      <c r="E30" s="63">
        <f>202.7-10.3-19.2-0.1</f>
        <v>173.1</v>
      </c>
      <c r="F30" s="63">
        <f>5.8-0.4-0.5</f>
        <v>4.8999999999999995</v>
      </c>
      <c r="G30" s="12"/>
      <c r="H30" s="12"/>
    </row>
    <row r="31" spans="1:11" ht="12.6" customHeight="1" x14ac:dyDescent="0.2">
      <c r="A31" s="57">
        <v>22</v>
      </c>
      <c r="B31" s="61"/>
      <c r="C31" s="64" t="s">
        <v>4</v>
      </c>
      <c r="D31" s="61"/>
      <c r="E31" s="63">
        <f>40.8-6.2</f>
        <v>34.599999999999994</v>
      </c>
      <c r="F31" s="63">
        <f>1.2-0.2</f>
        <v>1</v>
      </c>
      <c r="G31" s="12"/>
      <c r="H31" s="12"/>
    </row>
    <row r="32" spans="1:11" ht="12.6" customHeight="1" x14ac:dyDescent="0.2">
      <c r="A32" s="57">
        <v>23</v>
      </c>
      <c r="B32" s="61"/>
      <c r="C32" s="64" t="s">
        <v>5</v>
      </c>
      <c r="D32" s="61"/>
      <c r="E32" s="63">
        <f>13.7-4</f>
        <v>9.6999999999999993</v>
      </c>
      <c r="F32" s="63">
        <f>0.4-0.1</f>
        <v>0.30000000000000004</v>
      </c>
      <c r="G32" s="12"/>
      <c r="H32" s="12"/>
    </row>
    <row r="33" spans="1:8" ht="12.6" customHeight="1" x14ac:dyDescent="0.2">
      <c r="A33" s="57">
        <v>24</v>
      </c>
      <c r="B33" s="61"/>
      <c r="C33" s="64" t="s">
        <v>7</v>
      </c>
      <c r="D33" s="61"/>
      <c r="E33" s="63">
        <f>21.4-4.1-1</f>
        <v>16.299999999999997</v>
      </c>
      <c r="F33" s="63">
        <f>0.6-0.1</f>
        <v>0.5</v>
      </c>
      <c r="G33" s="12"/>
      <c r="H33" s="12"/>
    </row>
    <row r="34" spans="1:8" ht="12.6" customHeight="1" x14ac:dyDescent="0.2">
      <c r="A34" s="57">
        <v>25</v>
      </c>
      <c r="B34" s="61"/>
      <c r="C34" s="64" t="s">
        <v>6</v>
      </c>
      <c r="D34" s="61"/>
      <c r="E34" s="63">
        <f>18.1-1</f>
        <v>17.100000000000001</v>
      </c>
      <c r="F34" s="63">
        <v>0.5</v>
      </c>
      <c r="G34" s="12"/>
      <c r="H34" s="12"/>
    </row>
    <row r="35" spans="1:8" ht="12.6" customHeight="1" x14ac:dyDescent="0.2">
      <c r="A35" s="57">
        <v>26</v>
      </c>
      <c r="B35" s="61"/>
      <c r="C35" s="64" t="s">
        <v>9</v>
      </c>
      <c r="D35" s="61"/>
      <c r="E35" s="63">
        <f>27.8-6.2+2</f>
        <v>23.6</v>
      </c>
      <c r="F35" s="63">
        <f>0.8-0.2</f>
        <v>0.60000000000000009</v>
      </c>
      <c r="G35" s="12"/>
      <c r="H35" s="12"/>
    </row>
    <row r="36" spans="1:8" ht="12.6" customHeight="1" x14ac:dyDescent="0.2">
      <c r="A36" s="57">
        <v>27</v>
      </c>
      <c r="B36" s="61"/>
      <c r="C36" s="73" t="s">
        <v>10</v>
      </c>
      <c r="D36" s="61"/>
      <c r="E36" s="63">
        <f>13.3-3.6-1</f>
        <v>8.7000000000000011</v>
      </c>
      <c r="F36" s="63">
        <f>0.4-0.1</f>
        <v>0.30000000000000004</v>
      </c>
      <c r="G36" s="12"/>
      <c r="H36" s="12"/>
    </row>
    <row r="37" spans="1:8" ht="12.6" customHeight="1" x14ac:dyDescent="0.2">
      <c r="A37" s="57">
        <v>28</v>
      </c>
      <c r="B37" s="61"/>
      <c r="C37" s="64" t="s">
        <v>12</v>
      </c>
      <c r="D37" s="61"/>
      <c r="E37" s="63">
        <v>8.4</v>
      </c>
      <c r="F37" s="63">
        <v>0.2</v>
      </c>
      <c r="G37" s="12"/>
      <c r="H37" s="12"/>
    </row>
    <row r="38" spans="1:8" ht="12.6" customHeight="1" x14ac:dyDescent="0.2">
      <c r="A38" s="57">
        <v>29</v>
      </c>
      <c r="B38" s="61"/>
      <c r="C38" s="64" t="s">
        <v>11</v>
      </c>
      <c r="D38" s="61"/>
      <c r="E38" s="63">
        <f>17.4-4.6-1</f>
        <v>11.799999999999999</v>
      </c>
      <c r="F38" s="63">
        <f>0.5-0.1</f>
        <v>0.4</v>
      </c>
      <c r="G38" s="12"/>
      <c r="H38" s="12"/>
    </row>
    <row r="39" spans="1:8" ht="12.6" customHeight="1" x14ac:dyDescent="0.2">
      <c r="A39" s="57">
        <v>30</v>
      </c>
      <c r="B39" s="61"/>
      <c r="C39" s="64" t="s">
        <v>13</v>
      </c>
      <c r="D39" s="61"/>
      <c r="E39" s="63">
        <f>10.1-2.4</f>
        <v>7.6999999999999993</v>
      </c>
      <c r="F39" s="63">
        <f>0.3-0.1</f>
        <v>0.19999999999999998</v>
      </c>
      <c r="G39" s="12"/>
      <c r="H39" s="12"/>
    </row>
    <row r="40" spans="1:8" ht="12.6" customHeight="1" x14ac:dyDescent="0.2">
      <c r="A40" s="57">
        <v>31</v>
      </c>
      <c r="B40" s="61"/>
      <c r="C40" s="64" t="s">
        <v>14</v>
      </c>
      <c r="D40" s="61"/>
      <c r="E40" s="63">
        <f>19.8-1.6+1</f>
        <v>19.2</v>
      </c>
      <c r="F40" s="63">
        <f>0.6-0.1</f>
        <v>0.5</v>
      </c>
      <c r="G40" s="12"/>
      <c r="H40" s="12"/>
    </row>
    <row r="41" spans="1:8" ht="29.25" customHeight="1" x14ac:dyDescent="0.2">
      <c r="A41" s="57">
        <v>32</v>
      </c>
      <c r="B41" s="61" t="s">
        <v>223</v>
      </c>
      <c r="C41" s="151" t="s">
        <v>222</v>
      </c>
      <c r="D41" s="61" t="s">
        <v>31</v>
      </c>
      <c r="E41" s="150">
        <f>+E42</f>
        <v>924.2</v>
      </c>
      <c r="F41" s="150">
        <f>+F42</f>
        <v>15.200000000000001</v>
      </c>
      <c r="G41" s="12"/>
      <c r="H41" s="12"/>
    </row>
    <row r="42" spans="1:8" ht="12.6" customHeight="1" x14ac:dyDescent="0.2">
      <c r="A42" s="57">
        <v>33</v>
      </c>
      <c r="B42" s="61"/>
      <c r="C42" s="149" t="s">
        <v>3</v>
      </c>
      <c r="D42" s="61"/>
      <c r="E42" s="63">
        <f>947.6-23.4</f>
        <v>924.2</v>
      </c>
      <c r="F42" s="63">
        <f>16.8-1.6</f>
        <v>15.200000000000001</v>
      </c>
      <c r="G42" s="12"/>
      <c r="H42" s="12"/>
    </row>
    <row r="43" spans="1:8" ht="24.95" customHeight="1" x14ac:dyDescent="0.2">
      <c r="A43" s="57">
        <v>34</v>
      </c>
      <c r="B43" s="61" t="s">
        <v>410</v>
      </c>
      <c r="C43" s="151" t="s">
        <v>224</v>
      </c>
      <c r="D43" s="61" t="s">
        <v>72</v>
      </c>
      <c r="E43" s="150">
        <f>+E44</f>
        <v>13</v>
      </c>
      <c r="F43" s="150">
        <f>+F44</f>
        <v>0.4</v>
      </c>
      <c r="G43" s="12"/>
      <c r="H43" s="12"/>
    </row>
    <row r="44" spans="1:8" ht="12.6" customHeight="1" x14ac:dyDescent="0.2">
      <c r="A44" s="57">
        <v>35</v>
      </c>
      <c r="B44" s="61"/>
      <c r="C44" s="149" t="s">
        <v>3</v>
      </c>
      <c r="D44" s="61"/>
      <c r="E44" s="63">
        <f>11.1+2-0.1</f>
        <v>13</v>
      </c>
      <c r="F44" s="63">
        <v>0.4</v>
      </c>
      <c r="G44" s="12"/>
      <c r="H44" s="12"/>
    </row>
    <row r="45" spans="1:8" ht="12.6" customHeight="1" x14ac:dyDescent="0.2">
      <c r="A45" s="57">
        <v>36</v>
      </c>
      <c r="B45" s="61" t="s">
        <v>558</v>
      </c>
      <c r="C45" s="151" t="s">
        <v>549</v>
      </c>
      <c r="D45" s="61" t="s">
        <v>39</v>
      </c>
      <c r="E45" s="150">
        <f>SUM(E46:E57)</f>
        <v>180.09999999999997</v>
      </c>
      <c r="F45" s="150">
        <f>SUM(F46:F57)</f>
        <v>147.9</v>
      </c>
      <c r="G45" s="12"/>
      <c r="H45" s="12"/>
    </row>
    <row r="46" spans="1:8" ht="12.6" customHeight="1" x14ac:dyDescent="0.2">
      <c r="A46" s="57">
        <v>37</v>
      </c>
      <c r="B46" s="61"/>
      <c r="C46" s="149" t="s">
        <v>3</v>
      </c>
      <c r="D46" s="61"/>
      <c r="E46" s="150">
        <f>60-10</f>
        <v>50</v>
      </c>
      <c r="F46" s="150">
        <f>21.6+0.5</f>
        <v>22.1</v>
      </c>
      <c r="G46" s="12"/>
      <c r="H46" s="12"/>
    </row>
    <row r="47" spans="1:8" ht="12.6" customHeight="1" x14ac:dyDescent="0.2">
      <c r="A47" s="57">
        <v>38</v>
      </c>
      <c r="B47" s="61"/>
      <c r="C47" s="64" t="s">
        <v>8</v>
      </c>
      <c r="D47" s="61"/>
      <c r="E47" s="63">
        <v>34.6</v>
      </c>
      <c r="F47" s="63">
        <v>33.299999999999997</v>
      </c>
      <c r="G47" s="12"/>
      <c r="H47" s="12"/>
    </row>
    <row r="48" spans="1:8" ht="12.6" customHeight="1" x14ac:dyDescent="0.2">
      <c r="A48" s="57">
        <v>39</v>
      </c>
      <c r="B48" s="61"/>
      <c r="C48" s="64" t="s">
        <v>4</v>
      </c>
      <c r="D48" s="61"/>
      <c r="E48" s="63">
        <v>11.5</v>
      </c>
      <c r="F48" s="63">
        <v>11.1</v>
      </c>
      <c r="G48" s="12"/>
      <c r="H48" s="12"/>
    </row>
    <row r="49" spans="1:8" ht="12.6" customHeight="1" x14ac:dyDescent="0.2">
      <c r="A49" s="57">
        <v>40</v>
      </c>
      <c r="B49" s="61"/>
      <c r="C49" s="64" t="s">
        <v>5</v>
      </c>
      <c r="D49" s="61"/>
      <c r="E49" s="63">
        <v>11.5</v>
      </c>
      <c r="F49" s="63">
        <v>11.1</v>
      </c>
      <c r="G49" s="12"/>
      <c r="H49" s="12"/>
    </row>
    <row r="50" spans="1:8" ht="12.6" customHeight="1" x14ac:dyDescent="0.2">
      <c r="A50" s="57">
        <v>41</v>
      </c>
      <c r="B50" s="61"/>
      <c r="C50" s="64" t="s">
        <v>7</v>
      </c>
      <c r="D50" s="61"/>
      <c r="E50" s="63">
        <v>11.5</v>
      </c>
      <c r="F50" s="63">
        <v>11.1</v>
      </c>
      <c r="G50" s="12"/>
      <c r="H50" s="12"/>
    </row>
    <row r="51" spans="1:8" ht="12.6" customHeight="1" x14ac:dyDescent="0.2">
      <c r="A51" s="57">
        <v>42</v>
      </c>
      <c r="B51" s="61"/>
      <c r="C51" s="64" t="s">
        <v>6</v>
      </c>
      <c r="D51" s="61"/>
      <c r="E51" s="63">
        <v>7.6</v>
      </c>
      <c r="F51" s="63">
        <v>7.4</v>
      </c>
      <c r="G51" s="12"/>
      <c r="H51" s="12"/>
    </row>
    <row r="52" spans="1:8" ht="12.6" customHeight="1" x14ac:dyDescent="0.2">
      <c r="A52" s="57">
        <v>43</v>
      </c>
      <c r="B52" s="61"/>
      <c r="C52" s="64" t="s">
        <v>9</v>
      </c>
      <c r="D52" s="61"/>
      <c r="E52" s="63">
        <v>11.5</v>
      </c>
      <c r="F52" s="63">
        <v>11.1</v>
      </c>
      <c r="G52" s="12"/>
      <c r="H52" s="12"/>
    </row>
    <row r="53" spans="1:8" ht="12.6" customHeight="1" x14ac:dyDescent="0.2">
      <c r="A53" s="57">
        <v>44</v>
      </c>
      <c r="B53" s="61"/>
      <c r="C53" s="73" t="s">
        <v>10</v>
      </c>
      <c r="D53" s="61"/>
      <c r="E53" s="63">
        <v>7.6</v>
      </c>
      <c r="F53" s="63">
        <v>7.4</v>
      </c>
      <c r="G53" s="12"/>
      <c r="H53" s="12"/>
    </row>
    <row r="54" spans="1:8" ht="12.6" customHeight="1" x14ac:dyDescent="0.2">
      <c r="A54" s="57">
        <v>45</v>
      </c>
      <c r="B54" s="61"/>
      <c r="C54" s="64" t="s">
        <v>12</v>
      </c>
      <c r="D54" s="61"/>
      <c r="E54" s="63">
        <v>7.6</v>
      </c>
      <c r="F54" s="63">
        <v>7.4</v>
      </c>
      <c r="G54" s="12"/>
      <c r="H54" s="12"/>
    </row>
    <row r="55" spans="1:8" ht="12.6" customHeight="1" x14ac:dyDescent="0.2">
      <c r="A55" s="57">
        <v>46</v>
      </c>
      <c r="B55" s="61"/>
      <c r="C55" s="64" t="s">
        <v>11</v>
      </c>
      <c r="D55" s="61"/>
      <c r="E55" s="63">
        <v>7.6</v>
      </c>
      <c r="F55" s="63">
        <v>7.4</v>
      </c>
      <c r="G55" s="12"/>
      <c r="H55" s="12"/>
    </row>
    <row r="56" spans="1:8" ht="12.6" customHeight="1" x14ac:dyDescent="0.2">
      <c r="A56" s="57">
        <v>47</v>
      </c>
      <c r="B56" s="61"/>
      <c r="C56" s="64" t="s">
        <v>13</v>
      </c>
      <c r="D56" s="61"/>
      <c r="E56" s="63">
        <v>7.6</v>
      </c>
      <c r="F56" s="63">
        <v>7.4</v>
      </c>
      <c r="G56" s="12"/>
      <c r="H56" s="12"/>
    </row>
    <row r="57" spans="1:8" ht="12.6" customHeight="1" x14ac:dyDescent="0.2">
      <c r="A57" s="57">
        <v>48</v>
      </c>
      <c r="B57" s="61"/>
      <c r="C57" s="64" t="s">
        <v>14</v>
      </c>
      <c r="D57" s="61"/>
      <c r="E57" s="63">
        <v>11.5</v>
      </c>
      <c r="F57" s="63">
        <v>11.1</v>
      </c>
      <c r="G57" s="12"/>
      <c r="H57" s="12"/>
    </row>
    <row r="58" spans="1:8" ht="18" customHeight="1" x14ac:dyDescent="0.2">
      <c r="A58" s="57">
        <v>49</v>
      </c>
      <c r="B58" s="56" t="s">
        <v>32</v>
      </c>
      <c r="C58" s="83" t="s">
        <v>33</v>
      </c>
      <c r="D58" s="61"/>
      <c r="E58" s="84">
        <f>+E59+E71</f>
        <v>614.80000000000007</v>
      </c>
      <c r="F58" s="84">
        <f>+F59+F71</f>
        <v>233.89999999999998</v>
      </c>
      <c r="G58" s="12"/>
      <c r="H58" s="12"/>
    </row>
    <row r="59" spans="1:8" ht="12.6" customHeight="1" x14ac:dyDescent="0.2">
      <c r="A59" s="57">
        <v>50</v>
      </c>
      <c r="B59" s="61" t="s">
        <v>225</v>
      </c>
      <c r="C59" s="151" t="s">
        <v>226</v>
      </c>
      <c r="D59" s="61" t="s">
        <v>227</v>
      </c>
      <c r="E59" s="150">
        <f>SUM(E60:E70)</f>
        <v>254.80000000000004</v>
      </c>
      <c r="F59" s="150">
        <f>SUM(F60:F70)</f>
        <v>233.89999999999998</v>
      </c>
      <c r="G59" s="12"/>
      <c r="H59" s="12"/>
    </row>
    <row r="60" spans="1:8" ht="12.6" customHeight="1" x14ac:dyDescent="0.2">
      <c r="A60" s="57">
        <v>51</v>
      </c>
      <c r="B60" s="61"/>
      <c r="C60" s="149" t="s">
        <v>3</v>
      </c>
      <c r="D60" s="61"/>
      <c r="E60" s="63">
        <v>136.5</v>
      </c>
      <c r="F60" s="63">
        <v>120.3</v>
      </c>
      <c r="G60" s="12"/>
      <c r="H60" s="12"/>
    </row>
    <row r="61" spans="1:8" ht="12.6" customHeight="1" x14ac:dyDescent="0.2">
      <c r="A61" s="57">
        <v>52</v>
      </c>
      <c r="B61" s="61"/>
      <c r="C61" s="64" t="s">
        <v>4</v>
      </c>
      <c r="D61" s="61"/>
      <c r="E61" s="63">
        <v>13.4</v>
      </c>
      <c r="F61" s="63">
        <v>13.2</v>
      </c>
      <c r="G61" s="12"/>
      <c r="H61" s="12"/>
    </row>
    <row r="62" spans="1:8" ht="12.6" customHeight="1" x14ac:dyDescent="0.2">
      <c r="A62" s="57">
        <v>53</v>
      </c>
      <c r="B62" s="61"/>
      <c r="C62" s="64" t="s">
        <v>5</v>
      </c>
      <c r="D62" s="61"/>
      <c r="E62" s="63">
        <v>10</v>
      </c>
      <c r="F62" s="63">
        <v>9.9</v>
      </c>
      <c r="G62" s="12"/>
      <c r="H62" s="12"/>
    </row>
    <row r="63" spans="1:8" ht="12.6" customHeight="1" x14ac:dyDescent="0.2">
      <c r="A63" s="57">
        <v>54</v>
      </c>
      <c r="B63" s="61"/>
      <c r="C63" s="64" t="s">
        <v>7</v>
      </c>
      <c r="D63" s="61"/>
      <c r="E63" s="63">
        <v>5.5</v>
      </c>
      <c r="F63" s="63">
        <v>5.4</v>
      </c>
      <c r="G63" s="12"/>
      <c r="H63" s="12"/>
    </row>
    <row r="64" spans="1:8" ht="12.6" customHeight="1" x14ac:dyDescent="0.2">
      <c r="A64" s="57">
        <v>55</v>
      </c>
      <c r="B64" s="61"/>
      <c r="C64" s="64" t="s">
        <v>6</v>
      </c>
      <c r="D64" s="61"/>
      <c r="E64" s="63">
        <f>17.9+3</f>
        <v>20.9</v>
      </c>
      <c r="F64" s="63">
        <v>17.600000000000001</v>
      </c>
      <c r="G64" s="12"/>
      <c r="H64" s="12"/>
    </row>
    <row r="65" spans="1:8" ht="12.6" customHeight="1" x14ac:dyDescent="0.2">
      <c r="A65" s="57">
        <v>56</v>
      </c>
      <c r="B65" s="61"/>
      <c r="C65" s="64" t="s">
        <v>9</v>
      </c>
      <c r="D65" s="61"/>
      <c r="E65" s="63">
        <v>14.3</v>
      </c>
      <c r="F65" s="63">
        <v>14.1</v>
      </c>
      <c r="G65" s="12"/>
      <c r="H65" s="12"/>
    </row>
    <row r="66" spans="1:8" ht="12.6" customHeight="1" x14ac:dyDescent="0.2">
      <c r="A66" s="57">
        <v>57</v>
      </c>
      <c r="B66" s="61"/>
      <c r="C66" s="73" t="s">
        <v>10</v>
      </c>
      <c r="D66" s="61"/>
      <c r="E66" s="63">
        <v>10.3</v>
      </c>
      <c r="F66" s="63">
        <v>10.199999999999999</v>
      </c>
      <c r="G66" s="12"/>
      <c r="H66" s="12"/>
    </row>
    <row r="67" spans="1:8" ht="12.6" customHeight="1" x14ac:dyDescent="0.2">
      <c r="A67" s="57">
        <v>58</v>
      </c>
      <c r="B67" s="61"/>
      <c r="C67" s="64" t="s">
        <v>12</v>
      </c>
      <c r="D67" s="61"/>
      <c r="E67" s="63">
        <v>9.3000000000000007</v>
      </c>
      <c r="F67" s="63">
        <v>9.1999999999999993</v>
      </c>
      <c r="G67" s="12"/>
      <c r="H67" s="12"/>
    </row>
    <row r="68" spans="1:8" ht="12.6" customHeight="1" x14ac:dyDescent="0.2">
      <c r="A68" s="57">
        <v>59</v>
      </c>
      <c r="B68" s="61"/>
      <c r="C68" s="64" t="s">
        <v>11</v>
      </c>
      <c r="D68" s="61"/>
      <c r="E68" s="63">
        <v>13.4</v>
      </c>
      <c r="F68" s="63">
        <v>13.2</v>
      </c>
      <c r="G68" s="12"/>
      <c r="H68" s="12"/>
    </row>
    <row r="69" spans="1:8" ht="12.6" customHeight="1" x14ac:dyDescent="0.2">
      <c r="A69" s="57">
        <v>60</v>
      </c>
      <c r="B69" s="61"/>
      <c r="C69" s="64" t="s">
        <v>13</v>
      </c>
      <c r="D69" s="61"/>
      <c r="E69" s="63">
        <f>10.8+0.7</f>
        <v>11.5</v>
      </c>
      <c r="F69" s="63">
        <f>10.6+0.7</f>
        <v>11.299999999999999</v>
      </c>
      <c r="G69" s="12"/>
      <c r="H69" s="12"/>
    </row>
    <row r="70" spans="1:8" ht="12.6" customHeight="1" x14ac:dyDescent="0.2">
      <c r="A70" s="57">
        <v>61</v>
      </c>
      <c r="B70" s="61"/>
      <c r="C70" s="64" t="s">
        <v>14</v>
      </c>
      <c r="D70" s="61"/>
      <c r="E70" s="63">
        <f>13.4-3.7</f>
        <v>9.6999999999999993</v>
      </c>
      <c r="F70" s="63">
        <f>13.2-3.7</f>
        <v>9.5</v>
      </c>
      <c r="G70" s="12"/>
      <c r="H70" s="12"/>
    </row>
    <row r="71" spans="1:8" ht="67.5" customHeight="1" x14ac:dyDescent="0.2">
      <c r="A71" s="206">
        <v>62</v>
      </c>
      <c r="B71" s="202" t="s">
        <v>228</v>
      </c>
      <c r="C71" s="91" t="s">
        <v>468</v>
      </c>
      <c r="D71" s="202"/>
      <c r="E71" s="150">
        <f>+E73</f>
        <v>360</v>
      </c>
      <c r="F71" s="150">
        <f>+F73</f>
        <v>0</v>
      </c>
      <c r="G71" s="12"/>
      <c r="H71" s="12"/>
    </row>
    <row r="72" spans="1:8" ht="12.6" customHeight="1" x14ac:dyDescent="0.2">
      <c r="A72" s="207"/>
      <c r="B72" s="203"/>
      <c r="C72" s="91" t="s">
        <v>229</v>
      </c>
      <c r="D72" s="203"/>
      <c r="E72" s="150">
        <v>9</v>
      </c>
      <c r="F72" s="150"/>
      <c r="G72" s="12"/>
      <c r="H72" s="12"/>
    </row>
    <row r="73" spans="1:8" ht="12.6" customHeight="1" x14ac:dyDescent="0.2">
      <c r="A73" s="57">
        <v>63</v>
      </c>
      <c r="B73" s="61"/>
      <c r="C73" s="149" t="s">
        <v>3</v>
      </c>
      <c r="D73" s="61" t="s">
        <v>230</v>
      </c>
      <c r="E73" s="63">
        <v>360</v>
      </c>
      <c r="F73" s="63"/>
      <c r="G73" s="12"/>
      <c r="H73" s="12"/>
    </row>
    <row r="74" spans="1:8" ht="18" customHeight="1" x14ac:dyDescent="0.2">
      <c r="A74" s="57">
        <v>64</v>
      </c>
      <c r="B74" s="56" t="s">
        <v>25</v>
      </c>
      <c r="C74" s="83" t="s">
        <v>26</v>
      </c>
      <c r="D74" s="61"/>
      <c r="E74" s="84">
        <f>SUM(E75+E77+E79+E81+E83+E85+E87+E89+E91+E93+E95+E97+E99)</f>
        <v>1570.4</v>
      </c>
      <c r="F74" s="84">
        <f>SUM(F75+F77+F79+F81+F83+F85+F87+F89+F91+F93+F95+F97+F99)</f>
        <v>1423.8000000000004</v>
      </c>
      <c r="G74" s="12"/>
      <c r="H74" s="12"/>
    </row>
    <row r="75" spans="1:8" ht="12.6" customHeight="1" x14ac:dyDescent="0.2">
      <c r="A75" s="57">
        <v>65</v>
      </c>
      <c r="B75" s="61" t="s">
        <v>34</v>
      </c>
      <c r="C75" s="151" t="s">
        <v>232</v>
      </c>
      <c r="D75" s="61" t="s">
        <v>28</v>
      </c>
      <c r="E75" s="150">
        <f>+E76</f>
        <v>1306.5999999999999</v>
      </c>
      <c r="F75" s="150">
        <f>+F76</f>
        <v>1217.7</v>
      </c>
      <c r="G75" s="12"/>
      <c r="H75" s="12"/>
    </row>
    <row r="76" spans="1:8" ht="12.6" customHeight="1" x14ac:dyDescent="0.2">
      <c r="A76" s="57">
        <v>66</v>
      </c>
      <c r="B76" s="99"/>
      <c r="C76" s="64" t="s">
        <v>27</v>
      </c>
      <c r="D76" s="82"/>
      <c r="E76" s="63">
        <f>1234.6+72</f>
        <v>1306.5999999999999</v>
      </c>
      <c r="F76" s="63">
        <f>1145.7+72</f>
        <v>1217.7</v>
      </c>
      <c r="G76" s="12"/>
      <c r="H76" s="12"/>
    </row>
    <row r="77" spans="1:8" ht="12.6" customHeight="1" x14ac:dyDescent="0.2">
      <c r="A77" s="57">
        <v>67</v>
      </c>
      <c r="B77" s="61" t="s">
        <v>35</v>
      </c>
      <c r="C77" s="91" t="s">
        <v>233</v>
      </c>
      <c r="D77" s="61" t="s">
        <v>234</v>
      </c>
      <c r="E77" s="150">
        <f>SUM(E78:E78)</f>
        <v>0.8</v>
      </c>
      <c r="F77" s="150">
        <f>SUM(F78:F78)</f>
        <v>0.8</v>
      </c>
      <c r="G77" s="12"/>
      <c r="H77" s="12"/>
    </row>
    <row r="78" spans="1:8" ht="12.6" customHeight="1" x14ac:dyDescent="0.2">
      <c r="A78" s="57">
        <v>68</v>
      </c>
      <c r="B78" s="61"/>
      <c r="C78" s="149" t="s">
        <v>3</v>
      </c>
      <c r="D78" s="61"/>
      <c r="E78" s="63">
        <v>0.8</v>
      </c>
      <c r="F78" s="63">
        <v>0.8</v>
      </c>
      <c r="G78" s="12"/>
      <c r="H78" s="12"/>
    </row>
    <row r="79" spans="1:8" ht="12.6" customHeight="1" x14ac:dyDescent="0.2">
      <c r="A79" s="57">
        <v>69</v>
      </c>
      <c r="B79" s="65" t="s">
        <v>36</v>
      </c>
      <c r="C79" s="91" t="s">
        <v>235</v>
      </c>
      <c r="D79" s="61" t="s">
        <v>234</v>
      </c>
      <c r="E79" s="146">
        <f>+E80</f>
        <v>47.9</v>
      </c>
      <c r="F79" s="146">
        <f>+F80</f>
        <v>42</v>
      </c>
      <c r="G79" s="12"/>
      <c r="H79" s="12"/>
    </row>
    <row r="80" spans="1:8" ht="12.6" customHeight="1" x14ac:dyDescent="0.2">
      <c r="A80" s="57">
        <v>70</v>
      </c>
      <c r="B80" s="61"/>
      <c r="C80" s="149" t="s">
        <v>3</v>
      </c>
      <c r="D80" s="61"/>
      <c r="E80" s="63">
        <v>47.9</v>
      </c>
      <c r="F80" s="63">
        <v>42</v>
      </c>
      <c r="G80" s="12"/>
      <c r="H80" s="12"/>
    </row>
    <row r="81" spans="1:8" ht="12.6" customHeight="1" x14ac:dyDescent="0.2">
      <c r="A81" s="57">
        <v>71</v>
      </c>
      <c r="B81" s="61" t="s">
        <v>37</v>
      </c>
      <c r="C81" s="91" t="s">
        <v>236</v>
      </c>
      <c r="D81" s="61" t="s">
        <v>38</v>
      </c>
      <c r="E81" s="146">
        <f>+E82</f>
        <v>35.5</v>
      </c>
      <c r="F81" s="146">
        <f>+F82</f>
        <v>34.1</v>
      </c>
      <c r="G81" s="12"/>
      <c r="H81" s="12"/>
    </row>
    <row r="82" spans="1:8" ht="12.6" customHeight="1" x14ac:dyDescent="0.2">
      <c r="A82" s="57">
        <v>72</v>
      </c>
      <c r="B82" s="61"/>
      <c r="C82" s="149" t="s">
        <v>3</v>
      </c>
      <c r="D82" s="61"/>
      <c r="E82" s="63">
        <v>35.5</v>
      </c>
      <c r="F82" s="63">
        <v>34.1</v>
      </c>
      <c r="G82" s="12"/>
      <c r="H82" s="12"/>
    </row>
    <row r="83" spans="1:8" ht="12.6" customHeight="1" x14ac:dyDescent="0.2">
      <c r="A83" s="57">
        <v>73</v>
      </c>
      <c r="B83" s="61" t="s">
        <v>182</v>
      </c>
      <c r="C83" s="91" t="s">
        <v>237</v>
      </c>
      <c r="D83" s="65" t="s">
        <v>238</v>
      </c>
      <c r="E83" s="146">
        <f>+E84</f>
        <v>57.8</v>
      </c>
      <c r="F83" s="146">
        <f>+F84</f>
        <v>21.7</v>
      </c>
      <c r="G83" s="12"/>
      <c r="H83" s="12"/>
    </row>
    <row r="84" spans="1:8" ht="12.6" customHeight="1" x14ac:dyDescent="0.2">
      <c r="A84" s="57">
        <v>74</v>
      </c>
      <c r="B84" s="61"/>
      <c r="C84" s="149" t="s">
        <v>3</v>
      </c>
      <c r="D84" s="61"/>
      <c r="E84" s="148">
        <v>57.8</v>
      </c>
      <c r="F84" s="148">
        <v>21.7</v>
      </c>
      <c r="G84" s="12"/>
      <c r="H84" s="12"/>
    </row>
    <row r="85" spans="1:8" ht="12.6" customHeight="1" x14ac:dyDescent="0.2">
      <c r="A85" s="57">
        <v>75</v>
      </c>
      <c r="B85" s="61" t="s">
        <v>239</v>
      </c>
      <c r="C85" s="151" t="s">
        <v>240</v>
      </c>
      <c r="D85" s="61" t="s">
        <v>38</v>
      </c>
      <c r="E85" s="146">
        <f>+E86</f>
        <v>9</v>
      </c>
      <c r="F85" s="146">
        <f>+F86</f>
        <v>8.9</v>
      </c>
      <c r="G85" s="12"/>
      <c r="H85" s="12"/>
    </row>
    <row r="86" spans="1:8" ht="12.6" customHeight="1" x14ac:dyDescent="0.2">
      <c r="A86" s="57">
        <v>76</v>
      </c>
      <c r="B86" s="61"/>
      <c r="C86" s="149" t="s">
        <v>3</v>
      </c>
      <c r="D86" s="61"/>
      <c r="E86" s="63">
        <v>9</v>
      </c>
      <c r="F86" s="63">
        <v>8.9</v>
      </c>
      <c r="G86" s="12"/>
      <c r="H86" s="12"/>
    </row>
    <row r="87" spans="1:8" ht="12.6" customHeight="1" x14ac:dyDescent="0.2">
      <c r="A87" s="57">
        <v>77</v>
      </c>
      <c r="B87" s="61" t="s">
        <v>241</v>
      </c>
      <c r="C87" s="91" t="s">
        <v>242</v>
      </c>
      <c r="D87" s="65" t="s">
        <v>243</v>
      </c>
      <c r="E87" s="150">
        <f>+E88</f>
        <v>32.6</v>
      </c>
      <c r="F87" s="150">
        <f>+F88</f>
        <v>28.7</v>
      </c>
      <c r="G87" s="12"/>
      <c r="H87" s="12"/>
    </row>
    <row r="88" spans="1:8" ht="12.6" customHeight="1" x14ac:dyDescent="0.2">
      <c r="A88" s="57">
        <v>78</v>
      </c>
      <c r="B88" s="61"/>
      <c r="C88" s="149" t="s">
        <v>3</v>
      </c>
      <c r="D88" s="61"/>
      <c r="E88" s="63">
        <v>32.6</v>
      </c>
      <c r="F88" s="63">
        <v>28.7</v>
      </c>
      <c r="G88" s="12"/>
      <c r="H88" s="12"/>
    </row>
    <row r="89" spans="1:8" ht="12.6" customHeight="1" x14ac:dyDescent="0.2">
      <c r="A89" s="57">
        <v>79</v>
      </c>
      <c r="B89" s="61" t="s">
        <v>405</v>
      </c>
      <c r="C89" s="151" t="s">
        <v>245</v>
      </c>
      <c r="D89" s="61" t="s">
        <v>38</v>
      </c>
      <c r="E89" s="150">
        <f>+E90</f>
        <v>21.7</v>
      </c>
      <c r="F89" s="150">
        <f>+F90</f>
        <v>21.4</v>
      </c>
      <c r="G89" s="12"/>
      <c r="H89" s="12"/>
    </row>
    <row r="90" spans="1:8" ht="12.6" customHeight="1" x14ac:dyDescent="0.2">
      <c r="A90" s="57">
        <v>80</v>
      </c>
      <c r="B90" s="61"/>
      <c r="C90" s="149" t="s">
        <v>3</v>
      </c>
      <c r="D90" s="61"/>
      <c r="E90" s="63">
        <f>19.5+2.2</f>
        <v>21.7</v>
      </c>
      <c r="F90" s="63">
        <f>19.2+2.2</f>
        <v>21.4</v>
      </c>
      <c r="G90" s="12"/>
      <c r="H90" s="12"/>
    </row>
    <row r="91" spans="1:8" ht="12.6" customHeight="1" x14ac:dyDescent="0.2">
      <c r="A91" s="57">
        <v>81</v>
      </c>
      <c r="B91" s="61" t="s">
        <v>244</v>
      </c>
      <c r="C91" s="91" t="s">
        <v>247</v>
      </c>
      <c r="D91" s="61" t="s">
        <v>38</v>
      </c>
      <c r="E91" s="150">
        <f>+E92</f>
        <v>12.2</v>
      </c>
      <c r="F91" s="150">
        <f>+F92</f>
        <v>11.5</v>
      </c>
      <c r="G91" s="12"/>
      <c r="H91" s="12"/>
    </row>
    <row r="92" spans="1:8" ht="12.6" customHeight="1" x14ac:dyDescent="0.2">
      <c r="A92" s="57">
        <v>82</v>
      </c>
      <c r="B92" s="61"/>
      <c r="C92" s="149" t="s">
        <v>3</v>
      </c>
      <c r="D92" s="61"/>
      <c r="E92" s="63">
        <v>12.2</v>
      </c>
      <c r="F92" s="63">
        <v>11.5</v>
      </c>
      <c r="G92" s="12"/>
      <c r="H92" s="12"/>
    </row>
    <row r="93" spans="1:8" ht="12.6" customHeight="1" x14ac:dyDescent="0.2">
      <c r="A93" s="57">
        <v>83</v>
      </c>
      <c r="B93" s="61" t="s">
        <v>246</v>
      </c>
      <c r="C93" s="151" t="s">
        <v>554</v>
      </c>
      <c r="D93" s="61" t="s">
        <v>234</v>
      </c>
      <c r="E93" s="150">
        <f>+E94</f>
        <v>1.2</v>
      </c>
      <c r="F93" s="150">
        <f>+F94</f>
        <v>1.2</v>
      </c>
      <c r="G93" s="12"/>
      <c r="H93" s="12"/>
    </row>
    <row r="94" spans="1:8" ht="12.6" customHeight="1" x14ac:dyDescent="0.2">
      <c r="A94" s="57">
        <v>84</v>
      </c>
      <c r="B94" s="61"/>
      <c r="C94" s="149" t="s">
        <v>3</v>
      </c>
      <c r="D94" s="61"/>
      <c r="E94" s="63">
        <v>1.2</v>
      </c>
      <c r="F94" s="63">
        <v>1.2</v>
      </c>
      <c r="G94" s="12"/>
      <c r="H94" s="12"/>
    </row>
    <row r="95" spans="1:8" ht="12.6" customHeight="1" x14ac:dyDescent="0.2">
      <c r="A95" s="57">
        <v>85</v>
      </c>
      <c r="B95" s="61" t="s">
        <v>248</v>
      </c>
      <c r="C95" s="151" t="s">
        <v>250</v>
      </c>
      <c r="D95" s="61" t="s">
        <v>38</v>
      </c>
      <c r="E95" s="150">
        <f>SUM(E96:E96)</f>
        <v>5</v>
      </c>
      <c r="F95" s="150">
        <f>SUM(F96:F96)</f>
        <v>4.9000000000000004</v>
      </c>
      <c r="G95" s="12"/>
      <c r="H95" s="12"/>
    </row>
    <row r="96" spans="1:8" ht="12.6" customHeight="1" x14ac:dyDescent="0.2">
      <c r="A96" s="57">
        <v>86</v>
      </c>
      <c r="B96" s="68"/>
      <c r="C96" s="64" t="s">
        <v>8</v>
      </c>
      <c r="D96" s="68"/>
      <c r="E96" s="63">
        <v>5</v>
      </c>
      <c r="F96" s="63">
        <v>4.9000000000000004</v>
      </c>
      <c r="G96" s="12"/>
      <c r="H96" s="12"/>
    </row>
    <row r="97" spans="1:8" ht="38.25" x14ac:dyDescent="0.2">
      <c r="A97" s="57">
        <v>87</v>
      </c>
      <c r="B97" s="61" t="s">
        <v>249</v>
      </c>
      <c r="C97" s="85" t="s">
        <v>276</v>
      </c>
      <c r="D97" s="152" t="s">
        <v>275</v>
      </c>
      <c r="E97" s="63">
        <f>+E98</f>
        <v>20.2</v>
      </c>
      <c r="F97" s="63">
        <f>+F98</f>
        <v>19.899999999999999</v>
      </c>
      <c r="G97" s="12"/>
      <c r="H97" s="12"/>
    </row>
    <row r="98" spans="1:8" ht="12.6" customHeight="1" x14ac:dyDescent="0.2">
      <c r="A98" s="57">
        <v>88</v>
      </c>
      <c r="B98" s="61"/>
      <c r="C98" s="133" t="s">
        <v>3</v>
      </c>
      <c r="D98" s="152"/>
      <c r="E98" s="63">
        <v>20.2</v>
      </c>
      <c r="F98" s="63">
        <v>19.899999999999999</v>
      </c>
      <c r="G98" s="12"/>
      <c r="H98" s="12"/>
    </row>
    <row r="99" spans="1:8" ht="12.6" customHeight="1" x14ac:dyDescent="0.2">
      <c r="A99" s="57">
        <v>89</v>
      </c>
      <c r="B99" s="61" t="s">
        <v>626</v>
      </c>
      <c r="C99" s="85" t="s">
        <v>231</v>
      </c>
      <c r="D99" s="61" t="s">
        <v>38</v>
      </c>
      <c r="E99" s="63">
        <f>+E100</f>
        <v>19.899999999999999</v>
      </c>
      <c r="F99" s="63">
        <f>+F100</f>
        <v>11</v>
      </c>
      <c r="G99" s="12"/>
      <c r="H99" s="12"/>
    </row>
    <row r="100" spans="1:8" ht="12.6" customHeight="1" x14ac:dyDescent="0.2">
      <c r="A100" s="57">
        <v>90</v>
      </c>
      <c r="B100" s="61"/>
      <c r="C100" s="64" t="s">
        <v>3</v>
      </c>
      <c r="D100" s="61"/>
      <c r="E100" s="63">
        <v>19.899999999999999</v>
      </c>
      <c r="F100" s="63">
        <v>11</v>
      </c>
      <c r="G100" s="12"/>
      <c r="H100" s="12"/>
    </row>
    <row r="101" spans="1:8" ht="12.6" customHeight="1" x14ac:dyDescent="0.2">
      <c r="A101" s="57">
        <v>91</v>
      </c>
      <c r="B101" s="61"/>
      <c r="C101" s="153" t="s">
        <v>20</v>
      </c>
      <c r="D101" s="56"/>
      <c r="E101" s="84">
        <f>+E10+E17+E58+E74</f>
        <v>6520.5</v>
      </c>
      <c r="F101" s="84">
        <f>+F10+F17+F58+F74</f>
        <v>3932.7000000000007</v>
      </c>
      <c r="G101" s="12"/>
      <c r="H101" s="12"/>
    </row>
    <row r="102" spans="1:8" ht="10.5" customHeight="1" x14ac:dyDescent="0.2">
      <c r="E102" s="154"/>
      <c r="F102" s="154"/>
    </row>
    <row r="103" spans="1:8" x14ac:dyDescent="0.2">
      <c r="C103" s="9" t="s">
        <v>251</v>
      </c>
      <c r="D103" s="112"/>
      <c r="E103" s="154"/>
      <c r="F103" s="154"/>
    </row>
    <row r="104" spans="1:8" x14ac:dyDescent="0.2">
      <c r="E104" s="119"/>
      <c r="F104" s="119"/>
    </row>
    <row r="105" spans="1:8" x14ac:dyDescent="0.2">
      <c r="E105" s="154"/>
      <c r="F105" s="154"/>
    </row>
    <row r="106" spans="1:8" x14ac:dyDescent="0.2">
      <c r="E106" s="154"/>
      <c r="F106" s="154"/>
    </row>
    <row r="107" spans="1:8" x14ac:dyDescent="0.2">
      <c r="C107" s="155"/>
    </row>
    <row r="108" spans="1:8" x14ac:dyDescent="0.2">
      <c r="C108" s="155"/>
    </row>
    <row r="109" spans="1:8" x14ac:dyDescent="0.2">
      <c r="C109" s="46"/>
    </row>
  </sheetData>
  <mergeCells count="7">
    <mergeCell ref="A71:A72"/>
    <mergeCell ref="B71:B72"/>
    <mergeCell ref="D71:D72"/>
    <mergeCell ref="C1:F1"/>
    <mergeCell ref="E3:F3"/>
    <mergeCell ref="A5:F5"/>
    <mergeCell ref="C2:F2"/>
  </mergeCells>
  <pageMargins left="0.51181102362204722" right="0" top="0.19685039370078741" bottom="0.19685039370078741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Q67"/>
  <sheetViews>
    <sheetView zoomScaleNormal="100" workbookViewId="0">
      <selection activeCell="H34" sqref="H34"/>
    </sheetView>
  </sheetViews>
  <sheetFormatPr defaultColWidth="9.140625" defaultRowHeight="12.75" x14ac:dyDescent="0.2"/>
  <cols>
    <col min="1" max="1" width="4.140625" style="9" customWidth="1"/>
    <col min="2" max="2" width="8.140625" style="48" customWidth="1"/>
    <col min="3" max="3" width="47.7109375" style="157" customWidth="1"/>
    <col min="4" max="4" width="10.7109375" style="47" customWidth="1"/>
    <col min="5" max="5" width="9.5703125" style="46" customWidth="1"/>
    <col min="6" max="9" width="11.140625" style="46" customWidth="1"/>
    <col min="10" max="16384" width="9.140625" style="2"/>
  </cols>
  <sheetData>
    <row r="1" spans="1:17" ht="15.75" x14ac:dyDescent="0.25">
      <c r="C1" s="208" t="s">
        <v>329</v>
      </c>
      <c r="D1" s="208"/>
      <c r="E1" s="208"/>
      <c r="F1" s="208"/>
      <c r="G1" s="156"/>
      <c r="H1" s="156"/>
      <c r="I1" s="156"/>
    </row>
    <row r="2" spans="1:17" ht="15.75" x14ac:dyDescent="0.25">
      <c r="C2" s="208" t="s">
        <v>838</v>
      </c>
      <c r="D2" s="208"/>
      <c r="E2" s="208"/>
      <c r="F2" s="208"/>
      <c r="G2" s="156"/>
      <c r="H2" s="156"/>
      <c r="I2" s="156"/>
    </row>
    <row r="3" spans="1:17" ht="15.75" x14ac:dyDescent="0.25">
      <c r="C3" s="142"/>
      <c r="D3" s="142"/>
      <c r="E3" s="209" t="s">
        <v>339</v>
      </c>
      <c r="F3" s="209"/>
      <c r="G3" s="49"/>
      <c r="H3" s="49"/>
      <c r="I3" s="49"/>
    </row>
    <row r="4" spans="1:17" ht="15.75" x14ac:dyDescent="0.2">
      <c r="E4" s="49"/>
      <c r="F4" s="49"/>
      <c r="G4" s="49"/>
      <c r="H4" s="49"/>
      <c r="I4" s="49"/>
    </row>
    <row r="5" spans="1:17" ht="32.25" customHeight="1" x14ac:dyDescent="0.2">
      <c r="A5" s="223" t="s">
        <v>419</v>
      </c>
      <c r="B5" s="223"/>
      <c r="C5" s="223"/>
      <c r="D5" s="223"/>
      <c r="E5" s="223"/>
      <c r="F5" s="223"/>
      <c r="G5" s="158"/>
      <c r="H5" s="158"/>
      <c r="I5" s="158"/>
      <c r="L5" s="43"/>
    </row>
    <row r="6" spans="1:17" x14ac:dyDescent="0.2">
      <c r="A6" s="158"/>
      <c r="B6" s="158"/>
      <c r="C6" s="158"/>
      <c r="D6" s="158"/>
      <c r="E6" s="158"/>
      <c r="F6" s="158"/>
      <c r="G6" s="158"/>
      <c r="H6" s="158"/>
      <c r="I6" s="158"/>
    </row>
    <row r="7" spans="1:17" x14ac:dyDescent="0.2">
      <c r="A7" s="159"/>
      <c r="B7" s="160"/>
      <c r="C7" s="161"/>
      <c r="D7" s="162"/>
      <c r="E7" s="163"/>
      <c r="F7" s="52" t="s">
        <v>129</v>
      </c>
      <c r="G7" s="163"/>
      <c r="H7" s="163"/>
      <c r="I7" s="163"/>
    </row>
    <row r="8" spans="1:17" ht="39.75" customHeight="1" x14ac:dyDescent="0.2">
      <c r="A8" s="53" t="s">
        <v>118</v>
      </c>
      <c r="B8" s="54" t="s">
        <v>337</v>
      </c>
      <c r="C8" s="53" t="s">
        <v>16</v>
      </c>
      <c r="D8" s="54" t="s">
        <v>55</v>
      </c>
      <c r="E8" s="53" t="s">
        <v>17</v>
      </c>
      <c r="F8" s="53" t="s">
        <v>29</v>
      </c>
      <c r="G8" s="164"/>
      <c r="H8" s="164"/>
      <c r="I8" s="164"/>
    </row>
    <row r="9" spans="1:17" s="126" customFormat="1" ht="12.75" customHeight="1" x14ac:dyDescent="0.2">
      <c r="A9" s="55">
        <v>1</v>
      </c>
      <c r="B9" s="56" t="s">
        <v>18</v>
      </c>
      <c r="C9" s="53">
        <v>3</v>
      </c>
      <c r="D9" s="54">
        <v>4</v>
      </c>
      <c r="E9" s="53">
        <v>5</v>
      </c>
      <c r="F9" s="53">
        <v>6</v>
      </c>
      <c r="G9" s="164"/>
      <c r="H9" s="164"/>
      <c r="I9" s="164"/>
      <c r="J9" s="2"/>
      <c r="K9" s="2"/>
      <c r="L9" s="2"/>
      <c r="M9" s="2"/>
      <c r="N9" s="2"/>
    </row>
    <row r="10" spans="1:17" s="126" customFormat="1" ht="18" customHeight="1" x14ac:dyDescent="0.2">
      <c r="A10" s="57">
        <v>1</v>
      </c>
      <c r="B10" s="56" t="s">
        <v>56</v>
      </c>
      <c r="C10" s="58" t="s">
        <v>57</v>
      </c>
      <c r="D10" s="53"/>
      <c r="E10" s="59">
        <f>+E11+E45</f>
        <v>19573.000000000004</v>
      </c>
      <c r="F10" s="59">
        <f>+F11+F45</f>
        <v>18633.699999999997</v>
      </c>
      <c r="G10" s="60"/>
      <c r="H10" s="60"/>
      <c r="I10" s="60"/>
      <c r="J10" s="12"/>
      <c r="K10" s="12"/>
      <c r="L10" s="12"/>
      <c r="M10" s="12"/>
      <c r="N10" s="12"/>
      <c r="O10" s="144"/>
      <c r="P10" s="144"/>
      <c r="Q10" s="144"/>
    </row>
    <row r="11" spans="1:17" s="126" customFormat="1" ht="24.95" customHeight="1" x14ac:dyDescent="0.2">
      <c r="A11" s="57">
        <v>2</v>
      </c>
      <c r="B11" s="65" t="s">
        <v>272</v>
      </c>
      <c r="C11" s="165" t="s">
        <v>254</v>
      </c>
      <c r="D11" s="53"/>
      <c r="E11" s="166">
        <f>+E13+E16+E17+E18+E12+E14+E15+E19+E24+E21+E33+E20+E26+E27+E22+E23+E25+E28+E29+E30+E31+E32+E34+E35+E36+E37+E44+E43</f>
        <v>18884.600000000002</v>
      </c>
      <c r="F11" s="166">
        <f>+F13+F16+F17+F18+F12+F14+F15+F19+F24+F21+F33+F20+F26+F27+F22+F23+F25+F28+F29+F30+F31+F32+F34+F35+F36+F37+F44+F43</f>
        <v>18056.099999999999</v>
      </c>
      <c r="G11" s="167"/>
      <c r="H11" s="167"/>
      <c r="I11" s="167"/>
      <c r="J11" s="12"/>
      <c r="K11" s="12"/>
      <c r="L11" s="12"/>
      <c r="M11" s="12"/>
      <c r="N11" s="12"/>
      <c r="O11" s="144"/>
      <c r="P11" s="144"/>
      <c r="Q11" s="144"/>
    </row>
    <row r="12" spans="1:17" ht="12.6" customHeight="1" x14ac:dyDescent="0.2">
      <c r="A12" s="57">
        <v>3</v>
      </c>
      <c r="B12" s="61"/>
      <c r="C12" s="66" t="s">
        <v>165</v>
      </c>
      <c r="D12" s="61" t="s">
        <v>58</v>
      </c>
      <c r="E12" s="63">
        <f>341.7+15.4+7.8</f>
        <v>364.9</v>
      </c>
      <c r="F12" s="63">
        <f>330.5+15.2+7.7</f>
        <v>353.4</v>
      </c>
      <c r="G12" s="117"/>
      <c r="H12" s="117"/>
      <c r="I12" s="117"/>
      <c r="J12" s="117"/>
      <c r="K12" s="117"/>
      <c r="L12" s="12"/>
      <c r="M12" s="12"/>
      <c r="N12" s="12"/>
      <c r="O12" s="12"/>
      <c r="P12" s="12"/>
      <c r="Q12" s="12"/>
    </row>
    <row r="13" spans="1:17" ht="12.6" customHeight="1" x14ac:dyDescent="0.2">
      <c r="A13" s="57">
        <v>4</v>
      </c>
      <c r="B13" s="61"/>
      <c r="C13" s="66" t="s">
        <v>156</v>
      </c>
      <c r="D13" s="61" t="s">
        <v>58</v>
      </c>
      <c r="E13" s="63">
        <f>342.2+4.7+24.7+12</f>
        <v>383.59999999999997</v>
      </c>
      <c r="F13" s="63">
        <f>331.1+4.6+24.4+11.8</f>
        <v>371.90000000000003</v>
      </c>
      <c r="G13" s="117"/>
      <c r="H13" s="117"/>
      <c r="I13" s="117"/>
      <c r="J13" s="117"/>
      <c r="K13" s="117"/>
      <c r="L13" s="12"/>
      <c r="M13" s="12"/>
      <c r="N13" s="12"/>
      <c r="O13" s="12"/>
      <c r="P13" s="12"/>
      <c r="Q13" s="12"/>
    </row>
    <row r="14" spans="1:17" ht="12.6" customHeight="1" x14ac:dyDescent="0.2">
      <c r="A14" s="57">
        <v>5</v>
      </c>
      <c r="B14" s="61"/>
      <c r="C14" s="66" t="s">
        <v>157</v>
      </c>
      <c r="D14" s="61" t="s">
        <v>58</v>
      </c>
      <c r="E14" s="63">
        <f>411.8+4.7+3.5</f>
        <v>420</v>
      </c>
      <c r="F14" s="63">
        <f>398.7+4.6+3.6-2.9</f>
        <v>404.00000000000006</v>
      </c>
      <c r="G14" s="117"/>
      <c r="H14" s="117"/>
      <c r="I14" s="117"/>
      <c r="J14" s="117"/>
      <c r="K14" s="117"/>
      <c r="L14" s="12"/>
      <c r="M14" s="12"/>
      <c r="N14" s="12"/>
      <c r="O14" s="12"/>
      <c r="P14" s="12"/>
      <c r="Q14" s="12"/>
    </row>
    <row r="15" spans="1:17" ht="12.6" customHeight="1" x14ac:dyDescent="0.2">
      <c r="A15" s="57">
        <v>6</v>
      </c>
      <c r="B15" s="61"/>
      <c r="C15" s="66" t="s">
        <v>161</v>
      </c>
      <c r="D15" s="61" t="s">
        <v>58</v>
      </c>
      <c r="E15" s="63">
        <f>457.2+1.1</f>
        <v>458.3</v>
      </c>
      <c r="F15" s="63">
        <f>442+1.2</f>
        <v>443.2</v>
      </c>
      <c r="G15" s="117"/>
      <c r="H15" s="117"/>
      <c r="I15" s="117"/>
      <c r="J15" s="117"/>
      <c r="K15" s="117"/>
      <c r="L15" s="12"/>
      <c r="M15" s="12"/>
      <c r="N15" s="12"/>
      <c r="O15" s="12"/>
      <c r="P15" s="12"/>
      <c r="Q15" s="12"/>
    </row>
    <row r="16" spans="1:17" ht="12.6" customHeight="1" x14ac:dyDescent="0.2">
      <c r="A16" s="57">
        <v>7</v>
      </c>
      <c r="B16" s="61"/>
      <c r="C16" s="66" t="s">
        <v>158</v>
      </c>
      <c r="D16" s="61" t="s">
        <v>58</v>
      </c>
      <c r="E16" s="63">
        <f>414.2+3.5+26.4</f>
        <v>444.09999999999997</v>
      </c>
      <c r="F16" s="63">
        <f>400.8+3.4+26.1-34.2</f>
        <v>396.1</v>
      </c>
      <c r="G16" s="117"/>
      <c r="H16" s="117"/>
      <c r="I16" s="117"/>
      <c r="J16" s="117"/>
      <c r="K16" s="117"/>
      <c r="L16" s="12"/>
      <c r="M16" s="12"/>
      <c r="N16" s="12"/>
      <c r="O16" s="12"/>
      <c r="P16" s="12"/>
      <c r="Q16" s="12"/>
    </row>
    <row r="17" spans="1:17" ht="12.6" customHeight="1" x14ac:dyDescent="0.2">
      <c r="A17" s="57">
        <v>8</v>
      </c>
      <c r="B17" s="61"/>
      <c r="C17" s="66" t="s">
        <v>159</v>
      </c>
      <c r="D17" s="61" t="s">
        <v>58</v>
      </c>
      <c r="E17" s="63">
        <f>442.4+4.7+9.7</f>
        <v>456.79999999999995</v>
      </c>
      <c r="F17" s="63">
        <f>429.8+4.6+9.6-5.1</f>
        <v>438.90000000000003</v>
      </c>
      <c r="G17" s="117"/>
      <c r="H17" s="117"/>
      <c r="I17" s="117"/>
      <c r="J17" s="117"/>
      <c r="K17" s="117"/>
      <c r="L17" s="12"/>
      <c r="M17" s="12"/>
      <c r="N17" s="12"/>
      <c r="P17" s="12"/>
      <c r="Q17" s="12"/>
    </row>
    <row r="18" spans="1:17" ht="12.6" customHeight="1" x14ac:dyDescent="0.2">
      <c r="A18" s="57">
        <v>9</v>
      </c>
      <c r="B18" s="61"/>
      <c r="C18" s="66" t="s">
        <v>160</v>
      </c>
      <c r="D18" s="61" t="s">
        <v>58</v>
      </c>
      <c r="E18" s="63">
        <f>430+4.7+12.2</f>
        <v>446.9</v>
      </c>
      <c r="F18" s="63">
        <f>415.2+4.6+12.1</f>
        <v>431.90000000000003</v>
      </c>
      <c r="G18" s="117"/>
      <c r="H18" s="117"/>
      <c r="I18" s="117"/>
      <c r="J18" s="117"/>
      <c r="K18" s="117"/>
      <c r="L18" s="12"/>
      <c r="M18" s="12"/>
      <c r="N18" s="168"/>
      <c r="P18" s="12"/>
      <c r="Q18" s="12"/>
    </row>
    <row r="19" spans="1:17" ht="12.6" customHeight="1" x14ac:dyDescent="0.2">
      <c r="A19" s="57">
        <v>10</v>
      </c>
      <c r="B19" s="68"/>
      <c r="C19" s="64" t="s">
        <v>184</v>
      </c>
      <c r="D19" s="68" t="s">
        <v>59</v>
      </c>
      <c r="E19" s="63">
        <f>481.8+2.5+10.6</f>
        <v>494.90000000000003</v>
      </c>
      <c r="F19" s="63">
        <f>465.8+2.5+10.6-8.2</f>
        <v>470.70000000000005</v>
      </c>
      <c r="G19" s="117"/>
      <c r="H19" s="117"/>
      <c r="I19" s="117"/>
      <c r="J19" s="117"/>
      <c r="K19" s="117"/>
      <c r="L19" s="12"/>
      <c r="M19" s="12"/>
      <c r="N19" s="12"/>
      <c r="P19" s="12"/>
      <c r="Q19" s="12"/>
    </row>
    <row r="20" spans="1:17" ht="12.6" customHeight="1" x14ac:dyDescent="0.2">
      <c r="A20" s="57">
        <v>11</v>
      </c>
      <c r="B20" s="68"/>
      <c r="C20" s="66" t="s">
        <v>164</v>
      </c>
      <c r="D20" s="68" t="s">
        <v>60</v>
      </c>
      <c r="E20" s="63">
        <f>1230.6+37.2+22.1</f>
        <v>1289.8999999999999</v>
      </c>
      <c r="F20" s="63">
        <f>1188.6+36.7+22.2</f>
        <v>1247.5</v>
      </c>
      <c r="G20" s="117"/>
      <c r="H20" s="117"/>
      <c r="I20" s="117"/>
      <c r="J20" s="117"/>
      <c r="K20" s="117"/>
      <c r="L20" s="12"/>
      <c r="M20" s="12"/>
      <c r="N20" s="12"/>
      <c r="O20" s="12"/>
      <c r="P20" s="12"/>
      <c r="Q20" s="12"/>
    </row>
    <row r="21" spans="1:17" ht="12.6" customHeight="1" x14ac:dyDescent="0.2">
      <c r="A21" s="57">
        <v>12</v>
      </c>
      <c r="B21" s="68"/>
      <c r="C21" s="66" t="s">
        <v>46</v>
      </c>
      <c r="D21" s="68" t="s">
        <v>60</v>
      </c>
      <c r="E21" s="63">
        <f>1300.5+2.5+22</f>
        <v>1325</v>
      </c>
      <c r="F21" s="63">
        <f>1256.4+2.5+21.7-3.5</f>
        <v>1277.1000000000001</v>
      </c>
      <c r="G21" s="117"/>
      <c r="H21" s="117"/>
      <c r="I21" s="117"/>
      <c r="J21" s="117"/>
      <c r="K21" s="117"/>
      <c r="L21" s="12"/>
      <c r="M21" s="12"/>
      <c r="N21" s="12"/>
      <c r="O21" s="12"/>
      <c r="P21" s="12"/>
      <c r="Q21" s="12"/>
    </row>
    <row r="22" spans="1:17" ht="12.6" customHeight="1" x14ac:dyDescent="0.2">
      <c r="A22" s="57">
        <v>13</v>
      </c>
      <c r="B22" s="68"/>
      <c r="C22" s="135" t="s">
        <v>134</v>
      </c>
      <c r="D22" s="68" t="s">
        <v>60</v>
      </c>
      <c r="E22" s="63">
        <f>1046.6+23.5+100.4+58.9</f>
        <v>1229.4000000000001</v>
      </c>
      <c r="F22" s="63">
        <f>1012.4+23.1+98.3+58-13.4</f>
        <v>1178.3999999999999</v>
      </c>
      <c r="G22" s="117"/>
      <c r="H22" s="117"/>
      <c r="I22" s="117"/>
      <c r="J22" s="117"/>
      <c r="K22" s="117"/>
      <c r="L22" s="12"/>
      <c r="M22" s="12"/>
      <c r="N22" s="12"/>
      <c r="O22" s="12"/>
      <c r="P22" s="12"/>
      <c r="Q22" s="12"/>
    </row>
    <row r="23" spans="1:17" ht="12.6" customHeight="1" x14ac:dyDescent="0.2">
      <c r="A23" s="57">
        <v>14</v>
      </c>
      <c r="B23" s="68"/>
      <c r="C23" s="135" t="s">
        <v>135</v>
      </c>
      <c r="D23" s="68" t="s">
        <v>60</v>
      </c>
      <c r="E23" s="63">
        <f>787.9+3.7+45.5</f>
        <v>837.1</v>
      </c>
      <c r="F23" s="63">
        <f>761.6+3.6+44.9-12.4</f>
        <v>797.7</v>
      </c>
      <c r="G23" s="117"/>
      <c r="H23" s="117"/>
      <c r="I23" s="117"/>
      <c r="J23" s="117"/>
      <c r="K23" s="117"/>
      <c r="L23" s="12"/>
      <c r="M23" s="12"/>
      <c r="N23" s="12"/>
      <c r="O23" s="12"/>
      <c r="P23" s="12"/>
      <c r="Q23" s="12"/>
    </row>
    <row r="24" spans="1:17" ht="12.6" customHeight="1" x14ac:dyDescent="0.2">
      <c r="A24" s="57">
        <v>15</v>
      </c>
      <c r="B24" s="68"/>
      <c r="C24" s="135" t="s">
        <v>40</v>
      </c>
      <c r="D24" s="68" t="s">
        <v>60</v>
      </c>
      <c r="E24" s="63">
        <f>896.6+7.3+29.1</f>
        <v>933</v>
      </c>
      <c r="F24" s="63">
        <f>849.7+7.2+28.5-2.5</f>
        <v>882.90000000000009</v>
      </c>
      <c r="G24" s="117"/>
      <c r="H24" s="117"/>
      <c r="I24" s="117"/>
      <c r="J24" s="117"/>
      <c r="K24" s="117"/>
      <c r="L24" s="12"/>
      <c r="M24" s="12"/>
      <c r="N24" s="12"/>
      <c r="O24" s="12"/>
      <c r="P24" s="12"/>
      <c r="Q24" s="12"/>
    </row>
    <row r="25" spans="1:17" ht="12.6" customHeight="1" x14ac:dyDescent="0.2">
      <c r="A25" s="57">
        <v>16</v>
      </c>
      <c r="B25" s="68"/>
      <c r="C25" s="66" t="s">
        <v>137</v>
      </c>
      <c r="D25" s="68" t="s">
        <v>60</v>
      </c>
      <c r="E25" s="63">
        <f>855.9+8.6+4</f>
        <v>868.5</v>
      </c>
      <c r="F25" s="63">
        <f>828.9+8.5+4</f>
        <v>841.4</v>
      </c>
      <c r="G25" s="117"/>
      <c r="H25" s="117"/>
      <c r="I25" s="117"/>
      <c r="J25" s="117"/>
      <c r="K25" s="117"/>
      <c r="L25" s="12"/>
      <c r="M25" s="12"/>
      <c r="N25" s="12"/>
      <c r="O25" s="12"/>
      <c r="P25" s="12"/>
      <c r="Q25" s="12"/>
    </row>
    <row r="26" spans="1:17" ht="12.6" customHeight="1" x14ac:dyDescent="0.2">
      <c r="A26" s="57">
        <v>17</v>
      </c>
      <c r="B26" s="68"/>
      <c r="C26" s="135" t="s">
        <v>162</v>
      </c>
      <c r="D26" s="68" t="s">
        <v>61</v>
      </c>
      <c r="E26" s="63">
        <f>1773.7+37.2+72</f>
        <v>1882.9</v>
      </c>
      <c r="F26" s="63">
        <f>1705.9+36.7+70.6-24.7</f>
        <v>1788.5</v>
      </c>
      <c r="G26" s="117"/>
      <c r="H26" s="117"/>
      <c r="I26" s="117"/>
      <c r="J26" s="117"/>
      <c r="K26" s="117"/>
      <c r="L26" s="12"/>
      <c r="M26" s="12"/>
      <c r="N26" s="12"/>
      <c r="O26" s="12"/>
      <c r="P26" s="12"/>
      <c r="Q26" s="12"/>
    </row>
    <row r="27" spans="1:17" ht="12.6" customHeight="1" x14ac:dyDescent="0.2">
      <c r="A27" s="57">
        <v>18</v>
      </c>
      <c r="B27" s="68"/>
      <c r="C27" s="66" t="s">
        <v>163</v>
      </c>
      <c r="D27" s="69" t="s">
        <v>206</v>
      </c>
      <c r="E27" s="63">
        <f>1824.2+49.6+46.6</f>
        <v>1920.3999999999999</v>
      </c>
      <c r="F27" s="63">
        <f>1752+48.9+46.4-46</f>
        <v>1801.3000000000002</v>
      </c>
      <c r="G27" s="117"/>
      <c r="H27" s="117"/>
      <c r="I27" s="117"/>
      <c r="J27" s="117"/>
      <c r="K27" s="117"/>
      <c r="L27" s="12"/>
      <c r="M27" s="12"/>
      <c r="N27" s="12"/>
      <c r="O27" s="12"/>
      <c r="P27" s="12"/>
      <c r="Q27" s="12"/>
    </row>
    <row r="28" spans="1:17" ht="12.6" customHeight="1" x14ac:dyDescent="0.2">
      <c r="A28" s="57">
        <v>19</v>
      </c>
      <c r="B28" s="68"/>
      <c r="C28" s="135" t="s">
        <v>120</v>
      </c>
      <c r="D28" s="69" t="s">
        <v>206</v>
      </c>
      <c r="E28" s="63">
        <f>1228.1+76.6+73.5</f>
        <v>1378.1999999999998</v>
      </c>
      <c r="F28" s="63">
        <f>1180.7+75.5+72.1-8</f>
        <v>1320.3</v>
      </c>
      <c r="G28" s="117"/>
      <c r="H28" s="117"/>
      <c r="I28" s="117"/>
      <c r="J28" s="117"/>
      <c r="K28" s="117"/>
      <c r="L28" s="12"/>
      <c r="M28" s="12"/>
      <c r="N28" s="12"/>
      <c r="O28" s="12"/>
      <c r="P28" s="12"/>
      <c r="Q28" s="12"/>
    </row>
    <row r="29" spans="1:17" ht="12.6" customHeight="1" x14ac:dyDescent="0.2">
      <c r="A29" s="57">
        <v>20</v>
      </c>
      <c r="B29" s="68"/>
      <c r="C29" s="135" t="s">
        <v>41</v>
      </c>
      <c r="D29" s="68" t="s">
        <v>61</v>
      </c>
      <c r="E29" s="63">
        <f>457.7+11.5</f>
        <v>469.2</v>
      </c>
      <c r="F29" s="63">
        <f>445.9+11.4-8.8</f>
        <v>448.49999999999994</v>
      </c>
      <c r="G29" s="117"/>
      <c r="H29" s="117"/>
      <c r="I29" s="117"/>
      <c r="J29" s="117"/>
      <c r="K29" s="117"/>
      <c r="L29" s="12"/>
      <c r="M29" s="12"/>
      <c r="N29" s="12"/>
      <c r="O29" s="12"/>
      <c r="P29" s="12"/>
      <c r="Q29" s="12"/>
    </row>
    <row r="30" spans="1:17" ht="12.6" customHeight="1" x14ac:dyDescent="0.2">
      <c r="A30" s="57">
        <v>21</v>
      </c>
      <c r="B30" s="68"/>
      <c r="C30" s="135" t="s">
        <v>136</v>
      </c>
      <c r="D30" s="68" t="s">
        <v>61</v>
      </c>
      <c r="E30" s="63">
        <f>863.7+43+54.9</f>
        <v>961.6</v>
      </c>
      <c r="F30" s="63">
        <f>838.7+42.4+54.3-3.4</f>
        <v>932</v>
      </c>
      <c r="G30" s="117"/>
      <c r="H30" s="117"/>
      <c r="I30" s="117"/>
      <c r="J30" s="117"/>
      <c r="K30" s="117"/>
      <c r="L30" s="12"/>
      <c r="M30" s="12"/>
      <c r="N30" s="12"/>
      <c r="O30" s="12"/>
      <c r="P30" s="12"/>
      <c r="Q30" s="12"/>
    </row>
    <row r="31" spans="1:17" ht="12.6" customHeight="1" x14ac:dyDescent="0.2">
      <c r="A31" s="57">
        <v>22</v>
      </c>
      <c r="B31" s="68"/>
      <c r="C31" s="135" t="s">
        <v>202</v>
      </c>
      <c r="D31" s="68" t="s">
        <v>61</v>
      </c>
      <c r="E31" s="63">
        <f>343.6+2.5-100.4</f>
        <v>245.70000000000002</v>
      </c>
      <c r="F31" s="63">
        <f>335.1+2.5-98.3</f>
        <v>239.3</v>
      </c>
      <c r="G31" s="117"/>
      <c r="H31" s="117"/>
      <c r="I31" s="117"/>
      <c r="J31" s="117"/>
      <c r="K31" s="117"/>
      <c r="L31" s="12"/>
      <c r="M31" s="12"/>
      <c r="N31" s="12"/>
      <c r="O31" s="12"/>
      <c r="P31" s="12"/>
      <c r="Q31" s="12"/>
    </row>
    <row r="32" spans="1:17" ht="12.6" customHeight="1" x14ac:dyDescent="0.2">
      <c r="A32" s="57">
        <v>23</v>
      </c>
      <c r="B32" s="169"/>
      <c r="C32" s="135" t="s">
        <v>42</v>
      </c>
      <c r="D32" s="68" t="s">
        <v>61</v>
      </c>
      <c r="E32" s="63">
        <f>382.6+5.4</f>
        <v>388</v>
      </c>
      <c r="F32" s="63">
        <f>372.5+5.3-8.7</f>
        <v>369.1</v>
      </c>
      <c r="G32" s="117"/>
      <c r="H32" s="117"/>
      <c r="I32" s="117"/>
      <c r="J32" s="117"/>
      <c r="K32" s="117"/>
      <c r="L32" s="12"/>
      <c r="M32" s="12"/>
      <c r="N32" s="12"/>
      <c r="O32" s="12"/>
      <c r="P32" s="12"/>
      <c r="Q32" s="12"/>
    </row>
    <row r="33" spans="1:17" ht="25.5" x14ac:dyDescent="0.2">
      <c r="A33" s="57">
        <v>24</v>
      </c>
      <c r="B33" s="68"/>
      <c r="C33" s="135" t="s">
        <v>111</v>
      </c>
      <c r="D33" s="69" t="s">
        <v>255</v>
      </c>
      <c r="E33" s="63">
        <f>261.3+4.5</f>
        <v>265.8</v>
      </c>
      <c r="F33" s="63">
        <f>250.7+4.3-1.6</f>
        <v>253.4</v>
      </c>
      <c r="G33" s="117"/>
      <c r="H33" s="117"/>
      <c r="I33" s="117"/>
      <c r="J33" s="117"/>
      <c r="K33" s="117"/>
      <c r="L33" s="12"/>
      <c r="M33" s="12"/>
      <c r="N33" s="12"/>
      <c r="O33" s="12"/>
      <c r="P33" s="12"/>
      <c r="Q33" s="12"/>
    </row>
    <row r="34" spans="1:17" ht="12.6" customHeight="1" x14ac:dyDescent="0.2">
      <c r="A34" s="57">
        <v>25</v>
      </c>
      <c r="B34" s="68"/>
      <c r="C34" s="66" t="s">
        <v>336</v>
      </c>
      <c r="D34" s="68" t="s">
        <v>61</v>
      </c>
      <c r="E34" s="63">
        <f>689.8+2.5+18.8</f>
        <v>711.09999999999991</v>
      </c>
      <c r="F34" s="63">
        <f>675.6+2.5+18.4-20</f>
        <v>676.5</v>
      </c>
      <c r="G34" s="117"/>
      <c r="H34" s="117"/>
      <c r="I34" s="117"/>
      <c r="J34" s="117"/>
      <c r="K34" s="117"/>
      <c r="L34" s="12"/>
      <c r="M34" s="12"/>
      <c r="N34" s="12"/>
      <c r="O34" s="12"/>
      <c r="P34" s="12"/>
      <c r="Q34" s="12"/>
    </row>
    <row r="35" spans="1:17" ht="12.6" customHeight="1" x14ac:dyDescent="0.2">
      <c r="A35" s="57">
        <v>26</v>
      </c>
      <c r="B35" s="61"/>
      <c r="C35" s="66" t="s">
        <v>54</v>
      </c>
      <c r="D35" s="61" t="s">
        <v>62</v>
      </c>
      <c r="E35" s="63">
        <f>26.6+0.1</f>
        <v>26.700000000000003</v>
      </c>
      <c r="F35" s="63">
        <f>26.2+0.1</f>
        <v>26.3</v>
      </c>
      <c r="G35" s="117"/>
      <c r="H35" s="117"/>
      <c r="I35" s="117"/>
      <c r="J35" s="117"/>
      <c r="K35" s="117"/>
      <c r="L35" s="12"/>
      <c r="M35" s="12"/>
      <c r="N35" s="12"/>
      <c r="O35" s="12"/>
      <c r="P35" s="12"/>
      <c r="Q35" s="12"/>
    </row>
    <row r="36" spans="1:17" ht="12.6" customHeight="1" x14ac:dyDescent="0.2">
      <c r="A36" s="57">
        <v>27</v>
      </c>
      <c r="B36" s="61"/>
      <c r="C36" s="66" t="s">
        <v>48</v>
      </c>
      <c r="D36" s="61" t="s">
        <v>62</v>
      </c>
      <c r="E36" s="63">
        <f>33-1.1</f>
        <v>31.9</v>
      </c>
      <c r="F36" s="63">
        <f>32.5-1.1</f>
        <v>31.4</v>
      </c>
      <c r="G36" s="117"/>
      <c r="H36" s="117"/>
      <c r="I36" s="117"/>
      <c r="J36" s="117"/>
      <c r="K36" s="117"/>
      <c r="L36" s="12"/>
      <c r="M36" s="12"/>
      <c r="N36" s="12"/>
      <c r="O36" s="12"/>
      <c r="P36" s="12"/>
      <c r="Q36" s="12"/>
    </row>
    <row r="37" spans="1:17" ht="12.6" customHeight="1" x14ac:dyDescent="0.2">
      <c r="A37" s="57">
        <v>28</v>
      </c>
      <c r="B37" s="61"/>
      <c r="C37" s="66" t="s">
        <v>256</v>
      </c>
      <c r="D37" s="61" t="s">
        <v>207</v>
      </c>
      <c r="E37" s="63">
        <f>+E38+E39+E40+E41+E42</f>
        <v>381.9</v>
      </c>
      <c r="F37" s="63">
        <f>+F38+F39+F40+F41+F42</f>
        <v>373.70000000000005</v>
      </c>
      <c r="I37" s="117"/>
      <c r="J37" s="117"/>
      <c r="K37" s="117"/>
      <c r="L37" s="12"/>
      <c r="M37" s="12"/>
      <c r="N37" s="12"/>
      <c r="O37" s="12"/>
      <c r="P37" s="12"/>
      <c r="Q37" s="12"/>
    </row>
    <row r="38" spans="1:17" ht="24.95" customHeight="1" x14ac:dyDescent="0.2">
      <c r="A38" s="170" t="s">
        <v>426</v>
      </c>
      <c r="B38" s="171"/>
      <c r="C38" s="135" t="s">
        <v>333</v>
      </c>
      <c r="D38" s="61"/>
      <c r="E38" s="63">
        <f>233.9-30.2-12</f>
        <v>191.70000000000002</v>
      </c>
      <c r="F38" s="63">
        <f>215.8-20-7</f>
        <v>188.8</v>
      </c>
      <c r="G38" s="117"/>
      <c r="H38" s="117"/>
      <c r="I38" s="117"/>
      <c r="J38" s="117"/>
      <c r="K38" s="117"/>
      <c r="L38" s="12"/>
      <c r="M38" s="12"/>
      <c r="N38" s="12"/>
      <c r="O38" s="12"/>
      <c r="P38" s="12"/>
      <c r="Q38" s="12"/>
    </row>
    <row r="39" spans="1:17" ht="12.6" customHeight="1" x14ac:dyDescent="0.2">
      <c r="A39" s="170" t="s">
        <v>427</v>
      </c>
      <c r="B39" s="171"/>
      <c r="C39" s="135" t="s">
        <v>332</v>
      </c>
      <c r="D39" s="61"/>
      <c r="E39" s="63">
        <f>9.6-0.5</f>
        <v>9.1</v>
      </c>
      <c r="F39" s="63">
        <f>9.5-0.6</f>
        <v>8.9</v>
      </c>
      <c r="G39" s="117"/>
      <c r="H39" s="117"/>
      <c r="I39" s="117"/>
      <c r="J39" s="117"/>
      <c r="K39" s="117"/>
      <c r="L39" s="12"/>
      <c r="M39" s="12"/>
      <c r="N39" s="12"/>
      <c r="O39" s="12"/>
      <c r="P39" s="12"/>
      <c r="Q39" s="12"/>
    </row>
    <row r="40" spans="1:17" ht="12.6" customHeight="1" x14ac:dyDescent="0.2">
      <c r="A40" s="170" t="s">
        <v>428</v>
      </c>
      <c r="B40" s="171"/>
      <c r="C40" s="135" t="s">
        <v>334</v>
      </c>
      <c r="D40" s="61"/>
      <c r="E40" s="63">
        <f>116.8+4.8</f>
        <v>121.6</v>
      </c>
      <c r="F40" s="63">
        <f>113.3+4.7</f>
        <v>118</v>
      </c>
      <c r="G40" s="117"/>
      <c r="H40" s="117"/>
      <c r="I40" s="117"/>
      <c r="J40" s="117"/>
      <c r="K40" s="117"/>
      <c r="L40" s="12"/>
      <c r="M40" s="12"/>
      <c r="N40" s="12"/>
      <c r="O40" s="12"/>
      <c r="P40" s="12"/>
      <c r="Q40" s="12"/>
    </row>
    <row r="41" spans="1:17" ht="12.6" customHeight="1" x14ac:dyDescent="0.2">
      <c r="A41" s="170" t="s">
        <v>429</v>
      </c>
      <c r="B41" s="172"/>
      <c r="C41" s="135" t="s">
        <v>335</v>
      </c>
      <c r="D41" s="61"/>
      <c r="E41" s="63">
        <f>65.1-5.6</f>
        <v>59.499999999999993</v>
      </c>
      <c r="F41" s="63">
        <f>63.5-5.5</f>
        <v>58</v>
      </c>
      <c r="G41" s="117"/>
      <c r="H41" s="117"/>
      <c r="I41" s="117"/>
      <c r="J41" s="117"/>
      <c r="K41" s="117"/>
      <c r="L41" s="12"/>
      <c r="M41" s="12"/>
      <c r="N41" s="12"/>
      <c r="O41" s="12"/>
      <c r="P41" s="12"/>
      <c r="Q41" s="12"/>
    </row>
    <row r="42" spans="1:17" ht="12.6" customHeight="1" x14ac:dyDescent="0.2">
      <c r="A42" s="170" t="s">
        <v>430</v>
      </c>
      <c r="B42" s="172"/>
      <c r="C42" s="135" t="s">
        <v>431</v>
      </c>
      <c r="D42" s="61"/>
      <c r="E42" s="63">
        <f>332-332</f>
        <v>0</v>
      </c>
      <c r="F42" s="63">
        <f>327.3-327.3</f>
        <v>0</v>
      </c>
      <c r="G42" s="117"/>
      <c r="H42" s="117"/>
      <c r="I42" s="117"/>
      <c r="J42" s="117"/>
      <c r="K42" s="117"/>
      <c r="L42" s="12"/>
      <c r="M42" s="12"/>
      <c r="N42" s="12"/>
      <c r="O42" s="12"/>
      <c r="P42" s="12"/>
      <c r="Q42" s="12"/>
    </row>
    <row r="43" spans="1:17" ht="12.6" customHeight="1" x14ac:dyDescent="0.2">
      <c r="A43" s="57">
        <v>29</v>
      </c>
      <c r="B43" s="61"/>
      <c r="C43" s="173" t="s">
        <v>15</v>
      </c>
      <c r="D43" s="61" t="s">
        <v>58</v>
      </c>
      <c r="E43" s="63">
        <f>157.6+2.4+0.3</f>
        <v>160.30000000000001</v>
      </c>
      <c r="F43" s="63">
        <f>153.3+2.4+0.2</f>
        <v>155.9</v>
      </c>
      <c r="G43" s="117"/>
      <c r="H43" s="117"/>
      <c r="I43" s="117"/>
      <c r="J43" s="117"/>
      <c r="K43" s="117"/>
      <c r="L43" s="12"/>
      <c r="M43" s="12"/>
      <c r="N43" s="12"/>
      <c r="O43" s="12"/>
      <c r="P43" s="12"/>
      <c r="Q43" s="12"/>
    </row>
    <row r="44" spans="1:17" ht="12.6" customHeight="1" x14ac:dyDescent="0.2">
      <c r="A44" s="57">
        <v>30</v>
      </c>
      <c r="B44" s="61"/>
      <c r="C44" s="173" t="s">
        <v>257</v>
      </c>
      <c r="D44" s="61" t="s">
        <v>58</v>
      </c>
      <c r="E44" s="63">
        <f>101.2+7.3</f>
        <v>108.5</v>
      </c>
      <c r="F44" s="63">
        <f>98.3+6.5</f>
        <v>104.8</v>
      </c>
      <c r="G44" s="117"/>
      <c r="H44" s="117"/>
      <c r="I44" s="117"/>
      <c r="J44" s="117"/>
      <c r="K44" s="117"/>
      <c r="L44" s="12"/>
      <c r="M44" s="12"/>
      <c r="N44" s="12"/>
      <c r="O44" s="12"/>
      <c r="P44" s="12"/>
      <c r="Q44" s="12"/>
    </row>
    <row r="45" spans="1:17" ht="25.5" x14ac:dyDescent="0.2">
      <c r="A45" s="57">
        <v>31</v>
      </c>
      <c r="B45" s="65" t="s">
        <v>273</v>
      </c>
      <c r="C45" s="165" t="s">
        <v>201</v>
      </c>
      <c r="D45" s="171"/>
      <c r="E45" s="150">
        <f>+E46</f>
        <v>688.4</v>
      </c>
      <c r="F45" s="150">
        <f>+F46</f>
        <v>577.6</v>
      </c>
      <c r="G45" s="120"/>
      <c r="H45" s="120"/>
      <c r="I45" s="117"/>
      <c r="J45" s="12"/>
      <c r="K45" s="12"/>
      <c r="L45" s="12"/>
      <c r="M45" s="12"/>
      <c r="N45" s="12"/>
      <c r="O45" s="12"/>
      <c r="P45" s="12"/>
      <c r="Q45" s="12"/>
    </row>
    <row r="46" spans="1:17" ht="12.6" customHeight="1" x14ac:dyDescent="0.2">
      <c r="A46" s="57">
        <v>32</v>
      </c>
      <c r="B46" s="61"/>
      <c r="C46" s="66" t="s">
        <v>336</v>
      </c>
      <c r="D46" s="68" t="s">
        <v>61</v>
      </c>
      <c r="E46" s="63">
        <v>688.4</v>
      </c>
      <c r="F46" s="63">
        <f>590-12.4</f>
        <v>577.6</v>
      </c>
      <c r="G46" s="117"/>
      <c r="H46" s="117"/>
      <c r="I46" s="117"/>
      <c r="J46" s="117"/>
      <c r="K46" s="117"/>
      <c r="L46" s="12"/>
      <c r="M46" s="12"/>
      <c r="N46" s="12"/>
      <c r="O46" s="12"/>
      <c r="P46" s="12"/>
      <c r="Q46" s="12"/>
    </row>
    <row r="47" spans="1:17" ht="18" customHeight="1" x14ac:dyDescent="0.2">
      <c r="A47" s="57">
        <v>33</v>
      </c>
      <c r="B47" s="56" t="s">
        <v>76</v>
      </c>
      <c r="C47" s="83" t="s">
        <v>193</v>
      </c>
      <c r="D47" s="94"/>
      <c r="E47" s="174">
        <f>+E48</f>
        <v>58.6</v>
      </c>
      <c r="F47" s="174">
        <f>+F48</f>
        <v>57.800000000000004</v>
      </c>
      <c r="G47" s="175"/>
      <c r="H47" s="117"/>
      <c r="I47" s="117"/>
      <c r="J47" s="12"/>
      <c r="K47" s="12"/>
      <c r="L47" s="12"/>
      <c r="M47" s="12"/>
      <c r="N47" s="12"/>
      <c r="O47" s="12"/>
      <c r="P47" s="12"/>
      <c r="Q47" s="12"/>
    </row>
    <row r="48" spans="1:17" ht="12.6" customHeight="1" x14ac:dyDescent="0.2">
      <c r="A48" s="57">
        <v>34</v>
      </c>
      <c r="B48" s="65" t="s">
        <v>278</v>
      </c>
      <c r="C48" s="165" t="s">
        <v>254</v>
      </c>
      <c r="D48" s="94"/>
      <c r="E48" s="166">
        <f>+E49</f>
        <v>58.6</v>
      </c>
      <c r="F48" s="166">
        <f>+F49</f>
        <v>57.800000000000004</v>
      </c>
      <c r="G48" s="167"/>
      <c r="H48" s="117"/>
      <c r="I48" s="117"/>
      <c r="J48" s="12"/>
      <c r="K48" s="12"/>
      <c r="L48" s="12"/>
      <c r="M48" s="12"/>
      <c r="N48" s="12"/>
      <c r="O48" s="12"/>
      <c r="P48" s="12"/>
      <c r="Q48" s="12"/>
    </row>
    <row r="49" spans="1:17" ht="12.6" customHeight="1" x14ac:dyDescent="0.2">
      <c r="A49" s="57">
        <v>35</v>
      </c>
      <c r="B49" s="82"/>
      <c r="C49" s="66" t="s">
        <v>112</v>
      </c>
      <c r="D49" s="61" t="s">
        <v>62</v>
      </c>
      <c r="E49" s="63">
        <f>57.9+0.7</f>
        <v>58.6</v>
      </c>
      <c r="F49" s="63">
        <f>57.1+0.7</f>
        <v>57.800000000000004</v>
      </c>
      <c r="G49" s="117"/>
      <c r="H49" s="117"/>
      <c r="I49" s="117"/>
      <c r="J49" s="117"/>
      <c r="K49" s="117"/>
      <c r="L49" s="12"/>
      <c r="M49" s="12"/>
      <c r="N49" s="12"/>
      <c r="O49" s="12"/>
      <c r="P49" s="12"/>
      <c r="Q49" s="12"/>
    </row>
    <row r="50" spans="1:17" ht="12.75" customHeight="1" x14ac:dyDescent="0.2">
      <c r="A50" s="57">
        <v>36</v>
      </c>
      <c r="B50" s="56"/>
      <c r="C50" s="137" t="s">
        <v>20</v>
      </c>
      <c r="D50" s="61"/>
      <c r="E50" s="84">
        <f>+E10+E47</f>
        <v>19631.600000000002</v>
      </c>
      <c r="F50" s="84">
        <f>+F10+F47</f>
        <v>18691.499999999996</v>
      </c>
      <c r="G50" s="176"/>
      <c r="H50" s="176"/>
      <c r="I50" s="176"/>
      <c r="J50" s="12"/>
      <c r="K50" s="12"/>
      <c r="L50" s="12"/>
      <c r="M50" s="12"/>
      <c r="N50" s="12"/>
      <c r="O50" s="12"/>
      <c r="P50" s="12"/>
      <c r="Q50" s="12"/>
    </row>
    <row r="51" spans="1:17" ht="12.75" customHeight="1" x14ac:dyDescent="0.2">
      <c r="A51" s="46"/>
      <c r="B51" s="177"/>
      <c r="C51" s="178"/>
      <c r="D51" s="48"/>
      <c r="E51" s="179"/>
      <c r="F51" s="179"/>
      <c r="G51" s="176"/>
      <c r="H51" s="176"/>
      <c r="I51" s="176"/>
      <c r="J51" s="12"/>
      <c r="K51" s="12"/>
      <c r="L51" s="12"/>
      <c r="M51" s="12"/>
      <c r="N51" s="12"/>
      <c r="O51" s="12"/>
      <c r="P51" s="12"/>
      <c r="Q51" s="12"/>
    </row>
    <row r="52" spans="1:17" x14ac:dyDescent="0.2">
      <c r="C52" s="157" t="s">
        <v>113</v>
      </c>
      <c r="D52" s="48"/>
      <c r="E52" s="154"/>
      <c r="F52" s="154"/>
      <c r="G52" s="154"/>
      <c r="H52" s="154"/>
      <c r="I52" s="154"/>
    </row>
    <row r="53" spans="1:17" x14ac:dyDescent="0.2">
      <c r="D53" s="48"/>
      <c r="E53" s="154"/>
      <c r="F53" s="154"/>
      <c r="G53" s="154"/>
      <c r="H53" s="154"/>
      <c r="I53" s="154"/>
    </row>
    <row r="54" spans="1:17" x14ac:dyDescent="0.2">
      <c r="E54" s="154"/>
      <c r="F54" s="154"/>
      <c r="G54" s="154"/>
      <c r="H54" s="154"/>
      <c r="I54" s="154"/>
    </row>
    <row r="55" spans="1:17" x14ac:dyDescent="0.2">
      <c r="E55" s="154"/>
      <c r="F55" s="154"/>
      <c r="G55" s="154"/>
      <c r="H55" s="154"/>
      <c r="I55" s="154"/>
    </row>
    <row r="56" spans="1:17" x14ac:dyDescent="0.2">
      <c r="E56" s="110"/>
      <c r="F56" s="110"/>
      <c r="G56" s="119"/>
      <c r="H56" s="119"/>
      <c r="I56" s="119"/>
    </row>
    <row r="57" spans="1:17" x14ac:dyDescent="0.2">
      <c r="E57" s="119"/>
      <c r="F57" s="119"/>
      <c r="G57" s="119"/>
      <c r="H57" s="119"/>
      <c r="I57" s="119"/>
    </row>
    <row r="58" spans="1:17" x14ac:dyDescent="0.2">
      <c r="E58" s="119"/>
      <c r="F58" s="119"/>
      <c r="G58" s="119"/>
      <c r="H58" s="119"/>
      <c r="I58" s="119"/>
    </row>
    <row r="59" spans="1:17" x14ac:dyDescent="0.2">
      <c r="E59" s="119"/>
      <c r="F59" s="119"/>
      <c r="G59" s="119"/>
      <c r="H59" s="119"/>
      <c r="I59" s="119"/>
      <c r="J59" s="119"/>
      <c r="K59" s="119"/>
      <c r="L59" s="119"/>
      <c r="M59" s="119"/>
    </row>
    <row r="60" spans="1:17" x14ac:dyDescent="0.2">
      <c r="C60" s="9"/>
      <c r="E60" s="154"/>
      <c r="F60" s="154"/>
      <c r="G60" s="154"/>
      <c r="H60" s="154"/>
      <c r="I60" s="154"/>
    </row>
    <row r="61" spans="1:17" x14ac:dyDescent="0.2">
      <c r="E61" s="9"/>
      <c r="F61" s="9"/>
      <c r="G61" s="9"/>
      <c r="H61" s="9"/>
      <c r="I61" s="9"/>
    </row>
    <row r="62" spans="1:17" x14ac:dyDescent="0.2">
      <c r="C62" s="143"/>
      <c r="E62" s="119"/>
      <c r="F62" s="119"/>
      <c r="G62" s="119"/>
      <c r="H62" s="119"/>
      <c r="I62" s="119"/>
    </row>
    <row r="63" spans="1:17" x14ac:dyDescent="0.2">
      <c r="E63" s="119"/>
      <c r="F63" s="119"/>
      <c r="G63" s="119"/>
      <c r="H63" s="119"/>
      <c r="I63" s="119"/>
    </row>
    <row r="64" spans="1:17" x14ac:dyDescent="0.2">
      <c r="E64" s="9"/>
      <c r="F64" s="9"/>
      <c r="G64" s="9"/>
      <c r="H64" s="9"/>
      <c r="I64" s="9"/>
    </row>
    <row r="65" spans="5:9" x14ac:dyDescent="0.2">
      <c r="E65" s="119"/>
      <c r="F65" s="119"/>
      <c r="G65" s="119"/>
      <c r="H65" s="119"/>
      <c r="I65" s="119"/>
    </row>
    <row r="66" spans="5:9" x14ac:dyDescent="0.2">
      <c r="E66" s="9"/>
      <c r="F66" s="9"/>
      <c r="G66" s="9"/>
      <c r="H66" s="9"/>
      <c r="I66" s="9"/>
    </row>
    <row r="67" spans="5:9" x14ac:dyDescent="0.2">
      <c r="E67" s="9"/>
      <c r="F67" s="9"/>
      <c r="G67" s="9"/>
      <c r="H67" s="9"/>
      <c r="I67" s="9"/>
    </row>
  </sheetData>
  <mergeCells count="4">
    <mergeCell ref="C1:F1"/>
    <mergeCell ref="E3:F3"/>
    <mergeCell ref="A5:F5"/>
    <mergeCell ref="C2:F2"/>
  </mergeCells>
  <phoneticPr fontId="16" type="noConversion"/>
  <pageMargins left="0.59055118110236227" right="0" top="0.39370078740157483" bottom="0.19685039370078741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K146"/>
  <sheetViews>
    <sheetView zoomScaleNormal="100" workbookViewId="0">
      <selection activeCell="L16" sqref="L16"/>
    </sheetView>
  </sheetViews>
  <sheetFormatPr defaultColWidth="9.140625" defaultRowHeight="12.75" x14ac:dyDescent="0.2"/>
  <cols>
    <col min="1" max="1" width="4.7109375" style="9" customWidth="1"/>
    <col min="2" max="2" width="7" style="48" customWidth="1"/>
    <col min="3" max="3" width="48.140625" style="157" customWidth="1"/>
    <col min="4" max="4" width="10.5703125" style="47" customWidth="1"/>
    <col min="5" max="5" width="10.42578125" style="46" customWidth="1"/>
    <col min="6" max="6" width="11.28515625" style="46" customWidth="1"/>
    <col min="7" max="8" width="9.140625" style="12" customWidth="1"/>
    <col min="9" max="16384" width="9.140625" style="2"/>
  </cols>
  <sheetData>
    <row r="1" spans="1:8" ht="15.75" x14ac:dyDescent="0.25">
      <c r="C1" s="225" t="s">
        <v>341</v>
      </c>
      <c r="D1" s="225"/>
      <c r="E1" s="225"/>
      <c r="F1" s="225"/>
    </row>
    <row r="2" spans="1:8" ht="15" customHeight="1" x14ac:dyDescent="0.25">
      <c r="C2" s="225" t="s">
        <v>842</v>
      </c>
      <c r="D2" s="225"/>
      <c r="E2" s="225"/>
      <c r="F2" s="225"/>
    </row>
    <row r="3" spans="1:8" ht="15.75" x14ac:dyDescent="0.25">
      <c r="C3" s="142"/>
      <c r="D3" s="142"/>
      <c r="E3" s="209" t="s">
        <v>340</v>
      </c>
      <c r="F3" s="209"/>
    </row>
    <row r="4" spans="1:8" ht="15.75" x14ac:dyDescent="0.2">
      <c r="E4" s="49"/>
      <c r="F4" s="49"/>
    </row>
    <row r="5" spans="1:8" ht="35.25" customHeight="1" x14ac:dyDescent="0.2">
      <c r="A5" s="224" t="s">
        <v>418</v>
      </c>
      <c r="B5" s="224"/>
      <c r="C5" s="224"/>
      <c r="D5" s="224"/>
      <c r="E5" s="224"/>
      <c r="F5" s="224"/>
    </row>
    <row r="6" spans="1:8" x14ac:dyDescent="0.2">
      <c r="A6" s="164"/>
      <c r="B6" s="164"/>
      <c r="C6" s="164"/>
      <c r="D6" s="164"/>
      <c r="E6" s="164"/>
      <c r="F6" s="164"/>
    </row>
    <row r="7" spans="1:8" x14ac:dyDescent="0.2">
      <c r="A7" s="159"/>
      <c r="B7" s="160"/>
      <c r="C7" s="161"/>
      <c r="D7" s="162"/>
      <c r="E7" s="163"/>
      <c r="F7" s="52" t="s">
        <v>129</v>
      </c>
    </row>
    <row r="8" spans="1:8" ht="38.25" x14ac:dyDescent="0.2">
      <c r="A8" s="53" t="s">
        <v>118</v>
      </c>
      <c r="B8" s="54" t="s">
        <v>337</v>
      </c>
      <c r="C8" s="53" t="s">
        <v>16</v>
      </c>
      <c r="D8" s="54" t="s">
        <v>55</v>
      </c>
      <c r="E8" s="53" t="s">
        <v>17</v>
      </c>
      <c r="F8" s="53" t="s">
        <v>29</v>
      </c>
      <c r="G8" s="168"/>
      <c r="H8" s="168"/>
    </row>
    <row r="9" spans="1:8" s="126" customFormat="1" ht="12.75" customHeight="1" x14ac:dyDescent="0.2">
      <c r="A9" s="55">
        <v>1</v>
      </c>
      <c r="B9" s="56" t="s">
        <v>18</v>
      </c>
      <c r="C9" s="53">
        <v>3</v>
      </c>
      <c r="D9" s="54">
        <v>4</v>
      </c>
      <c r="E9" s="53">
        <v>5</v>
      </c>
      <c r="F9" s="53">
        <v>6</v>
      </c>
      <c r="G9" s="168"/>
      <c r="H9" s="168"/>
    </row>
    <row r="10" spans="1:8" s="126" customFormat="1" ht="12.75" customHeight="1" x14ac:dyDescent="0.2">
      <c r="A10" s="57">
        <v>1</v>
      </c>
      <c r="B10" s="56" t="s">
        <v>56</v>
      </c>
      <c r="C10" s="58" t="s">
        <v>57</v>
      </c>
      <c r="D10" s="53"/>
      <c r="E10" s="59">
        <f>+E11+E13+E16+E34+E41</f>
        <v>864.1</v>
      </c>
      <c r="F10" s="59">
        <f>+F11+F13+F16+F34+F41</f>
        <v>56.3</v>
      </c>
      <c r="G10" s="168"/>
      <c r="H10" s="168"/>
    </row>
    <row r="11" spans="1:8" s="126" customFormat="1" ht="12.75" customHeight="1" x14ac:dyDescent="0.2">
      <c r="A11" s="57">
        <v>2</v>
      </c>
      <c r="B11" s="65" t="s">
        <v>272</v>
      </c>
      <c r="C11" s="165" t="s">
        <v>622</v>
      </c>
      <c r="D11" s="82"/>
      <c r="E11" s="150">
        <f>+E12</f>
        <v>261.60000000000002</v>
      </c>
      <c r="F11" s="150">
        <f>+F12</f>
        <v>0</v>
      </c>
      <c r="G11" s="168"/>
      <c r="H11" s="168"/>
    </row>
    <row r="12" spans="1:8" s="126" customFormat="1" ht="12.75" customHeight="1" x14ac:dyDescent="0.2">
      <c r="A12" s="57">
        <v>3</v>
      </c>
      <c r="B12" s="61"/>
      <c r="C12" s="133" t="s">
        <v>203</v>
      </c>
      <c r="D12" s="65" t="s">
        <v>623</v>
      </c>
      <c r="E12" s="63">
        <f>253.8+7.8</f>
        <v>261.60000000000002</v>
      </c>
      <c r="F12" s="63"/>
      <c r="G12" s="168"/>
      <c r="H12" s="168"/>
    </row>
    <row r="13" spans="1:8" s="126" customFormat="1" ht="12.75" customHeight="1" x14ac:dyDescent="0.2">
      <c r="A13" s="57">
        <v>4</v>
      </c>
      <c r="B13" s="61" t="s">
        <v>273</v>
      </c>
      <c r="C13" s="165" t="s">
        <v>711</v>
      </c>
      <c r="D13" s="82"/>
      <c r="E13" s="150">
        <f>+E14</f>
        <v>484</v>
      </c>
      <c r="F13" s="150">
        <f>+F14</f>
        <v>0</v>
      </c>
      <c r="G13" s="168"/>
      <c r="H13" s="168"/>
    </row>
    <row r="14" spans="1:8" s="126" customFormat="1" ht="12.75" customHeight="1" x14ac:dyDescent="0.2">
      <c r="A14" s="57">
        <v>5</v>
      </c>
      <c r="B14" s="61"/>
      <c r="C14" s="64" t="s">
        <v>624</v>
      </c>
      <c r="D14" s="61"/>
      <c r="E14" s="63">
        <f>+E15</f>
        <v>484</v>
      </c>
      <c r="F14" s="63">
        <f>+F15</f>
        <v>0</v>
      </c>
      <c r="G14" s="168"/>
      <c r="H14" s="168"/>
    </row>
    <row r="15" spans="1:8" s="126" customFormat="1" ht="27" customHeight="1" x14ac:dyDescent="0.2">
      <c r="A15" s="57">
        <v>6</v>
      </c>
      <c r="B15" s="61"/>
      <c r="C15" s="133" t="s">
        <v>709</v>
      </c>
      <c r="D15" s="61" t="s">
        <v>60</v>
      </c>
      <c r="E15" s="63">
        <v>484</v>
      </c>
      <c r="F15" s="63"/>
      <c r="G15" s="168"/>
      <c r="H15" s="168"/>
    </row>
    <row r="16" spans="1:8" s="126" customFormat="1" ht="38.25" x14ac:dyDescent="0.2">
      <c r="A16" s="57">
        <v>7</v>
      </c>
      <c r="B16" s="61" t="s">
        <v>728</v>
      </c>
      <c r="C16" s="85" t="s">
        <v>727</v>
      </c>
      <c r="D16" s="61"/>
      <c r="E16" s="150">
        <f>SUM(E17:E33)</f>
        <v>95.999999999999972</v>
      </c>
      <c r="F16" s="150">
        <f>SUM(F17:F33)</f>
        <v>53.8</v>
      </c>
      <c r="G16" s="168"/>
      <c r="H16" s="168"/>
    </row>
    <row r="17" spans="1:10" s="126" customFormat="1" ht="12.75" customHeight="1" x14ac:dyDescent="0.2">
      <c r="A17" s="57">
        <v>8</v>
      </c>
      <c r="B17" s="61"/>
      <c r="C17" s="66" t="s">
        <v>165</v>
      </c>
      <c r="D17" s="61" t="s">
        <v>58</v>
      </c>
      <c r="E17" s="63">
        <f>1.9+1.8+3.2+1.9</f>
        <v>8.8000000000000007</v>
      </c>
      <c r="F17" s="63">
        <f>0.3+0.2+0.5+0.3</f>
        <v>1.3</v>
      </c>
      <c r="G17" s="168"/>
      <c r="H17" s="168"/>
    </row>
    <row r="18" spans="1:10" s="126" customFormat="1" ht="12.75" customHeight="1" x14ac:dyDescent="0.2">
      <c r="A18" s="57">
        <v>9</v>
      </c>
      <c r="B18" s="61"/>
      <c r="C18" s="66" t="s">
        <v>156</v>
      </c>
      <c r="D18" s="61" t="s">
        <v>58</v>
      </c>
      <c r="E18" s="63">
        <f>0.7+0.7+1.4+1.1</f>
        <v>3.9</v>
      </c>
      <c r="F18" s="63">
        <f>0.1+0.1+0.2+0.2</f>
        <v>0.60000000000000009</v>
      </c>
      <c r="G18" s="168"/>
      <c r="H18" s="168"/>
    </row>
    <row r="19" spans="1:10" s="126" customFormat="1" ht="12.75" customHeight="1" x14ac:dyDescent="0.2">
      <c r="A19" s="57">
        <v>10</v>
      </c>
      <c r="B19" s="61"/>
      <c r="C19" s="66" t="s">
        <v>157</v>
      </c>
      <c r="D19" s="61" t="s">
        <v>58</v>
      </c>
      <c r="E19" s="63">
        <f>0.7+0.5+3.3+2.7</f>
        <v>7.2</v>
      </c>
      <c r="F19" s="63">
        <f>0.1+0.1+1.5+1</f>
        <v>2.7</v>
      </c>
      <c r="G19" s="168"/>
      <c r="H19" s="168"/>
    </row>
    <row r="20" spans="1:10" s="126" customFormat="1" ht="12.75" customHeight="1" x14ac:dyDescent="0.2">
      <c r="A20" s="57">
        <v>11</v>
      </c>
      <c r="B20" s="61"/>
      <c r="C20" s="66" t="s">
        <v>158</v>
      </c>
      <c r="D20" s="61" t="s">
        <v>58</v>
      </c>
      <c r="E20" s="63">
        <f>1+1+2+0.7</f>
        <v>4.7</v>
      </c>
      <c r="F20" s="63">
        <f>0.4+0.4+0.8+0.1</f>
        <v>1.7000000000000002</v>
      </c>
      <c r="G20" s="168"/>
      <c r="H20" s="168"/>
    </row>
    <row r="21" spans="1:10" s="126" customFormat="1" ht="12.75" customHeight="1" x14ac:dyDescent="0.2">
      <c r="A21" s="57">
        <v>12</v>
      </c>
      <c r="B21" s="61"/>
      <c r="C21" s="66" t="s">
        <v>159</v>
      </c>
      <c r="D21" s="61" t="s">
        <v>58</v>
      </c>
      <c r="E21" s="63">
        <f>2.6+2.6+5.2+2.8</f>
        <v>13.2</v>
      </c>
      <c r="F21" s="63">
        <f>1.4+1.3+2.8+0.4</f>
        <v>5.9</v>
      </c>
      <c r="G21" s="168"/>
      <c r="H21" s="168"/>
    </row>
    <row r="22" spans="1:10" s="126" customFormat="1" ht="12.75" customHeight="1" x14ac:dyDescent="0.2">
      <c r="A22" s="57">
        <v>13</v>
      </c>
      <c r="B22" s="61"/>
      <c r="C22" s="66" t="s">
        <v>160</v>
      </c>
      <c r="D22" s="61" t="s">
        <v>58</v>
      </c>
      <c r="E22" s="63">
        <f>0.7+1.2+3.3+1.8</f>
        <v>6.9999999999999991</v>
      </c>
      <c r="F22" s="63">
        <f>0.1+0.4+1.5+0.3</f>
        <v>2.2999999999999998</v>
      </c>
      <c r="G22" s="168"/>
      <c r="H22" s="168"/>
    </row>
    <row r="23" spans="1:10" s="126" customFormat="1" ht="12.75" customHeight="1" x14ac:dyDescent="0.2">
      <c r="A23" s="57">
        <v>14</v>
      </c>
      <c r="B23" s="61"/>
      <c r="C23" s="66" t="s">
        <v>164</v>
      </c>
      <c r="D23" s="68" t="s">
        <v>60</v>
      </c>
      <c r="E23" s="63">
        <f>0.6+1.3+1.2</f>
        <v>3.0999999999999996</v>
      </c>
      <c r="F23" s="63">
        <f>0.6+1.2+1.2</f>
        <v>3</v>
      </c>
      <c r="G23" s="168"/>
      <c r="H23" s="168"/>
      <c r="J23" s="144"/>
    </row>
    <row r="24" spans="1:10" s="126" customFormat="1" ht="12.75" customHeight="1" x14ac:dyDescent="0.2">
      <c r="A24" s="57">
        <v>15</v>
      </c>
      <c r="B24" s="61"/>
      <c r="C24" s="135" t="s">
        <v>134</v>
      </c>
      <c r="D24" s="68" t="s">
        <v>60</v>
      </c>
      <c r="E24" s="63">
        <f>0.6+0.2+0.4+1.7</f>
        <v>2.9000000000000004</v>
      </c>
      <c r="F24" s="63">
        <f>0.3+0.1+1.4</f>
        <v>1.7999999999999998</v>
      </c>
      <c r="G24" s="168"/>
      <c r="H24" s="168"/>
    </row>
    <row r="25" spans="1:10" s="126" customFormat="1" ht="12.75" customHeight="1" x14ac:dyDescent="0.2">
      <c r="A25" s="57">
        <v>16</v>
      </c>
      <c r="B25" s="61"/>
      <c r="C25" s="135" t="s">
        <v>135</v>
      </c>
      <c r="D25" s="68" t="s">
        <v>60</v>
      </c>
      <c r="E25" s="63">
        <f>0.2+0.1</f>
        <v>0.30000000000000004</v>
      </c>
      <c r="F25" s="63">
        <v>0.1</v>
      </c>
      <c r="G25" s="168"/>
      <c r="H25" s="168"/>
    </row>
    <row r="26" spans="1:10" s="126" customFormat="1" ht="12.75" customHeight="1" x14ac:dyDescent="0.2">
      <c r="A26" s="57">
        <v>17</v>
      </c>
      <c r="B26" s="61"/>
      <c r="C26" s="135" t="s">
        <v>40</v>
      </c>
      <c r="D26" s="68" t="s">
        <v>60</v>
      </c>
      <c r="E26" s="180">
        <f>0.4+0.3+1.7+0.7</f>
        <v>3.0999999999999996</v>
      </c>
      <c r="F26" s="180">
        <f>0.1+0.7+0.1</f>
        <v>0.89999999999999991</v>
      </c>
      <c r="G26" s="168"/>
      <c r="H26" s="168"/>
    </row>
    <row r="27" spans="1:10" s="126" customFormat="1" ht="12.75" customHeight="1" x14ac:dyDescent="0.2">
      <c r="A27" s="57">
        <v>18</v>
      </c>
      <c r="B27" s="61"/>
      <c r="C27" s="66" t="s">
        <v>137</v>
      </c>
      <c r="D27" s="68" t="s">
        <v>60</v>
      </c>
      <c r="E27" s="180">
        <f>2.2+2.2+2.8+2.7</f>
        <v>9.9</v>
      </c>
      <c r="F27" s="180">
        <f>1.9+1.8+2.5+2.7</f>
        <v>8.9</v>
      </c>
      <c r="G27" s="168"/>
      <c r="H27" s="168"/>
    </row>
    <row r="28" spans="1:10" s="126" customFormat="1" ht="12.75" customHeight="1" x14ac:dyDescent="0.2">
      <c r="A28" s="57">
        <v>19</v>
      </c>
      <c r="B28" s="61"/>
      <c r="C28" s="135" t="s">
        <v>162</v>
      </c>
      <c r="D28" s="68" t="s">
        <v>61</v>
      </c>
      <c r="E28" s="180">
        <f>1.9+3.1+7.4+1.4</f>
        <v>13.8</v>
      </c>
      <c r="F28" s="180">
        <f>1.8+3.1+7.3+1.3</f>
        <v>13.5</v>
      </c>
      <c r="G28" s="168"/>
      <c r="H28" s="168"/>
    </row>
    <row r="29" spans="1:10" s="126" customFormat="1" ht="12.75" customHeight="1" x14ac:dyDescent="0.2">
      <c r="A29" s="57">
        <v>20</v>
      </c>
      <c r="B29" s="61"/>
      <c r="C29" s="66" t="s">
        <v>163</v>
      </c>
      <c r="D29" s="69" t="s">
        <v>206</v>
      </c>
      <c r="E29" s="180">
        <f>3.1+1.9+3.7+0.7</f>
        <v>9.3999999999999986</v>
      </c>
      <c r="F29" s="180">
        <f>3+1.9+3.7+0.7</f>
        <v>9.3000000000000007</v>
      </c>
      <c r="G29" s="168"/>
      <c r="H29" s="168"/>
    </row>
    <row r="30" spans="1:10" s="126" customFormat="1" ht="12.75" customHeight="1" x14ac:dyDescent="0.2">
      <c r="A30" s="57">
        <v>21</v>
      </c>
      <c r="B30" s="61"/>
      <c r="C30" s="135" t="s">
        <v>120</v>
      </c>
      <c r="D30" s="69" t="s">
        <v>206</v>
      </c>
      <c r="E30" s="180">
        <f>0.5+0.5+1.1+0.4</f>
        <v>2.5</v>
      </c>
      <c r="F30" s="180">
        <f>0.1+0.1+0.1+0.1</f>
        <v>0.4</v>
      </c>
      <c r="G30" s="168"/>
      <c r="H30" s="168"/>
    </row>
    <row r="31" spans="1:10" s="126" customFormat="1" ht="12.75" customHeight="1" x14ac:dyDescent="0.2">
      <c r="A31" s="57">
        <v>22</v>
      </c>
      <c r="B31" s="61"/>
      <c r="C31" s="135" t="s">
        <v>136</v>
      </c>
      <c r="D31" s="68" t="s">
        <v>61</v>
      </c>
      <c r="E31" s="180">
        <f>0.7+0.7+1.4+0.7</f>
        <v>3.5</v>
      </c>
      <c r="F31" s="180">
        <f>0.1+0.1+0.2+0.1</f>
        <v>0.5</v>
      </c>
      <c r="G31" s="168"/>
      <c r="H31" s="168"/>
    </row>
    <row r="32" spans="1:10" s="126" customFormat="1" ht="12" customHeight="1" x14ac:dyDescent="0.2">
      <c r="A32" s="57">
        <v>23</v>
      </c>
      <c r="B32" s="61"/>
      <c r="C32" s="173" t="s">
        <v>15</v>
      </c>
      <c r="D32" s="61" t="s">
        <v>58</v>
      </c>
      <c r="E32" s="180">
        <f>0.4+0.3+0.7+0.7</f>
        <v>2.0999999999999996</v>
      </c>
      <c r="F32" s="180">
        <f>0.1+0.1+0.1</f>
        <v>0.30000000000000004</v>
      </c>
      <c r="G32" s="168"/>
      <c r="H32" s="168"/>
    </row>
    <row r="33" spans="1:8" s="126" customFormat="1" ht="12" customHeight="1" x14ac:dyDescent="0.2">
      <c r="A33" s="57">
        <v>24</v>
      </c>
      <c r="B33" s="61"/>
      <c r="C33" s="173" t="s">
        <v>257</v>
      </c>
      <c r="D33" s="61" t="s">
        <v>58</v>
      </c>
      <c r="E33" s="180">
        <f>0.3+0.3</f>
        <v>0.6</v>
      </c>
      <c r="F33" s="180">
        <f>0.3+0.3</f>
        <v>0.6</v>
      </c>
      <c r="G33" s="168"/>
      <c r="H33" s="168"/>
    </row>
    <row r="34" spans="1:8" s="126" customFormat="1" ht="38.25" x14ac:dyDescent="0.2">
      <c r="A34" s="57">
        <v>25</v>
      </c>
      <c r="B34" s="61" t="s">
        <v>732</v>
      </c>
      <c r="C34" s="181" t="s">
        <v>738</v>
      </c>
      <c r="D34" s="61"/>
      <c r="E34" s="182">
        <f>SUM(E35:E40)</f>
        <v>13.6</v>
      </c>
      <c r="F34" s="182">
        <f>SUM(F35:F40)</f>
        <v>0</v>
      </c>
      <c r="G34" s="168"/>
      <c r="H34" s="168"/>
    </row>
    <row r="35" spans="1:8" s="126" customFormat="1" ht="12" customHeight="1" x14ac:dyDescent="0.2">
      <c r="A35" s="57">
        <v>26</v>
      </c>
      <c r="B35" s="61"/>
      <c r="C35" s="64" t="s">
        <v>134</v>
      </c>
      <c r="D35" s="61" t="s">
        <v>60</v>
      </c>
      <c r="E35" s="180">
        <f>0.9+0.5</f>
        <v>1.4</v>
      </c>
      <c r="F35" s="183">
        <f>0.9-0.9</f>
        <v>0</v>
      </c>
      <c r="G35" s="168"/>
      <c r="H35" s="168"/>
    </row>
    <row r="36" spans="1:8" s="126" customFormat="1" ht="12" customHeight="1" x14ac:dyDescent="0.2">
      <c r="A36" s="57">
        <v>27</v>
      </c>
      <c r="B36" s="61"/>
      <c r="C36" s="64" t="s">
        <v>40</v>
      </c>
      <c r="D36" s="61" t="s">
        <v>60</v>
      </c>
      <c r="E36" s="180">
        <f>1.8-1.8</f>
        <v>0</v>
      </c>
      <c r="F36" s="183">
        <f>1.8-1.8</f>
        <v>0</v>
      </c>
      <c r="G36" s="168"/>
      <c r="H36" s="168"/>
    </row>
    <row r="37" spans="1:8" s="126" customFormat="1" ht="12" customHeight="1" x14ac:dyDescent="0.2">
      <c r="A37" s="57">
        <v>28</v>
      </c>
      <c r="B37" s="61"/>
      <c r="C37" s="62" t="s">
        <v>163</v>
      </c>
      <c r="D37" s="61" t="s">
        <v>61</v>
      </c>
      <c r="E37" s="180">
        <f>3.2+2</f>
        <v>5.2</v>
      </c>
      <c r="F37" s="183">
        <f>3.1-3.1</f>
        <v>0</v>
      </c>
      <c r="G37" s="168"/>
      <c r="H37" s="168"/>
    </row>
    <row r="38" spans="1:8" x14ac:dyDescent="0.2">
      <c r="A38" s="57">
        <v>29</v>
      </c>
      <c r="C38" s="64" t="s">
        <v>41</v>
      </c>
      <c r="D38" s="61" t="s">
        <v>61</v>
      </c>
      <c r="E38" s="57">
        <f>2.1-2.1</f>
        <v>0</v>
      </c>
      <c r="F38" s="184">
        <f>2.1-2.1</f>
        <v>0</v>
      </c>
      <c r="G38" s="168"/>
      <c r="H38" s="168"/>
    </row>
    <row r="39" spans="1:8" s="126" customFormat="1" ht="12" customHeight="1" x14ac:dyDescent="0.2">
      <c r="A39" s="57">
        <v>30</v>
      </c>
      <c r="B39" s="61"/>
      <c r="C39" s="64" t="s">
        <v>42</v>
      </c>
      <c r="D39" s="61" t="s">
        <v>61</v>
      </c>
      <c r="E39" s="180">
        <f>1.8+1.1</f>
        <v>2.9000000000000004</v>
      </c>
      <c r="F39" s="183">
        <f>1.7-1.7</f>
        <v>0</v>
      </c>
      <c r="G39" s="168"/>
      <c r="H39" s="168"/>
    </row>
    <row r="40" spans="1:8" s="126" customFormat="1" ht="56.25" customHeight="1" x14ac:dyDescent="0.2">
      <c r="A40" s="57">
        <v>31</v>
      </c>
      <c r="B40" s="61"/>
      <c r="C40" s="64" t="s">
        <v>111</v>
      </c>
      <c r="D40" s="65" t="s">
        <v>330</v>
      </c>
      <c r="E40" s="180">
        <f>3.8+0.3</f>
        <v>4.0999999999999996</v>
      </c>
      <c r="F40" s="183">
        <f>3.7-3.7</f>
        <v>0</v>
      </c>
      <c r="G40" s="168"/>
      <c r="H40" s="168"/>
    </row>
    <row r="41" spans="1:8" s="126" customFormat="1" ht="38.25" x14ac:dyDescent="0.2">
      <c r="A41" s="57">
        <v>32</v>
      </c>
      <c r="B41" s="61" t="s">
        <v>806</v>
      </c>
      <c r="C41" s="85" t="s">
        <v>805</v>
      </c>
      <c r="D41" s="65"/>
      <c r="E41" s="182">
        <f>SUM(E42:E44)</f>
        <v>8.9</v>
      </c>
      <c r="F41" s="182">
        <f>SUM(F42:F44)</f>
        <v>2.5</v>
      </c>
      <c r="G41" s="168"/>
      <c r="H41" s="168"/>
    </row>
    <row r="42" spans="1:8" s="126" customFormat="1" ht="15" customHeight="1" x14ac:dyDescent="0.2">
      <c r="A42" s="57">
        <v>33</v>
      </c>
      <c r="B42" s="61"/>
      <c r="C42" s="62" t="s">
        <v>156</v>
      </c>
      <c r="D42" s="61" t="s">
        <v>58</v>
      </c>
      <c r="E42" s="180">
        <v>1.8</v>
      </c>
      <c r="F42" s="183">
        <v>1.5</v>
      </c>
      <c r="G42" s="168"/>
      <c r="H42" s="168"/>
    </row>
    <row r="43" spans="1:8" s="126" customFormat="1" ht="15" customHeight="1" x14ac:dyDescent="0.2">
      <c r="A43" s="57">
        <v>34</v>
      </c>
      <c r="B43" s="61"/>
      <c r="C43" s="62" t="s">
        <v>159</v>
      </c>
      <c r="D43" s="61" t="s">
        <v>58</v>
      </c>
      <c r="E43" s="180">
        <v>1.8</v>
      </c>
      <c r="F43" s="183">
        <v>1</v>
      </c>
      <c r="G43" s="168"/>
      <c r="H43" s="168"/>
    </row>
    <row r="44" spans="1:8" s="126" customFormat="1" ht="15" customHeight="1" x14ac:dyDescent="0.2">
      <c r="A44" s="57">
        <v>35</v>
      </c>
      <c r="B44" s="61"/>
      <c r="C44" s="62" t="s">
        <v>160</v>
      </c>
      <c r="D44" s="61" t="s">
        <v>58</v>
      </c>
      <c r="E44" s="180">
        <v>5.3</v>
      </c>
      <c r="F44" s="183"/>
      <c r="G44" s="168"/>
      <c r="H44" s="168"/>
    </row>
    <row r="45" spans="1:8" ht="18" customHeight="1" x14ac:dyDescent="0.2">
      <c r="A45" s="57">
        <v>36</v>
      </c>
      <c r="B45" s="56" t="s">
        <v>21</v>
      </c>
      <c r="C45" s="83" t="s">
        <v>22</v>
      </c>
      <c r="D45" s="65"/>
      <c r="E45" s="84">
        <f>+E46+E48+E50+E52+E54+E56+E58+E60+E62+E67+E75+E81+E83+E85+E87</f>
        <v>3790.6</v>
      </c>
      <c r="F45" s="84">
        <f>+F46+F48+F50+F52+F54+F56+F58+F60+F62+F67+F75+F81+F83+F85+F87</f>
        <v>197.3</v>
      </c>
      <c r="G45" s="168"/>
      <c r="H45" s="168"/>
    </row>
    <row r="46" spans="1:8" ht="25.5" x14ac:dyDescent="0.2">
      <c r="A46" s="57">
        <v>37</v>
      </c>
      <c r="B46" s="61" t="s">
        <v>214</v>
      </c>
      <c r="C46" s="165" t="s">
        <v>466</v>
      </c>
      <c r="D46" s="65"/>
      <c r="E46" s="150">
        <f>+E47</f>
        <v>24.7</v>
      </c>
      <c r="F46" s="150">
        <f>+F47</f>
        <v>21.400000000000002</v>
      </c>
      <c r="G46" s="168"/>
      <c r="H46" s="168"/>
    </row>
    <row r="47" spans="1:8" x14ac:dyDescent="0.2">
      <c r="A47" s="57">
        <v>38</v>
      </c>
      <c r="B47" s="61"/>
      <c r="C47" s="149" t="s">
        <v>147</v>
      </c>
      <c r="D47" s="65" t="s">
        <v>23</v>
      </c>
      <c r="E47" s="63">
        <v>24.7</v>
      </c>
      <c r="F47" s="63">
        <f>24.3-2.9</f>
        <v>21.400000000000002</v>
      </c>
      <c r="G47" s="168"/>
      <c r="H47" s="168"/>
    </row>
    <row r="48" spans="1:8" ht="25.5" x14ac:dyDescent="0.2">
      <c r="A48" s="57">
        <v>39</v>
      </c>
      <c r="B48" s="61" t="s">
        <v>216</v>
      </c>
      <c r="C48" s="165" t="s">
        <v>567</v>
      </c>
      <c r="D48" s="65"/>
      <c r="E48" s="150">
        <f>+E49</f>
        <v>159</v>
      </c>
      <c r="F48" s="150">
        <f>+F49</f>
        <v>3</v>
      </c>
      <c r="G48" s="168"/>
      <c r="H48" s="168"/>
    </row>
    <row r="49" spans="1:9" x14ac:dyDescent="0.2">
      <c r="A49" s="57">
        <v>40</v>
      </c>
      <c r="B49" s="61"/>
      <c r="C49" s="149" t="s">
        <v>3</v>
      </c>
      <c r="D49" s="65" t="s">
        <v>23</v>
      </c>
      <c r="E49" s="63">
        <f>160.7-1.7</f>
        <v>159</v>
      </c>
      <c r="F49" s="63">
        <f>3.1-0.1</f>
        <v>3</v>
      </c>
      <c r="G49" s="168"/>
      <c r="H49" s="168"/>
    </row>
    <row r="50" spans="1:9" ht="38.25" x14ac:dyDescent="0.2">
      <c r="A50" s="57">
        <v>41</v>
      </c>
      <c r="B50" s="61" t="s">
        <v>218</v>
      </c>
      <c r="C50" s="85" t="s">
        <v>566</v>
      </c>
      <c r="D50" s="185"/>
      <c r="E50" s="150">
        <f>+E51</f>
        <v>89.1</v>
      </c>
      <c r="F50" s="150">
        <f>+F51</f>
        <v>2.6</v>
      </c>
      <c r="G50" s="168"/>
      <c r="H50" s="168"/>
    </row>
    <row r="51" spans="1:9" x14ac:dyDescent="0.2">
      <c r="A51" s="57">
        <v>42</v>
      </c>
      <c r="B51" s="61"/>
      <c r="C51" s="149" t="s">
        <v>3</v>
      </c>
      <c r="D51" s="65" t="s">
        <v>545</v>
      </c>
      <c r="E51" s="63">
        <f>102.6-8.9-4.6</f>
        <v>89.1</v>
      </c>
      <c r="F51" s="63">
        <f>3-0.3-0.1</f>
        <v>2.6</v>
      </c>
      <c r="G51" s="168"/>
      <c r="H51" s="168"/>
    </row>
    <row r="52" spans="1:9" ht="25.5" x14ac:dyDescent="0.2">
      <c r="A52" s="57">
        <v>43</v>
      </c>
      <c r="B52" s="61" t="s">
        <v>221</v>
      </c>
      <c r="C52" s="85" t="s">
        <v>587</v>
      </c>
      <c r="D52" s="185"/>
      <c r="E52" s="150">
        <f>+E53</f>
        <v>44.600000000000016</v>
      </c>
      <c r="F52" s="150">
        <f>+F53</f>
        <v>0.9</v>
      </c>
      <c r="G52" s="168"/>
      <c r="H52" s="168"/>
    </row>
    <row r="53" spans="1:9" x14ac:dyDescent="0.2">
      <c r="A53" s="57">
        <v>44</v>
      </c>
      <c r="B53" s="61"/>
      <c r="C53" s="64" t="s">
        <v>3</v>
      </c>
      <c r="D53" s="65" t="s">
        <v>545</v>
      </c>
      <c r="E53" s="63">
        <f>132.8-65.1-23.1</f>
        <v>44.600000000000016</v>
      </c>
      <c r="F53" s="63">
        <f>2.6-1.3-0.4</f>
        <v>0.9</v>
      </c>
      <c r="G53" s="168"/>
      <c r="H53" s="168"/>
    </row>
    <row r="54" spans="1:9" ht="63.75" x14ac:dyDescent="0.2">
      <c r="A54" s="57">
        <v>45</v>
      </c>
      <c r="B54" s="61" t="s">
        <v>410</v>
      </c>
      <c r="C54" s="85" t="s">
        <v>598</v>
      </c>
      <c r="D54" s="185"/>
      <c r="E54" s="150">
        <f>+E55</f>
        <v>2.6</v>
      </c>
      <c r="F54" s="150">
        <f>+F55</f>
        <v>0</v>
      </c>
      <c r="G54" s="168"/>
      <c r="H54" s="168"/>
    </row>
    <row r="55" spans="1:9" x14ac:dyDescent="0.2">
      <c r="A55" s="57">
        <v>46</v>
      </c>
      <c r="B55" s="61"/>
      <c r="C55" s="64" t="s">
        <v>3</v>
      </c>
      <c r="D55" s="65" t="s">
        <v>545</v>
      </c>
      <c r="E55" s="63">
        <f>0.6+1+1</f>
        <v>2.6</v>
      </c>
      <c r="F55" s="63"/>
      <c r="G55" s="168"/>
      <c r="H55" s="168"/>
      <c r="I55" s="12"/>
    </row>
    <row r="56" spans="1:9" ht="38.25" x14ac:dyDescent="0.2">
      <c r="A56" s="57">
        <v>47</v>
      </c>
      <c r="B56" s="61" t="s">
        <v>558</v>
      </c>
      <c r="C56" s="85" t="s">
        <v>617</v>
      </c>
      <c r="D56" s="65"/>
      <c r="E56" s="150">
        <f>+E57</f>
        <v>281.90000000000003</v>
      </c>
      <c r="F56" s="150">
        <f>+F57</f>
        <v>5.6000000000000005</v>
      </c>
      <c r="G56" s="43"/>
      <c r="H56" s="43"/>
    </row>
    <row r="57" spans="1:9" x14ac:dyDescent="0.2">
      <c r="A57" s="57">
        <v>48</v>
      </c>
      <c r="B57" s="61"/>
      <c r="C57" s="64" t="s">
        <v>3</v>
      </c>
      <c r="D57" s="65" t="s">
        <v>545</v>
      </c>
      <c r="E57" s="63">
        <f>24.9+22.6+16.5+19+23.3+23.7+20.6+23.9+25.9+27.1+28.3+26.1</f>
        <v>281.90000000000003</v>
      </c>
      <c r="F57" s="63">
        <f>0.5+0.3+0.3+0.3+0.5+0.5+0.4+0.5+0.5+0.6+0.5+0.7</f>
        <v>5.6000000000000005</v>
      </c>
      <c r="G57" s="168"/>
      <c r="H57" s="168"/>
    </row>
    <row r="58" spans="1:9" ht="25.5" x14ac:dyDescent="0.2">
      <c r="A58" s="57">
        <v>49</v>
      </c>
      <c r="B58" s="61" t="s">
        <v>703</v>
      </c>
      <c r="C58" s="85" t="s">
        <v>701</v>
      </c>
      <c r="D58" s="65"/>
      <c r="E58" s="63">
        <f>+E59</f>
        <v>0.1</v>
      </c>
      <c r="F58" s="63">
        <f>+F59</f>
        <v>0</v>
      </c>
      <c r="G58" s="168"/>
      <c r="H58" s="168"/>
    </row>
    <row r="59" spans="1:9" x14ac:dyDescent="0.2">
      <c r="A59" s="57">
        <v>50</v>
      </c>
      <c r="B59" s="61"/>
      <c r="C59" s="64" t="s">
        <v>3</v>
      </c>
      <c r="D59" s="65" t="s">
        <v>545</v>
      </c>
      <c r="E59" s="63">
        <v>0.1</v>
      </c>
      <c r="F59" s="63"/>
      <c r="G59" s="168"/>
      <c r="H59" s="168"/>
    </row>
    <row r="60" spans="1:9" ht="25.5" x14ac:dyDescent="0.2">
      <c r="A60" s="57">
        <v>51</v>
      </c>
      <c r="B60" s="61" t="s">
        <v>704</v>
      </c>
      <c r="C60" s="85" t="s">
        <v>837</v>
      </c>
      <c r="D60" s="65"/>
      <c r="E60" s="63">
        <f>+E61</f>
        <v>28.7</v>
      </c>
      <c r="F60" s="63">
        <f>+F61</f>
        <v>1.1000000000000001</v>
      </c>
      <c r="G60" s="168"/>
      <c r="H60" s="168"/>
    </row>
    <row r="61" spans="1:9" x14ac:dyDescent="0.2">
      <c r="A61" s="57">
        <v>52</v>
      </c>
      <c r="B61" s="61"/>
      <c r="C61" s="64" t="s">
        <v>624</v>
      </c>
      <c r="D61" s="65" t="s">
        <v>545</v>
      </c>
      <c r="E61" s="63">
        <v>28.7</v>
      </c>
      <c r="F61" s="63">
        <v>1.1000000000000001</v>
      </c>
      <c r="G61" s="168"/>
      <c r="H61" s="168"/>
    </row>
    <row r="62" spans="1:9" ht="25.5" x14ac:dyDescent="0.2">
      <c r="A62" s="57">
        <v>53</v>
      </c>
      <c r="B62" s="61" t="s">
        <v>707</v>
      </c>
      <c r="C62" s="165" t="s">
        <v>708</v>
      </c>
      <c r="D62" s="185"/>
      <c r="E62" s="150">
        <f>SUM(E63:E66)</f>
        <v>18</v>
      </c>
      <c r="F62" s="150">
        <f>SUM(F63:F66)</f>
        <v>17.600000000000001</v>
      </c>
      <c r="G62" s="168"/>
      <c r="H62" s="168"/>
    </row>
    <row r="63" spans="1:9" ht="38.25" x14ac:dyDescent="0.2">
      <c r="A63" s="57">
        <v>54</v>
      </c>
      <c r="B63" s="61"/>
      <c r="C63" s="73" t="s">
        <v>1</v>
      </c>
      <c r="D63" s="65" t="s">
        <v>70</v>
      </c>
      <c r="E63" s="63">
        <v>5.2</v>
      </c>
      <c r="F63" s="63">
        <v>5</v>
      </c>
      <c r="G63" s="168"/>
      <c r="H63" s="168"/>
    </row>
    <row r="64" spans="1:9" x14ac:dyDescent="0.2">
      <c r="A64" s="57">
        <v>55</v>
      </c>
      <c r="B64" s="61"/>
      <c r="C64" s="78" t="s">
        <v>2</v>
      </c>
      <c r="D64" s="93" t="s">
        <v>71</v>
      </c>
      <c r="E64" s="63">
        <v>4.5</v>
      </c>
      <c r="F64" s="63">
        <v>4.4000000000000004</v>
      </c>
      <c r="G64" s="168"/>
      <c r="H64" s="168"/>
    </row>
    <row r="65" spans="1:11" x14ac:dyDescent="0.2">
      <c r="A65" s="57">
        <v>56</v>
      </c>
      <c r="B65" s="61"/>
      <c r="C65" s="72" t="s">
        <v>15</v>
      </c>
      <c r="D65" s="65" t="s">
        <v>103</v>
      </c>
      <c r="E65" s="63">
        <v>2.1</v>
      </c>
      <c r="F65" s="63">
        <v>2.1</v>
      </c>
      <c r="G65" s="168"/>
      <c r="H65" s="168"/>
    </row>
    <row r="66" spans="1:11" x14ac:dyDescent="0.2">
      <c r="A66" s="57">
        <v>57</v>
      </c>
      <c r="B66" s="61"/>
      <c r="C66" s="78" t="s">
        <v>147</v>
      </c>
      <c r="D66" s="65" t="s">
        <v>23</v>
      </c>
      <c r="E66" s="63">
        <v>6.2</v>
      </c>
      <c r="F66" s="63">
        <v>6.1</v>
      </c>
      <c r="G66" s="168"/>
      <c r="H66" s="168"/>
    </row>
    <row r="67" spans="1:11" ht="38.25" x14ac:dyDescent="0.2">
      <c r="A67" s="57">
        <v>58</v>
      </c>
      <c r="B67" s="61" t="s">
        <v>747</v>
      </c>
      <c r="C67" s="151" t="s">
        <v>734</v>
      </c>
      <c r="D67" s="65"/>
      <c r="E67" s="150">
        <f>+E68+E69+E70+E71+E72+E73+E74</f>
        <v>2762.5</v>
      </c>
      <c r="F67" s="150">
        <f>+F68+F69+F70+F71+F74</f>
        <v>0</v>
      </c>
      <c r="G67" s="43"/>
      <c r="H67" s="168"/>
      <c r="I67" s="27"/>
      <c r="J67" s="12"/>
    </row>
    <row r="68" spans="1:11" x14ac:dyDescent="0.2">
      <c r="A68" s="57">
        <v>59</v>
      </c>
      <c r="B68" s="61"/>
      <c r="C68" s="64" t="s">
        <v>3</v>
      </c>
      <c r="D68" s="65" t="s">
        <v>73</v>
      </c>
      <c r="E68" s="63">
        <f>1639.3-30</f>
        <v>1609.3</v>
      </c>
      <c r="F68" s="63"/>
      <c r="G68" s="43"/>
      <c r="H68" s="168"/>
      <c r="J68" s="12"/>
    </row>
    <row r="69" spans="1:11" ht="25.5" x14ac:dyDescent="0.2">
      <c r="A69" s="57">
        <v>60</v>
      </c>
      <c r="B69" s="61"/>
      <c r="C69" s="78" t="s">
        <v>8</v>
      </c>
      <c r="D69" s="65" t="s">
        <v>807</v>
      </c>
      <c r="E69" s="63">
        <f>300+130.5</f>
        <v>430.5</v>
      </c>
      <c r="F69" s="63"/>
      <c r="G69" s="43"/>
      <c r="H69" s="168"/>
      <c r="J69" s="12"/>
    </row>
    <row r="70" spans="1:11" ht="25.5" x14ac:dyDescent="0.2">
      <c r="A70" s="57">
        <v>61</v>
      </c>
      <c r="B70" s="61"/>
      <c r="C70" s="64" t="s">
        <v>4</v>
      </c>
      <c r="D70" s="65" t="s">
        <v>807</v>
      </c>
      <c r="E70" s="63">
        <f>200+250</f>
        <v>450</v>
      </c>
      <c r="F70" s="63"/>
      <c r="G70" s="43"/>
      <c r="H70" s="168"/>
      <c r="J70" s="12"/>
    </row>
    <row r="71" spans="1:11" ht="25.5" x14ac:dyDescent="0.2">
      <c r="A71" s="57">
        <v>62</v>
      </c>
      <c r="B71" s="61"/>
      <c r="C71" s="64" t="s">
        <v>5</v>
      </c>
      <c r="D71" s="65" t="s">
        <v>807</v>
      </c>
      <c r="E71" s="63">
        <v>100</v>
      </c>
      <c r="F71" s="63"/>
      <c r="G71" s="43"/>
      <c r="H71" s="168"/>
      <c r="J71" s="12"/>
    </row>
    <row r="72" spans="1:11" ht="25.5" x14ac:dyDescent="0.2">
      <c r="A72" s="57">
        <v>63</v>
      </c>
      <c r="B72" s="61"/>
      <c r="C72" s="64" t="s">
        <v>6</v>
      </c>
      <c r="D72" s="65" t="s">
        <v>807</v>
      </c>
      <c r="E72" s="63">
        <v>39</v>
      </c>
      <c r="F72" s="63"/>
      <c r="G72" s="43"/>
      <c r="H72" s="168"/>
      <c r="J72" s="12"/>
    </row>
    <row r="73" spans="1:11" ht="25.5" x14ac:dyDescent="0.2">
      <c r="A73" s="57">
        <v>64</v>
      </c>
      <c r="B73" s="61"/>
      <c r="C73" s="64" t="s">
        <v>12</v>
      </c>
      <c r="D73" s="65" t="s">
        <v>807</v>
      </c>
      <c r="E73" s="63">
        <v>54</v>
      </c>
      <c r="F73" s="63"/>
      <c r="G73" s="43"/>
      <c r="H73" s="168"/>
      <c r="J73" s="12"/>
    </row>
    <row r="74" spans="1:11" ht="25.5" x14ac:dyDescent="0.2">
      <c r="A74" s="57">
        <v>65</v>
      </c>
      <c r="B74" s="61"/>
      <c r="C74" s="64" t="s">
        <v>14</v>
      </c>
      <c r="D74" s="65" t="s">
        <v>807</v>
      </c>
      <c r="E74" s="63">
        <f>69.7+10</f>
        <v>79.7</v>
      </c>
      <c r="F74" s="63"/>
      <c r="G74" s="43"/>
      <c r="H74" s="168"/>
      <c r="J74" s="12"/>
    </row>
    <row r="75" spans="1:11" ht="38.25" x14ac:dyDescent="0.2">
      <c r="A75" s="57">
        <v>66</v>
      </c>
      <c r="B75" s="61" t="s">
        <v>767</v>
      </c>
      <c r="C75" s="85" t="s">
        <v>770</v>
      </c>
      <c r="D75" s="185"/>
      <c r="E75" s="63">
        <f>SUM(E76:E80)</f>
        <v>147.20000000000002</v>
      </c>
      <c r="F75" s="63">
        <f>SUM(F76:F80)</f>
        <v>145.10000000000002</v>
      </c>
      <c r="G75" s="43"/>
      <c r="H75" s="168"/>
      <c r="J75" s="12"/>
      <c r="K75" s="186"/>
    </row>
    <row r="76" spans="1:11" ht="38.25" x14ac:dyDescent="0.2">
      <c r="A76" s="57">
        <v>67</v>
      </c>
      <c r="B76" s="61"/>
      <c r="C76" s="62" t="s">
        <v>1</v>
      </c>
      <c r="D76" s="65" t="s">
        <v>70</v>
      </c>
      <c r="E76" s="63">
        <v>60.9</v>
      </c>
      <c r="F76" s="63">
        <v>60</v>
      </c>
      <c r="G76" s="43"/>
      <c r="H76" s="168"/>
      <c r="J76" s="12"/>
    </row>
    <row r="77" spans="1:11" x14ac:dyDescent="0.2">
      <c r="A77" s="57">
        <v>68</v>
      </c>
      <c r="B77" s="61"/>
      <c r="C77" s="92" t="s">
        <v>2</v>
      </c>
      <c r="D77" s="65" t="s">
        <v>71</v>
      </c>
      <c r="E77" s="63">
        <v>7</v>
      </c>
      <c r="F77" s="63">
        <v>6.9</v>
      </c>
      <c r="G77" s="168"/>
      <c r="H77" s="168"/>
      <c r="J77" s="12"/>
    </row>
    <row r="78" spans="1:11" x14ac:dyDescent="0.2">
      <c r="A78" s="57">
        <v>69</v>
      </c>
      <c r="B78" s="61"/>
      <c r="C78" s="72" t="s">
        <v>15</v>
      </c>
      <c r="D78" s="65" t="s">
        <v>103</v>
      </c>
      <c r="E78" s="63">
        <v>12.7</v>
      </c>
      <c r="F78" s="63">
        <v>12.5</v>
      </c>
      <c r="G78" s="43"/>
      <c r="H78" s="168"/>
      <c r="J78" s="12"/>
    </row>
    <row r="79" spans="1:11" x14ac:dyDescent="0.2">
      <c r="A79" s="57">
        <v>70</v>
      </c>
      <c r="B79" s="61"/>
      <c r="C79" s="72" t="s">
        <v>19</v>
      </c>
      <c r="D79" s="65" t="s">
        <v>71</v>
      </c>
      <c r="E79" s="63">
        <v>9.5</v>
      </c>
      <c r="F79" s="63">
        <v>9.4</v>
      </c>
      <c r="G79" s="43"/>
      <c r="H79" s="168"/>
      <c r="J79" s="12"/>
    </row>
    <row r="80" spans="1:11" x14ac:dyDescent="0.2">
      <c r="A80" s="57">
        <v>71</v>
      </c>
      <c r="B80" s="61"/>
      <c r="C80" s="62" t="s">
        <v>147</v>
      </c>
      <c r="D80" s="65" t="s">
        <v>23</v>
      </c>
      <c r="E80" s="63">
        <v>57.1</v>
      </c>
      <c r="F80" s="63">
        <v>56.3</v>
      </c>
      <c r="G80" s="43"/>
      <c r="H80" s="168"/>
      <c r="J80" s="12"/>
    </row>
    <row r="81" spans="1:10" ht="51" x14ac:dyDescent="0.2">
      <c r="A81" s="57">
        <v>72</v>
      </c>
      <c r="B81" s="61" t="s">
        <v>777</v>
      </c>
      <c r="C81" s="85" t="s">
        <v>786</v>
      </c>
      <c r="D81" s="65"/>
      <c r="E81" s="63">
        <f>+E82</f>
        <v>33.700000000000003</v>
      </c>
      <c r="F81" s="63">
        <f>+F82</f>
        <v>0</v>
      </c>
      <c r="G81" s="43"/>
      <c r="H81" s="168"/>
      <c r="J81" s="12"/>
    </row>
    <row r="82" spans="1:10" x14ac:dyDescent="0.2">
      <c r="A82" s="57">
        <v>73</v>
      </c>
      <c r="B82" s="61"/>
      <c r="C82" s="149" t="s">
        <v>3</v>
      </c>
      <c r="D82" s="65" t="s">
        <v>31</v>
      </c>
      <c r="E82" s="63">
        <f>5.8+10.2+7.8+9.9</f>
        <v>33.700000000000003</v>
      </c>
      <c r="F82" s="63"/>
      <c r="G82" s="43"/>
      <c r="H82" s="168"/>
      <c r="J82" s="12"/>
    </row>
    <row r="83" spans="1:10" ht="63.75" x14ac:dyDescent="0.2">
      <c r="A83" s="57">
        <v>74</v>
      </c>
      <c r="B83" s="61" t="s">
        <v>778</v>
      </c>
      <c r="C83" s="85" t="s">
        <v>787</v>
      </c>
      <c r="D83" s="65"/>
      <c r="E83" s="63">
        <f>+E84</f>
        <v>194.89999999999998</v>
      </c>
      <c r="F83" s="63">
        <f>+F84</f>
        <v>0</v>
      </c>
      <c r="G83" s="43"/>
      <c r="H83" s="168"/>
      <c r="J83" s="12"/>
    </row>
    <row r="84" spans="1:10" x14ac:dyDescent="0.2">
      <c r="A84" s="57">
        <v>75</v>
      </c>
      <c r="B84" s="61"/>
      <c r="C84" s="64" t="s">
        <v>3</v>
      </c>
      <c r="D84" s="65" t="s">
        <v>545</v>
      </c>
      <c r="E84" s="63">
        <f>51.7+46+47.5+49.7</f>
        <v>194.89999999999998</v>
      </c>
      <c r="F84" s="63"/>
      <c r="G84" s="43"/>
      <c r="H84" s="168"/>
      <c r="J84" s="12"/>
    </row>
    <row r="85" spans="1:10" ht="63.75" x14ac:dyDescent="0.2">
      <c r="A85" s="57">
        <v>76</v>
      </c>
      <c r="B85" s="61" t="s">
        <v>779</v>
      </c>
      <c r="C85" s="85" t="s">
        <v>788</v>
      </c>
      <c r="D85" s="65"/>
      <c r="E85" s="63">
        <f>+E86</f>
        <v>2.6</v>
      </c>
      <c r="F85" s="63">
        <f>+F86</f>
        <v>0</v>
      </c>
      <c r="G85" s="43"/>
      <c r="H85" s="168"/>
      <c r="J85" s="12"/>
    </row>
    <row r="86" spans="1:10" x14ac:dyDescent="0.2">
      <c r="A86" s="57">
        <v>77</v>
      </c>
      <c r="B86" s="61"/>
      <c r="C86" s="64" t="s">
        <v>3</v>
      </c>
      <c r="D86" s="65" t="s">
        <v>545</v>
      </c>
      <c r="E86" s="63">
        <f>0.4+0.6+0.6+1</f>
        <v>2.6</v>
      </c>
      <c r="F86" s="63"/>
      <c r="G86" s="43"/>
      <c r="H86" s="168"/>
      <c r="J86" s="12"/>
    </row>
    <row r="87" spans="1:10" ht="51" x14ac:dyDescent="0.2">
      <c r="A87" s="57">
        <v>78</v>
      </c>
      <c r="B87" s="61" t="s">
        <v>791</v>
      </c>
      <c r="C87" s="85" t="s">
        <v>792</v>
      </c>
      <c r="D87" s="65"/>
      <c r="E87" s="63">
        <f>+E88</f>
        <v>1</v>
      </c>
      <c r="F87" s="63">
        <f>+F88</f>
        <v>0</v>
      </c>
      <c r="G87" s="43"/>
      <c r="H87" s="168"/>
      <c r="J87" s="12"/>
    </row>
    <row r="88" spans="1:10" x14ac:dyDescent="0.2">
      <c r="A88" s="57">
        <v>79</v>
      </c>
      <c r="B88" s="61"/>
      <c r="C88" s="64" t="s">
        <v>3</v>
      </c>
      <c r="D88" s="65" t="s">
        <v>545</v>
      </c>
      <c r="E88" s="63">
        <f>0.5+0.3+0.2</f>
        <v>1</v>
      </c>
      <c r="F88" s="63"/>
      <c r="G88" s="43"/>
      <c r="H88" s="168"/>
      <c r="J88" s="12"/>
    </row>
    <row r="89" spans="1:10" x14ac:dyDescent="0.2">
      <c r="A89" s="57">
        <v>80</v>
      </c>
      <c r="B89" s="56" t="s">
        <v>76</v>
      </c>
      <c r="C89" s="83" t="s">
        <v>193</v>
      </c>
      <c r="D89" s="65"/>
      <c r="E89" s="84">
        <f t="shared" ref="E89:F91" si="0">+E90</f>
        <v>232</v>
      </c>
      <c r="F89" s="84">
        <f t="shared" si="0"/>
        <v>0</v>
      </c>
      <c r="G89" s="43"/>
      <c r="H89" s="168"/>
      <c r="J89" s="12"/>
    </row>
    <row r="90" spans="1:10" s="126" customFormat="1" ht="27" customHeight="1" x14ac:dyDescent="0.2">
      <c r="A90" s="57">
        <v>81</v>
      </c>
      <c r="B90" s="61" t="s">
        <v>278</v>
      </c>
      <c r="C90" s="165" t="s">
        <v>793</v>
      </c>
      <c r="D90" s="61"/>
      <c r="E90" s="150">
        <f t="shared" si="0"/>
        <v>232</v>
      </c>
      <c r="F90" s="150">
        <f t="shared" si="0"/>
        <v>0</v>
      </c>
      <c r="G90" s="168"/>
      <c r="H90" s="168"/>
    </row>
    <row r="91" spans="1:10" s="126" customFormat="1" ht="14.25" customHeight="1" x14ac:dyDescent="0.2">
      <c r="A91" s="57">
        <v>82</v>
      </c>
      <c r="B91" s="61"/>
      <c r="C91" s="64" t="s">
        <v>624</v>
      </c>
      <c r="D91" s="61"/>
      <c r="E91" s="63">
        <f t="shared" si="0"/>
        <v>232</v>
      </c>
      <c r="F91" s="63">
        <f t="shared" si="0"/>
        <v>0</v>
      </c>
      <c r="G91" s="168"/>
      <c r="H91" s="168"/>
    </row>
    <row r="92" spans="1:10" s="126" customFormat="1" ht="27" customHeight="1" x14ac:dyDescent="0.2">
      <c r="A92" s="57">
        <v>83</v>
      </c>
      <c r="B92" s="61"/>
      <c r="C92" s="133" t="s">
        <v>730</v>
      </c>
      <c r="D92" s="61" t="s">
        <v>206</v>
      </c>
      <c r="E92" s="63">
        <v>232</v>
      </c>
      <c r="F92" s="63"/>
      <c r="G92" s="168"/>
      <c r="H92" s="168"/>
    </row>
    <row r="93" spans="1:10" x14ac:dyDescent="0.2">
      <c r="A93" s="57">
        <v>84</v>
      </c>
      <c r="B93" s="56" t="s">
        <v>78</v>
      </c>
      <c r="C93" s="83" t="s">
        <v>79</v>
      </c>
      <c r="D93" s="82"/>
      <c r="E93" s="187">
        <f>+E94+E96+E99</f>
        <v>386.6</v>
      </c>
      <c r="F93" s="187">
        <f>+F94+F96+F99</f>
        <v>0.6</v>
      </c>
      <c r="G93" s="168"/>
      <c r="H93" s="168"/>
    </row>
    <row r="94" spans="1:10" ht="25.5" x14ac:dyDescent="0.2">
      <c r="A94" s="57">
        <v>85</v>
      </c>
      <c r="B94" s="61" t="s">
        <v>577</v>
      </c>
      <c r="C94" s="165" t="s">
        <v>835</v>
      </c>
      <c r="D94" s="82"/>
      <c r="E94" s="63">
        <f>+E95</f>
        <v>54.6</v>
      </c>
      <c r="F94" s="63">
        <f>+F95</f>
        <v>0</v>
      </c>
      <c r="G94" s="168"/>
      <c r="H94" s="168"/>
    </row>
    <row r="95" spans="1:10" ht="25.5" x14ac:dyDescent="0.2">
      <c r="A95" s="57">
        <v>86</v>
      </c>
      <c r="B95" s="61"/>
      <c r="C95" s="64" t="s">
        <v>53</v>
      </c>
      <c r="D95" s="61" t="s">
        <v>81</v>
      </c>
      <c r="E95" s="63">
        <v>54.6</v>
      </c>
      <c r="F95" s="63"/>
      <c r="G95" s="168"/>
      <c r="H95" s="168"/>
    </row>
    <row r="96" spans="1:10" ht="25.5" x14ac:dyDescent="0.2">
      <c r="A96" s="57">
        <v>87</v>
      </c>
      <c r="B96" s="61" t="s">
        <v>712</v>
      </c>
      <c r="C96" s="165" t="s">
        <v>711</v>
      </c>
      <c r="D96" s="82"/>
      <c r="E96" s="150">
        <f>+E97</f>
        <v>300</v>
      </c>
      <c r="F96" s="150">
        <f>+F97</f>
        <v>0</v>
      </c>
      <c r="G96" s="168"/>
      <c r="H96" s="168"/>
    </row>
    <row r="97" spans="1:10" x14ac:dyDescent="0.2">
      <c r="A97" s="57">
        <v>88</v>
      </c>
      <c r="B97" s="61"/>
      <c r="C97" s="64" t="s">
        <v>3</v>
      </c>
      <c r="D97" s="82"/>
      <c r="E97" s="63">
        <f>+E98</f>
        <v>300</v>
      </c>
      <c r="F97" s="63">
        <f>+F98</f>
        <v>0</v>
      </c>
      <c r="G97" s="168"/>
      <c r="H97" s="168"/>
    </row>
    <row r="98" spans="1:10" ht="25.5" x14ac:dyDescent="0.2">
      <c r="A98" s="57">
        <v>89</v>
      </c>
      <c r="B98" s="61"/>
      <c r="C98" s="133" t="s">
        <v>710</v>
      </c>
      <c r="D98" s="82" t="s">
        <v>80</v>
      </c>
      <c r="E98" s="63">
        <v>300</v>
      </c>
      <c r="F98" s="63"/>
      <c r="G98" s="168"/>
      <c r="H98" s="168"/>
    </row>
    <row r="99" spans="1:10" ht="25.5" x14ac:dyDescent="0.2">
      <c r="A99" s="57">
        <v>90</v>
      </c>
      <c r="B99" s="61" t="s">
        <v>758</v>
      </c>
      <c r="C99" s="165" t="s">
        <v>759</v>
      </c>
      <c r="D99" s="82"/>
      <c r="E99" s="63">
        <f>+E100</f>
        <v>32</v>
      </c>
      <c r="F99" s="63">
        <f>+F100</f>
        <v>0.6</v>
      </c>
      <c r="G99" s="168"/>
      <c r="H99" s="168"/>
    </row>
    <row r="100" spans="1:10" x14ac:dyDescent="0.2">
      <c r="A100" s="57">
        <v>91</v>
      </c>
      <c r="B100" s="61"/>
      <c r="C100" s="133" t="s">
        <v>3</v>
      </c>
      <c r="D100" s="82" t="s">
        <v>760</v>
      </c>
      <c r="E100" s="63">
        <v>32</v>
      </c>
      <c r="F100" s="63">
        <v>0.6</v>
      </c>
      <c r="G100" s="168"/>
      <c r="H100" s="168"/>
    </row>
    <row r="101" spans="1:10" ht="21" customHeight="1" x14ac:dyDescent="0.2">
      <c r="A101" s="57">
        <v>92</v>
      </c>
      <c r="B101" s="56" t="s">
        <v>84</v>
      </c>
      <c r="C101" s="98" t="s">
        <v>85</v>
      </c>
      <c r="D101" s="61"/>
      <c r="E101" s="84">
        <f>+E102</f>
        <v>2995.6</v>
      </c>
      <c r="F101" s="84">
        <f>+F102</f>
        <v>0</v>
      </c>
      <c r="G101" s="168"/>
      <c r="H101" s="168"/>
    </row>
    <row r="102" spans="1:10" ht="25.5" x14ac:dyDescent="0.2">
      <c r="A102" s="57">
        <v>93</v>
      </c>
      <c r="B102" s="61" t="s">
        <v>725</v>
      </c>
      <c r="C102" s="85" t="s">
        <v>726</v>
      </c>
      <c r="D102" s="61"/>
      <c r="E102" s="63">
        <f>+E103</f>
        <v>2995.6</v>
      </c>
      <c r="F102" s="63">
        <f>+F103</f>
        <v>0</v>
      </c>
      <c r="G102" s="168"/>
      <c r="H102" s="168"/>
    </row>
    <row r="103" spans="1:10" x14ac:dyDescent="0.2">
      <c r="A103" s="57">
        <v>94</v>
      </c>
      <c r="B103" s="56"/>
      <c r="C103" s="64" t="s">
        <v>3</v>
      </c>
      <c r="D103" s="61" t="s">
        <v>573</v>
      </c>
      <c r="E103" s="63">
        <f>2878.6+117</f>
        <v>2995.6</v>
      </c>
      <c r="F103" s="63"/>
      <c r="G103" s="168"/>
      <c r="H103" s="168"/>
    </row>
    <row r="104" spans="1:10" x14ac:dyDescent="0.2">
      <c r="A104" s="57">
        <v>95</v>
      </c>
      <c r="B104" s="56" t="s">
        <v>89</v>
      </c>
      <c r="C104" s="83" t="s">
        <v>90</v>
      </c>
      <c r="D104" s="61"/>
      <c r="E104" s="84">
        <f>+E105+E107+E109+E111+E113</f>
        <v>107.49999999999999</v>
      </c>
      <c r="F104" s="84">
        <f>+F105+F107+F109+F111+F113</f>
        <v>0</v>
      </c>
      <c r="G104" s="168"/>
      <c r="H104" s="168"/>
    </row>
    <row r="105" spans="1:10" ht="38.25" x14ac:dyDescent="0.2">
      <c r="A105" s="57">
        <v>96</v>
      </c>
      <c r="B105" s="61" t="s">
        <v>585</v>
      </c>
      <c r="C105" s="188" t="s">
        <v>729</v>
      </c>
      <c r="D105" s="61"/>
      <c r="E105" s="63">
        <f>+E106</f>
        <v>14.1</v>
      </c>
      <c r="F105" s="63">
        <f>+F106</f>
        <v>0</v>
      </c>
      <c r="G105" s="168"/>
      <c r="H105" s="168"/>
      <c r="J105" s="13"/>
    </row>
    <row r="106" spans="1:10" x14ac:dyDescent="0.2">
      <c r="A106" s="57">
        <v>97</v>
      </c>
      <c r="B106" s="56"/>
      <c r="C106" s="149" t="s">
        <v>3</v>
      </c>
      <c r="D106" s="61" t="s">
        <v>143</v>
      </c>
      <c r="E106" s="63">
        <v>14.1</v>
      </c>
      <c r="F106" s="63"/>
      <c r="G106" s="168"/>
      <c r="H106" s="168"/>
    </row>
    <row r="107" spans="1:10" ht="25.5" x14ac:dyDescent="0.2">
      <c r="A107" s="57">
        <v>98</v>
      </c>
      <c r="B107" s="61" t="s">
        <v>743</v>
      </c>
      <c r="C107" s="188" t="s">
        <v>740</v>
      </c>
      <c r="D107" s="61"/>
      <c r="E107" s="63">
        <f>+E108</f>
        <v>15.4</v>
      </c>
      <c r="F107" s="63">
        <f>+F108</f>
        <v>0</v>
      </c>
      <c r="G107" s="168"/>
      <c r="H107" s="168"/>
    </row>
    <row r="108" spans="1:10" x14ac:dyDescent="0.2">
      <c r="A108" s="57">
        <v>99</v>
      </c>
      <c r="B108" s="61"/>
      <c r="C108" s="149" t="s">
        <v>3</v>
      </c>
      <c r="D108" s="107" t="s">
        <v>92</v>
      </c>
      <c r="E108" s="63">
        <v>15.4</v>
      </c>
      <c r="F108" s="63"/>
      <c r="G108" s="168"/>
      <c r="H108" s="168"/>
    </row>
    <row r="109" spans="1:10" ht="25.5" x14ac:dyDescent="0.2">
      <c r="A109" s="57">
        <v>100</v>
      </c>
      <c r="B109" s="61" t="s">
        <v>744</v>
      </c>
      <c r="C109" s="188" t="s">
        <v>742</v>
      </c>
      <c r="D109" s="61"/>
      <c r="E109" s="63">
        <f>+E110</f>
        <v>27.8</v>
      </c>
      <c r="F109" s="63">
        <f>+F110</f>
        <v>0</v>
      </c>
      <c r="G109" s="168"/>
      <c r="H109" s="168"/>
    </row>
    <row r="110" spans="1:10" x14ac:dyDescent="0.2">
      <c r="A110" s="57">
        <v>101</v>
      </c>
      <c r="B110" s="56"/>
      <c r="C110" s="149" t="s">
        <v>3</v>
      </c>
      <c r="D110" s="107" t="s">
        <v>92</v>
      </c>
      <c r="E110" s="63">
        <v>27.8</v>
      </c>
      <c r="F110" s="63"/>
      <c r="G110" s="168"/>
      <c r="H110" s="168"/>
    </row>
    <row r="111" spans="1:10" x14ac:dyDescent="0.2">
      <c r="A111" s="57">
        <v>102</v>
      </c>
      <c r="B111" s="61" t="s">
        <v>746</v>
      </c>
      <c r="C111" s="189" t="s">
        <v>745</v>
      </c>
      <c r="D111" s="107"/>
      <c r="E111" s="63">
        <f>+E112</f>
        <v>42.9</v>
      </c>
      <c r="F111" s="63">
        <f>+F112</f>
        <v>0</v>
      </c>
      <c r="G111" s="168"/>
      <c r="H111" s="168"/>
    </row>
    <row r="112" spans="1:10" x14ac:dyDescent="0.2">
      <c r="A112" s="57">
        <v>103</v>
      </c>
      <c r="B112" s="56"/>
      <c r="C112" s="149" t="s">
        <v>3</v>
      </c>
      <c r="D112" s="107" t="s">
        <v>92</v>
      </c>
      <c r="E112" s="63">
        <f>12.9+30</f>
        <v>42.9</v>
      </c>
      <c r="F112" s="63"/>
      <c r="G112" s="168"/>
      <c r="H112" s="168"/>
    </row>
    <row r="113" spans="1:8" ht="25.5" x14ac:dyDescent="0.2">
      <c r="A113" s="57">
        <v>104</v>
      </c>
      <c r="B113" s="61" t="s">
        <v>801</v>
      </c>
      <c r="C113" s="85" t="s">
        <v>802</v>
      </c>
      <c r="D113" s="61"/>
      <c r="E113" s="63">
        <f>+E114</f>
        <v>7.3</v>
      </c>
      <c r="F113" s="63">
        <f>+F114</f>
        <v>0</v>
      </c>
      <c r="G113" s="168"/>
      <c r="H113" s="168"/>
    </row>
    <row r="114" spans="1:8" x14ac:dyDescent="0.2">
      <c r="A114" s="57">
        <v>105</v>
      </c>
      <c r="B114" s="56"/>
      <c r="C114" s="149" t="s">
        <v>3</v>
      </c>
      <c r="D114" s="61" t="s">
        <v>131</v>
      </c>
      <c r="E114" s="63">
        <v>7.3</v>
      </c>
      <c r="F114" s="63"/>
      <c r="G114" s="168"/>
      <c r="H114" s="168"/>
    </row>
    <row r="115" spans="1:8" x14ac:dyDescent="0.2">
      <c r="A115" s="57">
        <v>106</v>
      </c>
      <c r="B115" s="56" t="s">
        <v>32</v>
      </c>
      <c r="C115" s="83" t="s">
        <v>33</v>
      </c>
      <c r="D115" s="61"/>
      <c r="E115" s="84">
        <f>+E116+E118</f>
        <v>582</v>
      </c>
      <c r="F115" s="84">
        <f>+F116+F118</f>
        <v>0</v>
      </c>
      <c r="G115" s="168"/>
      <c r="H115" s="168"/>
    </row>
    <row r="116" spans="1:8" ht="38.25" x14ac:dyDescent="0.2">
      <c r="A116" s="57">
        <v>107</v>
      </c>
      <c r="B116" s="61" t="s">
        <v>225</v>
      </c>
      <c r="C116" s="188" t="s">
        <v>586</v>
      </c>
      <c r="D116" s="65"/>
      <c r="E116" s="63">
        <f>+E117</f>
        <v>282</v>
      </c>
      <c r="F116" s="63">
        <f>+F117</f>
        <v>0</v>
      </c>
      <c r="G116" s="168"/>
      <c r="H116" s="168"/>
    </row>
    <row r="117" spans="1:8" x14ac:dyDescent="0.2">
      <c r="A117" s="57">
        <v>108</v>
      </c>
      <c r="B117" s="61"/>
      <c r="C117" s="149" t="s">
        <v>3</v>
      </c>
      <c r="D117" s="65" t="s">
        <v>143</v>
      </c>
      <c r="E117" s="63">
        <v>282</v>
      </c>
      <c r="F117" s="63"/>
      <c r="G117" s="168"/>
      <c r="H117" s="168"/>
    </row>
    <row r="118" spans="1:8" ht="51" x14ac:dyDescent="0.2">
      <c r="A118" s="57">
        <v>109</v>
      </c>
      <c r="B118" s="61" t="s">
        <v>228</v>
      </c>
      <c r="C118" s="188" t="s">
        <v>836</v>
      </c>
      <c r="D118" s="65"/>
      <c r="E118" s="63">
        <f>+E119</f>
        <v>300</v>
      </c>
      <c r="F118" s="63">
        <f>+F119</f>
        <v>0</v>
      </c>
      <c r="G118" s="168"/>
      <c r="H118" s="168"/>
    </row>
    <row r="119" spans="1:8" x14ac:dyDescent="0.2">
      <c r="A119" s="57">
        <v>110</v>
      </c>
      <c r="B119" s="61"/>
      <c r="C119" s="149" t="s">
        <v>3</v>
      </c>
      <c r="D119" s="61" t="s">
        <v>230</v>
      </c>
      <c r="E119" s="63">
        <v>300</v>
      </c>
      <c r="F119" s="63"/>
      <c r="G119" s="168"/>
      <c r="H119" s="168"/>
    </row>
    <row r="120" spans="1:8" x14ac:dyDescent="0.2">
      <c r="A120" s="57">
        <v>111</v>
      </c>
      <c r="B120" s="56" t="s">
        <v>95</v>
      </c>
      <c r="C120" s="83" t="s">
        <v>96</v>
      </c>
      <c r="D120" s="61"/>
      <c r="E120" s="84">
        <f>+E121+E123</f>
        <v>3225.9</v>
      </c>
      <c r="F120" s="84">
        <f>+F121+F123</f>
        <v>0</v>
      </c>
      <c r="G120" s="168"/>
      <c r="H120" s="168"/>
    </row>
    <row r="121" spans="1:8" ht="63.75" x14ac:dyDescent="0.2">
      <c r="A121" s="57">
        <v>112</v>
      </c>
      <c r="B121" s="61" t="s">
        <v>542</v>
      </c>
      <c r="C121" s="188" t="s">
        <v>775</v>
      </c>
      <c r="D121" s="61"/>
      <c r="E121" s="63">
        <f>+E122</f>
        <v>729.40000000000009</v>
      </c>
      <c r="F121" s="63">
        <f>+F122</f>
        <v>0</v>
      </c>
      <c r="H121" s="168"/>
    </row>
    <row r="122" spans="1:8" x14ac:dyDescent="0.2">
      <c r="A122" s="57">
        <v>113</v>
      </c>
      <c r="B122" s="61"/>
      <c r="C122" s="149" t="s">
        <v>3</v>
      </c>
      <c r="D122" s="61" t="s">
        <v>230</v>
      </c>
      <c r="E122" s="63">
        <f>1482.4-753</f>
        <v>729.40000000000009</v>
      </c>
      <c r="F122" s="63"/>
      <c r="G122" s="168"/>
      <c r="H122" s="168"/>
    </row>
    <row r="123" spans="1:8" ht="38.25" x14ac:dyDescent="0.2">
      <c r="A123" s="57">
        <v>114</v>
      </c>
      <c r="B123" s="61" t="s">
        <v>593</v>
      </c>
      <c r="C123" s="188" t="s">
        <v>774</v>
      </c>
      <c r="D123" s="61"/>
      <c r="E123" s="63">
        <f>+E124</f>
        <v>2496.5</v>
      </c>
      <c r="F123" s="63">
        <f>+F124</f>
        <v>0</v>
      </c>
      <c r="G123" s="168"/>
      <c r="H123" s="168"/>
    </row>
    <row r="124" spans="1:8" x14ac:dyDescent="0.2">
      <c r="A124" s="57">
        <v>115</v>
      </c>
      <c r="B124" s="61"/>
      <c r="C124" s="149" t="s">
        <v>3</v>
      </c>
      <c r="D124" s="61" t="s">
        <v>573</v>
      </c>
      <c r="E124" s="63">
        <v>2496.5</v>
      </c>
      <c r="F124" s="63"/>
      <c r="G124" s="168"/>
      <c r="H124" s="168"/>
    </row>
    <row r="125" spans="1:8" x14ac:dyDescent="0.2">
      <c r="A125" s="57">
        <v>116</v>
      </c>
      <c r="B125" s="56" t="s">
        <v>25</v>
      </c>
      <c r="C125" s="83" t="s">
        <v>26</v>
      </c>
      <c r="D125" s="65"/>
      <c r="E125" s="84">
        <f>+E126+E128</f>
        <v>33</v>
      </c>
      <c r="F125" s="84">
        <f>+F126+F128</f>
        <v>6.2</v>
      </c>
      <c r="G125" s="168"/>
      <c r="H125" s="168"/>
    </row>
    <row r="126" spans="1:8" ht="51" x14ac:dyDescent="0.2">
      <c r="A126" s="57">
        <v>117</v>
      </c>
      <c r="B126" s="61"/>
      <c r="C126" s="165" t="s">
        <v>736</v>
      </c>
      <c r="D126" s="82"/>
      <c r="E126" s="63">
        <f>+E127</f>
        <v>26.700000000000003</v>
      </c>
      <c r="F126" s="63">
        <f>+F127</f>
        <v>0</v>
      </c>
      <c r="G126" s="168"/>
      <c r="H126" s="168"/>
    </row>
    <row r="127" spans="1:8" x14ac:dyDescent="0.2">
      <c r="A127" s="57">
        <v>118</v>
      </c>
      <c r="B127" s="61"/>
      <c r="C127" s="133" t="s">
        <v>3</v>
      </c>
      <c r="D127" s="82">
        <v>10</v>
      </c>
      <c r="E127" s="63">
        <f>8.6+10.5+4.1+3.5</f>
        <v>26.700000000000003</v>
      </c>
      <c r="F127" s="63"/>
      <c r="G127" s="168"/>
      <c r="H127" s="168"/>
    </row>
    <row r="128" spans="1:8" x14ac:dyDescent="0.2">
      <c r="A128" s="57">
        <v>119</v>
      </c>
      <c r="B128" s="61"/>
      <c r="C128" s="165" t="s">
        <v>797</v>
      </c>
      <c r="D128" s="82"/>
      <c r="E128" s="63">
        <f>+E129</f>
        <v>6.3</v>
      </c>
      <c r="F128" s="63">
        <f>+F129</f>
        <v>6.2</v>
      </c>
      <c r="G128" s="168"/>
      <c r="H128" s="168"/>
    </row>
    <row r="129" spans="1:10" x14ac:dyDescent="0.2">
      <c r="A129" s="57">
        <v>120</v>
      </c>
      <c r="B129" s="61"/>
      <c r="C129" s="133" t="s">
        <v>3</v>
      </c>
      <c r="D129" s="61" t="s">
        <v>56</v>
      </c>
      <c r="E129" s="63">
        <v>6.3</v>
      </c>
      <c r="F129" s="63">
        <v>6.2</v>
      </c>
      <c r="G129" s="168"/>
      <c r="H129" s="168"/>
    </row>
    <row r="130" spans="1:10" x14ac:dyDescent="0.2">
      <c r="A130" s="57">
        <v>121</v>
      </c>
      <c r="B130" s="56"/>
      <c r="C130" s="190" t="s">
        <v>20</v>
      </c>
      <c r="D130" s="61"/>
      <c r="E130" s="84">
        <f>+E10+E45+E89+E93+E101+E104+E115+E120+E125</f>
        <v>12217.3</v>
      </c>
      <c r="F130" s="84">
        <f>+F10+F45+F89+F93+F101+F104+F115+F120+F125</f>
        <v>260.40000000000003</v>
      </c>
      <c r="G130" s="191"/>
      <c r="H130" s="191"/>
      <c r="I130" s="12"/>
      <c r="J130" s="12"/>
    </row>
    <row r="131" spans="1:10" x14ac:dyDescent="0.2">
      <c r="C131" s="157" t="s">
        <v>113</v>
      </c>
      <c r="D131" s="48"/>
      <c r="E131" s="154"/>
      <c r="F131" s="154"/>
      <c r="G131" s="18"/>
      <c r="H131" s="18"/>
    </row>
    <row r="132" spans="1:10" ht="13.5" customHeight="1" x14ac:dyDescent="0.2">
      <c r="C132" s="192"/>
      <c r="E132" s="154"/>
      <c r="F132" s="154"/>
    </row>
    <row r="133" spans="1:10" x14ac:dyDescent="0.2">
      <c r="C133" s="192"/>
      <c r="D133" s="2"/>
      <c r="E133" s="117"/>
      <c r="F133" s="117"/>
    </row>
    <row r="134" spans="1:10" x14ac:dyDescent="0.2">
      <c r="D134" s="46"/>
      <c r="E134" s="117"/>
      <c r="F134" s="117"/>
    </row>
    <row r="135" spans="1:10" x14ac:dyDescent="0.2">
      <c r="C135" s="193"/>
      <c r="E135" s="117"/>
      <c r="F135" s="117"/>
    </row>
    <row r="136" spans="1:10" x14ac:dyDescent="0.2">
      <c r="C136" s="194"/>
      <c r="E136" s="117"/>
      <c r="F136" s="117"/>
    </row>
    <row r="137" spans="1:10" x14ac:dyDescent="0.2">
      <c r="C137" s="195"/>
      <c r="E137" s="154"/>
    </row>
    <row r="138" spans="1:10" x14ac:dyDescent="0.2">
      <c r="C138" s="193"/>
    </row>
    <row r="139" spans="1:10" x14ac:dyDescent="0.2">
      <c r="C139" s="196"/>
      <c r="E139" s="117"/>
    </row>
    <row r="143" spans="1:10" x14ac:dyDescent="0.2">
      <c r="E143" s="117"/>
    </row>
    <row r="144" spans="1:10" x14ac:dyDescent="0.2">
      <c r="E144" s="117"/>
    </row>
    <row r="146" spans="5:5" x14ac:dyDescent="0.2">
      <c r="E146" s="117"/>
    </row>
  </sheetData>
  <mergeCells count="4">
    <mergeCell ref="A5:F5"/>
    <mergeCell ref="C1:F1"/>
    <mergeCell ref="C2:F2"/>
    <mergeCell ref="E3:F3"/>
  </mergeCells>
  <pageMargins left="0.51181102362204722" right="0" top="0.35433070866141736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6</vt:i4>
      </vt:variant>
      <vt:variant>
        <vt:lpstr>Įvardytieji diapazonai</vt:lpstr>
      </vt:variant>
      <vt:variant>
        <vt:i4>12</vt:i4>
      </vt:variant>
    </vt:vector>
  </HeadingPairs>
  <TitlesOfParts>
    <vt:vector size="18" baseType="lpstr">
      <vt:lpstr>1 pr</vt:lpstr>
      <vt:lpstr>3 pr</vt:lpstr>
      <vt:lpstr>7 pr</vt:lpstr>
      <vt:lpstr>8 pr</vt:lpstr>
      <vt:lpstr>9 pr</vt:lpstr>
      <vt:lpstr>10 pr</vt:lpstr>
      <vt:lpstr>'1 pr'!Print_Area</vt:lpstr>
      <vt:lpstr>'10 pr'!Print_Area</vt:lpstr>
      <vt:lpstr>'3 pr'!Print_Area</vt:lpstr>
      <vt:lpstr>'7 pr'!Print_Area</vt:lpstr>
      <vt:lpstr>'8 pr'!Print_Area</vt:lpstr>
      <vt:lpstr>'9 pr'!Print_Area</vt:lpstr>
      <vt:lpstr>'1 pr'!Print_Titles</vt:lpstr>
      <vt:lpstr>'10 pr'!Print_Titles</vt:lpstr>
      <vt:lpstr>'3 pr'!Print_Titles</vt:lpstr>
      <vt:lpstr>'7 pr'!Print_Titles</vt:lpstr>
      <vt:lpstr>'8 pr'!Print_Titles</vt:lpstr>
      <vt:lpstr>'9 pr'!Print_Titles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V.Sirvaitiene</dc:creator>
  <cp:lastModifiedBy>administratorius</cp:lastModifiedBy>
  <cp:lastPrinted>2023-12-12T08:43:28Z</cp:lastPrinted>
  <dcterms:created xsi:type="dcterms:W3CDTF">1996-10-14T23:33:28Z</dcterms:created>
  <dcterms:modified xsi:type="dcterms:W3CDTF">2023-12-14T10:55:58Z</dcterms:modified>
</cp:coreProperties>
</file>