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akaviciene\Desktop\seni dokumentai\2024 m sprendimai\2024-09-27 Tarybos posėdis\Biudzetas Tarybai\Biudzetas\"/>
    </mc:Choice>
  </mc:AlternateContent>
  <xr:revisionPtr revIDLastSave="0" documentId="13_ncr:1_{574AEF94-E1ED-4F7A-BB71-2AB1DAC3E3CD}" xr6:coauthVersionLast="47" xr6:coauthVersionMax="47" xr10:uidLastSave="{00000000-0000-0000-0000-000000000000}"/>
  <bookViews>
    <workbookView xWindow="-120" yWindow="-120" windowWidth="29040" windowHeight="15720" tabRatio="897" xr2:uid="{00000000-000D-0000-FFFF-FFFF00000000}"/>
  </bookViews>
  <sheets>
    <sheet name="1 pr" sheetId="75" r:id="rId1"/>
    <sheet name="2 pr" sheetId="57" r:id="rId2"/>
    <sheet name="3 pr" sheetId="76" r:id="rId3"/>
    <sheet name="4 pr" sheetId="58" r:id="rId4"/>
    <sheet name="5 pr" sheetId="62" r:id="rId5"/>
    <sheet name="6 pr" sheetId="60" r:id="rId6"/>
    <sheet name="7 pr" sheetId="80" r:id="rId7"/>
    <sheet name="8 pr" sheetId="78" r:id="rId8"/>
    <sheet name="9 pr" sheetId="68" r:id="rId9"/>
    <sheet name="10 pr" sheetId="79" r:id="rId10"/>
    <sheet name="11 pr" sheetId="81" r:id="rId11"/>
  </sheets>
  <definedNames>
    <definedName name="_xlnm.Print_Area" localSheetId="0">'1 pr'!$A$1:$C$51</definedName>
    <definedName name="_xlnm.Print_Area" localSheetId="9">'10 pr'!$A$1:$D$125</definedName>
    <definedName name="_xlnm.Print_Area" localSheetId="10">'11 pr'!$A$1:$D$23</definedName>
    <definedName name="_xlnm.Print_Area" localSheetId="1">'2 pr'!$A$1:$G$67</definedName>
    <definedName name="_xlnm.Print_Area" localSheetId="2">'3 pr'!$A$1:$D$308</definedName>
    <definedName name="_xlnm.Print_Area" localSheetId="3">'4 pr'!$A$1:$D$52</definedName>
    <definedName name="_xlnm.Print_Area" localSheetId="4">'5 pr'!$A$1:$D$57</definedName>
    <definedName name="_xlnm.Print_Area" localSheetId="5">'6 pr'!$A$1:$D$47</definedName>
    <definedName name="_xlnm.Print_Area" localSheetId="6">'7 pr'!$A$1:$D$28</definedName>
    <definedName name="_xlnm.Print_Area" localSheetId="7">'8 pr'!$A$1:$D$105</definedName>
    <definedName name="_xlnm.Print_Area" localSheetId="8">'9 pr'!$A$1:$D$51</definedName>
    <definedName name="_xlnm.Print_Titles" localSheetId="0">'1 pr'!$7:$7</definedName>
    <definedName name="_xlnm.Print_Titles" localSheetId="9">'10 pr'!$9:$9</definedName>
    <definedName name="_xlnm.Print_Titles" localSheetId="1">'2 pr'!$9:$9</definedName>
    <definedName name="_xlnm.Print_Titles" localSheetId="2">'3 pr'!$9:$9</definedName>
    <definedName name="_xlnm.Print_Titles" localSheetId="3">'4 pr'!$7:$7</definedName>
    <definedName name="_xlnm.Print_Titles" localSheetId="4">'5 pr'!$8:$8</definedName>
    <definedName name="_xlnm.Print_Titles" localSheetId="5">'6 pr'!$9:$9</definedName>
    <definedName name="_xlnm.Print_Titles" localSheetId="7">'8 pr'!$9:$9</definedName>
    <definedName name="_xlnm.Print_Titles" localSheetId="8">'9 pr'!$14:$14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76" l="1"/>
  <c r="D232" i="76"/>
  <c r="C39" i="75"/>
  <c r="D84" i="78"/>
  <c r="D17" i="81"/>
  <c r="D16" i="81" s="1"/>
  <c r="D14" i="81"/>
  <c r="D13" i="81"/>
  <c r="D11" i="81"/>
  <c r="D10" i="81"/>
  <c r="D23" i="80"/>
  <c r="D22" i="80" s="1"/>
  <c r="D20" i="80"/>
  <c r="D19" i="80"/>
  <c r="D17" i="80"/>
  <c r="D16" i="80" s="1"/>
  <c r="D12" i="80"/>
  <c r="D11" i="80" s="1"/>
  <c r="D10" i="80" s="1"/>
  <c r="C44" i="75"/>
  <c r="D122" i="79"/>
  <c r="D25" i="80" l="1"/>
  <c r="D19" i="81"/>
  <c r="D41" i="60"/>
  <c r="F50" i="57"/>
  <c r="C28" i="75"/>
  <c r="C43" i="75"/>
  <c r="D69" i="79"/>
  <c r="C47" i="75" l="1"/>
  <c r="C46" i="75"/>
  <c r="C41" i="75"/>
  <c r="C38" i="75" s="1"/>
  <c r="C34" i="75"/>
  <c r="C30" i="75"/>
  <c r="C27" i="75"/>
  <c r="C25" i="75" s="1"/>
  <c r="C26" i="75"/>
  <c r="C20" i="75"/>
  <c r="C17" i="75"/>
  <c r="C13" i="75"/>
  <c r="C10" i="75"/>
  <c r="C9" i="75"/>
  <c r="C37" i="75" l="1"/>
  <c r="C19" i="75"/>
  <c r="C36" i="75" s="1"/>
  <c r="D95" i="79"/>
  <c r="D94" i="79" s="1"/>
  <c r="D43" i="60"/>
  <c r="D40" i="60"/>
  <c r="D33" i="62"/>
  <c r="D34" i="58"/>
  <c r="D40" i="57"/>
  <c r="D296" i="76"/>
  <c r="D292" i="76"/>
  <c r="D286" i="76"/>
  <c r="D277" i="76"/>
  <c r="D276" i="76" s="1"/>
  <c r="D271" i="76"/>
  <c r="D268" i="76" s="1"/>
  <c r="D266" i="76" s="1"/>
  <c r="D265" i="76" s="1"/>
  <c r="D261" i="76"/>
  <c r="D259" i="76"/>
  <c r="D258" i="76"/>
  <c r="D257" i="76"/>
  <c r="D255" i="76"/>
  <c r="D254" i="76"/>
  <c r="D251" i="76"/>
  <c r="D247" i="76"/>
  <c r="D244" i="76"/>
  <c r="D243" i="76"/>
  <c r="D242" i="76"/>
  <c r="D241" i="76"/>
  <c r="D240" i="76"/>
  <c r="D239" i="76"/>
  <c r="D238" i="76"/>
  <c r="D237" i="76"/>
  <c r="D236" i="76"/>
  <c r="D235" i="76"/>
  <c r="D234" i="76"/>
  <c r="D233" i="76"/>
  <c r="D229" i="76"/>
  <c r="D227" i="76"/>
  <c r="D226" i="76"/>
  <c r="D221" i="76"/>
  <c r="D220" i="76"/>
  <c r="D202" i="76"/>
  <c r="D201" i="76"/>
  <c r="D191" i="76"/>
  <c r="D188" i="76" s="1"/>
  <c r="D187" i="76"/>
  <c r="D185" i="76"/>
  <c r="D179" i="76"/>
  <c r="D175" i="76"/>
  <c r="D154" i="76"/>
  <c r="D143" i="76"/>
  <c r="D142" i="76"/>
  <c r="D140" i="76"/>
  <c r="D137" i="76"/>
  <c r="D135" i="76"/>
  <c r="D133" i="76"/>
  <c r="D131" i="76"/>
  <c r="D129" i="76"/>
  <c r="D128" i="76"/>
  <c r="D125" i="76"/>
  <c r="D123" i="76"/>
  <c r="D121" i="76"/>
  <c r="D119" i="76"/>
  <c r="D116" i="76"/>
  <c r="D113" i="76" s="1"/>
  <c r="D97" i="76"/>
  <c r="D95" i="76"/>
  <c r="D94" i="76"/>
  <c r="D93" i="76"/>
  <c r="D92" i="76"/>
  <c r="D90" i="76"/>
  <c r="D65" i="76"/>
  <c r="D63" i="76"/>
  <c r="D55" i="76"/>
  <c r="D54" i="76"/>
  <c r="D46" i="76"/>
  <c r="D43" i="76"/>
  <c r="D36" i="76"/>
  <c r="D32" i="76"/>
  <c r="D25" i="76"/>
  <c r="D24" i="76"/>
  <c r="D18" i="76"/>
  <c r="F49" i="57"/>
  <c r="C49" i="57" s="1"/>
  <c r="F36" i="57"/>
  <c r="E36" i="57"/>
  <c r="C36" i="57" s="1"/>
  <c r="D118" i="79"/>
  <c r="D117" i="79" s="1"/>
  <c r="D27" i="78"/>
  <c r="D30" i="78"/>
  <c r="D33" i="78"/>
  <c r="D29" i="78"/>
  <c r="D28" i="78"/>
  <c r="D34" i="78"/>
  <c r="D32" i="78"/>
  <c r="D37" i="78"/>
  <c r="D35" i="78"/>
  <c r="D110" i="79"/>
  <c r="D88" i="79"/>
  <c r="D89" i="79"/>
  <c r="D49" i="79"/>
  <c r="D82" i="79"/>
  <c r="D84" i="79"/>
  <c r="D59" i="79"/>
  <c r="D57" i="79"/>
  <c r="D80" i="79"/>
  <c r="D42" i="79"/>
  <c r="C45" i="75" l="1"/>
  <c r="D62" i="76"/>
  <c r="D199" i="76"/>
  <c r="D196" i="76"/>
  <c r="D195" i="76" s="1"/>
  <c r="D96" i="76"/>
  <c r="D89" i="76" s="1"/>
  <c r="D49" i="76"/>
  <c r="D141" i="76"/>
  <c r="D139" i="76" s="1"/>
  <c r="D181" i="76"/>
  <c r="D171" i="76" s="1"/>
  <c r="D246" i="76"/>
  <c r="D245" i="76" s="1"/>
  <c r="D285" i="76"/>
  <c r="D282" i="76" s="1"/>
  <c r="D212" i="76"/>
  <c r="D211" i="76" s="1"/>
  <c r="D209" i="76" s="1"/>
  <c r="D26" i="78"/>
  <c r="D40" i="76" l="1"/>
  <c r="D10" i="76" s="1"/>
  <c r="D306" i="76" s="1"/>
  <c r="D55" i="79"/>
  <c r="D87" i="79" l="1"/>
  <c r="D40" i="79" l="1"/>
  <c r="D92" i="79"/>
  <c r="D91" i="79" s="1"/>
  <c r="D85" i="79"/>
  <c r="D108" i="79"/>
  <c r="D73" i="79"/>
  <c r="D83" i="79"/>
  <c r="D81" i="79"/>
  <c r="D79" i="79"/>
  <c r="D71" i="79" l="1"/>
  <c r="D121" i="79"/>
  <c r="D120" i="79" s="1"/>
  <c r="D28" i="79"/>
  <c r="D26" i="79" l="1"/>
  <c r="D65" i="79" l="1"/>
  <c r="D74" i="79"/>
  <c r="D72" i="79"/>
  <c r="D70" i="79" l="1"/>
  <c r="D103" i="79" l="1"/>
  <c r="D102" i="79" s="1"/>
  <c r="D100" i="79"/>
  <c r="D68" i="79"/>
  <c r="D66" i="79" l="1"/>
  <c r="D19" i="79"/>
  <c r="D60" i="79"/>
  <c r="G64" i="57" l="1"/>
  <c r="F64" i="57"/>
  <c r="E64" i="57"/>
  <c r="C63" i="57"/>
  <c r="C62" i="57"/>
  <c r="C61" i="57"/>
  <c r="C60" i="57"/>
  <c r="C59" i="57"/>
  <c r="C58" i="57"/>
  <c r="C57" i="57"/>
  <c r="C56" i="57"/>
  <c r="C55" i="57"/>
  <c r="C54" i="57"/>
  <c r="C53" i="57"/>
  <c r="C52" i="57"/>
  <c r="C51" i="57"/>
  <c r="C50" i="57"/>
  <c r="C48" i="57"/>
  <c r="C47" i="57"/>
  <c r="C46" i="57"/>
  <c r="C45" i="57"/>
  <c r="C44" i="57"/>
  <c r="C43" i="57"/>
  <c r="C42" i="57"/>
  <c r="C41" i="57"/>
  <c r="C40" i="57"/>
  <c r="C39" i="57"/>
  <c r="C38" i="57"/>
  <c r="D37" i="57"/>
  <c r="C37" i="57" s="1"/>
  <c r="C35" i="57"/>
  <c r="C34" i="57"/>
  <c r="C33" i="57"/>
  <c r="C32" i="57"/>
  <c r="D31" i="57"/>
  <c r="C31" i="57" s="1"/>
  <c r="C30" i="57"/>
  <c r="C29" i="57"/>
  <c r="C28" i="57"/>
  <c r="C27" i="57"/>
  <c r="C26" i="57"/>
  <c r="C25" i="57"/>
  <c r="C24" i="57"/>
  <c r="C23" i="57"/>
  <c r="C22" i="57"/>
  <c r="C21" i="57"/>
  <c r="C20" i="57"/>
  <c r="C19" i="57"/>
  <c r="C18" i="57"/>
  <c r="C17" i="57"/>
  <c r="C16" i="57"/>
  <c r="C15" i="57"/>
  <c r="C14" i="57"/>
  <c r="C13" i="57"/>
  <c r="C12" i="57"/>
  <c r="C11" i="57"/>
  <c r="C10" i="57"/>
  <c r="D11" i="79"/>
  <c r="D64" i="57" l="1"/>
  <c r="C64" i="57" l="1"/>
  <c r="D115" i="79" l="1"/>
  <c r="D113" i="79"/>
  <c r="D106" i="79"/>
  <c r="D105" i="79" s="1"/>
  <c r="D98" i="79"/>
  <c r="D97" i="79" s="1"/>
  <c r="D58" i="79"/>
  <c r="D56" i="79"/>
  <c r="D54" i="79"/>
  <c r="D52" i="79"/>
  <c r="D51" i="79" s="1"/>
  <c r="D14" i="79"/>
  <c r="D10" i="79" s="1"/>
  <c r="D112" i="79" l="1"/>
  <c r="D123" i="79" l="1"/>
  <c r="D101" i="78" l="1"/>
  <c r="D99" i="78"/>
  <c r="D97" i="78"/>
  <c r="D95" i="78"/>
  <c r="D93" i="78"/>
  <c r="D91" i="78"/>
  <c r="D89" i="78"/>
  <c r="D87" i="78"/>
  <c r="D85" i="78"/>
  <c r="D83" i="78"/>
  <c r="D81" i="78"/>
  <c r="D79" i="78"/>
  <c r="D77" i="78"/>
  <c r="D75" i="78"/>
  <c r="D71" i="78"/>
  <c r="D59" i="78"/>
  <c r="D45" i="78"/>
  <c r="D43" i="78"/>
  <c r="D41" i="78"/>
  <c r="D38" i="78"/>
  <c r="D24" i="78"/>
  <c r="D22" i="78"/>
  <c r="D16" i="78"/>
  <c r="D13" i="78"/>
  <c r="D11" i="78"/>
  <c r="D10" i="78" l="1"/>
  <c r="D58" i="78"/>
  <c r="D74" i="78"/>
  <c r="D15" i="78"/>
  <c r="D103" i="78" l="1"/>
  <c r="D47" i="68" l="1"/>
  <c r="D46" i="68" s="1"/>
  <c r="D44" i="68"/>
  <c r="D36" i="68"/>
  <c r="D11" i="68" s="1"/>
  <c r="D10" i="68" s="1"/>
  <c r="D49" i="68" l="1"/>
  <c r="D42" i="60" l="1"/>
  <c r="D37" i="60"/>
  <c r="D32" i="62"/>
  <c r="D28" i="58"/>
  <c r="D26" i="58"/>
  <c r="D24" i="58"/>
  <c r="D10" i="60" l="1"/>
  <c r="D44" i="60" s="1"/>
  <c r="D9" i="62"/>
  <c r="D43" i="62"/>
  <c r="D34" i="62"/>
  <c r="D30" i="58"/>
  <c r="D45" i="58"/>
  <c r="D8" i="58"/>
  <c r="D39" i="58"/>
  <c r="D50" i="58" l="1"/>
  <c r="D56" i="62"/>
</calcChain>
</file>

<file path=xl/sharedStrings.xml><?xml version="1.0" encoding="utf-8"?>
<sst xmlns="http://schemas.openxmlformats.org/spreadsheetml/2006/main" count="1205" uniqueCount="646">
  <si>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</si>
  <si>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</si>
  <si>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</si>
  <si>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</si>
  <si>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</si>
  <si>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</si>
  <si>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</si>
  <si>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</si>
  <si>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</si>
  <si>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</si>
  <si>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</si>
  <si>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</si>
  <si>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</si>
  <si>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</si>
  <si>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</si>
  <si>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</si>
  <si>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</si>
  <si>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</si>
  <si>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</si>
  <si>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</si>
  <si>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</si>
  <si>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</si>
  <si>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</si>
  <si>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11</t>
  </si>
  <si>
    <t>SAVIVALDYBĖS VALDYMO TOBULINIMAS</t>
  </si>
  <si>
    <t>Kėdainių rajono savivaldybės priešgaisrinė tarnyba</t>
  </si>
  <si>
    <t>09</t>
  </si>
  <si>
    <t xml:space="preserve"> ŽEMĖS ŪKIO PLĖTRA IR MELIORACIJA</t>
  </si>
  <si>
    <t>11.1</t>
  </si>
  <si>
    <t>11.2</t>
  </si>
  <si>
    <t>11.3</t>
  </si>
  <si>
    <t>11.4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</si>
  <si>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</si>
  <si>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</si>
  <si>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</si>
  <si>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</si>
  <si>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</si>
  <si>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</si>
  <si>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</si>
  <si>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</si>
  <si>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</si>
  <si>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</si>
  <si>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</si>
  <si>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</si>
  <si>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</si>
  <si>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</si>
  <si>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</si>
  <si>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01</t>
  </si>
  <si>
    <t>ŠVIETIMAS IR UGDYMAS</t>
  </si>
  <si>
    <t>02</t>
  </si>
  <si>
    <t>SVEIKATOS APSAUGA</t>
  </si>
  <si>
    <t>04</t>
  </si>
  <si>
    <t>05</t>
  </si>
  <si>
    <t>KULTŪROS VEIKLOS PLĖTRA</t>
  </si>
  <si>
    <t>07</t>
  </si>
  <si>
    <t>INFRASTRUKTŪROS OBJEKTŲ  PRIEŽIŪRA IR PLĖTRA</t>
  </si>
  <si>
    <t>08</t>
  </si>
  <si>
    <t>APLINKOS APSAUGA</t>
  </si>
  <si>
    <t>10</t>
  </si>
  <si>
    <t>PARAMA VERSLUI IR VERSLO PLĖTRA</t>
  </si>
  <si>
    <t>Kėdainių rajono savivaldybės kontrolės ir audito tarnyba</t>
  </si>
  <si>
    <t xml:space="preserve">Kėdainių rajono savivaldybės administracija  </t>
  </si>
  <si>
    <t>06</t>
  </si>
  <si>
    <t>KULTŪROS PAVELDO IŠSAUGOJIMAS, TURIZMO SKATINIMAS IR VYSTYMAS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</si>
  <si>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</si>
  <si>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</si>
  <si>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</si>
  <si>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>3 priedas</t>
  </si>
  <si>
    <t>Eil.   Nr.</t>
  </si>
  <si>
    <t>Remontuoti objektus pagal administracijos direktoriaus įsakymus</t>
  </si>
  <si>
    <t>Likviduoti avarinius židinius</t>
  </si>
  <si>
    <t>(tūkst. Eur)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</si>
  <si>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</si>
  <si>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</si>
  <si>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</si>
  <si>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</si>
  <si>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</si>
  <si>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>Vykdyti savivaldybės viešųjų teritorijų tvarkymą</t>
  </si>
  <si>
    <t>Kėdainių pagalbos šeimai centras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</si>
  <si>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</si>
  <si>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</si>
  <si>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</si>
  <si>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</si>
  <si>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</si>
  <si>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</si>
  <si>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</si>
  <si>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</si>
  <si>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</si>
  <si>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</si>
  <si>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</si>
  <si>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Kėdainių rajono savivaldybės visuomenės sveikatos biuras iš viso:</t>
  </si>
  <si>
    <t>Kėdainių rajono savivaldybės administracija iš viso :</t>
  </si>
  <si>
    <t>Kėdainių rajono savivaldybės administracija iš viso:</t>
  </si>
  <si>
    <t>11.5</t>
  </si>
  <si>
    <t>Mokesčiai už valstybinius gamtos išteklius</t>
  </si>
  <si>
    <t>Kėdainių r. Vilainių mokykla-darželis „Obelėlė“</t>
  </si>
  <si>
    <t>Mokėti palūkanas</t>
  </si>
  <si>
    <t xml:space="preserve">SPORTO VEIKLOS PLĖTRA </t>
  </si>
  <si>
    <t>Kita tikslinė dotacija mokyklos specialiųjų ugdymosi poreikių turintiems mokiniams</t>
  </si>
  <si>
    <t>2 priedas</t>
  </si>
  <si>
    <t>Aisgnavimų valdytojas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</si>
  <si>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</si>
  <si>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</si>
  <si>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</si>
  <si>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</si>
  <si>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Kėdainių lopšelis-darželis  „Aviliukas“</t>
  </si>
  <si>
    <t>Kėdainių r. Šėtos gimnazija</t>
  </si>
  <si>
    <t>Kėdainių švietimo pagalbos tarnyba</t>
  </si>
  <si>
    <t xml:space="preserve">Šėtos socialinis ir ugdymo centras </t>
  </si>
  <si>
    <t>Kėdainių rajono savivaldybės visuomenės sveikatos biuras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</si>
  <si>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</si>
  <si>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</si>
  <si>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                                                             ____________________________________</t>
  </si>
  <si>
    <t>6 priedas</t>
  </si>
  <si>
    <t xml:space="preserve">                                                                    ___________________________________________</t>
  </si>
  <si>
    <t>8 priedas</t>
  </si>
  <si>
    <t>02.1</t>
  </si>
  <si>
    <t>02.2</t>
  </si>
  <si>
    <t>Neveiksnių asmenų būklės peržiūrėjimui</t>
  </si>
  <si>
    <t>03.1</t>
  </si>
  <si>
    <t>Socialinėms paslaugoms:
Socialinei globai asmenims su sunkia negalia</t>
  </si>
  <si>
    <t>03.2</t>
  </si>
  <si>
    <t>03.3</t>
  </si>
  <si>
    <t>Socialinių išmokų ir kompensacijų skaičiavimas ir mokėjimas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</si>
  <si>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</si>
  <si>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</si>
  <si>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</si>
  <si>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</si>
  <si>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</si>
  <si>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</si>
  <si>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09.2</t>
  </si>
  <si>
    <t>iš jų: polderiams eksploatuoti</t>
  </si>
  <si>
    <t>Priešgaisrinių tarnybų organizavimas</t>
  </si>
  <si>
    <t>Gyventojų registro tvarkymas ir duomenų valstybės registrui teikimas</t>
  </si>
  <si>
    <t>Archyvinių dokumentų tvarkymas</t>
  </si>
  <si>
    <t>Civilinės būklės aktų registravimas</t>
  </si>
  <si>
    <t>Civilinės saugos organizavimas</t>
  </si>
  <si>
    <t>11.6</t>
  </si>
  <si>
    <t>Valstybinės kalbos vartojimo ir taisyklingumo kontrolė</t>
  </si>
  <si>
    <t>11.7</t>
  </si>
  <si>
    <t>Mobilizacijos administravimas</t>
  </si>
  <si>
    <t>11.9</t>
  </si>
  <si>
    <t>11.10</t>
  </si>
  <si>
    <t>11.11</t>
  </si>
  <si>
    <t>11.12</t>
  </si>
  <si>
    <t>Gyvenamosios vietos deklaravimas</t>
  </si>
  <si>
    <t xml:space="preserve">                                                                                               ________________________________</t>
  </si>
  <si>
    <t>Vykdyti aplinkos apsaugos rėmimo specialiąją programą (pridedama 13 priedas)</t>
  </si>
  <si>
    <t>5 priedas</t>
  </si>
  <si>
    <t>Kėdainių "Ryto" progimnazija</t>
  </si>
  <si>
    <t xml:space="preserve">                                                                 ___________________________________________</t>
  </si>
  <si>
    <t>Specialioji tikslinė dotacija ugdymo reikmėms finansuoti</t>
  </si>
  <si>
    <t>Kėdainių švietimo pagalbos tarnyba iš viso:</t>
  </si>
  <si>
    <t>Šėtos socialinis ir ugdymo centras</t>
  </si>
  <si>
    <t xml:space="preserve">  </t>
  </si>
  <si>
    <t xml:space="preserve">Finansuoti vaikų vasaros stovyklų ir kitų neformaliojo vaikų švietimo veiklų programas  </t>
  </si>
  <si>
    <t>Grąžinti valstybės biudžeto lėšas (dotaciją)</t>
  </si>
  <si>
    <t>iš jų: užimtumo didinimo programai įgyvendinti</t>
  </si>
  <si>
    <t>01.1</t>
  </si>
  <si>
    <t>01.2</t>
  </si>
  <si>
    <t>Koordinuotai teikiamų paslaugų vaikams nuo gimimo iki 18 metų (turintiems didelių ir labai didelių specialiųjų ugdymosi poreikių − iki 21 metų) ir vaiko atstovams koordinavimas</t>
  </si>
  <si>
    <t>04.1</t>
  </si>
  <si>
    <t xml:space="preserve">                                                                      Kėdainių rajono savivaldybės tarybos</t>
  </si>
  <si>
    <t xml:space="preserve">                                                 1 priedas</t>
  </si>
  <si>
    <t xml:space="preserve">             Pajamų pavadinimas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</si>
  <si>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</si>
  <si>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</si>
  <si>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</si>
  <si>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</si>
  <si>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</si>
  <si>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Kita tikslinė dotacija, iš jos: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</si>
  <si>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</si>
  <si>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</si>
  <si>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</si>
  <si>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</si>
  <si>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</si>
  <si>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</si>
  <si>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</si>
  <si>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</si>
  <si>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</si>
  <si>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________________________________________________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</si>
  <si>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</si>
  <si>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</si>
  <si>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</si>
  <si>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</si>
  <si>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Kėdainių „Spindulio“ mokykla</t>
  </si>
  <si>
    <t>Progra- mos kodas</t>
  </si>
  <si>
    <t xml:space="preserve">                                                               Kėdainių rajono savivaldybės tarybos</t>
  </si>
  <si>
    <t>9 priedas</t>
  </si>
  <si>
    <t>10 priedas</t>
  </si>
  <si>
    <t xml:space="preserve">                                                    Kėdainių rajono savivaldybės tarybos</t>
  </si>
  <si>
    <t>Gyventojų pajamų mokestis, mokamas už pajamas, gautas iš veiklos, kuria verčiamasi turint verslo liudijimą</t>
  </si>
  <si>
    <t>Ugdymo reikmėms finansuoti</t>
  </si>
  <si>
    <t>11.8</t>
  </si>
  <si>
    <t>03.6</t>
  </si>
  <si>
    <t xml:space="preserve">Socialinėms paslaugoms:
Teikti šeimoms individualios priežiūros darbuotojų paslaugas </t>
  </si>
  <si>
    <t>Ugdymo finansavimo poreikių skirtumams sumažinti</t>
  </si>
  <si>
    <t>Įgyvendinti savarankiško gyvenimo namų paslaugų senyvo amžiaus asmenims teikimo programą</t>
  </si>
  <si>
    <t>iš jų: dalyvauti Žydų kultūros paveldo kelio asociacijos veikloje ir puoselėti žydų kultūros paveldo atminimą Kėdainiuose</t>
  </si>
  <si>
    <t>Kėdainių rajono savivaldybės 2023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</si>
  <si>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Finansuoti sporto šakų programas, iš jų:</t>
  </si>
  <si>
    <t>Duomenų teikimas suteiktos valstybės pagalbos registrui</t>
  </si>
  <si>
    <t>03.7</t>
  </si>
  <si>
    <t>05.1</t>
  </si>
  <si>
    <t>08.1</t>
  </si>
  <si>
    <t>iš jų: vykdyti socialinio - emocinio ugdymo programas</t>
  </si>
  <si>
    <t>Kita dotacija neformaliajam vaikų švietimui</t>
  </si>
  <si>
    <t>11.13</t>
  </si>
  <si>
    <t>107.1</t>
  </si>
  <si>
    <t>107.2</t>
  </si>
  <si>
    <t>Kita dotacija viešosios paskirties rekreacijai ir poilsiui skirtų valstybės miško žemės sklypų priežiūros, apsaugos ir tvarkymo darbams Kėdainių mieste</t>
  </si>
  <si>
    <t xml:space="preserve">                                                                          Kėdainių rajono savivaldybės tarybos</t>
  </si>
  <si>
    <t xml:space="preserve">                                                                     Kėdainių rajono savivaldybės tarybos</t>
  </si>
  <si>
    <t>Kita dotacija išlaidoms, susijusioms su ugdymu, maitinimu ir pavėžėjimu socialinę riziką patiriantiems vaikams ikimokykliniame ugdyme</t>
  </si>
  <si>
    <t>Kita dotacija įgyvendinti valstybei nuosavybės teise priklausančių žemės savininkų ir kitų naudotojų žemėje esančių melioracijos statinių rekonstravimo ir remonto darbus</t>
  </si>
  <si>
    <t xml:space="preserve">IŠ BIUDŽETO IŠLAIKOMŲ ĮSTAIGŲ 2024 METŲ PAJAMOS UŽ PREKES IR  PASLAUGAS, UŽ ILGALAIKIO IR TRUMPALAIKIO MATERIALIOJO TURTO NUOMĄ IR UŽ IŠLAIKYMĄ ŠVIETIMO, SOCIALINĖS APSAUGOS IR KITOSE ĮSTAIGOSE </t>
  </si>
  <si>
    <t xml:space="preserve"> 2024 METŲ ASIGNAVIMAI ĮSTAIGOMS IŠ PAJAMŲ, GAUTŲ UŽ PREKES IR PASLAUGAS </t>
  </si>
  <si>
    <t>2024 METŲ VALSTYBĖS BIUDŽETO SPECIALIOS TIKSLINĖS DOTACIJOS SAVIVALDYBĖS BIUDŽETUI UGDYMO REIKMĖMS FINANSUOTI ASIGNAVIMAI</t>
  </si>
  <si>
    <t>27.1</t>
  </si>
  <si>
    <t>27.2</t>
  </si>
  <si>
    <t>27.3</t>
  </si>
  <si>
    <t>27.4</t>
  </si>
  <si>
    <t>27.5</t>
  </si>
  <si>
    <t xml:space="preserve"> 2024 METŲ ASIGNAVIMAI ĮSTAIGOMS IŠ PAJAMŲ, GAUTŲ UŽ ILGALAIKIO IR TRUMPALAIKIO MATERIALIOJO TURTO NUOMĄ</t>
  </si>
  <si>
    <t>2024 METŲ ASIGNAVIMAI ĮSTAIGOMS IŠ PAJAMŲ, GAUTŲ UŽ IŠLAIKYMĄ ŠVIETIMO, SOCIALINĖS APSAUGOS IR KITOSE ĮSTAIGOSE</t>
  </si>
  <si>
    <t>2024 METŲ VALSTYBĖS BIUDŽETO SPECIALIOS TIKSLINĖS DOTACIJOS SAVIVALDYBĖS BIUDŽETUI VALSTYBINĖMS (VALSTYBĖS PERDUOTOMS SAVIVALDYBEI) FUNKCIJOMS ATLIKTI ASIGNAVIMAI</t>
  </si>
  <si>
    <t xml:space="preserve"> Sveikos gyvensenos plėtojimui bei sveikos gyvensebos įgūdžių ugdymui įstaigose ir bendruomenėse, visuomenės sveikatos stebėsenos vykdymui savivaldybėse</t>
  </si>
  <si>
    <t xml:space="preserve">Socialinėms paslaugoms:
 Teikti socialinę priežiūrą šeimoms </t>
  </si>
  <si>
    <t>Kompensacijų nepriklausomybės gynėjams mokėjimui</t>
  </si>
  <si>
    <t>Užimtumo didinimo programų įgyvendinimui</t>
  </si>
  <si>
    <t>Jaunimo politikos įgyvendinimas</t>
  </si>
  <si>
    <t>Pirminės valstybės garantuojamos teisinės pagalbos teikimas</t>
  </si>
  <si>
    <t>Erdvinių duomenų rinkinio tvarkymas</t>
  </si>
  <si>
    <t>11.14</t>
  </si>
  <si>
    <t>Savivaldybės teritorijoje esančių miestų ir miestelių teritorijų ribose valstybinės žemės patikėtinio funkcijos atlikimas</t>
  </si>
  <si>
    <t>Kėdainių rajono savivaldybės 2024 m. biudžeto asignavimai investicijų projektams ir remonto darbams finansuoti pagal objektus:</t>
  </si>
  <si>
    <t>iš jų: vykdyti socialinės paramos 2024 m. programą</t>
  </si>
  <si>
    <t>KĖDAINIŲ RAJONO SAVIVALDYBĖS 2024 METŲ BIUDŽETO ASIGNAVIMAI  SAVARANKIŠKOMS FUNKCIJOMS ATLIKTI</t>
  </si>
  <si>
    <t>Pėsčiųjų ir dviračių tako tarp J. Basanavičiaus g. ir Josvainių g. įrengimui</t>
  </si>
  <si>
    <t xml:space="preserve">E. sveikatos informacinės sistemos palaikymo ir tobulinimo VšĮ Kėdainių PSPC 2024–2026 m. programa </t>
  </si>
  <si>
    <t xml:space="preserve">E. sveikatos informacinės sistemos palaikymo ir tobulinimo VšĮ Kėdainių ligoninė 2024–2026 m. programa </t>
  </si>
  <si>
    <t>"Tūkstantmečio mokyklos I"  projekto įgyvendimas</t>
  </si>
  <si>
    <t>Mokytojų ir pagalbos mokiniui specialistų  motyvacijos programos įgyvendinimas</t>
  </si>
  <si>
    <t>Gabių mokinių skatinimas</t>
  </si>
  <si>
    <t>Priklausomybę sukeliančių medžiagų vartojimo mažinimo ir prevencijos programos priemonių įgyvendinimas</t>
  </si>
  <si>
    <t>Saugių ugdymo sąlygų įstaigose, vykdančiose ugdymo programas, užtikrinimas</t>
  </si>
  <si>
    <t xml:space="preserve">Vaikų maitinimo ekologiškais ir pagal nacionalinę maisto kokybės sistemą pagamintais produktais  Kėdainių lopšelyje-darželyje "Žilvitis" organizavimas (dalyvavimas projekte) </t>
  </si>
  <si>
    <t xml:space="preserve">Mokyklų, organizuojančių maitinimą savarankiškai, finansavimas </t>
  </si>
  <si>
    <t>Kėdainių šviesiosios gimnazijos pastato Kėdainiuose, Didžioji g. 60, įveiklinimas</t>
  </si>
  <si>
    <t>Kėdainių lopšelio-darželio „Varpelis“ (Pavasario g. 8, Kėdainiai) pastato energinio efektyvumo didinimas, vidaus erdvių modernizavimas</t>
  </si>
  <si>
    <t>Kėdainių lopšelio-darželio „Vyturėlis“ (Josvainių g. 53, Kėdainiai) pastato energinio efektyvumo didinimas, vidaus erdvių modernizavimas</t>
  </si>
  <si>
    <t>Kėdainių muzikos mokyklos pastato fasado, vidaus erdvių atnaujinimas</t>
  </si>
  <si>
    <t xml:space="preserve">Šėtos gimnazijos I aukšto patalpų  bei gimnazijos aplinkos pritaikymas ikimokyklinio / priešmokyklinio ugdymo organizavimui      </t>
  </si>
  <si>
    <t xml:space="preserve">Švietimo paslaugų kokybės gerinimas, aprūpinant efektyviai veikiančias bendrojo ugdymo mokyklas laboratorine įranga ir priemonėmis </t>
  </si>
  <si>
    <t>Skaitmeninio ugdymo plėtra</t>
  </si>
  <si>
    <t>Vėdinimo ir kondicionavimo sistemų įrengimas savivaldybės ugdymo įstaigose</t>
  </si>
  <si>
    <t xml:space="preserve">Bendrojo ir ikimokyklinio ugdymo įstaigų (skyrių) pastatų modernizavimo techninės dokumentacijos rengimas </t>
  </si>
  <si>
    <t>iš jų: Valstybinio visuomenės sveikatos stiprinimo fondo projektas „Gyventojų sveikatos stiprinimas Kėdainių rajone“</t>
  </si>
  <si>
    <t>VšĮ Kėdainių ligoninės sterilizacinės modernizavimo 2023-2028 m. programa</t>
  </si>
  <si>
    <t>Vaikų, turinčių  autizmo spektro ir kitų raidos sutrikimų, sveikatos stiprinimas, galimybių siekti asmeninės pažangos, pilnaverčio socialinio dalyvavimo prielaidų užtikrinimas</t>
  </si>
  <si>
    <t>Sveikatos priežiūros specialistų skatinimo dirbti VšĮ Kėdainių  PSPC 2023-2028 m. programa</t>
  </si>
  <si>
    <t>Trūkstamos sveikatos priežiūros specialistų skatinimo dirbti VšĮ Kėdainių  ligoninėje 2023-2026 m. programa</t>
  </si>
  <si>
    <t>VšĮ Kėdainių PSPC Psichiatrijos dienos stacionaro paslaugų plėtra ir infrastruktūros pritaikymas specialiesiems neįgaliųjų poreikiams</t>
  </si>
  <si>
    <t xml:space="preserve">Kėdainių rajono kaimo gyventojų sveikatos gerinimo poreikių užtikrinimas, modernizuojant ir (ar) atnaujinant ambulatorijų infrastruktūrą </t>
  </si>
  <si>
    <t>Tinkamų ir saugių darbo sąlygų užtikrinimo, įrengiant vėdinimo bei kondicionavimo sistemas VšĮ Kėdainių ligoninėje 2023-2028 m. programa</t>
  </si>
  <si>
    <t xml:space="preserve">Tinkamų ir saugių darbo sąlygų užtikrinimo, įrengiant vėdinimo bei kondicionavimo sistemas VšĮ Kėdainių PSPC 2022-2026 m. programa </t>
  </si>
  <si>
    <t xml:space="preserve">Kita dotacija kompleksinėms paslaugoms šeimai organizuoti </t>
  </si>
  <si>
    <t>Kita dotacija akredituotai vaikų dienos socialinei priežiūrai organizuoti, teikti ir administruoti</t>
  </si>
  <si>
    <t>Kita dotacija  akredituotai socialinei reabilitacijai neįgaliesiems bendruomenėje organizuoti, teikti ir administruoti</t>
  </si>
  <si>
    <t>Kita dotacija asmeninei pagalbai teikti ir administruoti</t>
  </si>
  <si>
    <t>Kita dotacija savivaldybės viešajai bibliotekai dokumentams įsigyti</t>
  </si>
  <si>
    <t>Nemokamo socialiai remtinų vaikų maitinimo ikimokyklinėse įstaigose organizavimas</t>
  </si>
  <si>
    <t>Kelionės išlaidų už lengvatinį keleivių vežimą kompensavimas</t>
  </si>
  <si>
    <t>Kainų skirtumo gyventojams už šildymą kompensavimas</t>
  </si>
  <si>
    <t>Karšto ir šalto vandens pardavimo kainos socialiai remtiniems asmenims kompensavimas</t>
  </si>
  <si>
    <t>Vienkartinė išmoka gimus vaikui Lietuvos Respublikos teritorijoje ir gyvenančiam Kėdainių rajono savivaldybėje</t>
  </si>
  <si>
    <t>Savarankiško gyvenimo namų paslaugų asmenims su sutrikusiu intelektu teikimo programa</t>
  </si>
  <si>
    <t>Socialinės reabilitacijos paslaugų neįgaliesiems bendruomenėje organizavimas</t>
  </si>
  <si>
    <t>Vaikų dienos centrų veiklos programų finansavimas</t>
  </si>
  <si>
    <t>Laisvės atėmimo bausmę atlikusių asmenų integracijos į visuomenę užtikrinimas</t>
  </si>
  <si>
    <t>Pagalbos į krizines situacijas patekusiems, smurtą artimoje aplinkoje patyrusiems asmenims ir jų šeimų nariams teikimas</t>
  </si>
  <si>
    <t xml:space="preserve">Pagalbos į krizines situacijas patekusiems, smurtą artimoje aplinkoje keliantiems asmenims ir jų šeimų nariams teikimas  </t>
  </si>
  <si>
    <t>Socialiai pažeidžiamų asmenų, neturinčių gyvenamosios vietos, gyvybiškai svarbiausių poreikių užtikrinimas</t>
  </si>
  <si>
    <t>Socialinių būstų įsigijimas</t>
  </si>
  <si>
    <t>Savivaldybės ir socialinio būsto remontas</t>
  </si>
  <si>
    <t>Prisidėjimas prie Savivaldybei priklausančio būsto renovacijos savivaldybės biudžeto lėšomis</t>
  </si>
  <si>
    <t>Viešosios aplinkos pritaikymas specialiųjų poreikių turintiems gyventojams</t>
  </si>
  <si>
    <t xml:space="preserve">Vaikų mokymo plaukti veiklos programa, dalyvaujant projekte „Mokėk plaukti ir saugiau elgtis vandenyje“ </t>
  </si>
  <si>
    <t>Gyventojų fizinio aktyvumo plėtros bei olimpinių ir neolimpinių sporto šakų plėtros projektų finansavimas</t>
  </si>
  <si>
    <t>Kėdainių krepšinio komandos „Nevėžis-Optibet“ klubinio krepšinio vystymo programa</t>
  </si>
  <si>
    <t>Futbolo komandos Kėdainių „Nevėžis“ klubinio futbolo vystymo programa</t>
  </si>
  <si>
    <t>Bokso sporto šakos vystymo programa</t>
  </si>
  <si>
    <t>Kėdainių rajono vaikų ir jaunimo futbolo plėtros programa</t>
  </si>
  <si>
    <t>Moterų futbolo komandos Kėdainių „Nevėžis“ programa</t>
  </si>
  <si>
    <t>Salės futbolo komandos „Kėdainiai United“ klubinio salės futbolo vystymo programa</t>
  </si>
  <si>
    <t>Dziudo sporto šakos vystymo programa</t>
  </si>
  <si>
    <t>Aukšto meistriškumo sportininkų ir jų trenerių paskatinimas  už sporto pasiekimus</t>
  </si>
  <si>
    <t xml:space="preserve">Kėdainių sporto centro bazių atnaujinimas </t>
  </si>
  <si>
    <t>Kėdainių sporto centro saulės fotovoltinė elektrinė iš saulės elektrinių parko  įsigijimas</t>
  </si>
  <si>
    <t>Bendruomeninės fizinio aktyvumo infrastruktūros mieste ir rajone atnaujinimas ir (arba) plėtra</t>
  </si>
  <si>
    <t>Techninės dokumentacijos rengimas sporto infrastruktūrai prie ugdymo įstaigų  atnaujininti</t>
  </si>
  <si>
    <t xml:space="preserve">LSU Kėdainių Aušros“ progimnazijos plaukimo ir Kėdainių sporto centro Vilainių rekreacijos ir sporto pramogų komplekso baseinų renovacijos/plėtros galimybių studijos parengimas </t>
  </si>
  <si>
    <t xml:space="preserve">Nevyriausybinių organizacijų institucinio stiprinimo ir veiklos plėtojimo projektų finansavimas </t>
  </si>
  <si>
    <t xml:space="preserve">Bendruomeninių organizacijų veiklos projektų finansavimas </t>
  </si>
  <si>
    <t>Kėdainių rajono vietos veiklos grupės teritorijos vietos plėtros 2015-2023 m. strategijos finansavimas</t>
  </si>
  <si>
    <t xml:space="preserve">Vietos plėtros strategijos rengimo ir įgyvendinimo programa ir Kėdainių miesto vietos veiklos grupės vietos plėtros 2023-2029 metų strategijos finansavimas </t>
  </si>
  <si>
    <t xml:space="preserve">Rajono nevyriausybinių organizacijų veiklos stiprinimas </t>
  </si>
  <si>
    <t>Kėdainių kultūros centro rekonstrukcija ir įrengimas</t>
  </si>
  <si>
    <t>Akademijos kultūros centro remontas</t>
  </si>
  <si>
    <t>Šėtos kultūros centro vidaus erdvių remontas (I a. 2 patalpos)</t>
  </si>
  <si>
    <t>Krakių kultūros centro patalpų dalies pritaikymas kultūros reikmėms</t>
  </si>
  <si>
    <t xml:space="preserve">Infrastruktūros Kėdainių miesto parke įrengimas </t>
  </si>
  <si>
    <t>VšĮ Kėdainių turizmo ir verslo informacijos centro turizmo veiklos programos finansavimas</t>
  </si>
  <si>
    <t>Kėdainių rajono savivaldybės bažnyčių rėmimo programos įgyvendinimas</t>
  </si>
  <si>
    <t xml:space="preserve">Nekilnojamųjų kultūros vertybių vertinimo medžiagos, nekilnojamųjų kultūros paveldo objektų, vietovių  individualius apsaugos reglamentų rengimas finansavimo programą </t>
  </si>
  <si>
    <t>Lankytinų objektų,  kultūros paveldo objektų ar objektų, esančių kultūros paveldo teritorijų prieigose tvarkybos dokumentacijos rengimas, objeketų atnaujinimas, restauravimas mieste ir rajone</t>
  </si>
  <si>
    <t>Kėdainių dvaro sodybos Minareto ir jo prieigų tvarkyba</t>
  </si>
  <si>
    <t>Archeologiniai  ir kiti tyrinėjimai kultūros paveldo teritorijose, paveldo objektams parengtų tvarkybos projektų ekspertizės vykdymas, sąmatų rengimas</t>
  </si>
  <si>
    <t>Kultūros paveldo objektų, esančių Kėdainių rajono savivaldybės teritorijoje, ir kultūros paveldo statinių, esančių Kėdainių senamiesčio dalyje, išsaugojimo darbų finansavimo programa</t>
  </si>
  <si>
    <t>Nuorodų, kitų informacinių ženklų įrengimas į savivaldybės kultūros paveldo objektus</t>
  </si>
  <si>
    <t xml:space="preserve">Kėdainių evangelikų ir reformatų bažnyčios atnaujinimas  (Tvarių prielaidų ir paskatų aktualizuoti kultūros paveldo vertybes sukūrimas) </t>
  </si>
  <si>
    <t xml:space="preserve">Akademijos parko tvarkyba  </t>
  </si>
  <si>
    <t>Babėnų šilo miškotvarka ir pritaikymas patogiam poilsiui, laisvalaikiui</t>
  </si>
  <si>
    <t>Dokumentų, padedančių užtikrinti darnią rajono savivaldybės teritorijų plėtrą rengimas</t>
  </si>
  <si>
    <t xml:space="preserve">Senojo Upytės kelio specialiojo plano rengimas ("Isos slėnis") </t>
  </si>
  <si>
    <t>Turto inventorizavimas, teisinė registracija, dokumentų turto pardavimui rengimas</t>
  </si>
  <si>
    <t xml:space="preserve">Infrastruktūros objektų tvarkymo investicinių projektų,  planų, paraiškų, kitos techninės dokumentacijos rengimas  Europos Sąjungos ar kitų  fondų paramai gauti </t>
  </si>
  <si>
    <t>Vandentiekio,  nuotekų tinklų   įrengimas, rekonstrukcija, plėtra Kėdainių mieste</t>
  </si>
  <si>
    <t>Biologinių nuotekų valymo įrenginių įrengimas</t>
  </si>
  <si>
    <t xml:space="preserve">Vandentiekio ir nuotekų tinklų plėtra Angirių k. </t>
  </si>
  <si>
    <t xml:space="preserve">Nuotekų tinklų įrengimas Josvainių mstl. Šaltinio g. </t>
  </si>
  <si>
    <t>Kėdainių miesto bei rajono gatvių apšvietimo rekonstrukcija, įrengimas, modernizavimas</t>
  </si>
  <si>
    <t>Radvilų g. apšvietimo ir ESO tinklų iškėlimo techninio projekto parengimas</t>
  </si>
  <si>
    <t>Žvyro įsigijimo seniūnijų keliams prižiūrėti finansavimas</t>
  </si>
  <si>
    <t>Biudžetinių įstaigų kiemų dangos atnaujinimas</t>
  </si>
  <si>
    <t>Inžinerinių paslaugų, darbų ir įrenginių finansavimas</t>
  </si>
  <si>
    <t>Viešųjų ir biudžetinių įstaigų stogų remontas</t>
  </si>
  <si>
    <t>Europos Sąjungos projektų,  kuriems taikomas apmokėjimas kompensavimo būdu, išlaidų apmokėjimas</t>
  </si>
  <si>
    <t>Atliekų tvarkymo sistemos organizavimas</t>
  </si>
  <si>
    <t xml:space="preserve">Apleistų (bešeimininkių ar savivaldybei nuosavybės teise priklausančių) pastatų ar kitų aplinką žalojančių objektų likvidavimas </t>
  </si>
  <si>
    <t xml:space="preserve">Konteinerių, kompostavimo dėžių įsigijimas </t>
  </si>
  <si>
    <t>Projektų rengimas ir  gyvenviečių lietaus nuotekų-drenažų sistemų remontas</t>
  </si>
  <si>
    <t>Hidrotechninių įrenginių atnaujinimui reikalingos techninės dokumentacijos rengimas</t>
  </si>
  <si>
    <t>Kėdainių rajono savivaldybės Krakių tvenkinių hidrotechnikos statinių remontas ir techninės priežiūros vykdymas</t>
  </si>
  <si>
    <t>Dalyvavimas projekto „Dalies MSNA „Nikys“ nariams priklausančių ir valstybinių melioracijos statinių rekonstravimas“ įgyvendinime</t>
  </si>
  <si>
    <t>Dalyvavimas projekto „MSNA „Balsių melioracija“ nariams priklausančių ir valstybinių melioracijos statinių rekonstravimas“ įgyvendinime</t>
  </si>
  <si>
    <t>Dalyvavimas projekto „MSNA „Mantvilonių melioracija“ nariams priklausančių ir valstybinių melioracijos statinių rekonstravimas“ įgyvendinime</t>
  </si>
  <si>
    <t>Dalyvavimas projekto „MSNA „Vilainių drenažas“ nariams priklausančių ir valstybinių melioracijos statinių rekonstravimas“ įgyvendinimui</t>
  </si>
  <si>
    <t>VšĮ Kėdainių turizmo ir verslo informacijos centro viešųjų paslaugų verslui  programos finansavimas</t>
  </si>
  <si>
    <t xml:space="preserve">Finansinės paramos teikimas verslą pradedantiems ar sunkumų patiriantiems SVV subjektams Kėdainių rajone per Savivaldybės smulkiojo verslo rėmimo fondą </t>
  </si>
  <si>
    <t>Dalyvavimas projekte "Inkubavimo, konsultavimo, mentorystės ir tinklaveikos programų vystymas, skatinant pradedančiųjų SVV subjektų kūrimąsi ir augimą regionuose" partnerio teisėmis</t>
  </si>
  <si>
    <t>Savivaldybės mero rezervas</t>
  </si>
  <si>
    <t>Savivaldybės mero fondas</t>
  </si>
  <si>
    <t>UAB "Kėdbusas" nuostolingų maršrutų kompensavimas</t>
  </si>
  <si>
    <t>Dalyvavimas VšĮ Kauno regiono plėtros agentūros veikloje</t>
  </si>
  <si>
    <t xml:space="preserve">Visuomenės įtraukimas į planavimo, biudžeto formavimo, konsultavimosi procesus, organizuojant dalyvaujamojo biudžeto iniciatyvų konkursą ir iniciatyvų įgyvendinimą </t>
  </si>
  <si>
    <t>Prevencinės programos „Saugios aplinkos kūrimas ir bendruomenės teisėtvarkos kūrimas" finansavimas</t>
  </si>
  <si>
    <t>Socialinių dirbtuvių paslaugos organizavimas</t>
  </si>
  <si>
    <t>"Pirmoko krepšelio" finansavimas</t>
  </si>
  <si>
    <t>Nemokamo mokinių maitinimo kainos bendrojo ugdymo mokyklose kompensaviams</t>
  </si>
  <si>
    <t xml:space="preserve"> Nevėžio upės vientisumo atkūrimas, nugriaunant neeksploatuojamus hidroelektrinės statinius ir techninės priežiūros vykdymas</t>
  </si>
  <si>
    <t xml:space="preserve">2024 METŲ VALSTYBĖS BIUDŽETO SPECIALIOS TIKSLINĖS DOTACIJOS SAVIVALDYBĖS BIUDŽETUI KITI ASIGNAVIMAI </t>
  </si>
  <si>
    <t>30.1</t>
  </si>
  <si>
    <t>30.2</t>
  </si>
  <si>
    <t>30.3</t>
  </si>
  <si>
    <t>30.4</t>
  </si>
  <si>
    <t>30.5</t>
  </si>
  <si>
    <t>30.6</t>
  </si>
  <si>
    <t>30.7</t>
  </si>
  <si>
    <t>30.8</t>
  </si>
  <si>
    <t>33.1</t>
  </si>
  <si>
    <t>33.2</t>
  </si>
  <si>
    <t>33.3</t>
  </si>
  <si>
    <t>33.4</t>
  </si>
  <si>
    <t>33.5</t>
  </si>
  <si>
    <t>33.6</t>
  </si>
  <si>
    <t>33.7</t>
  </si>
  <si>
    <t>33.8</t>
  </si>
  <si>
    <t>33.9</t>
  </si>
  <si>
    <t>33.10</t>
  </si>
  <si>
    <t>33.11</t>
  </si>
  <si>
    <t>33.12</t>
  </si>
  <si>
    <t>33.13</t>
  </si>
  <si>
    <t>33.14</t>
  </si>
  <si>
    <t>33.15</t>
  </si>
  <si>
    <t>33.16</t>
  </si>
  <si>
    <t>33.17</t>
  </si>
  <si>
    <t>33.18</t>
  </si>
  <si>
    <t>33.19</t>
  </si>
  <si>
    <t>33.20</t>
  </si>
  <si>
    <t>33.21</t>
  </si>
  <si>
    <t>33.22</t>
  </si>
  <si>
    <t>33.23</t>
  </si>
  <si>
    <t>40.1</t>
  </si>
  <si>
    <t>40.2</t>
  </si>
  <si>
    <t>40.3</t>
  </si>
  <si>
    <t>40.4</t>
  </si>
  <si>
    <t>40.5</t>
  </si>
  <si>
    <t>40.6</t>
  </si>
  <si>
    <t>40.7</t>
  </si>
  <si>
    <t>40.8</t>
  </si>
  <si>
    <t>40.9</t>
  </si>
  <si>
    <t>40.10</t>
  </si>
  <si>
    <t>40.11</t>
  </si>
  <si>
    <t>40.12</t>
  </si>
  <si>
    <t>40.13</t>
  </si>
  <si>
    <t>40.14</t>
  </si>
  <si>
    <t>40.15</t>
  </si>
  <si>
    <t>40.16</t>
  </si>
  <si>
    <t>40.17</t>
  </si>
  <si>
    <t>40.17.1</t>
  </si>
  <si>
    <t>40.17.2</t>
  </si>
  <si>
    <t>40.17.3</t>
  </si>
  <si>
    <t>40.17.4</t>
  </si>
  <si>
    <t>54.1</t>
  </si>
  <si>
    <t>54.2</t>
  </si>
  <si>
    <t>54.3</t>
  </si>
  <si>
    <t>54.4</t>
  </si>
  <si>
    <t>54.5</t>
  </si>
  <si>
    <t>54.6</t>
  </si>
  <si>
    <t>54.6.1</t>
  </si>
  <si>
    <t>54.6.2</t>
  </si>
  <si>
    <t>54.6.3</t>
  </si>
  <si>
    <t>54.6.4</t>
  </si>
  <si>
    <t>54.6.5</t>
  </si>
  <si>
    <t>54.6.6</t>
  </si>
  <si>
    <t>73.1</t>
  </si>
  <si>
    <t>73.2</t>
  </si>
  <si>
    <t>73.3</t>
  </si>
  <si>
    <t>73.4</t>
  </si>
  <si>
    <t>73.5</t>
  </si>
  <si>
    <t>73.6</t>
  </si>
  <si>
    <t>73.7</t>
  </si>
  <si>
    <t>73.7.1</t>
  </si>
  <si>
    <t>73.7.4</t>
  </si>
  <si>
    <t>73.7.2</t>
  </si>
  <si>
    <t>73.7.3</t>
  </si>
  <si>
    <t>73.7.5</t>
  </si>
  <si>
    <t>76.1</t>
  </si>
  <si>
    <t>76.2</t>
  </si>
  <si>
    <t>76.3</t>
  </si>
  <si>
    <t>76.3.1</t>
  </si>
  <si>
    <t>76.3.2</t>
  </si>
  <si>
    <t>76.3.3</t>
  </si>
  <si>
    <t>76.3.4</t>
  </si>
  <si>
    <t>76.3.5</t>
  </si>
  <si>
    <t>76.3.6</t>
  </si>
  <si>
    <t>76.3.7</t>
  </si>
  <si>
    <t>76.3.8</t>
  </si>
  <si>
    <t>76.3.9</t>
  </si>
  <si>
    <t>79.1</t>
  </si>
  <si>
    <t>79.1.1</t>
  </si>
  <si>
    <t>79.1.2</t>
  </si>
  <si>
    <t>79.1.3</t>
  </si>
  <si>
    <t>79.1.4</t>
  </si>
  <si>
    <t>79.1.5</t>
  </si>
  <si>
    <t>79.1.6</t>
  </si>
  <si>
    <t>79.1.7</t>
  </si>
  <si>
    <t>79.1.8</t>
  </si>
  <si>
    <t>79.1.9</t>
  </si>
  <si>
    <t>79.1.10</t>
  </si>
  <si>
    <t>79.1.11</t>
  </si>
  <si>
    <t>79.1.12</t>
  </si>
  <si>
    <t>79.1.13</t>
  </si>
  <si>
    <t>79.1.14</t>
  </si>
  <si>
    <t>79.1.15</t>
  </si>
  <si>
    <t>79.1.16</t>
  </si>
  <si>
    <t>79.1.17</t>
  </si>
  <si>
    <t>79.1.18</t>
  </si>
  <si>
    <t>79.1.19</t>
  </si>
  <si>
    <t>79.1.20</t>
  </si>
  <si>
    <t>92.1</t>
  </si>
  <si>
    <t>92.2</t>
  </si>
  <si>
    <t>92.3</t>
  </si>
  <si>
    <t>92.4</t>
  </si>
  <si>
    <t>92.5</t>
  </si>
  <si>
    <t>92.5.1</t>
  </si>
  <si>
    <t>92.5.2</t>
  </si>
  <si>
    <t>105.1</t>
  </si>
  <si>
    <t>105.2</t>
  </si>
  <si>
    <t>105.2.1</t>
  </si>
  <si>
    <t>105.2.2</t>
  </si>
  <si>
    <t>105.2.3</t>
  </si>
  <si>
    <t>105.2.4</t>
  </si>
  <si>
    <t>105.2.5</t>
  </si>
  <si>
    <t>105.2.6</t>
  </si>
  <si>
    <t>105.2.7</t>
  </si>
  <si>
    <t>107.3</t>
  </si>
  <si>
    <t>107.4</t>
  </si>
  <si>
    <t>111.1</t>
  </si>
  <si>
    <t>111.3</t>
  </si>
  <si>
    <t>111.2</t>
  </si>
  <si>
    <t>111.4</t>
  </si>
  <si>
    <t>111.5</t>
  </si>
  <si>
    <t>111.6</t>
  </si>
  <si>
    <t>111.7</t>
  </si>
  <si>
    <t>111.8</t>
  </si>
  <si>
    <t>111.9</t>
  </si>
  <si>
    <t>Infrastruktūros plėtros įmokos</t>
  </si>
  <si>
    <t xml:space="preserve"> Kita dotacija socialinių paslaugų įstaigose dirbančių  socialinių  paslaugų srities darbuotojų pareiginei algai padidinti</t>
  </si>
  <si>
    <t>01.3</t>
  </si>
  <si>
    <t>Kėdainių rajono savivaldybės administracija</t>
  </si>
  <si>
    <t>Kita dotacija būstams pritaikyti asmenims su negalia</t>
  </si>
  <si>
    <t>Kita dotacija asmenų  su negalia reikalų koordinavimui</t>
  </si>
  <si>
    <t>Kita dotacija stiprinti bendruomenines veiklas savivaldybėje</t>
  </si>
  <si>
    <t>05.2</t>
  </si>
  <si>
    <t>07.1</t>
  </si>
  <si>
    <t>Kita dotacija  savivaldybės institucijos valdomiems vietinės reikšmės keliams</t>
  </si>
  <si>
    <t xml:space="preserve">          KĖDAINIŲ RAJONO SAVIVALDYBĖS 2024 METŲ BIUDŽETO PAJAMOS</t>
  </si>
  <si>
    <t>Kita dotacija už būsto suteikimą užsieniečiams, pasitraukusiems iš Ukrainos dėl Rusijos federacijos karinės agresijos, finansuoti</t>
  </si>
  <si>
    <t>03.8</t>
  </si>
  <si>
    <t>03.9</t>
  </si>
  <si>
    <t>Kita dotacija  vienkartinėms išmokoms įsikurti gyvenamojoje vietoje savivaldybės teritorijoje ir (ar) mėnesinėms kompensacijoms atlyginimui švietimo teikėjui už vaiko, ugdomo pagal ikimokyklinio ir priešmokyklinio ugdymo programas išlaikymą apmokėti mokėti ir administruoti</t>
  </si>
  <si>
    <t>Kita dotacija socialinių paslaugų šakos kolektyvinėje sutartyje nustatytiems įsipareigojimams igyvendinti</t>
  </si>
  <si>
    <t>03.10</t>
  </si>
  <si>
    <t>01.4</t>
  </si>
  <si>
    <t xml:space="preserve">Kita dotacija saulės elektrinės pagamintos  energijos kaupimo įrenginiui įdiegti </t>
  </si>
  <si>
    <t>01.5</t>
  </si>
  <si>
    <t xml:space="preserve"> Kita dotacija kompensuoti savivaldybės patirtas išlaidas valdant nepaprastąją padėtį dėl užsieniečių, pasitraukusių iš Ukrainos dėl Rusijos federacijos karinių veiksmų Ukrainoje</t>
  </si>
  <si>
    <t>Kita dotacja profesiniam orientavimui</t>
  </si>
  <si>
    <t>Kita dotacija ugdyti ir pavėžėti į mokyklą ir atgal vaikus, atvykusius į Lietuvos Respubliką iš Ukrainos dėl Rusijos federacijos karinių veiksmų Ukrainoje</t>
  </si>
  <si>
    <t>03.11</t>
  </si>
  <si>
    <t>Kita dotacija  teikti piniginę socialinę paramą vadovaujantis Lietuvos Respublikos piniginės socialinės paramos nepasiturintiems gyventojams įstatymu, užsieniečiams, pasitraukusiems iš Ukrainos dėl Rusijos federacijos karinių veiksmų Ukrainoje</t>
  </si>
  <si>
    <t>03.12</t>
  </si>
  <si>
    <t>Kita dotacija padengti išlaidas patirtas teikiant specialiąsias socialines paslaugas užsieniečiams, pasitraukusiems iš Ukrainos dėl Rusijos federacijos karinių veiksmų Ukrainoje</t>
  </si>
  <si>
    <t>Kita dotacija sutvarkyti naudotas padangas, kurių turėtojų nustatyti neįmanoma arba kurie neegzistuoja</t>
  </si>
  <si>
    <t>08.2</t>
  </si>
  <si>
    <t>03.13</t>
  </si>
  <si>
    <t>03.14</t>
  </si>
  <si>
    <t>Kita dotacija savivaldybės administracijai  mokėti 20 proc. bazinės socialinės išmokos (BSĮ) neįgaliesiems</t>
  </si>
  <si>
    <t>Kita dotacija panaudoti atsinaujinančius energijos išteklius (saulės, vėjo) elektros energijos poreikiams</t>
  </si>
  <si>
    <t>01.6</t>
  </si>
  <si>
    <t>Kita dotacija  vertinti fotovoltinės saulės elektrinės ant pastato stogo ataskaitą</t>
  </si>
  <si>
    <t xml:space="preserve"> Kita dotacija teikti socialinę paramą mokiniams pagal Lietuvos Respublikos socialinės paramos mokiniams įstatymą užsieniečiams, pasitraukusiems iš Ukrainos dėl Rusijos federacijos karinių veiksmų Ukrainoje</t>
  </si>
  <si>
    <t>03.15</t>
  </si>
  <si>
    <t>79.1.21</t>
  </si>
  <si>
    <t xml:space="preserve">                                                 2024 m. rugsėjo 27 d. sprendimo Nr. TS-</t>
  </si>
  <si>
    <t>Kita dotacija teikti paramą būstui išsinuomoti pagal Lietuvos Respublikos paramos būstui įsigyti ar išsinuomoti įstatymą užsieniečiams, pasitraukusiems iš Ukrainos dėl Rusijos federacijos karinės agresijos</t>
  </si>
  <si>
    <t>Kita dotacija valstybinių ir savivaldybių mokyklų mokytojų, dirbančių pagal ikimokyklinio, priešmokyklinio, bendrojo ugdymo ir profesinio mokymo programas, personalo optimizavimui ir atnaujinimui</t>
  </si>
  <si>
    <t>Kita dotacija  mokyklų aprūpinimo geltonaisiais autobusais programai įgyvendinti</t>
  </si>
  <si>
    <t xml:space="preserve"> Kita dotacija laikino atokvėpio paslaugai teikti ir administruoti</t>
  </si>
  <si>
    <t>08.3</t>
  </si>
  <si>
    <t>01.7</t>
  </si>
  <si>
    <t>01.8</t>
  </si>
  <si>
    <t>03.17</t>
  </si>
  <si>
    <t>Kita dotacija vykdyti miesto miškų žemės sklypų priežiūros, apsaugos, tvarkymo darbus ir parengti reikalingus planavimo dokumentus</t>
  </si>
  <si>
    <t>Kita dotacija infrastruktūros įrengimui ir (ar) sutvarkymui ir (ar) investicinio žemės sklypo vystymui</t>
  </si>
  <si>
    <t>Kėdainių Senamiesčio progimnazija</t>
  </si>
  <si>
    <t>40.17.5</t>
  </si>
  <si>
    <t>Būsto įsigijimas nakvynės namų poreikiams</t>
  </si>
  <si>
    <t>54.6.7</t>
  </si>
  <si>
    <t>Kėdainių r. Krakių Mikalojaus Katkaus gimnazijos sporto aikštyno atnaujinimas</t>
  </si>
  <si>
    <t>Kėdainių Senamiesčio progimnazijos  sporto aikštyno atnaijinimas</t>
  </si>
  <si>
    <t>Kita dotacija švietimo įstaigų sporto aikštynų atnaujinimo programos įgyvendinimui</t>
  </si>
  <si>
    <t xml:space="preserve">                                             2024 m. rugsėjo 27 d. sprendimo Nr. TS-</t>
  </si>
  <si>
    <t xml:space="preserve"> (tūkst. Eur)</t>
  </si>
  <si>
    <t>Suma</t>
  </si>
  <si>
    <t xml:space="preserve"> MOKESČIAI (2+5+9)</t>
  </si>
  <si>
    <t>Pajamų ir pelno mokesčiai (3+4)</t>
  </si>
  <si>
    <t>Turto mokesčiai (6+7+8)</t>
  </si>
  <si>
    <t>Prekių ir paslaugų mokesčiai (10)</t>
  </si>
  <si>
    <t>KITOS PAJAMOS (12+17+22+25+26)</t>
  </si>
  <si>
    <t>Turto pajamos (13+14+15+16)</t>
  </si>
  <si>
    <t>Pajamos už prekes ir paslaugas (18+19+20+21)</t>
  </si>
  <si>
    <t>Rinkliavos (23+24 )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</si>
  <si>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</si>
  <si>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</si>
  <si>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</si>
  <si>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</si>
  <si>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</si>
  <si>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</si>
  <si>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</si>
  <si>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</si>
  <si>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</si>
  <si>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</si>
  <si>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</si>
  <si>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</si>
  <si>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</si>
  <si>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</si>
  <si>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</si>
  <si>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</si>
  <si>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</si>
  <si>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 xml:space="preserve">                                                                            2024 m. rugsėjo 27 d. sprendimo Nr. TS-</t>
  </si>
  <si>
    <t xml:space="preserve">                                                                     2024 m. rugsėjo 27 d. sprendimo Nr. TS-</t>
  </si>
  <si>
    <t xml:space="preserve">                                                                          2024 m. rugsėjo 27 d. sprendimo Nr. TS-</t>
  </si>
  <si>
    <t xml:space="preserve">                                            Kėdainių rajono savivaldybės tarybos</t>
  </si>
  <si>
    <t xml:space="preserve">                                                                   2024 m. rugsėjo 27 d. sprendimo Nr. TS-</t>
  </si>
  <si>
    <t xml:space="preserve">                                                           2024 m. rugsėjo 27 d. sprendimo Nr. TS-</t>
  </si>
  <si>
    <t xml:space="preserve">                                                                       Kėdainių rajono savivaldybės tarybos  </t>
  </si>
  <si>
    <t xml:space="preserve">                                                                                Kėdainių rajono savivaldybės tarybos</t>
  </si>
  <si>
    <t xml:space="preserve">                                                             2024 m. rugsėjo 27 d. sprendimo Nr. TS- </t>
  </si>
  <si>
    <t>7 priedas</t>
  </si>
  <si>
    <t xml:space="preserve">KĖDAINIŲ RAJONO SAVIVALDYBĖS 2024 METŲ BIUDŽETO ASIGNAVIMAI PROJEKTAMS FINANSUOTI EUROPOS SĄJUNGOS LĖŠOMIS </t>
  </si>
  <si>
    <t>2.1</t>
  </si>
  <si>
    <t>Didinti Kėdainių lopšelio-darželio „Varpelis“ (Pavasario g. 8, Kėdainiai) pastato energinį efektyvumą, modernizuoti vidaus erdves</t>
  </si>
  <si>
    <t>2.2</t>
  </si>
  <si>
    <t>Didinti Kėdainių lopšelio-darželio „Vyturėlis“ (Josvainių g. 53, Kėdainiai) pastato energinį efektyvumą, modernizuoti vidaus erdves</t>
  </si>
  <si>
    <t>2.3</t>
  </si>
  <si>
    <t>Įgyvendinti "Tūkstantmečio mokyklos I"  projektą</t>
  </si>
  <si>
    <t>2.4</t>
  </si>
  <si>
    <t>Plėtoti įvairialypį švietimą  Kėdainių „Aušros“ progimnazijoje ir Vilainių mokykloje-darželyje „Obelėlė“, vykdant visos dienos mokyklos veiklą</t>
  </si>
  <si>
    <t>3</t>
  </si>
  <si>
    <t>4</t>
  </si>
  <si>
    <t>4.1</t>
  </si>
  <si>
    <t>Aprūpinti įranga mobilias komandas Kėdainių rajono savivaldybėje</t>
  </si>
  <si>
    <t>5</t>
  </si>
  <si>
    <t>6</t>
  </si>
  <si>
    <t>6.1</t>
  </si>
  <si>
    <t>Įgyvendinti projektą  „Pabėgėlių iš Ukrainos priėmimas ir ankstyva integracija“</t>
  </si>
  <si>
    <t>7</t>
  </si>
  <si>
    <t>8</t>
  </si>
  <si>
    <t>8.1</t>
  </si>
  <si>
    <t>Vykdyti Kėdainių rajono Dotnuvos seniūnijos Kruostos upės Vaidatonių tvenkinio hidrotechnikos statinių rekonstrukciją ir techninę priežiūrą</t>
  </si>
  <si>
    <t xml:space="preserve">                                                               ___________________________________________</t>
  </si>
  <si>
    <t xml:space="preserve">                                                             Kėdainių rajono savivaldybės tarybos</t>
  </si>
  <si>
    <t xml:space="preserve">                                                                    2024 m. rugsėjo 27 d. sprendimo Nr. TS- </t>
  </si>
  <si>
    <t>11 priedas</t>
  </si>
  <si>
    <t>2024 METŲ VALSTYBĖS BIUDŽETO DOTACIJOS IŠ KITŲ VALDYMO LYGIŲ SAVIVALDYBĖS BIUDŽETUI PROJEKTAMS FINANSUOTI  ASIGNAVIMAI</t>
  </si>
  <si>
    <t xml:space="preserve">Kėdainių rajono tuberkuliozės prevencijos, ankstyvosios diagnostikos, gydymo ir kontrolės 2023–2027 m. programa </t>
  </si>
  <si>
    <t xml:space="preserve">Žemo slenksčio paslaugų kokybės  užtikrinimo Kėdainių rajone 2023-2027 m. programa </t>
  </si>
  <si>
    <t xml:space="preserve">Pirminės asmens sveikatos priežiūros paslaugų prieinamumo ir kokybės užtikrinimo Kėdainių rajono kaimiškųjų vietovių gyventojams programą </t>
  </si>
  <si>
    <t xml:space="preserve">Ambulatorinės akušerinės ir ginekologinės pagalbos kokybės gerinimo Kėdainių rajono savivaldybės moterims 2019-2024 m. programa  </t>
  </si>
  <si>
    <t xml:space="preserve">Endoskopinių paslaugų prieinamumo ir kokybės gerinimo Kėdainių rajono savivaldybėje 2020-2025 m. programa </t>
  </si>
  <si>
    <t xml:space="preserve">Mamografijos paslaugų tęstinumo, kokybės gerinimo Kėdainių rajono savivaldybėje 2020-2025 m. programa </t>
  </si>
  <si>
    <t xml:space="preserve">Anestezijos paslaugų vaikams ir suaugusiesiems kokybės gerinimo Kėdainių rajono savivaldybėje 2022-2027 m. programa </t>
  </si>
  <si>
    <t xml:space="preserve">Rentgeno paslaugų atnaujinimo, kokybės gerinimo Kėdainių rajono savivaldybėje 2022-2027 m. programa </t>
  </si>
  <si>
    <t>Kompiuterinės tomografijos paslaugų kokybės gerinimo Kėdainių rajono savivaldybėje 2023-2030 m. programa</t>
  </si>
  <si>
    <t>Odontologijos paslaugų plėtros Kėdainių rajono savivaldybėje 2024-2027 m. programa</t>
  </si>
  <si>
    <t xml:space="preserve">Reabilitacijos prieinamumo didinimo Kėdainių rajono savivaldybėje 2024 m. programa </t>
  </si>
  <si>
    <t xml:space="preserve">Išmokos pagal savivaldybės  infrastruktūros plėtros sutartis </t>
  </si>
  <si>
    <t xml:space="preserve">Daugiabučių namų kiemų dangų atnaujinimas </t>
  </si>
  <si>
    <t>Infrastruktūros plėtros techninės dokumentacijos rengimas ir infrastruktūros gerinimo darbai</t>
  </si>
  <si>
    <t>30.9</t>
  </si>
  <si>
    <t>30.9.1</t>
  </si>
  <si>
    <t>30.9.2</t>
  </si>
  <si>
    <t>30.9.3</t>
  </si>
  <si>
    <t>30.9.4</t>
  </si>
  <si>
    <t>30.9.5</t>
  </si>
  <si>
    <t>30.9.6</t>
  </si>
  <si>
    <t>30.9.7</t>
  </si>
  <si>
    <t>30.9.8</t>
  </si>
  <si>
    <t>30.9.9</t>
  </si>
  <si>
    <t>30.9.10</t>
  </si>
  <si>
    <t>30.9.11</t>
  </si>
  <si>
    <t>30.9.12</t>
  </si>
  <si>
    <t xml:space="preserve">Mokyklų aprūpinimo geltonaisiais autobusais programai įgyvendinti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</si>
</sst>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  <numFmt numFmtId="171" formatCode="0.0;\-0.0;;"/>
  </numFmts>
  <fonts count="22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0"/>
      <color rgb="FF7030A0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0" fontId="7" fillId="0" borderId="0"/>
    <xf numFmtId="0" fontId="1" fillId="0" borderId="0"/>
    <xf numFmtId="0" fontId="7" fillId="0" borderId="0"/>
    <xf numFmtId="0" fontId="13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74">
    <xf numFmtId="0" fontId="0" fillId="0" borderId="0" xfId="0"/>
    <xf numFmtId="0" fontId="1" fillId="0" borderId="0" xfId="1" applyFont="1" applyAlignment="1">
      <alignment vertical="center"/>
    </xf>
    <xf numFmtId="168" fontId="1" fillId="0" borderId="0" xfId="0" applyNumberFormat="1" applyFont="1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1" fillId="0" borderId="0" xfId="1" applyFont="1" applyAlignment="1">
      <alignment horizontal="right"/>
    </xf>
    <xf numFmtId="0" fontId="1" fillId="0" borderId="0" xfId="0" applyFont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167" fontId="1" fillId="0" borderId="0" xfId="0" applyNumberFormat="1" applyFont="1"/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167" fontId="2" fillId="0" borderId="0" xfId="0" applyNumberFormat="1" applyFont="1"/>
    <xf numFmtId="0" fontId="1" fillId="0" borderId="1" xfId="1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2" fontId="1" fillId="0" borderId="0" xfId="0" applyNumberFormat="1" applyFont="1"/>
    <xf numFmtId="0" fontId="1" fillId="0" borderId="1" xfId="1" applyFont="1" applyBorder="1" applyAlignment="1">
      <alignment vertical="center" wrapText="1"/>
    </xf>
    <xf numFmtId="18" fontId="1" fillId="0" borderId="0" xfId="0" applyNumberFormat="1" applyFont="1"/>
    <xf numFmtId="168" fontId="2" fillId="0" borderId="0" xfId="0" applyNumberFormat="1" applyFont="1"/>
    <xf numFmtId="168" fontId="2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/>
    </xf>
    <xf numFmtId="168" fontId="1" fillId="0" borderId="0" xfId="0" applyNumberFormat="1" applyFont="1" applyAlignment="1">
      <alignment vertical="center"/>
    </xf>
    <xf numFmtId="167" fontId="14" fillId="0" borderId="0" xfId="0" applyNumberFormat="1" applyFont="1"/>
    <xf numFmtId="0" fontId="1" fillId="0" borderId="1" xfId="0" applyFont="1" applyBorder="1" applyAlignment="1">
      <alignment horizontal="justify" vertical="center" wrapText="1"/>
    </xf>
    <xf numFmtId="1" fontId="1" fillId="0" borderId="0" xfId="0" applyNumberFormat="1" applyFont="1"/>
    <xf numFmtId="0" fontId="1" fillId="0" borderId="1" xfId="1" applyFont="1" applyBorder="1" applyAlignment="1">
      <alignment horizontal="justify" vertical="center" wrapText="1"/>
    </xf>
    <xf numFmtId="168" fontId="14" fillId="0" borderId="0" xfId="0" applyNumberFormat="1" applyFont="1"/>
    <xf numFmtId="0" fontId="14" fillId="0" borderId="0" xfId="0" applyFo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horizontal="right" vertical="center"/>
    </xf>
    <xf numFmtId="0" fontId="2" fillId="0" borderId="1" xfId="0" applyFont="1" applyBorder="1"/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1" fillId="0" borderId="1" xfId="0" applyFont="1" applyBorder="1"/>
    <xf numFmtId="168" fontId="2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167" fontId="1" fillId="0" borderId="2" xfId="0" applyNumberFormat="1" applyFont="1" applyBorder="1" applyAlignment="1">
      <alignment vertical="center"/>
    </xf>
    <xf numFmtId="168" fontId="1" fillId="0" borderId="1" xfId="0" applyNumberFormat="1" applyFont="1" applyBorder="1" applyAlignment="1">
      <alignment horizontal="right" vertical="center" wrapText="1"/>
    </xf>
    <xf numFmtId="167" fontId="1" fillId="0" borderId="1" xfId="0" applyNumberFormat="1" applyFont="1" applyBorder="1"/>
    <xf numFmtId="167" fontId="1" fillId="0" borderId="1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 wrapText="1"/>
    </xf>
    <xf numFmtId="167" fontId="1" fillId="0" borderId="3" xfId="0" applyNumberFormat="1" applyFont="1" applyBorder="1" applyAlignment="1">
      <alignment vertical="center"/>
    </xf>
    <xf numFmtId="167" fontId="1" fillId="0" borderId="3" xfId="19" applyNumberFormat="1" applyBorder="1" applyAlignment="1">
      <alignment vertical="center"/>
    </xf>
    <xf numFmtId="167" fontId="1" fillId="0" borderId="3" xfId="0" applyNumberFormat="1" applyFont="1" applyBorder="1" applyAlignment="1">
      <alignment horizontal="left" vertical="center" wrapText="1"/>
    </xf>
    <xf numFmtId="167" fontId="1" fillId="0" borderId="1" xfId="0" applyNumberFormat="1" applyFont="1" applyBorder="1" applyAlignment="1">
      <alignment vertical="center"/>
    </xf>
    <xf numFmtId="167" fontId="1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center" vertical="center"/>
    </xf>
    <xf numFmtId="167" fontId="1" fillId="0" borderId="0" xfId="0" applyNumberFormat="1" applyFont="1" applyAlignment="1">
      <alignment horizontal="right"/>
    </xf>
    <xf numFmtId="168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0" fontId="1" fillId="0" borderId="6" xfId="0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8" fontId="1" fillId="0" borderId="1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167" fontId="1" fillId="0" borderId="1" xfId="19" applyNumberFormat="1" applyBorder="1" applyAlignment="1">
      <alignment horizontal="left" vertical="center" wrapText="1"/>
    </xf>
    <xf numFmtId="167" fontId="1" fillId="0" borderId="1" xfId="19" applyNumberFormat="1" applyBorder="1" applyAlignment="1">
      <alignment vertical="center" wrapText="1"/>
    </xf>
    <xf numFmtId="167" fontId="1" fillId="0" borderId="1" xfId="0" applyNumberFormat="1" applyFont="1" applyBorder="1" applyAlignment="1">
      <alignment horizontal="left" vertical="center" wrapText="1"/>
    </xf>
    <xf numFmtId="168" fontId="1" fillId="0" borderId="1" xfId="19" applyNumberForma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7" fontId="1" fillId="0" borderId="1" xfId="19" applyNumberForma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vertical="center" wrapText="1"/>
    </xf>
    <xf numFmtId="168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 wrapText="1"/>
    </xf>
    <xf numFmtId="167" fontId="1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170" fontId="2" fillId="0" borderId="1" xfId="0" applyNumberFormat="1" applyFont="1" applyBorder="1" applyAlignment="1">
      <alignment horizontal="center" vertical="center"/>
    </xf>
    <xf numFmtId="170" fontId="1" fillId="0" borderId="1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right" vertical="center"/>
    </xf>
    <xf numFmtId="170" fontId="1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67" fontId="1" fillId="0" borderId="1" xfId="0" applyNumberFormat="1" applyFont="1" applyBorder="1" applyAlignment="1">
      <alignment horizontal="left" vertical="center"/>
    </xf>
    <xf numFmtId="170" fontId="1" fillId="0" borderId="1" xfId="0" applyNumberFormat="1" applyFont="1" applyBorder="1" applyAlignment="1">
      <alignment horizontal="right" vertical="center" wrapText="1"/>
    </xf>
    <xf numFmtId="170" fontId="1" fillId="0" borderId="0" xfId="0" applyNumberFormat="1" applyFont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167" fontId="1" fillId="0" borderId="5" xfId="0" applyNumberFormat="1" applyFont="1" applyBorder="1" applyAlignment="1">
      <alignment vertical="center" wrapText="1"/>
    </xf>
    <xf numFmtId="167" fontId="1" fillId="0" borderId="5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right" vertical="center"/>
    </xf>
    <xf numFmtId="167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168" fontId="6" fillId="0" borderId="1" xfId="0" applyNumberFormat="1" applyFont="1" applyBorder="1" applyAlignment="1">
      <alignment horizontal="right" vertical="center" wrapText="1"/>
    </xf>
    <xf numFmtId="16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49" fontId="2" fillId="0" borderId="4" xfId="0" applyNumberFormat="1" applyFont="1" applyBorder="1" applyAlignment="1">
      <alignment horizontal="center" vertical="center"/>
    </xf>
    <xf numFmtId="167" fontId="19" fillId="0" borderId="0" xfId="0" applyNumberFormat="1" applyFont="1" applyAlignment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167" fontId="19" fillId="0" borderId="0" xfId="0" applyNumberFormat="1" applyFont="1"/>
    <xf numFmtId="49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49" fontId="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168" fontId="6" fillId="0" borderId="0" xfId="0" applyNumberFormat="1" applyFont="1" applyAlignment="1">
      <alignment horizontal="center" vertical="center" wrapText="1"/>
    </xf>
    <xf numFmtId="49" fontId="1" fillId="0" borderId="4" xfId="0" applyNumberFormat="1" applyFont="1" applyBorder="1" applyAlignment="1">
      <alignment horizontal="right" vertical="center"/>
    </xf>
    <xf numFmtId="17" fontId="9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7" fontId="1" fillId="0" borderId="1" xfId="18" applyNumberFormat="1" applyBorder="1" applyAlignment="1">
      <alignment vertical="center" wrapText="1"/>
    </xf>
    <xf numFmtId="0" fontId="16" fillId="0" borderId="1" xfId="0" applyFont="1" applyBorder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right" vertical="center"/>
    </xf>
    <xf numFmtId="170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right" vertical="center"/>
    </xf>
    <xf numFmtId="167" fontId="6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horizontal="right"/>
    </xf>
    <xf numFmtId="167" fontId="6" fillId="0" borderId="3" xfId="0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right"/>
    </xf>
    <xf numFmtId="167" fontId="6" fillId="0" borderId="1" xfId="0" applyNumberFormat="1" applyFont="1" applyBorder="1" applyAlignment="1">
      <alignment horizontal="left" vertical="center" wrapText="1"/>
    </xf>
    <xf numFmtId="171" fontId="2" fillId="0" borderId="1" xfId="0" applyNumberFormat="1" applyFont="1" applyBorder="1" applyAlignment="1">
      <alignment horizontal="center" vertical="center"/>
    </xf>
    <xf numFmtId="0" fontId="1" fillId="0" borderId="0" xfId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69" fontId="1" fillId="0" borderId="0" xfId="0" applyNumberFormat="1" applyFont="1" applyAlignment="1">
      <alignment horizontal="right"/>
    </xf>
    <xf numFmtId="168" fontId="2" fillId="0" borderId="1" xfId="19" applyNumberFormat="1" applyFont="1" applyBorder="1" applyAlignment="1">
      <alignment horizontal="center" vertical="center"/>
    </xf>
    <xf numFmtId="167" fontId="1" fillId="0" borderId="2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right" vertical="center"/>
    </xf>
    <xf numFmtId="49" fontId="1" fillId="0" borderId="5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horizontal="right" vertical="center" wrapText="1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67" fontId="9" fillId="0" borderId="0" xfId="0" applyNumberFormat="1" applyFont="1"/>
    <xf numFmtId="167" fontId="9" fillId="0" borderId="0" xfId="0" applyNumberFormat="1" applyFont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4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/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7" fontId="1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168" fontId="2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Fill="1" applyBorder="1" applyAlignment="1">
      <alignment vertical="center"/>
    </xf>
    <xf numFmtId="168" fontId="1" fillId="0" borderId="1" xfId="0" applyNumberFormat="1" applyFont="1" applyFill="1" applyBorder="1" applyAlignment="1">
      <alignment horizontal="right" vertical="center"/>
    </xf>
    <xf numFmtId="167" fontId="1" fillId="0" borderId="1" xfId="0" applyNumberFormat="1" applyFont="1" applyFill="1" applyBorder="1" applyAlignment="1">
      <alignment vertical="center" wrapText="1"/>
    </xf>
    <xf numFmtId="167" fontId="1" fillId="0" borderId="2" xfId="0" applyNumberFormat="1" applyFont="1" applyFill="1" applyBorder="1" applyAlignment="1">
      <alignment vertical="center" wrapText="1"/>
    </xf>
    <xf numFmtId="167" fontId="1" fillId="0" borderId="2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167" fontId="1" fillId="0" borderId="1" xfId="19" applyNumberFormat="1" applyFill="1" applyBorder="1" applyAlignment="1">
      <alignment horizontal="left" vertical="center" wrapText="1"/>
    </xf>
    <xf numFmtId="167" fontId="1" fillId="0" borderId="1" xfId="19" applyNumberFormat="1" applyFill="1" applyBorder="1" applyAlignment="1">
      <alignment vertical="center" wrapText="1"/>
    </xf>
    <xf numFmtId="167" fontId="1" fillId="0" borderId="1" xfId="0" applyNumberFormat="1" applyFont="1" applyFill="1" applyBorder="1" applyAlignment="1">
      <alignment horizontal="left" vertical="center" wrapText="1"/>
    </xf>
    <xf numFmtId="168" fontId="1" fillId="0" borderId="1" xfId="19" applyNumberFormat="1" applyFill="1" applyBorder="1" applyAlignment="1">
      <alignment horizontal="right" vertical="center"/>
    </xf>
    <xf numFmtId="49" fontId="9" fillId="0" borderId="1" xfId="0" applyNumberFormat="1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>
      <alignment vertical="center" wrapText="1"/>
    </xf>
    <xf numFmtId="168" fontId="2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168" fontId="1" fillId="0" borderId="1" xfId="19" applyNumberFormat="1" applyFill="1" applyBorder="1" applyAlignment="1">
      <alignment horizontal="right" vertical="top"/>
    </xf>
    <xf numFmtId="49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68" fontId="1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68" fontId="2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167" fontId="6" fillId="0" borderId="1" xfId="0" applyNumberFormat="1" applyFont="1" applyFill="1" applyBorder="1" applyAlignment="1">
      <alignment vertical="center" wrapText="1"/>
    </xf>
    <xf numFmtId="0" fontId="1" fillId="0" borderId="1" xfId="17" applyFill="1" applyBorder="1" applyAlignment="1">
      <alignment vertical="center" wrapText="1"/>
    </xf>
    <xf numFmtId="0" fontId="1" fillId="0" borderId="7" xfId="17" applyFill="1" applyBorder="1" applyAlignment="1">
      <alignment vertical="center" wrapText="1"/>
    </xf>
    <xf numFmtId="168" fontId="1" fillId="0" borderId="7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14" fillId="0" borderId="0" xfId="0" applyFont="1" applyFill="1"/>
    <xf numFmtId="167" fontId="1" fillId="0" borderId="1" xfId="19" applyNumberForma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168" fontId="2" fillId="0" borderId="1" xfId="19" applyNumberFormat="1" applyFont="1" applyFill="1" applyBorder="1" applyAlignment="1">
      <alignment horizontal="right" vertical="center"/>
    </xf>
    <xf numFmtId="49" fontId="1" fillId="0" borderId="4" xfId="0" applyNumberFormat="1" applyFont="1" applyFill="1" applyBorder="1" applyAlignment="1">
      <alignment horizontal="center" vertical="center"/>
    </xf>
    <xf numFmtId="168" fontId="1" fillId="0" borderId="0" xfId="0" applyNumberFormat="1" applyFont="1" applyFill="1"/>
    <xf numFmtId="0" fontId="1" fillId="0" borderId="7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49" fontId="9" fillId="0" borderId="4" xfId="0" applyNumberFormat="1" applyFont="1" applyFill="1" applyBorder="1" applyAlignment="1">
      <alignment horizontal="right" vertical="center"/>
    </xf>
    <xf numFmtId="49" fontId="9" fillId="0" borderId="8" xfId="0" applyNumberFormat="1" applyFont="1" applyFill="1" applyBorder="1" applyAlignment="1">
      <alignment horizontal="right" vertical="center"/>
    </xf>
    <xf numFmtId="49" fontId="1" fillId="0" borderId="8" xfId="0" applyNumberFormat="1" applyFont="1" applyFill="1" applyBorder="1" applyAlignment="1">
      <alignment horizontal="center" vertical="center"/>
    </xf>
    <xf numFmtId="0" fontId="6" fillId="0" borderId="1" xfId="17" applyFont="1" applyFill="1" applyBorder="1" applyAlignment="1">
      <alignment vertical="center" wrapText="1"/>
    </xf>
    <xf numFmtId="49" fontId="9" fillId="0" borderId="7" xfId="0" applyNumberFormat="1" applyFont="1" applyFill="1" applyBorder="1" applyAlignment="1">
      <alignment horizontal="right" vertical="center"/>
    </xf>
    <xf numFmtId="167" fontId="2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68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/>
    </xf>
    <xf numFmtId="168" fontId="1" fillId="0" borderId="0" xfId="0" applyNumberFormat="1" applyFont="1" applyFill="1" applyAlignment="1">
      <alignment horizontal="right" vertical="center"/>
    </xf>
    <xf numFmtId="49" fontId="10" fillId="0" borderId="1" xfId="0" applyNumberFormat="1" applyFont="1" applyFill="1" applyBorder="1" applyAlignment="1">
      <alignment horizontal="right" vertical="center" wrapText="1"/>
    </xf>
    <xf numFmtId="167" fontId="2" fillId="0" borderId="0" xfId="0" applyNumberFormat="1" applyFont="1" applyFill="1"/>
    <xf numFmtId="0" fontId="2" fillId="0" borderId="0" xfId="0" applyFont="1" applyFill="1"/>
    <xf numFmtId="0" fontId="1" fillId="0" borderId="0" xfId="0" applyFont="1" applyFill="1" applyAlignment="1">
      <alignment vertical="center" wrapText="1"/>
    </xf>
    <xf numFmtId="168" fontId="1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168" fontId="1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167" fontId="1" fillId="0" borderId="0" xfId="0" applyNumberFormat="1" applyFont="1" applyFill="1" applyAlignment="1">
      <alignment vertical="center"/>
    </xf>
    <xf numFmtId="167" fontId="6" fillId="0" borderId="0" xfId="0" applyNumberFormat="1" applyFont="1" applyFill="1" applyAlignment="1">
      <alignment vertical="center"/>
    </xf>
    <xf numFmtId="167" fontId="17" fillId="0" borderId="0" xfId="0" applyNumberFormat="1" applyFont="1" applyFill="1" applyAlignment="1">
      <alignment vertical="center"/>
    </xf>
    <xf numFmtId="169" fontId="1" fillId="0" borderId="0" xfId="0" applyNumberFormat="1" applyFont="1" applyFill="1" applyAlignment="1">
      <alignment vertical="center"/>
    </xf>
    <xf numFmtId="168" fontId="2" fillId="0" borderId="0" xfId="0" applyNumberFormat="1" applyFont="1" applyFill="1" applyAlignment="1">
      <alignment horizontal="right" vertical="center"/>
    </xf>
  </cellXfs>
  <cellStyles count="21"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" xfId="0" builtinId="0"/>
    <cellStyle name="Normal 2" xfId="15" xr:uid="{00000000-0005-0000-0000-00000F000000}"/>
    <cellStyle name="Normal 3" xfId="16" xr:uid="{00000000-0005-0000-0000-000010000000}"/>
    <cellStyle name="Normal_biudžetas 6_2009 m 02 men biudzetas." xfId="17" xr:uid="{00000000-0005-0000-0000-000012000000}"/>
    <cellStyle name="Normal_Sheet1" xfId="18" xr:uid="{00000000-0005-0000-0000-000013000000}"/>
    <cellStyle name="Normal_Sheet1_2009 m 02 men biudzetas." xfId="19" xr:uid="{00000000-0005-0000-0000-000014000000}"/>
    <cellStyle name="Paprastas 2" xfId="20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tabSelected="1" zoomScaleNormal="100" workbookViewId="0">
      <selection activeCell="J14" sqref="J14"/>
    </sheetView>
  </sheetViews>
  <sheetFormatPr defaultColWidth="9.140625" defaultRowHeight="12.75" x14ac:dyDescent="0.2"/>
  <cols>
    <col min="1" max="1" width="7.85546875" style="10" customWidth="1"/>
    <col min="2" max="2" width="70.5703125" style="3" customWidth="1"/>
    <col min="3" max="3" width="14.5703125" style="3" bestFit="1" customWidth="1"/>
    <col min="4" max="4" width="9.28515625" style="2" customWidth="1"/>
    <col min="5" max="5" width="11.7109375" style="3" bestFit="1" customWidth="1"/>
    <col min="6" max="6" width="15.140625" style="3" customWidth="1"/>
    <col min="7" max="16384" width="9.140625" style="3"/>
  </cols>
  <sheetData>
    <row r="1" spans="1:10" ht="15.75" x14ac:dyDescent="0.25">
      <c r="A1" s="1"/>
      <c r="B1" s="162" t="s">
        <v>589</v>
      </c>
      <c r="C1" s="162"/>
    </row>
    <row r="2" spans="1:10" ht="15.75" x14ac:dyDescent="0.25">
      <c r="A2" s="1"/>
      <c r="B2" s="163" t="s">
        <v>554</v>
      </c>
      <c r="C2" s="163"/>
    </row>
    <row r="3" spans="1:10" ht="15.75" x14ac:dyDescent="0.25">
      <c r="A3" s="164" t="s">
        <v>163</v>
      </c>
      <c r="B3" s="164"/>
      <c r="C3" s="164"/>
    </row>
    <row r="4" spans="1:10" ht="15.75" x14ac:dyDescent="0.25">
      <c r="A4" s="6"/>
      <c r="B4" s="5"/>
      <c r="C4" s="5"/>
    </row>
    <row r="5" spans="1:10" x14ac:dyDescent="0.2">
      <c r="A5" s="1"/>
      <c r="B5" s="7" t="s">
        <v>508</v>
      </c>
      <c r="C5" s="8"/>
    </row>
    <row r="6" spans="1:10" x14ac:dyDescent="0.2">
      <c r="A6" s="1"/>
      <c r="B6" s="8"/>
      <c r="C6" s="8"/>
    </row>
    <row r="7" spans="1:10" x14ac:dyDescent="0.2">
      <c r="A7" s="1"/>
      <c r="B7" s="8"/>
      <c r="C7" s="9" t="s">
        <v>555</v>
      </c>
      <c r="D7" s="3"/>
      <c r="E7" s="10"/>
      <c r="F7" s="10"/>
    </row>
    <row r="8" spans="1:10" x14ac:dyDescent="0.2">
      <c r="A8" s="11" t="s">
        <v>0</v>
      </c>
      <c r="B8" s="12" t="s">
        <v>164</v>
      </c>
      <c r="C8" s="12" t="s">
        <v>556</v>
      </c>
      <c r="D8" s="10"/>
      <c r="E8" s="13"/>
    </row>
    <row r="9" spans="1:10" x14ac:dyDescent="0.2">
      <c r="A9" s="14">
        <v>1</v>
      </c>
      <c r="B9" s="11" t="s">
        <v>557</v>
      </c>
      <c r="C9" s="15">
        <f>+C10+C13+C17</f>
        <v>48666</v>
      </c>
      <c r="D9" s="3"/>
      <c r="E9" s="2"/>
      <c r="G9" s="2"/>
    </row>
    <row r="10" spans="1:10" x14ac:dyDescent="0.2">
      <c r="A10" s="14">
        <v>2</v>
      </c>
      <c r="B10" s="11" t="s">
        <v>558</v>
      </c>
      <c r="C10" s="15">
        <f>+C11+C12</f>
        <v>45796</v>
      </c>
      <c r="D10" s="3"/>
      <c r="E10" s="2"/>
      <c r="F10" s="16"/>
      <c r="G10" s="2"/>
    </row>
    <row r="11" spans="1:10" x14ac:dyDescent="0.2">
      <c r="A11" s="14">
        <v>3</v>
      </c>
      <c r="B11" s="17" t="s">
        <v>165</v>
      </c>
      <c r="C11" s="18">
        <v>45746</v>
      </c>
      <c r="D11" s="19"/>
      <c r="F11" s="16"/>
      <c r="G11" s="2"/>
    </row>
    <row r="12" spans="1:10" ht="25.5" x14ac:dyDescent="0.2">
      <c r="A12" s="14">
        <v>4</v>
      </c>
      <c r="B12" s="20" t="s">
        <v>191</v>
      </c>
      <c r="C12" s="18">
        <v>50</v>
      </c>
      <c r="D12" s="21"/>
      <c r="F12" s="22"/>
    </row>
    <row r="13" spans="1:10" x14ac:dyDescent="0.2">
      <c r="A13" s="14">
        <v>5</v>
      </c>
      <c r="B13" s="11" t="s">
        <v>559</v>
      </c>
      <c r="C13" s="23">
        <f>+C14+C16+C15</f>
        <v>2520</v>
      </c>
      <c r="D13" s="21"/>
      <c r="F13" s="22"/>
    </row>
    <row r="14" spans="1:10" x14ac:dyDescent="0.2">
      <c r="A14" s="14">
        <v>6</v>
      </c>
      <c r="B14" s="17" t="s">
        <v>166</v>
      </c>
      <c r="C14" s="18">
        <v>900</v>
      </c>
      <c r="D14" s="13"/>
      <c r="F14" s="16"/>
    </row>
    <row r="15" spans="1:10" x14ac:dyDescent="0.2">
      <c r="A15" s="14">
        <v>7</v>
      </c>
      <c r="B15" s="17" t="s">
        <v>167</v>
      </c>
      <c r="C15" s="18">
        <v>20</v>
      </c>
      <c r="D15" s="13"/>
    </row>
    <row r="16" spans="1:10" s="10" customFormat="1" x14ac:dyDescent="0.2">
      <c r="A16" s="14">
        <v>8</v>
      </c>
      <c r="B16" s="17" t="s">
        <v>168</v>
      </c>
      <c r="C16" s="18">
        <v>1600</v>
      </c>
      <c r="D16" s="13"/>
      <c r="E16" s="3"/>
      <c r="F16" s="24"/>
      <c r="G16" s="25"/>
      <c r="J16" s="25"/>
    </row>
    <row r="17" spans="1:15" ht="12.6" customHeight="1" x14ac:dyDescent="0.2">
      <c r="A17" s="14">
        <v>9</v>
      </c>
      <c r="B17" s="11" t="s">
        <v>560</v>
      </c>
      <c r="C17" s="15">
        <f>+C18</f>
        <v>350</v>
      </c>
      <c r="D17" s="21"/>
      <c r="G17" s="2"/>
    </row>
    <row r="18" spans="1:15" ht="12.6" customHeight="1" x14ac:dyDescent="0.2">
      <c r="A18" s="14">
        <v>10</v>
      </c>
      <c r="B18" s="17" t="s">
        <v>169</v>
      </c>
      <c r="C18" s="18">
        <v>350</v>
      </c>
      <c r="D18" s="3"/>
      <c r="G18" s="2"/>
    </row>
    <row r="19" spans="1:15" x14ac:dyDescent="0.2">
      <c r="A19" s="14">
        <v>11</v>
      </c>
      <c r="B19" s="11" t="s">
        <v>561</v>
      </c>
      <c r="C19" s="23">
        <f>C20+C25+C30+C33+C34</f>
        <v>5377</v>
      </c>
      <c r="D19" s="13"/>
      <c r="E19" s="26"/>
      <c r="F19" s="21"/>
      <c r="G19" s="2"/>
    </row>
    <row r="20" spans="1:15" x14ac:dyDescent="0.2">
      <c r="A20" s="14">
        <v>12</v>
      </c>
      <c r="B20" s="11" t="s">
        <v>562</v>
      </c>
      <c r="C20" s="23">
        <f>C22+C23+C24+C21</f>
        <v>790</v>
      </c>
      <c r="D20" s="21"/>
      <c r="E20" s="21"/>
      <c r="F20" s="21"/>
      <c r="G20" s="2"/>
    </row>
    <row r="21" spans="1:15" ht="12.6" customHeight="1" x14ac:dyDescent="0.2">
      <c r="A21" s="14">
        <v>13</v>
      </c>
      <c r="B21" s="27" t="s">
        <v>171</v>
      </c>
      <c r="C21" s="18">
        <v>30</v>
      </c>
      <c r="D21" s="13"/>
      <c r="G21" s="2"/>
    </row>
    <row r="22" spans="1:15" ht="12.6" customHeight="1" x14ac:dyDescent="0.2">
      <c r="A22" s="14">
        <v>14</v>
      </c>
      <c r="B22" s="20" t="s">
        <v>172</v>
      </c>
      <c r="C22" s="18">
        <v>650</v>
      </c>
      <c r="D22" s="13"/>
      <c r="E22" s="21"/>
      <c r="F22" s="28"/>
      <c r="G22" s="2"/>
    </row>
    <row r="23" spans="1:15" ht="12.6" customHeight="1" x14ac:dyDescent="0.2">
      <c r="A23" s="14">
        <v>15</v>
      </c>
      <c r="B23" s="17" t="s">
        <v>173</v>
      </c>
      <c r="C23" s="18">
        <v>50</v>
      </c>
      <c r="D23" s="21"/>
      <c r="E23" s="21"/>
      <c r="O23" s="13"/>
    </row>
    <row r="24" spans="1:15" ht="12.6" customHeight="1" x14ac:dyDescent="0.2">
      <c r="A24" s="14">
        <v>16</v>
      </c>
      <c r="B24" s="29" t="s">
        <v>94</v>
      </c>
      <c r="C24" s="18">
        <v>60</v>
      </c>
      <c r="D24" s="21"/>
      <c r="E24" s="21"/>
    </row>
    <row r="25" spans="1:15" ht="12.6" customHeight="1" x14ac:dyDescent="0.2">
      <c r="A25" s="14">
        <v>17</v>
      </c>
      <c r="B25" s="11" t="s">
        <v>563</v>
      </c>
      <c r="C25" s="23">
        <f>+C27+C26+C28+C29</f>
        <v>2700</v>
      </c>
      <c r="D25" s="13"/>
      <c r="E25" s="26"/>
      <c r="F25" s="30"/>
    </row>
    <row r="26" spans="1:15" x14ac:dyDescent="0.2">
      <c r="A26" s="14">
        <v>18</v>
      </c>
      <c r="B26" s="17" t="s">
        <v>174</v>
      </c>
      <c r="C26" s="18">
        <f>305.7+6</f>
        <v>311.7</v>
      </c>
      <c r="D26" s="13"/>
      <c r="E26" s="26"/>
      <c r="F26" s="30"/>
    </row>
    <row r="27" spans="1:15" x14ac:dyDescent="0.2">
      <c r="A27" s="14">
        <v>19</v>
      </c>
      <c r="B27" s="17" t="s">
        <v>175</v>
      </c>
      <c r="C27" s="18">
        <f>151.6+35</f>
        <v>186.6</v>
      </c>
      <c r="D27" s="13"/>
      <c r="E27" s="26"/>
      <c r="F27" s="13"/>
    </row>
    <row r="28" spans="1:15" x14ac:dyDescent="0.2">
      <c r="A28" s="14">
        <v>20</v>
      </c>
      <c r="B28" s="17" t="s">
        <v>176</v>
      </c>
      <c r="C28" s="18">
        <f>2063.2+35+3.5</f>
        <v>2101.6999999999998</v>
      </c>
      <c r="D28" s="13"/>
      <c r="E28" s="13"/>
      <c r="F28" s="31"/>
      <c r="H28" s="2"/>
    </row>
    <row r="29" spans="1:15" x14ac:dyDescent="0.2">
      <c r="A29" s="14">
        <v>21</v>
      </c>
      <c r="B29" s="17" t="s">
        <v>498</v>
      </c>
      <c r="C29" s="18">
        <v>100</v>
      </c>
      <c r="D29" s="13"/>
      <c r="F29" s="13"/>
      <c r="H29" s="2"/>
    </row>
    <row r="30" spans="1:15" ht="12.6" customHeight="1" x14ac:dyDescent="0.2">
      <c r="A30" s="14">
        <v>22</v>
      </c>
      <c r="B30" s="11" t="s">
        <v>564</v>
      </c>
      <c r="C30" s="15">
        <f>+C31+C32</f>
        <v>1829</v>
      </c>
      <c r="D30" s="13"/>
      <c r="E30" s="28"/>
    </row>
    <row r="31" spans="1:15" ht="12.6" customHeight="1" x14ac:dyDescent="0.2">
      <c r="A31" s="14">
        <v>23</v>
      </c>
      <c r="B31" s="17" t="s">
        <v>177</v>
      </c>
      <c r="C31" s="18">
        <v>45</v>
      </c>
      <c r="D31" s="13"/>
    </row>
    <row r="32" spans="1:15" ht="12.6" customHeight="1" x14ac:dyDescent="0.2">
      <c r="A32" s="14">
        <v>24</v>
      </c>
      <c r="B32" s="17" t="s">
        <v>178</v>
      </c>
      <c r="C32" s="18">
        <v>1784</v>
      </c>
      <c r="D32" s="3"/>
      <c r="G32" s="13"/>
    </row>
    <row r="33" spans="1:7" ht="12.6" customHeight="1" x14ac:dyDescent="0.2">
      <c r="A33" s="14">
        <v>25</v>
      </c>
      <c r="B33" s="11" t="s">
        <v>179</v>
      </c>
      <c r="C33" s="23">
        <v>50</v>
      </c>
      <c r="D33" s="13"/>
      <c r="G33" s="13"/>
    </row>
    <row r="34" spans="1:7" ht="12.6" customHeight="1" x14ac:dyDescent="0.2">
      <c r="A34" s="14">
        <v>26</v>
      </c>
      <c r="B34" s="11" t="s">
        <v>565</v>
      </c>
      <c r="C34" s="23">
        <f>8</f>
        <v>8</v>
      </c>
      <c r="D34" s="13"/>
      <c r="G34" s="13"/>
    </row>
    <row r="35" spans="1:7" ht="12.6" customHeight="1" x14ac:dyDescent="0.2">
      <c r="A35" s="14">
        <v>27</v>
      </c>
      <c r="B35" s="32" t="s">
        <v>566</v>
      </c>
      <c r="C35" s="23">
        <v>121</v>
      </c>
      <c r="D35" s="13"/>
    </row>
    <row r="36" spans="1:7" ht="12.6" customHeight="1" x14ac:dyDescent="0.2">
      <c r="A36" s="14">
        <v>28</v>
      </c>
      <c r="B36" s="33" t="s">
        <v>567</v>
      </c>
      <c r="C36" s="23">
        <f>+C9+C19+C35</f>
        <v>54164</v>
      </c>
      <c r="D36" s="3"/>
      <c r="G36" s="13"/>
    </row>
    <row r="37" spans="1:7" x14ac:dyDescent="0.2">
      <c r="A37" s="14">
        <v>29</v>
      </c>
      <c r="B37" s="11" t="s">
        <v>568</v>
      </c>
      <c r="C37" s="23">
        <f>+C38+C43+C44</f>
        <v>37108.400000000001</v>
      </c>
      <c r="D37" s="3"/>
    </row>
    <row r="38" spans="1:7" x14ac:dyDescent="0.2">
      <c r="A38" s="14">
        <v>30</v>
      </c>
      <c r="B38" s="34" t="s">
        <v>569</v>
      </c>
      <c r="C38" s="23">
        <f>+C39+C40+C41</f>
        <v>28830.600000000002</v>
      </c>
      <c r="D38" s="3"/>
    </row>
    <row r="39" spans="1:7" ht="12.6" customHeight="1" x14ac:dyDescent="0.2">
      <c r="A39" s="14">
        <v>31</v>
      </c>
      <c r="B39" s="17" t="s">
        <v>570</v>
      </c>
      <c r="C39" s="18">
        <f>7006.6-35+0.9</f>
        <v>6972.5</v>
      </c>
      <c r="D39" s="13"/>
    </row>
    <row r="40" spans="1:7" ht="12.6" customHeight="1" x14ac:dyDescent="0.2">
      <c r="A40" s="14">
        <v>32</v>
      </c>
      <c r="B40" s="17" t="s">
        <v>192</v>
      </c>
      <c r="C40" s="18">
        <v>21175.9</v>
      </c>
      <c r="D40" s="13"/>
    </row>
    <row r="41" spans="1:7" ht="12.6" customHeight="1" x14ac:dyDescent="0.2">
      <c r="A41" s="14">
        <v>33</v>
      </c>
      <c r="B41" s="17" t="s">
        <v>170</v>
      </c>
      <c r="C41" s="35">
        <f>+C42</f>
        <v>682.2</v>
      </c>
      <c r="D41" s="13"/>
    </row>
    <row r="42" spans="1:7" ht="12.6" customHeight="1" x14ac:dyDescent="0.2">
      <c r="A42" s="36" t="s">
        <v>370</v>
      </c>
      <c r="B42" s="20" t="s">
        <v>571</v>
      </c>
      <c r="C42" s="18">
        <v>682.2</v>
      </c>
      <c r="D42" s="13"/>
    </row>
    <row r="43" spans="1:7" ht="12.6" customHeight="1" x14ac:dyDescent="0.2">
      <c r="A43" s="36" t="s">
        <v>572</v>
      </c>
      <c r="B43" s="34" t="s">
        <v>573</v>
      </c>
      <c r="C43" s="23">
        <f>4518.7+32.5+86-50+1.8+0.6+49.5+0.4+2.1+0.2+237.4+0.5+7.8+461.3</f>
        <v>5348.8</v>
      </c>
      <c r="D43" s="13"/>
    </row>
    <row r="44" spans="1:7" x14ac:dyDescent="0.2">
      <c r="A44" s="36" t="s">
        <v>574</v>
      </c>
      <c r="B44" s="32" t="s">
        <v>575</v>
      </c>
      <c r="C44" s="15">
        <f>2212.2+716.8</f>
        <v>2929</v>
      </c>
      <c r="D44" s="13"/>
    </row>
    <row r="45" spans="1:7" x14ac:dyDescent="0.2">
      <c r="A45" s="36" t="s">
        <v>576</v>
      </c>
      <c r="B45" s="33" t="s">
        <v>577</v>
      </c>
      <c r="C45" s="23">
        <f>+C36+C37</f>
        <v>91272.4</v>
      </c>
      <c r="D45" s="13"/>
    </row>
    <row r="46" spans="1:7" ht="12.6" customHeight="1" x14ac:dyDescent="0.2">
      <c r="A46" s="36" t="s">
        <v>578</v>
      </c>
      <c r="B46" s="37" t="s">
        <v>579</v>
      </c>
      <c r="C46" s="35">
        <f>1575+563.7</f>
        <v>2138.6999999999998</v>
      </c>
      <c r="D46" s="13"/>
    </row>
    <row r="47" spans="1:7" ht="12.6" customHeight="1" x14ac:dyDescent="0.2">
      <c r="A47" s="36" t="s">
        <v>580</v>
      </c>
      <c r="B47" s="37" t="s">
        <v>581</v>
      </c>
      <c r="C47" s="18">
        <f>8822.8+8</f>
        <v>8830.7999999999993</v>
      </c>
      <c r="D47" s="13"/>
      <c r="E47" s="21"/>
      <c r="F47" s="28"/>
      <c r="G47" s="2"/>
    </row>
    <row r="48" spans="1:7" ht="12.6" customHeight="1" x14ac:dyDescent="0.2">
      <c r="D48" s="3"/>
      <c r="E48" s="21"/>
      <c r="F48" s="28"/>
    </row>
    <row r="49" spans="1:7" ht="12.6" customHeight="1" x14ac:dyDescent="0.2">
      <c r="A49" s="1"/>
      <c r="B49" s="9" t="s">
        <v>180</v>
      </c>
      <c r="C49" s="38"/>
      <c r="D49" s="3"/>
      <c r="F49" s="28"/>
      <c r="G49" s="2"/>
    </row>
    <row r="50" spans="1:7" x14ac:dyDescent="0.2">
      <c r="G50" s="2"/>
    </row>
    <row r="52" spans="1:7" ht="12" customHeight="1" x14ac:dyDescent="0.2"/>
    <row r="53" spans="1:7" ht="12" customHeight="1" x14ac:dyDescent="0.2">
      <c r="E53" s="30"/>
    </row>
    <row r="54" spans="1:7" ht="12" customHeight="1" x14ac:dyDescent="0.2"/>
    <row r="55" spans="1:7" ht="12" customHeight="1" x14ac:dyDescent="0.2"/>
    <row r="56" spans="1:7" ht="12" customHeight="1" x14ac:dyDescent="0.2"/>
    <row r="57" spans="1:7" ht="12" customHeight="1" x14ac:dyDescent="0.2"/>
    <row r="58" spans="1:7" ht="12" customHeight="1" x14ac:dyDescent="0.2"/>
    <row r="59" spans="1:7" ht="12" customHeight="1" x14ac:dyDescent="0.2"/>
  </sheetData>
  <mergeCells count="3">
    <mergeCell ref="B1:C1"/>
    <mergeCell ref="B2:C2"/>
    <mergeCell ref="A3:C3"/>
  </mergeCells>
  <phoneticPr fontId="12" type="noConversion"/>
  <pageMargins left="0.78740157480314965" right="0" top="0.78740157480314965" bottom="0.15748031496062992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39"/>
  <sheetViews>
    <sheetView zoomScaleNormal="100" workbookViewId="0">
      <selection activeCell="H129" sqref="H129"/>
    </sheetView>
  </sheetViews>
  <sheetFormatPr defaultColWidth="9.140625" defaultRowHeight="12.75" x14ac:dyDescent="0.2"/>
  <cols>
    <col min="1" max="1" width="5.85546875" style="10" customWidth="1"/>
    <col min="2" max="2" width="7.42578125" style="64" customWidth="1"/>
    <col min="3" max="3" width="70" style="121" customWidth="1"/>
    <col min="4" max="4" width="9.7109375" style="62" customWidth="1"/>
    <col min="5" max="5" width="9.140625" style="13" customWidth="1"/>
    <col min="6" max="16384" width="9.140625" style="3"/>
  </cols>
  <sheetData>
    <row r="1" spans="1:9" ht="15.75" x14ac:dyDescent="0.25">
      <c r="C1" s="165" t="s">
        <v>190</v>
      </c>
      <c r="D1" s="165"/>
    </row>
    <row r="2" spans="1:9" ht="15" customHeight="1" x14ac:dyDescent="0.25">
      <c r="C2" s="165" t="s">
        <v>587</v>
      </c>
      <c r="D2" s="165"/>
    </row>
    <row r="3" spans="1:9" ht="15.75" x14ac:dyDescent="0.25">
      <c r="C3" s="4"/>
      <c r="D3" s="65" t="s">
        <v>189</v>
      </c>
    </row>
    <row r="4" spans="1:9" ht="15.75" x14ac:dyDescent="0.2">
      <c r="D4" s="65"/>
    </row>
    <row r="5" spans="1:9" ht="35.25" customHeight="1" x14ac:dyDescent="0.2">
      <c r="A5" s="167" t="s">
        <v>361</v>
      </c>
      <c r="B5" s="167"/>
      <c r="C5" s="167"/>
      <c r="D5" s="167"/>
      <c r="I5" s="61"/>
    </row>
    <row r="6" spans="1:9" x14ac:dyDescent="0.2">
      <c r="A6" s="41"/>
      <c r="B6" s="41"/>
      <c r="C6" s="41"/>
      <c r="D6" s="41"/>
    </row>
    <row r="7" spans="1:9" x14ac:dyDescent="0.2">
      <c r="A7" s="123"/>
      <c r="B7" s="124"/>
      <c r="C7" s="125"/>
      <c r="D7" s="67" t="s">
        <v>71</v>
      </c>
    </row>
    <row r="8" spans="1:9" ht="38.25" x14ac:dyDescent="0.2">
      <c r="A8" s="42" t="s">
        <v>68</v>
      </c>
      <c r="B8" s="68" t="s">
        <v>186</v>
      </c>
      <c r="C8" s="42" t="s">
        <v>16</v>
      </c>
      <c r="D8" s="42" t="s">
        <v>17</v>
      </c>
      <c r="E8" s="59"/>
    </row>
    <row r="9" spans="1:9" s="61" customFormat="1" ht="12.75" customHeight="1" x14ac:dyDescent="0.2">
      <c r="A9" s="69">
        <v>1</v>
      </c>
      <c r="B9" s="70" t="s">
        <v>18</v>
      </c>
      <c r="C9" s="42">
        <v>3</v>
      </c>
      <c r="D9" s="42">
        <v>4</v>
      </c>
      <c r="E9" s="59"/>
    </row>
    <row r="10" spans="1:9" s="61" customFormat="1" x14ac:dyDescent="0.2">
      <c r="A10" s="71">
        <v>1</v>
      </c>
      <c r="B10" s="70" t="s">
        <v>47</v>
      </c>
      <c r="C10" s="72" t="s">
        <v>48</v>
      </c>
      <c r="D10" s="73">
        <f>+D11+D14+D19+D26+D28+D40+D42+D49</f>
        <v>612.6</v>
      </c>
      <c r="E10" s="59"/>
    </row>
    <row r="11" spans="1:9" s="61" customFormat="1" x14ac:dyDescent="0.2">
      <c r="A11" s="71">
        <v>2</v>
      </c>
      <c r="B11" s="111" t="s">
        <v>158</v>
      </c>
      <c r="C11" s="126" t="s">
        <v>206</v>
      </c>
      <c r="D11" s="113">
        <f>+D12+D13</f>
        <v>296.3</v>
      </c>
      <c r="E11" s="59"/>
    </row>
    <row r="12" spans="1:9" s="61" customFormat="1" ht="12.95" customHeight="1" x14ac:dyDescent="0.2">
      <c r="A12" s="71">
        <v>3</v>
      </c>
      <c r="B12" s="75"/>
      <c r="C12" s="117" t="s">
        <v>107</v>
      </c>
      <c r="D12" s="76">
        <v>287.5</v>
      </c>
      <c r="E12" s="59"/>
    </row>
    <row r="13" spans="1:9" s="61" customFormat="1" ht="12.95" customHeight="1" x14ac:dyDescent="0.2">
      <c r="A13" s="71">
        <v>4</v>
      </c>
      <c r="B13" s="75"/>
      <c r="C13" s="102" t="s">
        <v>3</v>
      </c>
      <c r="D13" s="76">
        <v>8.8000000000000007</v>
      </c>
      <c r="E13" s="59"/>
    </row>
    <row r="14" spans="1:9" s="61" customFormat="1" ht="25.5" x14ac:dyDescent="0.2">
      <c r="A14" s="71">
        <v>5</v>
      </c>
      <c r="B14" s="75" t="s">
        <v>159</v>
      </c>
      <c r="C14" s="86" t="s">
        <v>213</v>
      </c>
      <c r="D14" s="141">
        <f>SUM(D15:D18)</f>
        <v>26.599999999999998</v>
      </c>
      <c r="E14" s="59"/>
    </row>
    <row r="15" spans="1:9" s="61" customFormat="1" ht="12.95" customHeight="1" x14ac:dyDescent="0.2">
      <c r="A15" s="71">
        <v>6</v>
      </c>
      <c r="B15" s="75"/>
      <c r="C15" s="55" t="s">
        <v>79</v>
      </c>
      <c r="D15" s="142">
        <v>3.8</v>
      </c>
      <c r="E15" s="59"/>
    </row>
    <row r="16" spans="1:9" s="61" customFormat="1" ht="12.95" customHeight="1" x14ac:dyDescent="0.2">
      <c r="A16" s="71">
        <v>7</v>
      </c>
      <c r="B16" s="75"/>
      <c r="C16" s="55" t="s">
        <v>82</v>
      </c>
      <c r="D16" s="142">
        <v>7.6</v>
      </c>
      <c r="E16" s="59"/>
    </row>
    <row r="17" spans="1:5" s="61" customFormat="1" ht="12.95" customHeight="1" x14ac:dyDescent="0.2">
      <c r="A17" s="71">
        <v>8</v>
      </c>
      <c r="B17" s="75"/>
      <c r="C17" s="55" t="s">
        <v>83</v>
      </c>
      <c r="D17" s="142">
        <v>11.4</v>
      </c>
      <c r="E17" s="59"/>
    </row>
    <row r="18" spans="1:5" ht="12.95" customHeight="1" x14ac:dyDescent="0.2">
      <c r="A18" s="71">
        <v>9</v>
      </c>
      <c r="B18" s="75"/>
      <c r="C18" s="49" t="s">
        <v>95</v>
      </c>
      <c r="D18" s="142">
        <v>3.8</v>
      </c>
      <c r="E18" s="59"/>
    </row>
    <row r="19" spans="1:5" x14ac:dyDescent="0.2">
      <c r="A19" s="71">
        <v>10</v>
      </c>
      <c r="B19" s="75" t="s">
        <v>500</v>
      </c>
      <c r="C19" s="86" t="s">
        <v>519</v>
      </c>
      <c r="D19" s="141">
        <f>SUM(D20:D25)</f>
        <v>133.4</v>
      </c>
      <c r="E19" s="59"/>
    </row>
    <row r="20" spans="1:5" ht="12.95" customHeight="1" x14ac:dyDescent="0.2">
      <c r="A20" s="71">
        <v>11</v>
      </c>
      <c r="B20" s="75"/>
      <c r="C20" s="46" t="s">
        <v>87</v>
      </c>
      <c r="D20" s="142">
        <v>16.7</v>
      </c>
      <c r="E20" s="59"/>
    </row>
    <row r="21" spans="1:5" ht="12.95" customHeight="1" x14ac:dyDescent="0.2">
      <c r="A21" s="71">
        <v>12</v>
      </c>
      <c r="B21" s="75"/>
      <c r="C21" s="46" t="s">
        <v>38</v>
      </c>
      <c r="D21" s="142">
        <v>18.7</v>
      </c>
      <c r="E21" s="59"/>
    </row>
    <row r="22" spans="1:5" ht="12.95" customHeight="1" x14ac:dyDescent="0.2">
      <c r="A22" s="71">
        <v>13</v>
      </c>
      <c r="B22" s="75"/>
      <c r="C22" s="50" t="s">
        <v>85</v>
      </c>
      <c r="D22" s="142">
        <v>18.100000000000001</v>
      </c>
      <c r="E22" s="59"/>
    </row>
    <row r="23" spans="1:5" ht="12.95" customHeight="1" x14ac:dyDescent="0.2">
      <c r="A23" s="71">
        <v>14</v>
      </c>
      <c r="B23" s="75"/>
      <c r="C23" s="46" t="s">
        <v>86</v>
      </c>
      <c r="D23" s="142">
        <v>19.100000000000001</v>
      </c>
      <c r="E23" s="59"/>
    </row>
    <row r="24" spans="1:5" ht="12.95" customHeight="1" x14ac:dyDescent="0.2">
      <c r="A24" s="71">
        <v>15</v>
      </c>
      <c r="B24" s="75"/>
      <c r="C24" s="50" t="s">
        <v>547</v>
      </c>
      <c r="D24" s="142">
        <v>13.2</v>
      </c>
      <c r="E24" s="59"/>
    </row>
    <row r="25" spans="1:5" ht="12.95" customHeight="1" x14ac:dyDescent="0.2">
      <c r="A25" s="71">
        <v>16</v>
      </c>
      <c r="B25" s="75"/>
      <c r="C25" s="52" t="s">
        <v>107</v>
      </c>
      <c r="D25" s="142">
        <v>47.6</v>
      </c>
      <c r="E25" s="59"/>
    </row>
    <row r="26" spans="1:5" x14ac:dyDescent="0.2">
      <c r="A26" s="71">
        <v>17</v>
      </c>
      <c r="B26" s="75" t="s">
        <v>515</v>
      </c>
      <c r="C26" s="143" t="s">
        <v>516</v>
      </c>
      <c r="D26" s="141">
        <f>+D27</f>
        <v>48.4</v>
      </c>
      <c r="E26" s="59"/>
    </row>
    <row r="27" spans="1:5" ht="12.95" customHeight="1" x14ac:dyDescent="0.2">
      <c r="A27" s="71">
        <v>18</v>
      </c>
      <c r="B27" s="75"/>
      <c r="C27" s="52" t="s">
        <v>76</v>
      </c>
      <c r="D27" s="142">
        <v>48.4</v>
      </c>
      <c r="E27" s="59"/>
    </row>
    <row r="28" spans="1:5" ht="25.5" x14ac:dyDescent="0.2">
      <c r="A28" s="71">
        <v>19</v>
      </c>
      <c r="B28" s="75" t="s">
        <v>517</v>
      </c>
      <c r="C28" s="86" t="s">
        <v>520</v>
      </c>
      <c r="D28" s="141">
        <f>SUM(D29:D39)</f>
        <v>26.599999999999998</v>
      </c>
      <c r="E28" s="59"/>
    </row>
    <row r="29" spans="1:5" ht="12.95" customHeight="1" x14ac:dyDescent="0.2">
      <c r="A29" s="71">
        <v>20</v>
      </c>
      <c r="B29" s="75"/>
      <c r="C29" s="46" t="s">
        <v>88</v>
      </c>
      <c r="D29" s="142">
        <v>4.3</v>
      </c>
      <c r="E29" s="59"/>
    </row>
    <row r="30" spans="1:5" ht="12.95" customHeight="1" x14ac:dyDescent="0.2">
      <c r="A30" s="71">
        <v>21</v>
      </c>
      <c r="B30" s="75"/>
      <c r="C30" s="46" t="s">
        <v>79</v>
      </c>
      <c r="D30" s="142">
        <v>2.2000000000000002</v>
      </c>
      <c r="E30" s="59"/>
    </row>
    <row r="31" spans="1:5" ht="12.95" customHeight="1" x14ac:dyDescent="0.2">
      <c r="A31" s="71">
        <v>22</v>
      </c>
      <c r="B31" s="75"/>
      <c r="C31" s="46" t="s">
        <v>80</v>
      </c>
      <c r="D31" s="142">
        <v>3.6</v>
      </c>
      <c r="E31" s="59"/>
    </row>
    <row r="32" spans="1:5" ht="12.95" customHeight="1" x14ac:dyDescent="0.2">
      <c r="A32" s="71">
        <v>23</v>
      </c>
      <c r="B32" s="75"/>
      <c r="C32" s="46" t="s">
        <v>81</v>
      </c>
      <c r="D32" s="142">
        <v>1.4</v>
      </c>
      <c r="E32" s="59"/>
    </row>
    <row r="33" spans="1:5" ht="12.95" customHeight="1" x14ac:dyDescent="0.2">
      <c r="A33" s="71">
        <v>24</v>
      </c>
      <c r="B33" s="75"/>
      <c r="C33" s="46" t="s">
        <v>82</v>
      </c>
      <c r="D33" s="142">
        <v>5.8</v>
      </c>
      <c r="E33" s="59"/>
    </row>
    <row r="34" spans="1:5" ht="12.95" customHeight="1" x14ac:dyDescent="0.2">
      <c r="A34" s="71">
        <v>25</v>
      </c>
      <c r="B34" s="75"/>
      <c r="C34" s="46" t="s">
        <v>83</v>
      </c>
      <c r="D34" s="142">
        <v>3.6</v>
      </c>
      <c r="E34" s="59"/>
    </row>
    <row r="35" spans="1:5" ht="12.95" customHeight="1" x14ac:dyDescent="0.2">
      <c r="A35" s="71">
        <v>26</v>
      </c>
      <c r="B35" s="75"/>
      <c r="C35" s="50" t="s">
        <v>73</v>
      </c>
      <c r="D35" s="142">
        <v>0.7</v>
      </c>
      <c r="E35" s="59"/>
    </row>
    <row r="36" spans="1:5" ht="12.95" customHeight="1" x14ac:dyDescent="0.2">
      <c r="A36" s="71">
        <v>27</v>
      </c>
      <c r="B36" s="75"/>
      <c r="C36" s="50" t="s">
        <v>32</v>
      </c>
      <c r="D36" s="142">
        <v>1.5</v>
      </c>
      <c r="E36" s="59"/>
    </row>
    <row r="37" spans="1:5" ht="12.95" customHeight="1" x14ac:dyDescent="0.2">
      <c r="A37" s="71">
        <v>28</v>
      </c>
      <c r="B37" s="75"/>
      <c r="C37" s="50" t="s">
        <v>547</v>
      </c>
      <c r="D37" s="142">
        <v>0.7</v>
      </c>
      <c r="E37" s="59"/>
    </row>
    <row r="38" spans="1:5" ht="12.95" customHeight="1" x14ac:dyDescent="0.2">
      <c r="A38" s="71">
        <v>29</v>
      </c>
      <c r="B38" s="75"/>
      <c r="C38" s="50" t="s">
        <v>75</v>
      </c>
      <c r="D38" s="142">
        <v>1.4</v>
      </c>
      <c r="E38" s="59"/>
    </row>
    <row r="39" spans="1:5" ht="12.95" customHeight="1" x14ac:dyDescent="0.2">
      <c r="A39" s="71">
        <v>30</v>
      </c>
      <c r="B39" s="75"/>
      <c r="C39" s="133" t="s">
        <v>15</v>
      </c>
      <c r="D39" s="142">
        <v>1.4</v>
      </c>
      <c r="E39" s="59"/>
    </row>
    <row r="40" spans="1:5" ht="15" customHeight="1" x14ac:dyDescent="0.2">
      <c r="A40" s="71">
        <v>31</v>
      </c>
      <c r="B40" s="75" t="s">
        <v>531</v>
      </c>
      <c r="C40" s="143" t="s">
        <v>532</v>
      </c>
      <c r="D40" s="142">
        <f>+D41</f>
        <v>0.5</v>
      </c>
      <c r="E40" s="59"/>
    </row>
    <row r="41" spans="1:5" ht="12.95" customHeight="1" x14ac:dyDescent="0.2">
      <c r="A41" s="71">
        <v>32</v>
      </c>
      <c r="B41" s="75"/>
      <c r="C41" s="52" t="s">
        <v>76</v>
      </c>
      <c r="D41" s="142">
        <v>0.5</v>
      </c>
      <c r="E41" s="59"/>
    </row>
    <row r="42" spans="1:5" ht="38.25" x14ac:dyDescent="0.2">
      <c r="A42" s="71">
        <v>33</v>
      </c>
      <c r="B42" s="75" t="s">
        <v>542</v>
      </c>
      <c r="C42" s="143" t="s">
        <v>538</v>
      </c>
      <c r="D42" s="113">
        <f>SUM(D43:D48)</f>
        <v>12.8</v>
      </c>
      <c r="E42" s="59"/>
    </row>
    <row r="43" spans="1:5" ht="12.95" customHeight="1" x14ac:dyDescent="0.2">
      <c r="A43" s="71">
        <v>34</v>
      </c>
      <c r="B43" s="75"/>
      <c r="C43" s="46" t="s">
        <v>80</v>
      </c>
      <c r="D43" s="142">
        <v>1</v>
      </c>
      <c r="E43" s="59"/>
    </row>
    <row r="44" spans="1:5" ht="12.95" customHeight="1" x14ac:dyDescent="0.2">
      <c r="A44" s="71">
        <v>35</v>
      </c>
      <c r="B44" s="75"/>
      <c r="C44" s="46" t="s">
        <v>83</v>
      </c>
      <c r="D44" s="142">
        <v>1.6</v>
      </c>
      <c r="E44" s="59"/>
    </row>
    <row r="45" spans="1:5" ht="12.95" customHeight="1" x14ac:dyDescent="0.2">
      <c r="A45" s="71">
        <v>36</v>
      </c>
      <c r="B45" s="75"/>
      <c r="C45" s="46" t="s">
        <v>87</v>
      </c>
      <c r="D45" s="142">
        <v>5.2</v>
      </c>
      <c r="E45" s="59"/>
    </row>
    <row r="46" spans="1:5" ht="12.95" customHeight="1" x14ac:dyDescent="0.2">
      <c r="A46" s="71">
        <v>37</v>
      </c>
      <c r="B46" s="75"/>
      <c r="C46" s="50" t="s">
        <v>85</v>
      </c>
      <c r="D46" s="142">
        <v>3.3</v>
      </c>
      <c r="E46" s="59"/>
    </row>
    <row r="47" spans="1:5" ht="12.95" customHeight="1" x14ac:dyDescent="0.2">
      <c r="A47" s="71">
        <v>38</v>
      </c>
      <c r="B47" s="75"/>
      <c r="C47" s="50" t="s">
        <v>75</v>
      </c>
      <c r="D47" s="142">
        <v>1.1000000000000001</v>
      </c>
      <c r="E47" s="59"/>
    </row>
    <row r="48" spans="1:5" ht="12.95" customHeight="1" x14ac:dyDescent="0.2">
      <c r="A48" s="71">
        <v>39</v>
      </c>
      <c r="B48" s="75"/>
      <c r="C48" s="50" t="s">
        <v>64</v>
      </c>
      <c r="D48" s="142">
        <v>0.6</v>
      </c>
      <c r="E48" s="59"/>
    </row>
    <row r="49" spans="1:7" ht="15" customHeight="1" x14ac:dyDescent="0.2">
      <c r="A49" s="71">
        <v>40</v>
      </c>
      <c r="B49" s="75" t="s">
        <v>543</v>
      </c>
      <c r="C49" s="143" t="s">
        <v>539</v>
      </c>
      <c r="D49" s="144">
        <f>+D50</f>
        <v>68</v>
      </c>
      <c r="E49" s="59"/>
    </row>
    <row r="50" spans="1:7" ht="12.95" customHeight="1" x14ac:dyDescent="0.2">
      <c r="A50" s="71">
        <v>41</v>
      </c>
      <c r="B50" s="75"/>
      <c r="C50" s="49" t="s">
        <v>3</v>
      </c>
      <c r="D50" s="142">
        <v>68</v>
      </c>
      <c r="E50" s="59"/>
    </row>
    <row r="51" spans="1:7" x14ac:dyDescent="0.2">
      <c r="A51" s="71">
        <v>42</v>
      </c>
      <c r="B51" s="70" t="s">
        <v>21</v>
      </c>
      <c r="C51" s="85" t="s">
        <v>22</v>
      </c>
      <c r="D51" s="58">
        <f>+D52+D54+D56+D58+D60+D66+D68+D70+D72+D74+D79+D81+D83+D85+D87+D89</f>
        <v>874.70000000000027</v>
      </c>
      <c r="E51" s="59"/>
    </row>
    <row r="52" spans="1:7" ht="15" customHeight="1" x14ac:dyDescent="0.2">
      <c r="A52" s="71">
        <v>43</v>
      </c>
      <c r="B52" s="75" t="s">
        <v>119</v>
      </c>
      <c r="C52" s="126" t="s">
        <v>266</v>
      </c>
      <c r="D52" s="113">
        <f>+D53</f>
        <v>25</v>
      </c>
      <c r="E52" s="59"/>
    </row>
    <row r="53" spans="1:7" ht="12.95" customHeight="1" x14ac:dyDescent="0.2">
      <c r="A53" s="71">
        <v>44</v>
      </c>
      <c r="B53" s="75"/>
      <c r="C53" s="102" t="s">
        <v>78</v>
      </c>
      <c r="D53" s="76">
        <v>25</v>
      </c>
      <c r="E53" s="59"/>
    </row>
    <row r="54" spans="1:7" ht="25.5" x14ac:dyDescent="0.2">
      <c r="A54" s="71">
        <v>45</v>
      </c>
      <c r="B54" s="75" t="s">
        <v>121</v>
      </c>
      <c r="C54" s="126" t="s">
        <v>267</v>
      </c>
      <c r="D54" s="113">
        <f>+D55</f>
        <v>161.5</v>
      </c>
      <c r="E54" s="59"/>
    </row>
    <row r="55" spans="1:7" ht="12.95" customHeight="1" x14ac:dyDescent="0.2">
      <c r="A55" s="71">
        <v>46</v>
      </c>
      <c r="B55" s="75"/>
      <c r="C55" s="102" t="s">
        <v>3</v>
      </c>
      <c r="D55" s="76">
        <f>151.8+9.7</f>
        <v>161.5</v>
      </c>
      <c r="E55" s="59"/>
    </row>
    <row r="56" spans="1:7" ht="24.75" customHeight="1" x14ac:dyDescent="0.2">
      <c r="A56" s="71">
        <v>47</v>
      </c>
      <c r="B56" s="75" t="s">
        <v>122</v>
      </c>
      <c r="C56" s="86" t="s">
        <v>268</v>
      </c>
      <c r="D56" s="113">
        <f>+D57</f>
        <v>82</v>
      </c>
      <c r="E56" s="59"/>
    </row>
    <row r="57" spans="1:7" ht="12.95" customHeight="1" x14ac:dyDescent="0.2">
      <c r="A57" s="71">
        <v>48</v>
      </c>
      <c r="B57" s="75"/>
      <c r="C57" s="102" t="s">
        <v>3</v>
      </c>
      <c r="D57" s="76">
        <f>85.1-3.1</f>
        <v>82</v>
      </c>
      <c r="E57" s="59"/>
    </row>
    <row r="58" spans="1:7" x14ac:dyDescent="0.2">
      <c r="A58" s="71">
        <v>49</v>
      </c>
      <c r="B58" s="75" t="s">
        <v>124</v>
      </c>
      <c r="C58" s="86" t="s">
        <v>269</v>
      </c>
      <c r="D58" s="113">
        <f>+D59</f>
        <v>61.20000000000001</v>
      </c>
      <c r="E58" s="59"/>
    </row>
    <row r="59" spans="1:7" ht="12.95" customHeight="1" x14ac:dyDescent="0.2">
      <c r="A59" s="71">
        <v>50</v>
      </c>
      <c r="B59" s="75"/>
      <c r="C59" s="49" t="s">
        <v>3</v>
      </c>
      <c r="D59" s="76">
        <f>152.8-50-41.6</f>
        <v>61.20000000000001</v>
      </c>
      <c r="E59" s="59"/>
    </row>
    <row r="60" spans="1:7" ht="25.5" customHeight="1" x14ac:dyDescent="0.2">
      <c r="A60" s="71">
        <v>51</v>
      </c>
      <c r="B60" s="75" t="s">
        <v>126</v>
      </c>
      <c r="C60" s="86" t="s">
        <v>499</v>
      </c>
      <c r="D60" s="113">
        <f>SUM(D61:D65)</f>
        <v>132.4</v>
      </c>
      <c r="E60" s="59"/>
      <c r="G60" s="31"/>
    </row>
    <row r="61" spans="1:7" ht="12.95" customHeight="1" x14ac:dyDescent="0.2">
      <c r="A61" s="71">
        <v>52</v>
      </c>
      <c r="B61" s="75"/>
      <c r="C61" s="55" t="s">
        <v>1</v>
      </c>
      <c r="D61" s="76">
        <v>56.5</v>
      </c>
      <c r="E61" s="91"/>
    </row>
    <row r="62" spans="1:7" ht="12.95" customHeight="1" x14ac:dyDescent="0.2">
      <c r="A62" s="71">
        <v>53</v>
      </c>
      <c r="B62" s="75"/>
      <c r="C62" s="88" t="s">
        <v>2</v>
      </c>
      <c r="D62" s="76">
        <v>2.6</v>
      </c>
      <c r="E62" s="91"/>
    </row>
    <row r="63" spans="1:7" ht="12.95" customHeight="1" x14ac:dyDescent="0.2">
      <c r="A63" s="71">
        <v>54</v>
      </c>
      <c r="B63" s="75"/>
      <c r="C63" s="79" t="s">
        <v>15</v>
      </c>
      <c r="D63" s="76">
        <v>11.6</v>
      </c>
      <c r="E63" s="91"/>
    </row>
    <row r="64" spans="1:7" ht="12.95" customHeight="1" x14ac:dyDescent="0.2">
      <c r="A64" s="71">
        <v>55</v>
      </c>
      <c r="B64" s="75"/>
      <c r="C64" s="79" t="s">
        <v>19</v>
      </c>
      <c r="D64" s="76">
        <v>8.5</v>
      </c>
      <c r="E64" s="91"/>
    </row>
    <row r="65" spans="1:5" ht="12.95" customHeight="1" x14ac:dyDescent="0.2">
      <c r="A65" s="71">
        <v>56</v>
      </c>
      <c r="B65" s="75"/>
      <c r="C65" s="55" t="s">
        <v>78</v>
      </c>
      <c r="D65" s="76">
        <f>52.8+0.4</f>
        <v>53.199999999999996</v>
      </c>
      <c r="E65" s="91"/>
    </row>
    <row r="66" spans="1:5" ht="15" customHeight="1" x14ac:dyDescent="0.2">
      <c r="A66" s="71">
        <v>57</v>
      </c>
      <c r="B66" s="75" t="s">
        <v>194</v>
      </c>
      <c r="C66" s="86" t="s">
        <v>502</v>
      </c>
      <c r="D66" s="113">
        <f>+D67</f>
        <v>53.2</v>
      </c>
      <c r="E66" s="91"/>
    </row>
    <row r="67" spans="1:5" x14ac:dyDescent="0.2">
      <c r="A67" s="71">
        <v>58</v>
      </c>
      <c r="B67" s="75"/>
      <c r="C67" s="49" t="s">
        <v>501</v>
      </c>
      <c r="D67" s="76">
        <v>53.2</v>
      </c>
      <c r="E67" s="91"/>
    </row>
    <row r="68" spans="1:5" x14ac:dyDescent="0.2">
      <c r="A68" s="71">
        <v>59</v>
      </c>
      <c r="B68" s="75" t="s">
        <v>202</v>
      </c>
      <c r="C68" s="86" t="s">
        <v>503</v>
      </c>
      <c r="D68" s="113">
        <f>+D69</f>
        <v>20.7</v>
      </c>
      <c r="E68" s="91"/>
    </row>
    <row r="69" spans="1:5" x14ac:dyDescent="0.2">
      <c r="A69" s="71">
        <v>60</v>
      </c>
      <c r="B69" s="75"/>
      <c r="C69" s="49" t="s">
        <v>501</v>
      </c>
      <c r="D69" s="76">
        <f>24.4-3.7</f>
        <v>20.7</v>
      </c>
      <c r="E69" s="91"/>
    </row>
    <row r="70" spans="1:5" ht="25.5" x14ac:dyDescent="0.2">
      <c r="A70" s="71">
        <v>61</v>
      </c>
      <c r="B70" s="75" t="s">
        <v>510</v>
      </c>
      <c r="C70" s="86" t="s">
        <v>509</v>
      </c>
      <c r="D70" s="113">
        <f>+D71</f>
        <v>31.3</v>
      </c>
      <c r="E70" s="91"/>
    </row>
    <row r="71" spans="1:5" x14ac:dyDescent="0.2">
      <c r="A71" s="71">
        <v>62</v>
      </c>
      <c r="B71" s="75"/>
      <c r="C71" s="49" t="s">
        <v>3</v>
      </c>
      <c r="D71" s="76">
        <f>28.5+2.8</f>
        <v>31.3</v>
      </c>
      <c r="E71" s="91"/>
    </row>
    <row r="72" spans="1:5" ht="51" x14ac:dyDescent="0.2">
      <c r="A72" s="71">
        <v>63</v>
      </c>
      <c r="B72" s="75" t="s">
        <v>511</v>
      </c>
      <c r="C72" s="86" t="s">
        <v>512</v>
      </c>
      <c r="D72" s="113">
        <f>+D73</f>
        <v>8.5000000000000018</v>
      </c>
      <c r="E72" s="91"/>
    </row>
    <row r="73" spans="1:5" x14ac:dyDescent="0.2">
      <c r="A73" s="71">
        <v>64</v>
      </c>
      <c r="B73" s="75"/>
      <c r="C73" s="49" t="s">
        <v>3</v>
      </c>
      <c r="D73" s="76">
        <f>2.2+3.1+1.4+1.8</f>
        <v>8.5000000000000018</v>
      </c>
      <c r="E73" s="91"/>
    </row>
    <row r="74" spans="1:5" ht="25.5" x14ac:dyDescent="0.2">
      <c r="A74" s="71">
        <v>65</v>
      </c>
      <c r="B74" s="75" t="s">
        <v>514</v>
      </c>
      <c r="C74" s="126" t="s">
        <v>513</v>
      </c>
      <c r="D74" s="113">
        <f>SUM(D75:D78)</f>
        <v>29.9</v>
      </c>
      <c r="E74" s="91"/>
    </row>
    <row r="75" spans="1:5" x14ac:dyDescent="0.2">
      <c r="A75" s="71">
        <v>66</v>
      </c>
      <c r="B75" s="75"/>
      <c r="C75" s="80" t="s">
        <v>1</v>
      </c>
      <c r="D75" s="76">
        <v>9.6999999999999993</v>
      </c>
      <c r="E75" s="91"/>
    </row>
    <row r="76" spans="1:5" x14ac:dyDescent="0.2">
      <c r="A76" s="71">
        <v>67</v>
      </c>
      <c r="B76" s="75"/>
      <c r="C76" s="82" t="s">
        <v>2</v>
      </c>
      <c r="D76" s="76">
        <v>6.5</v>
      </c>
      <c r="E76" s="91"/>
    </row>
    <row r="77" spans="1:5" x14ac:dyDescent="0.2">
      <c r="A77" s="71">
        <v>68</v>
      </c>
      <c r="B77" s="75"/>
      <c r="C77" s="79" t="s">
        <v>15</v>
      </c>
      <c r="D77" s="76">
        <v>4.8</v>
      </c>
      <c r="E77" s="91"/>
    </row>
    <row r="78" spans="1:5" x14ac:dyDescent="0.2">
      <c r="A78" s="71">
        <v>69</v>
      </c>
      <c r="B78" s="75"/>
      <c r="C78" s="82" t="s">
        <v>78</v>
      </c>
      <c r="D78" s="76">
        <v>8.9</v>
      </c>
      <c r="E78" s="91"/>
    </row>
    <row r="79" spans="1:5" ht="38.25" x14ac:dyDescent="0.2">
      <c r="A79" s="71">
        <v>70</v>
      </c>
      <c r="B79" s="75" t="s">
        <v>521</v>
      </c>
      <c r="C79" s="114" t="s">
        <v>537</v>
      </c>
      <c r="D79" s="113">
        <f>+D80</f>
        <v>1.2</v>
      </c>
      <c r="E79" s="91"/>
    </row>
    <row r="80" spans="1:5" x14ac:dyDescent="0.2">
      <c r="A80" s="71">
        <v>71</v>
      </c>
      <c r="B80" s="75"/>
      <c r="C80" s="49" t="s">
        <v>3</v>
      </c>
      <c r="D80" s="76">
        <f>0.6+0.6</f>
        <v>1.2</v>
      </c>
      <c r="E80" s="91"/>
    </row>
    <row r="81" spans="1:5" ht="38.25" x14ac:dyDescent="0.2">
      <c r="A81" s="71">
        <v>72</v>
      </c>
      <c r="B81" s="75" t="s">
        <v>523</v>
      </c>
      <c r="C81" s="114" t="s">
        <v>522</v>
      </c>
      <c r="D81" s="113">
        <f>+D82</f>
        <v>94</v>
      </c>
      <c r="E81" s="91"/>
    </row>
    <row r="82" spans="1:5" x14ac:dyDescent="0.2">
      <c r="A82" s="71">
        <v>73</v>
      </c>
      <c r="B82" s="75"/>
      <c r="C82" s="49" t="s">
        <v>3</v>
      </c>
      <c r="D82" s="76">
        <f>49.5+44.5</f>
        <v>94</v>
      </c>
      <c r="E82" s="91"/>
    </row>
    <row r="83" spans="1:5" ht="38.25" x14ac:dyDescent="0.2">
      <c r="A83" s="71">
        <v>74</v>
      </c>
      <c r="B83" s="75" t="s">
        <v>527</v>
      </c>
      <c r="C83" s="114" t="s">
        <v>524</v>
      </c>
      <c r="D83" s="113">
        <f>+D84</f>
        <v>0.7</v>
      </c>
      <c r="E83" s="91"/>
    </row>
    <row r="84" spans="1:5" x14ac:dyDescent="0.2">
      <c r="A84" s="71">
        <v>75</v>
      </c>
      <c r="B84" s="75"/>
      <c r="C84" s="49" t="s">
        <v>3</v>
      </c>
      <c r="D84" s="76">
        <f>0.4+0.3</f>
        <v>0.7</v>
      </c>
      <c r="E84" s="91"/>
    </row>
    <row r="85" spans="1:5" ht="25.5" x14ac:dyDescent="0.2">
      <c r="A85" s="71">
        <v>76</v>
      </c>
      <c r="B85" s="75" t="s">
        <v>528</v>
      </c>
      <c r="C85" s="86" t="s">
        <v>529</v>
      </c>
      <c r="D85" s="113">
        <f>+D86</f>
        <v>0.2</v>
      </c>
      <c r="E85" s="91"/>
    </row>
    <row r="86" spans="1:5" x14ac:dyDescent="0.2">
      <c r="A86" s="71">
        <v>77</v>
      </c>
      <c r="B86" s="75"/>
      <c r="C86" s="49" t="s">
        <v>3</v>
      </c>
      <c r="D86" s="76">
        <v>0.2</v>
      </c>
      <c r="E86" s="91"/>
    </row>
    <row r="87" spans="1:5" ht="38.25" x14ac:dyDescent="0.2">
      <c r="A87" s="71">
        <v>78</v>
      </c>
      <c r="B87" s="75" t="s">
        <v>534</v>
      </c>
      <c r="C87" s="86" t="s">
        <v>533</v>
      </c>
      <c r="D87" s="113">
        <f>+D88</f>
        <v>15.6</v>
      </c>
      <c r="E87" s="91"/>
    </row>
    <row r="88" spans="1:5" x14ac:dyDescent="0.2">
      <c r="A88" s="71">
        <v>79</v>
      </c>
      <c r="B88" s="75"/>
      <c r="C88" s="102" t="s">
        <v>3</v>
      </c>
      <c r="D88" s="76">
        <f>7.8+7.8</f>
        <v>15.6</v>
      </c>
      <c r="E88" s="91"/>
    </row>
    <row r="89" spans="1:5" x14ac:dyDescent="0.2">
      <c r="A89" s="71">
        <v>80</v>
      </c>
      <c r="B89" s="75" t="s">
        <v>544</v>
      </c>
      <c r="C89" s="145" t="s">
        <v>540</v>
      </c>
      <c r="D89" s="113">
        <f>+D90</f>
        <v>157.30000000000001</v>
      </c>
      <c r="E89" s="91"/>
    </row>
    <row r="90" spans="1:5" x14ac:dyDescent="0.2">
      <c r="A90" s="71">
        <v>81</v>
      </c>
      <c r="B90" s="75"/>
      <c r="C90" s="102" t="s">
        <v>3</v>
      </c>
      <c r="D90" s="76">
        <v>157.30000000000001</v>
      </c>
      <c r="E90" s="91"/>
    </row>
    <row r="91" spans="1:5" x14ac:dyDescent="0.2">
      <c r="A91" s="71">
        <v>82</v>
      </c>
      <c r="B91" s="70" t="s">
        <v>51</v>
      </c>
      <c r="C91" s="85" t="s">
        <v>97</v>
      </c>
      <c r="D91" s="76">
        <f>+D92+D94</f>
        <v>269.39999999999998</v>
      </c>
      <c r="E91" s="91"/>
    </row>
    <row r="92" spans="1:5" ht="25.5" x14ac:dyDescent="0.2">
      <c r="A92" s="71">
        <v>83</v>
      </c>
      <c r="B92" s="75" t="s">
        <v>161</v>
      </c>
      <c r="C92" s="126" t="s">
        <v>530</v>
      </c>
      <c r="D92" s="113">
        <f>+D93</f>
        <v>237.4</v>
      </c>
      <c r="E92" s="91"/>
    </row>
    <row r="93" spans="1:5" x14ac:dyDescent="0.2">
      <c r="A93" s="71">
        <v>84</v>
      </c>
      <c r="B93" s="75"/>
      <c r="C93" s="55" t="s">
        <v>65</v>
      </c>
      <c r="D93" s="76">
        <v>237.4</v>
      </c>
      <c r="E93" s="91"/>
    </row>
    <row r="94" spans="1:5" x14ac:dyDescent="0.2">
      <c r="A94" s="71">
        <v>85</v>
      </c>
      <c r="B94" s="75"/>
      <c r="C94" s="126" t="s">
        <v>553</v>
      </c>
      <c r="D94" s="113">
        <f>+D95</f>
        <v>32</v>
      </c>
      <c r="E94" s="91"/>
    </row>
    <row r="95" spans="1:5" x14ac:dyDescent="0.2">
      <c r="A95" s="71">
        <v>86</v>
      </c>
      <c r="B95" s="75"/>
      <c r="C95" s="49" t="s">
        <v>3</v>
      </c>
      <c r="D95" s="76">
        <f>+D96</f>
        <v>32</v>
      </c>
      <c r="E95" s="91"/>
    </row>
    <row r="96" spans="1:5" x14ac:dyDescent="0.2">
      <c r="A96" s="71">
        <v>87</v>
      </c>
      <c r="B96" s="75"/>
      <c r="C96" s="83" t="s">
        <v>551</v>
      </c>
      <c r="D96" s="76">
        <v>32</v>
      </c>
      <c r="E96" s="91"/>
    </row>
    <row r="97" spans="1:7" x14ac:dyDescent="0.2">
      <c r="A97" s="71">
        <v>88</v>
      </c>
      <c r="B97" s="70" t="s">
        <v>52</v>
      </c>
      <c r="C97" s="85" t="s">
        <v>53</v>
      </c>
      <c r="D97" s="146">
        <f>+D98+D100</f>
        <v>91.300000000000011</v>
      </c>
      <c r="E97" s="59"/>
    </row>
    <row r="98" spans="1:7" x14ac:dyDescent="0.2">
      <c r="A98" s="71">
        <v>89</v>
      </c>
      <c r="B98" s="75" t="s">
        <v>203</v>
      </c>
      <c r="C98" s="126" t="s">
        <v>270</v>
      </c>
      <c r="D98" s="113">
        <f>+D99</f>
        <v>59.7</v>
      </c>
      <c r="E98" s="59"/>
    </row>
    <row r="99" spans="1:7" x14ac:dyDescent="0.2">
      <c r="A99" s="71">
        <v>90</v>
      </c>
      <c r="B99" s="75"/>
      <c r="C99" s="49" t="s">
        <v>45</v>
      </c>
      <c r="D99" s="76">
        <v>59.7</v>
      </c>
      <c r="E99" s="59"/>
    </row>
    <row r="100" spans="1:7" x14ac:dyDescent="0.2">
      <c r="A100" s="71">
        <v>91</v>
      </c>
      <c r="B100" s="75" t="s">
        <v>505</v>
      </c>
      <c r="C100" s="126" t="s">
        <v>504</v>
      </c>
      <c r="D100" s="113">
        <f>+D101</f>
        <v>31.6</v>
      </c>
      <c r="E100" s="59"/>
    </row>
    <row r="101" spans="1:7" x14ac:dyDescent="0.2">
      <c r="A101" s="71">
        <v>92</v>
      </c>
      <c r="B101" s="75"/>
      <c r="C101" s="117" t="s">
        <v>3</v>
      </c>
      <c r="D101" s="76">
        <v>31.6</v>
      </c>
      <c r="E101" s="59"/>
    </row>
    <row r="102" spans="1:7" x14ac:dyDescent="0.2">
      <c r="A102" s="71">
        <v>93</v>
      </c>
      <c r="B102" s="70" t="s">
        <v>54</v>
      </c>
      <c r="C102" s="90" t="s">
        <v>55</v>
      </c>
      <c r="D102" s="58">
        <f>+D103</f>
        <v>2845.7</v>
      </c>
      <c r="E102" s="59"/>
    </row>
    <row r="103" spans="1:7" x14ac:dyDescent="0.2">
      <c r="A103" s="71">
        <v>94</v>
      </c>
      <c r="B103" s="75" t="s">
        <v>506</v>
      </c>
      <c r="C103" s="86" t="s">
        <v>507</v>
      </c>
      <c r="D103" s="113">
        <f>+D104</f>
        <v>2845.7</v>
      </c>
      <c r="E103" s="59"/>
    </row>
    <row r="104" spans="1:7" x14ac:dyDescent="0.2">
      <c r="A104" s="71">
        <v>95</v>
      </c>
      <c r="B104" s="70"/>
      <c r="C104" s="49" t="s">
        <v>3</v>
      </c>
      <c r="D104" s="76">
        <v>2845.7</v>
      </c>
      <c r="E104" s="59"/>
    </row>
    <row r="105" spans="1:7" x14ac:dyDescent="0.2">
      <c r="A105" s="71">
        <v>96</v>
      </c>
      <c r="B105" s="70" t="s">
        <v>56</v>
      </c>
      <c r="C105" s="85" t="s">
        <v>57</v>
      </c>
      <c r="D105" s="58">
        <f>+D106+D108+D110</f>
        <v>30.2</v>
      </c>
      <c r="E105" s="59"/>
      <c r="G105" s="2"/>
    </row>
    <row r="106" spans="1:7" ht="25.5" x14ac:dyDescent="0.2">
      <c r="A106" s="71">
        <v>97</v>
      </c>
      <c r="B106" s="75" t="s">
        <v>204</v>
      </c>
      <c r="C106" s="145" t="s">
        <v>210</v>
      </c>
      <c r="D106" s="113">
        <f>+D107</f>
        <v>14.1</v>
      </c>
      <c r="E106" s="59"/>
    </row>
    <row r="107" spans="1:7" x14ac:dyDescent="0.2">
      <c r="A107" s="71">
        <v>98</v>
      </c>
      <c r="B107" s="70"/>
      <c r="C107" s="102" t="s">
        <v>3</v>
      </c>
      <c r="D107" s="76">
        <v>14.1</v>
      </c>
      <c r="E107" s="59"/>
    </row>
    <row r="108" spans="1:7" ht="25.5" x14ac:dyDescent="0.2">
      <c r="A108" s="71">
        <v>99</v>
      </c>
      <c r="B108" s="75" t="s">
        <v>526</v>
      </c>
      <c r="C108" s="145" t="s">
        <v>525</v>
      </c>
      <c r="D108" s="113">
        <f>+D109</f>
        <v>2.1</v>
      </c>
      <c r="E108" s="59"/>
    </row>
    <row r="109" spans="1:7" x14ac:dyDescent="0.2">
      <c r="A109" s="71">
        <v>100</v>
      </c>
      <c r="B109" s="70"/>
      <c r="C109" s="102" t="s">
        <v>3</v>
      </c>
      <c r="D109" s="76">
        <v>2.1</v>
      </c>
      <c r="E109" s="59"/>
    </row>
    <row r="110" spans="1:7" ht="25.5" x14ac:dyDescent="0.2">
      <c r="A110" s="71">
        <v>101</v>
      </c>
      <c r="B110" s="75" t="s">
        <v>541</v>
      </c>
      <c r="C110" s="145" t="s">
        <v>545</v>
      </c>
      <c r="D110" s="113">
        <f>+D111</f>
        <v>14</v>
      </c>
      <c r="E110" s="59"/>
    </row>
    <row r="111" spans="1:7" x14ac:dyDescent="0.2">
      <c r="A111" s="71">
        <v>102</v>
      </c>
      <c r="B111" s="70"/>
      <c r="C111" s="102" t="s">
        <v>3</v>
      </c>
      <c r="D111" s="76">
        <v>14</v>
      </c>
      <c r="E111" s="59"/>
    </row>
    <row r="112" spans="1:7" x14ac:dyDescent="0.2">
      <c r="A112" s="71">
        <v>103</v>
      </c>
      <c r="B112" s="70" t="s">
        <v>26</v>
      </c>
      <c r="C112" s="85" t="s">
        <v>27</v>
      </c>
      <c r="D112" s="58">
        <f>+D113+D115</f>
        <v>458.5</v>
      </c>
      <c r="E112" s="59"/>
    </row>
    <row r="113" spans="1:5" ht="25.5" x14ac:dyDescent="0.2">
      <c r="A113" s="71">
        <v>104</v>
      </c>
      <c r="B113" s="75" t="s">
        <v>128</v>
      </c>
      <c r="C113" s="145" t="s">
        <v>360</v>
      </c>
      <c r="D113" s="113">
        <f>+D114</f>
        <v>158.5</v>
      </c>
      <c r="E113" s="59"/>
    </row>
    <row r="114" spans="1:5" x14ac:dyDescent="0.2">
      <c r="A114" s="71">
        <v>105</v>
      </c>
      <c r="B114" s="75"/>
      <c r="C114" s="102" t="s">
        <v>3</v>
      </c>
      <c r="D114" s="76">
        <v>158.5</v>
      </c>
      <c r="E114" s="59"/>
    </row>
    <row r="115" spans="1:5" ht="25.5" x14ac:dyDescent="0.2">
      <c r="A115" s="71">
        <v>106</v>
      </c>
      <c r="B115" s="75" t="s">
        <v>130</v>
      </c>
      <c r="C115" s="145" t="s">
        <v>214</v>
      </c>
      <c r="D115" s="113">
        <f>+D116</f>
        <v>300</v>
      </c>
      <c r="E115" s="59"/>
    </row>
    <row r="116" spans="1:5" x14ac:dyDescent="0.2">
      <c r="A116" s="71">
        <v>107</v>
      </c>
      <c r="B116" s="75"/>
      <c r="C116" s="102" t="s">
        <v>3</v>
      </c>
      <c r="D116" s="76">
        <v>300</v>
      </c>
      <c r="E116" s="59"/>
    </row>
    <row r="117" spans="1:5" x14ac:dyDescent="0.2">
      <c r="A117" s="71">
        <v>108</v>
      </c>
      <c r="B117" s="70" t="s">
        <v>58</v>
      </c>
      <c r="C117" s="85" t="s">
        <v>59</v>
      </c>
      <c r="D117" s="58">
        <f>+D118</f>
        <v>150</v>
      </c>
      <c r="E117" s="59"/>
    </row>
    <row r="118" spans="1:5" ht="25.5" x14ac:dyDescent="0.2">
      <c r="A118" s="71">
        <v>109</v>
      </c>
      <c r="B118" s="75"/>
      <c r="C118" s="145" t="s">
        <v>546</v>
      </c>
      <c r="D118" s="113">
        <f>+D119</f>
        <v>150</v>
      </c>
      <c r="E118" s="59"/>
    </row>
    <row r="119" spans="1:5" x14ac:dyDescent="0.2">
      <c r="A119" s="71">
        <v>110</v>
      </c>
      <c r="B119" s="75"/>
      <c r="C119" s="102" t="s">
        <v>3</v>
      </c>
      <c r="D119" s="76">
        <v>150</v>
      </c>
      <c r="E119" s="59"/>
    </row>
    <row r="120" spans="1:5" x14ac:dyDescent="0.2">
      <c r="A120" s="71">
        <v>111</v>
      </c>
      <c r="B120" s="70" t="s">
        <v>23</v>
      </c>
      <c r="C120" s="85" t="s">
        <v>24</v>
      </c>
      <c r="D120" s="58">
        <f>+D121</f>
        <v>16.399999999999999</v>
      </c>
      <c r="E120" s="59"/>
    </row>
    <row r="121" spans="1:5" ht="38.25" x14ac:dyDescent="0.2">
      <c r="A121" s="71">
        <v>112</v>
      </c>
      <c r="B121" s="75"/>
      <c r="C121" s="126" t="s">
        <v>518</v>
      </c>
      <c r="D121" s="113">
        <f>+D122</f>
        <v>16.399999999999999</v>
      </c>
      <c r="E121" s="59"/>
    </row>
    <row r="122" spans="1:5" x14ac:dyDescent="0.2">
      <c r="A122" s="71">
        <v>113</v>
      </c>
      <c r="B122" s="75"/>
      <c r="C122" s="117" t="s">
        <v>3</v>
      </c>
      <c r="D122" s="76">
        <f>3.7+12.7</f>
        <v>16.399999999999999</v>
      </c>
      <c r="E122" s="59"/>
    </row>
    <row r="123" spans="1:5" x14ac:dyDescent="0.2">
      <c r="A123" s="71">
        <v>114</v>
      </c>
      <c r="B123" s="70"/>
      <c r="C123" s="97" t="s">
        <v>20</v>
      </c>
      <c r="D123" s="58">
        <f>+D10+D51+D97+D105+D112+D102+D120+D91+D117</f>
        <v>5348.7999999999993</v>
      </c>
      <c r="E123" s="16"/>
    </row>
    <row r="124" spans="1:5" ht="13.5" customHeight="1" x14ac:dyDescent="0.2">
      <c r="C124" s="121" t="s">
        <v>66</v>
      </c>
      <c r="D124" s="98"/>
    </row>
    <row r="125" spans="1:5" x14ac:dyDescent="0.2">
      <c r="C125" s="147"/>
      <c r="D125" s="98"/>
    </row>
    <row r="126" spans="1:5" x14ac:dyDescent="0.2">
      <c r="C126" s="147"/>
      <c r="D126" s="91"/>
    </row>
    <row r="127" spans="1:5" x14ac:dyDescent="0.2">
      <c r="D127" s="91"/>
    </row>
    <row r="128" spans="1:5" x14ac:dyDescent="0.2">
      <c r="C128" s="148"/>
      <c r="D128" s="91"/>
    </row>
    <row r="129" spans="3:4" x14ac:dyDescent="0.2">
      <c r="C129" s="149"/>
      <c r="D129" s="91"/>
    </row>
    <row r="130" spans="3:4" x14ac:dyDescent="0.2">
      <c r="C130" s="150"/>
      <c r="D130" s="98"/>
    </row>
    <row r="131" spans="3:4" x14ac:dyDescent="0.2">
      <c r="C131" s="148"/>
    </row>
    <row r="132" spans="3:4" x14ac:dyDescent="0.2">
      <c r="C132" s="151"/>
      <c r="D132" s="91"/>
    </row>
    <row r="136" spans="3:4" x14ac:dyDescent="0.2">
      <c r="D136" s="91"/>
    </row>
    <row r="137" spans="3:4" x14ac:dyDescent="0.2">
      <c r="D137" s="91"/>
    </row>
    <row r="139" spans="3:4" x14ac:dyDescent="0.2">
      <c r="D139" s="91"/>
    </row>
  </sheetData>
  <mergeCells count="3">
    <mergeCell ref="A5:D5"/>
    <mergeCell ref="C1:D1"/>
    <mergeCell ref="C2:D2"/>
  </mergeCells>
  <pageMargins left="0.70866141732283472" right="0" top="0.74803149606299213" bottom="0.35433070866141736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C3794-2E2A-466F-9853-B1C217B835E9}">
  <dimension ref="A1:M41"/>
  <sheetViews>
    <sheetView workbookViewId="0">
      <selection activeCell="F8" sqref="F8"/>
    </sheetView>
  </sheetViews>
  <sheetFormatPr defaultColWidth="9.140625" defaultRowHeight="12.75" x14ac:dyDescent="0.2"/>
  <cols>
    <col min="1" max="1" width="5.85546875" style="62" customWidth="1"/>
    <col min="2" max="2" width="7.42578125" style="64" customWidth="1"/>
    <col min="3" max="3" width="70" style="121" customWidth="1"/>
    <col min="4" max="4" width="9.7109375" style="62" customWidth="1"/>
    <col min="5" max="6" width="9.28515625" style="3" customWidth="1"/>
    <col min="7" max="16384" width="9.140625" style="3"/>
  </cols>
  <sheetData>
    <row r="1" spans="1:13" ht="15.75" x14ac:dyDescent="0.25">
      <c r="C1" s="165" t="s">
        <v>614</v>
      </c>
      <c r="D1" s="165"/>
    </row>
    <row r="2" spans="1:13" ht="15.75" x14ac:dyDescent="0.25">
      <c r="C2" s="165" t="s">
        <v>615</v>
      </c>
      <c r="D2" s="165"/>
    </row>
    <row r="3" spans="1:13" ht="15.75" x14ac:dyDescent="0.25">
      <c r="C3" s="4"/>
      <c r="D3" s="65" t="s">
        <v>616</v>
      </c>
    </row>
    <row r="4" spans="1:13" ht="15.75" x14ac:dyDescent="0.2">
      <c r="D4" s="65"/>
    </row>
    <row r="5" spans="1:13" ht="31.5" customHeight="1" x14ac:dyDescent="0.2">
      <c r="A5" s="167" t="s">
        <v>617</v>
      </c>
      <c r="B5" s="167"/>
      <c r="C5" s="167"/>
      <c r="D5" s="167"/>
    </row>
    <row r="6" spans="1:13" x14ac:dyDescent="0.2">
      <c r="A6" s="41"/>
      <c r="B6" s="41"/>
      <c r="C6" s="41"/>
      <c r="D6" s="41"/>
    </row>
    <row r="7" spans="1:13" x14ac:dyDescent="0.2">
      <c r="A7" s="127"/>
      <c r="B7" s="124"/>
      <c r="C7" s="125"/>
      <c r="D7" s="67" t="s">
        <v>71</v>
      </c>
    </row>
    <row r="8" spans="1:13" ht="39.75" customHeight="1" x14ac:dyDescent="0.2">
      <c r="A8" s="42" t="s">
        <v>68</v>
      </c>
      <c r="B8" s="68" t="s">
        <v>186</v>
      </c>
      <c r="C8" s="42" t="s">
        <v>16</v>
      </c>
      <c r="D8" s="42" t="s">
        <v>17</v>
      </c>
      <c r="E8" s="13"/>
      <c r="F8" s="13"/>
      <c r="M8" s="61"/>
    </row>
    <row r="9" spans="1:13" s="61" customFormat="1" ht="12.75" customHeight="1" x14ac:dyDescent="0.2">
      <c r="A9" s="69">
        <v>1</v>
      </c>
      <c r="B9" s="70" t="s">
        <v>18</v>
      </c>
      <c r="C9" s="42">
        <v>3</v>
      </c>
      <c r="D9" s="42">
        <v>4</v>
      </c>
      <c r="E9" s="13"/>
      <c r="F9" s="13"/>
    </row>
    <row r="10" spans="1:13" s="61" customFormat="1" ht="18" customHeight="1" x14ac:dyDescent="0.2">
      <c r="A10" s="71">
        <v>1</v>
      </c>
      <c r="B10" s="70" t="s">
        <v>47</v>
      </c>
      <c r="C10" s="72" t="s">
        <v>48</v>
      </c>
      <c r="D10" s="73">
        <f>+D11</f>
        <v>315</v>
      </c>
      <c r="E10" s="13"/>
      <c r="F10" s="13"/>
      <c r="G10" s="152"/>
      <c r="H10" s="59"/>
      <c r="I10" s="59"/>
      <c r="J10" s="59"/>
    </row>
    <row r="11" spans="1:13" s="61" customFormat="1" ht="12.75" customHeight="1" x14ac:dyDescent="0.2">
      <c r="A11" s="71">
        <v>2</v>
      </c>
      <c r="B11" s="68"/>
      <c r="C11" s="80" t="s">
        <v>92</v>
      </c>
      <c r="D11" s="47">
        <f>+D12</f>
        <v>315</v>
      </c>
      <c r="E11" s="13"/>
      <c r="F11" s="13"/>
      <c r="G11" s="152"/>
      <c r="H11" s="59"/>
      <c r="I11" s="59"/>
      <c r="J11" s="59"/>
    </row>
    <row r="12" spans="1:13" s="61" customFormat="1" x14ac:dyDescent="0.2">
      <c r="A12" s="71" t="s">
        <v>593</v>
      </c>
      <c r="B12" s="68"/>
      <c r="C12" s="117" t="s">
        <v>241</v>
      </c>
      <c r="D12" s="81">
        <v>315</v>
      </c>
      <c r="E12" s="13"/>
      <c r="F12" s="13"/>
      <c r="G12" s="152"/>
      <c r="H12" s="59"/>
      <c r="I12" s="59"/>
      <c r="J12" s="59"/>
    </row>
    <row r="13" spans="1:13" s="61" customFormat="1" x14ac:dyDescent="0.2">
      <c r="A13" s="71">
        <v>3</v>
      </c>
      <c r="B13" s="70" t="s">
        <v>49</v>
      </c>
      <c r="C13" s="85" t="s">
        <v>50</v>
      </c>
      <c r="D13" s="153">
        <f>+D14</f>
        <v>3.5</v>
      </c>
      <c r="E13" s="13"/>
      <c r="F13" s="13"/>
      <c r="G13" s="152"/>
      <c r="H13" s="59"/>
      <c r="I13" s="59"/>
      <c r="J13" s="59"/>
    </row>
    <row r="14" spans="1:13" s="61" customFormat="1" x14ac:dyDescent="0.2">
      <c r="A14" s="71">
        <v>4</v>
      </c>
      <c r="B14" s="75"/>
      <c r="C14" s="154" t="s">
        <v>92</v>
      </c>
      <c r="D14" s="81">
        <f>+D15</f>
        <v>3.5</v>
      </c>
      <c r="E14" s="13"/>
      <c r="F14" s="13"/>
      <c r="G14" s="152"/>
      <c r="H14" s="59"/>
      <c r="I14" s="59"/>
      <c r="J14" s="59"/>
    </row>
    <row r="15" spans="1:13" s="61" customFormat="1" x14ac:dyDescent="0.2">
      <c r="A15" s="71" t="s">
        <v>603</v>
      </c>
      <c r="B15" s="75"/>
      <c r="C15" s="83" t="s">
        <v>604</v>
      </c>
      <c r="D15" s="81">
        <v>3.5</v>
      </c>
      <c r="E15" s="13"/>
      <c r="F15" s="13"/>
      <c r="G15" s="152"/>
      <c r="H15" s="59"/>
      <c r="I15" s="59"/>
      <c r="J15" s="59"/>
    </row>
    <row r="16" spans="1:13" x14ac:dyDescent="0.2">
      <c r="A16" s="155" t="s">
        <v>605</v>
      </c>
      <c r="B16" s="70" t="s">
        <v>26</v>
      </c>
      <c r="C16" s="85" t="s">
        <v>27</v>
      </c>
      <c r="D16" s="153">
        <f>+D17</f>
        <v>16.5</v>
      </c>
      <c r="E16" s="13"/>
      <c r="F16" s="13"/>
      <c r="G16" s="152"/>
      <c r="H16" s="59"/>
      <c r="I16" s="59"/>
      <c r="J16" s="59"/>
    </row>
    <row r="17" spans="1:10" x14ac:dyDescent="0.2">
      <c r="A17" s="155" t="s">
        <v>606</v>
      </c>
      <c r="B17" s="75"/>
      <c r="C17" s="154" t="s">
        <v>92</v>
      </c>
      <c r="D17" s="81">
        <f>+D18</f>
        <v>16.5</v>
      </c>
      <c r="E17" s="13"/>
      <c r="F17" s="13"/>
      <c r="G17" s="152"/>
      <c r="H17" s="59"/>
      <c r="I17" s="59"/>
      <c r="J17" s="59"/>
    </row>
    <row r="18" spans="1:10" ht="25.5" x14ac:dyDescent="0.2">
      <c r="A18" s="71" t="s">
        <v>607</v>
      </c>
      <c r="B18" s="75"/>
      <c r="C18" s="156" t="s">
        <v>612</v>
      </c>
      <c r="D18" s="18">
        <v>16.5</v>
      </c>
      <c r="E18" s="13"/>
      <c r="F18" s="13"/>
      <c r="G18" s="152"/>
      <c r="H18" s="59"/>
      <c r="I18" s="59"/>
      <c r="J18" s="59"/>
    </row>
    <row r="19" spans="1:10" ht="12.75" customHeight="1" x14ac:dyDescent="0.2">
      <c r="A19" s="71">
        <v>7</v>
      </c>
      <c r="B19" s="70"/>
      <c r="C19" s="97" t="s">
        <v>20</v>
      </c>
      <c r="D19" s="58">
        <f>+D10+D16+D15</f>
        <v>335</v>
      </c>
      <c r="E19" s="16"/>
      <c r="F19" s="16"/>
      <c r="G19" s="13"/>
      <c r="H19" s="13"/>
      <c r="I19" s="13"/>
      <c r="J19" s="13"/>
    </row>
    <row r="20" spans="1:10" x14ac:dyDescent="0.2">
      <c r="A20" s="140"/>
      <c r="C20" s="121" t="s">
        <v>66</v>
      </c>
      <c r="D20" s="98"/>
    </row>
    <row r="21" spans="1:10" x14ac:dyDescent="0.2">
      <c r="C21" s="62"/>
      <c r="D21" s="98"/>
      <c r="I21" s="13"/>
    </row>
    <row r="22" spans="1:10" x14ac:dyDescent="0.2">
      <c r="C22" s="62"/>
      <c r="D22" s="98"/>
      <c r="I22" s="13"/>
    </row>
    <row r="23" spans="1:10" x14ac:dyDescent="0.2">
      <c r="C23" s="62"/>
      <c r="D23" s="93"/>
    </row>
    <row r="24" spans="1:10" x14ac:dyDescent="0.2">
      <c r="C24" s="140"/>
      <c r="D24" s="93"/>
    </row>
    <row r="25" spans="1:10" x14ac:dyDescent="0.2">
      <c r="C25" s="62"/>
      <c r="D25" s="93"/>
    </row>
    <row r="26" spans="1:10" x14ac:dyDescent="0.2">
      <c r="C26" s="157"/>
      <c r="D26" s="93"/>
      <c r="E26" s="13"/>
    </row>
    <row r="27" spans="1:10" x14ac:dyDescent="0.2">
      <c r="C27" s="140"/>
      <c r="D27" s="93"/>
    </row>
    <row r="28" spans="1:10" x14ac:dyDescent="0.2">
      <c r="C28" s="140"/>
      <c r="D28" s="98"/>
    </row>
    <row r="29" spans="1:10" x14ac:dyDescent="0.2">
      <c r="C29" s="140"/>
      <c r="D29" s="93"/>
    </row>
    <row r="30" spans="1:10" x14ac:dyDescent="0.2">
      <c r="D30" s="93"/>
    </row>
    <row r="31" spans="1:10" x14ac:dyDescent="0.2">
      <c r="D31" s="93"/>
    </row>
    <row r="32" spans="1:10" x14ac:dyDescent="0.2">
      <c r="C32" s="140"/>
      <c r="D32" s="93"/>
    </row>
    <row r="33" spans="3:4" x14ac:dyDescent="0.2">
      <c r="C33" s="140"/>
      <c r="D33" s="93"/>
    </row>
    <row r="34" spans="3:4" x14ac:dyDescent="0.2">
      <c r="C34" s="140"/>
      <c r="D34" s="10"/>
    </row>
    <row r="35" spans="3:4" x14ac:dyDescent="0.2">
      <c r="C35" s="140"/>
      <c r="D35" s="10"/>
    </row>
    <row r="36" spans="3:4" x14ac:dyDescent="0.2">
      <c r="C36" s="158"/>
    </row>
    <row r="37" spans="3:4" x14ac:dyDescent="0.2">
      <c r="C37" s="159"/>
    </row>
    <row r="38" spans="3:4" x14ac:dyDescent="0.2">
      <c r="C38" s="140"/>
    </row>
    <row r="39" spans="3:4" x14ac:dyDescent="0.2">
      <c r="C39" s="151"/>
    </row>
    <row r="41" spans="3:4" x14ac:dyDescent="0.2">
      <c r="C41" s="140"/>
    </row>
  </sheetData>
  <mergeCells count="3">
    <mergeCell ref="C1:D1"/>
    <mergeCell ref="C2:D2"/>
    <mergeCell ref="A5:D5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4"/>
  <sheetViews>
    <sheetView zoomScale="90" zoomScaleNormal="90" workbookViewId="0">
      <selection activeCell="C68" sqref="C68:G70"/>
    </sheetView>
  </sheetViews>
  <sheetFormatPr defaultColWidth="9.140625" defaultRowHeight="12.75" x14ac:dyDescent="0.2"/>
  <cols>
    <col min="1" max="1" width="4.140625" style="3" customWidth="1"/>
    <col min="2" max="2" width="42.28515625" style="3" customWidth="1"/>
    <col min="3" max="3" width="8.28515625" style="3" customWidth="1"/>
    <col min="4" max="4" width="8.85546875" style="3" customWidth="1"/>
    <col min="5" max="5" width="11.7109375" style="24" customWidth="1"/>
    <col min="6" max="6" width="11.85546875" style="3" customWidth="1"/>
    <col min="7" max="7" width="9.140625" style="3" customWidth="1"/>
    <col min="8" max="8" width="9.42578125" style="28" customWidth="1"/>
    <col min="9" max="9" width="11.42578125" style="3" customWidth="1"/>
    <col min="10" max="10" width="7.42578125" style="3" customWidth="1"/>
    <col min="11" max="15" width="9.140625" style="3" customWidth="1"/>
    <col min="16" max="16384" width="9.140625" style="3"/>
  </cols>
  <sheetData>
    <row r="1" spans="1:15" ht="15.75" customHeight="1" x14ac:dyDescent="0.25">
      <c r="B1" s="165" t="s">
        <v>588</v>
      </c>
      <c r="C1" s="165"/>
      <c r="D1" s="165"/>
      <c r="E1" s="165"/>
      <c r="F1" s="165"/>
      <c r="G1" s="165"/>
    </row>
    <row r="2" spans="1:15" ht="15.75" customHeight="1" x14ac:dyDescent="0.25">
      <c r="B2" s="165" t="s">
        <v>582</v>
      </c>
      <c r="C2" s="165"/>
      <c r="D2" s="165"/>
      <c r="E2" s="165"/>
      <c r="F2" s="165"/>
      <c r="G2" s="165"/>
    </row>
    <row r="3" spans="1:15" ht="15.75" x14ac:dyDescent="0.25">
      <c r="B3" s="40"/>
      <c r="C3" s="40"/>
      <c r="D3" s="40"/>
      <c r="E3" s="163" t="s">
        <v>99</v>
      </c>
      <c r="F3" s="163"/>
      <c r="G3" s="163"/>
    </row>
    <row r="5" spans="1:15" ht="42" customHeight="1" x14ac:dyDescent="0.2">
      <c r="A5" s="167" t="s">
        <v>215</v>
      </c>
      <c r="B5" s="167"/>
      <c r="C5" s="167"/>
      <c r="D5" s="167"/>
      <c r="E5" s="167"/>
      <c r="F5" s="167"/>
    </row>
    <row r="6" spans="1:15" x14ac:dyDescent="0.2">
      <c r="F6" s="173" t="s">
        <v>71</v>
      </c>
      <c r="G6" s="173"/>
    </row>
    <row r="7" spans="1:15" ht="12.6" customHeight="1" x14ac:dyDescent="0.2">
      <c r="A7" s="168" t="s">
        <v>0</v>
      </c>
      <c r="B7" s="168" t="s">
        <v>100</v>
      </c>
      <c r="C7" s="168" t="s">
        <v>17</v>
      </c>
      <c r="D7" s="170" t="s">
        <v>101</v>
      </c>
      <c r="E7" s="171"/>
      <c r="F7" s="171"/>
      <c r="G7" s="172"/>
    </row>
    <row r="8" spans="1:15" ht="76.5" x14ac:dyDescent="0.2">
      <c r="A8" s="169"/>
      <c r="B8" s="169"/>
      <c r="C8" s="169"/>
      <c r="D8" s="42" t="s">
        <v>102</v>
      </c>
      <c r="E8" s="42" t="s">
        <v>103</v>
      </c>
      <c r="F8" s="42" t="s">
        <v>104</v>
      </c>
      <c r="G8" s="42" t="s">
        <v>498</v>
      </c>
    </row>
    <row r="9" spans="1:15" x14ac:dyDescent="0.2">
      <c r="A9" s="42">
        <v>1</v>
      </c>
      <c r="B9" s="43">
        <v>2</v>
      </c>
      <c r="C9" s="42">
        <v>3</v>
      </c>
      <c r="D9" s="42">
        <v>4</v>
      </c>
      <c r="E9" s="42">
        <v>5</v>
      </c>
      <c r="F9" s="42">
        <v>6</v>
      </c>
      <c r="G9" s="44">
        <v>7</v>
      </c>
    </row>
    <row r="10" spans="1:15" ht="12.6" customHeight="1" x14ac:dyDescent="0.2">
      <c r="A10" s="45">
        <v>1</v>
      </c>
      <c r="B10" s="46" t="s">
        <v>105</v>
      </c>
      <c r="C10" s="18">
        <f>+E10+D10+F10+G10</f>
        <v>60.6</v>
      </c>
      <c r="D10" s="18"/>
      <c r="E10" s="47">
        <v>1.2</v>
      </c>
      <c r="F10" s="18">
        <v>59.4</v>
      </c>
      <c r="G10" s="48"/>
      <c r="H10" s="13"/>
      <c r="I10" s="13"/>
      <c r="J10" s="13"/>
      <c r="K10" s="13"/>
      <c r="L10" s="13"/>
      <c r="M10" s="13"/>
      <c r="N10" s="13"/>
      <c r="O10" s="13"/>
    </row>
    <row r="11" spans="1:15" ht="12.6" customHeight="1" x14ac:dyDescent="0.2">
      <c r="A11" s="45">
        <v>2</v>
      </c>
      <c r="B11" s="46" t="s">
        <v>79</v>
      </c>
      <c r="C11" s="18">
        <f t="shared" ref="C11:C63" si="0">+E11+D11+F11+G11</f>
        <v>65.2</v>
      </c>
      <c r="D11" s="18"/>
      <c r="E11" s="47">
        <v>1.2</v>
      </c>
      <c r="F11" s="18">
        <v>64</v>
      </c>
      <c r="G11" s="48"/>
      <c r="H11" s="13"/>
      <c r="I11" s="13"/>
      <c r="J11" s="13"/>
      <c r="K11" s="13"/>
      <c r="L11" s="13"/>
      <c r="M11" s="13"/>
      <c r="N11" s="13"/>
      <c r="O11" s="13"/>
    </row>
    <row r="12" spans="1:15" ht="12.6" customHeight="1" x14ac:dyDescent="0.2">
      <c r="A12" s="45">
        <v>3</v>
      </c>
      <c r="B12" s="46" t="s">
        <v>80</v>
      </c>
      <c r="C12" s="18">
        <f t="shared" si="0"/>
        <v>83</v>
      </c>
      <c r="D12" s="18"/>
      <c r="E12" s="47">
        <v>3</v>
      </c>
      <c r="F12" s="18">
        <v>80</v>
      </c>
      <c r="G12" s="48"/>
      <c r="H12" s="13"/>
      <c r="I12" s="13"/>
      <c r="J12" s="13"/>
      <c r="K12" s="13"/>
      <c r="L12" s="13"/>
      <c r="M12" s="13"/>
      <c r="N12" s="13"/>
      <c r="O12" s="13"/>
    </row>
    <row r="13" spans="1:15" ht="12.6" customHeight="1" x14ac:dyDescent="0.2">
      <c r="A13" s="45">
        <v>4</v>
      </c>
      <c r="B13" s="46" t="s">
        <v>84</v>
      </c>
      <c r="C13" s="18">
        <f t="shared" si="0"/>
        <v>88.5</v>
      </c>
      <c r="D13" s="18"/>
      <c r="E13" s="47">
        <v>3.5</v>
      </c>
      <c r="F13" s="18">
        <v>85</v>
      </c>
      <c r="G13" s="48"/>
      <c r="H13" s="13"/>
      <c r="I13" s="13"/>
      <c r="J13" s="13"/>
      <c r="K13" s="13"/>
      <c r="L13" s="13"/>
      <c r="M13" s="13"/>
      <c r="N13" s="13"/>
      <c r="O13" s="13"/>
    </row>
    <row r="14" spans="1:15" ht="12.6" customHeight="1" x14ac:dyDescent="0.2">
      <c r="A14" s="45">
        <v>5</v>
      </c>
      <c r="B14" s="46" t="s">
        <v>81</v>
      </c>
      <c r="C14" s="18">
        <f t="shared" si="0"/>
        <v>96</v>
      </c>
      <c r="D14" s="18"/>
      <c r="E14" s="47">
        <v>3</v>
      </c>
      <c r="F14" s="18">
        <v>93</v>
      </c>
      <c r="G14" s="48"/>
      <c r="H14" s="13"/>
      <c r="I14" s="13"/>
      <c r="J14" s="13"/>
      <c r="K14" s="13"/>
      <c r="L14" s="13"/>
      <c r="M14" s="13"/>
      <c r="N14" s="13"/>
      <c r="O14" s="13"/>
    </row>
    <row r="15" spans="1:15" ht="12.6" customHeight="1" x14ac:dyDescent="0.2">
      <c r="A15" s="45">
        <v>6</v>
      </c>
      <c r="B15" s="46" t="s">
        <v>82</v>
      </c>
      <c r="C15" s="18">
        <f t="shared" si="0"/>
        <v>53.900000000000006</v>
      </c>
      <c r="D15" s="18"/>
      <c r="E15" s="47">
        <v>0.7</v>
      </c>
      <c r="F15" s="18">
        <v>53.2</v>
      </c>
      <c r="G15" s="48"/>
      <c r="H15" s="13"/>
      <c r="I15" s="13"/>
      <c r="J15" s="13"/>
      <c r="K15" s="13"/>
      <c r="L15" s="13"/>
      <c r="M15" s="13"/>
      <c r="N15" s="13"/>
      <c r="O15" s="13"/>
    </row>
    <row r="16" spans="1:15" ht="12.6" customHeight="1" x14ac:dyDescent="0.2">
      <c r="A16" s="45">
        <v>7</v>
      </c>
      <c r="B16" s="46" t="s">
        <v>83</v>
      </c>
      <c r="C16" s="18">
        <f t="shared" si="0"/>
        <v>87.7</v>
      </c>
      <c r="D16" s="18"/>
      <c r="E16" s="47">
        <v>1.7</v>
      </c>
      <c r="F16" s="18">
        <v>86</v>
      </c>
      <c r="G16" s="48"/>
      <c r="H16" s="13"/>
      <c r="I16" s="13"/>
      <c r="J16" s="13"/>
      <c r="K16" s="13"/>
      <c r="L16" s="13"/>
      <c r="M16" s="13"/>
      <c r="N16" s="13"/>
      <c r="O16" s="13"/>
    </row>
    <row r="17" spans="1:15" ht="12.6" customHeight="1" x14ac:dyDescent="0.2">
      <c r="A17" s="45">
        <v>8</v>
      </c>
      <c r="B17" s="49" t="s">
        <v>95</v>
      </c>
      <c r="C17" s="18">
        <f t="shared" si="0"/>
        <v>74.7</v>
      </c>
      <c r="D17" s="18"/>
      <c r="E17" s="47">
        <v>0.4</v>
      </c>
      <c r="F17" s="18">
        <v>74.3</v>
      </c>
      <c r="G17" s="48"/>
      <c r="H17" s="13"/>
      <c r="I17" s="13"/>
      <c r="J17" s="13"/>
      <c r="K17" s="13"/>
      <c r="L17" s="13"/>
      <c r="M17" s="13"/>
      <c r="N17" s="13"/>
      <c r="O17" s="13"/>
    </row>
    <row r="18" spans="1:15" ht="12.6" customHeight="1" x14ac:dyDescent="0.2">
      <c r="A18" s="45">
        <v>9</v>
      </c>
      <c r="B18" s="46" t="s">
        <v>87</v>
      </c>
      <c r="C18" s="18">
        <f t="shared" si="0"/>
        <v>20</v>
      </c>
      <c r="D18" s="18">
        <v>9</v>
      </c>
      <c r="E18" s="47">
        <v>11</v>
      </c>
      <c r="F18" s="18"/>
      <c r="G18" s="48"/>
      <c r="H18" s="13"/>
      <c r="I18" s="13"/>
      <c r="J18" s="13"/>
      <c r="K18" s="13"/>
      <c r="L18" s="13"/>
      <c r="M18" s="13"/>
      <c r="N18" s="13"/>
      <c r="O18" s="13"/>
    </row>
    <row r="19" spans="1:15" ht="12.6" customHeight="1" x14ac:dyDescent="0.2">
      <c r="A19" s="45">
        <v>10</v>
      </c>
      <c r="B19" s="46" t="s">
        <v>38</v>
      </c>
      <c r="C19" s="18">
        <f t="shared" si="0"/>
        <v>10.6</v>
      </c>
      <c r="D19" s="18">
        <v>0.5</v>
      </c>
      <c r="E19" s="47">
        <v>0.1</v>
      </c>
      <c r="F19" s="18">
        <v>10</v>
      </c>
      <c r="G19" s="48"/>
      <c r="H19" s="13"/>
      <c r="I19" s="13"/>
      <c r="J19" s="13"/>
      <c r="K19" s="13"/>
      <c r="L19" s="13"/>
      <c r="M19" s="13"/>
      <c r="N19" s="13"/>
      <c r="O19" s="13"/>
    </row>
    <row r="20" spans="1:15" ht="12.6" customHeight="1" x14ac:dyDescent="0.2">
      <c r="A20" s="45">
        <v>11</v>
      </c>
      <c r="B20" s="50" t="s">
        <v>73</v>
      </c>
      <c r="C20" s="18">
        <f t="shared" si="0"/>
        <v>33.200000000000003</v>
      </c>
      <c r="D20" s="18">
        <v>1</v>
      </c>
      <c r="E20" s="47">
        <v>1.2</v>
      </c>
      <c r="F20" s="18">
        <v>31</v>
      </c>
      <c r="G20" s="48"/>
      <c r="H20" s="13"/>
      <c r="I20" s="13"/>
      <c r="J20" s="13"/>
      <c r="K20" s="13"/>
      <c r="L20" s="13"/>
      <c r="M20" s="13"/>
      <c r="N20" s="13"/>
      <c r="O20" s="13"/>
    </row>
    <row r="21" spans="1:15" ht="12.6" customHeight="1" x14ac:dyDescent="0.2">
      <c r="A21" s="45">
        <v>12</v>
      </c>
      <c r="B21" s="50" t="s">
        <v>74</v>
      </c>
      <c r="C21" s="18">
        <f t="shared" si="0"/>
        <v>4.5999999999999996</v>
      </c>
      <c r="D21" s="18">
        <v>2</v>
      </c>
      <c r="E21" s="47">
        <v>0.3</v>
      </c>
      <c r="F21" s="18">
        <v>2.2999999999999998</v>
      </c>
      <c r="G21" s="48"/>
      <c r="H21" s="13"/>
      <c r="I21" s="13"/>
      <c r="J21" s="13"/>
      <c r="K21" s="13"/>
      <c r="L21" s="13"/>
      <c r="M21" s="13"/>
      <c r="N21" s="13"/>
      <c r="O21" s="13"/>
    </row>
    <row r="22" spans="1:15" ht="12.6" customHeight="1" x14ac:dyDescent="0.2">
      <c r="A22" s="45">
        <v>13</v>
      </c>
      <c r="B22" s="50" t="s">
        <v>32</v>
      </c>
      <c r="C22" s="18">
        <f t="shared" si="0"/>
        <v>19.700000000000003</v>
      </c>
      <c r="D22" s="18">
        <v>3</v>
      </c>
      <c r="E22" s="47">
        <v>0.1</v>
      </c>
      <c r="F22" s="18">
        <v>16.600000000000001</v>
      </c>
      <c r="G22" s="48"/>
      <c r="H22" s="13"/>
      <c r="I22" s="13"/>
      <c r="J22" s="13"/>
      <c r="K22" s="13"/>
      <c r="L22" s="13"/>
      <c r="M22" s="13"/>
      <c r="N22" s="13"/>
      <c r="O22" s="13"/>
    </row>
    <row r="23" spans="1:15" ht="12.6" customHeight="1" x14ac:dyDescent="0.2">
      <c r="A23" s="45">
        <v>14</v>
      </c>
      <c r="B23" s="46" t="s">
        <v>106</v>
      </c>
      <c r="C23" s="18">
        <f t="shared" si="0"/>
        <v>9.5</v>
      </c>
      <c r="D23" s="18">
        <v>2.1</v>
      </c>
      <c r="E23" s="47">
        <v>1.4</v>
      </c>
      <c r="F23" s="18">
        <v>6</v>
      </c>
      <c r="G23" s="48"/>
      <c r="H23" s="13"/>
      <c r="I23" s="13"/>
      <c r="J23" s="13"/>
      <c r="K23" s="13"/>
      <c r="L23" s="13"/>
      <c r="M23" s="13"/>
      <c r="N23" s="13"/>
      <c r="O23" s="13"/>
    </row>
    <row r="24" spans="1:15" ht="25.5" x14ac:dyDescent="0.2">
      <c r="A24" s="45">
        <v>15</v>
      </c>
      <c r="B24" s="50" t="s">
        <v>85</v>
      </c>
      <c r="C24" s="18">
        <f t="shared" si="0"/>
        <v>32</v>
      </c>
      <c r="D24" s="18">
        <v>25</v>
      </c>
      <c r="E24" s="47">
        <v>3.5</v>
      </c>
      <c r="F24" s="18">
        <v>3.5</v>
      </c>
      <c r="G24" s="48"/>
      <c r="H24" s="13"/>
      <c r="I24" s="13"/>
      <c r="J24" s="13"/>
      <c r="K24" s="13"/>
      <c r="L24" s="13"/>
      <c r="M24" s="13"/>
      <c r="N24" s="13"/>
      <c r="O24" s="13"/>
    </row>
    <row r="25" spans="1:15" ht="15" customHeight="1" x14ac:dyDescent="0.2">
      <c r="A25" s="45">
        <v>16</v>
      </c>
      <c r="B25" s="46" t="s">
        <v>86</v>
      </c>
      <c r="C25" s="18">
        <f t="shared" si="0"/>
        <v>5.5</v>
      </c>
      <c r="D25" s="18">
        <v>2.5</v>
      </c>
      <c r="E25" s="47">
        <v>0.5</v>
      </c>
      <c r="F25" s="18">
        <v>2.5</v>
      </c>
      <c r="G25" s="48"/>
      <c r="H25" s="13"/>
      <c r="I25" s="13"/>
      <c r="J25" s="13"/>
      <c r="K25" s="13"/>
      <c r="L25" s="13"/>
      <c r="M25" s="13"/>
      <c r="N25" s="13"/>
      <c r="O25" s="13"/>
    </row>
    <row r="26" spans="1:15" ht="12.6" customHeight="1" x14ac:dyDescent="0.2">
      <c r="A26" s="45">
        <v>17</v>
      </c>
      <c r="B26" s="50" t="s">
        <v>547</v>
      </c>
      <c r="C26" s="18">
        <f t="shared" si="0"/>
        <v>12.3</v>
      </c>
      <c r="D26" s="18"/>
      <c r="E26" s="47">
        <v>4.2</v>
      </c>
      <c r="F26" s="18">
        <v>8.1</v>
      </c>
      <c r="G26" s="48"/>
      <c r="H26" s="13"/>
      <c r="I26" s="13"/>
      <c r="J26" s="13"/>
      <c r="K26" s="13"/>
      <c r="L26" s="13"/>
      <c r="M26" s="13"/>
      <c r="N26" s="13"/>
      <c r="O26" s="13"/>
    </row>
    <row r="27" spans="1:15" ht="12.6" customHeight="1" x14ac:dyDescent="0.2">
      <c r="A27" s="45">
        <v>18</v>
      </c>
      <c r="B27" s="50" t="s">
        <v>33</v>
      </c>
      <c r="C27" s="18">
        <f t="shared" si="0"/>
        <v>1.2999999999999998</v>
      </c>
      <c r="D27" s="18">
        <v>0.4</v>
      </c>
      <c r="E27" s="47">
        <v>0.3</v>
      </c>
      <c r="F27" s="18">
        <v>0.6</v>
      </c>
      <c r="G27" s="48"/>
      <c r="H27" s="13"/>
      <c r="I27" s="13"/>
      <c r="J27" s="13"/>
      <c r="K27" s="13"/>
      <c r="L27" s="13"/>
      <c r="M27" s="13"/>
      <c r="N27" s="13"/>
      <c r="O27" s="13"/>
    </row>
    <row r="28" spans="1:15" ht="12.6" customHeight="1" x14ac:dyDescent="0.2">
      <c r="A28" s="45">
        <v>19</v>
      </c>
      <c r="B28" s="50" t="s">
        <v>75</v>
      </c>
      <c r="C28" s="18">
        <f t="shared" si="0"/>
        <v>62.6</v>
      </c>
      <c r="D28" s="18"/>
      <c r="E28" s="47">
        <v>3</v>
      </c>
      <c r="F28" s="18">
        <v>59.6</v>
      </c>
      <c r="G28" s="48"/>
      <c r="H28" s="13"/>
      <c r="I28" s="13"/>
      <c r="J28" s="13"/>
      <c r="K28" s="13"/>
      <c r="L28" s="13"/>
      <c r="M28" s="13"/>
      <c r="N28" s="13"/>
      <c r="O28" s="13"/>
    </row>
    <row r="29" spans="1:15" ht="25.5" x14ac:dyDescent="0.2">
      <c r="A29" s="45">
        <v>20</v>
      </c>
      <c r="B29" s="51" t="s">
        <v>34</v>
      </c>
      <c r="C29" s="18">
        <f t="shared" si="0"/>
        <v>3.0999999999999996</v>
      </c>
      <c r="D29" s="18">
        <v>0.2</v>
      </c>
      <c r="E29" s="47">
        <v>0.1</v>
      </c>
      <c r="F29" s="18">
        <v>2.8</v>
      </c>
      <c r="G29" s="48"/>
      <c r="H29" s="13"/>
      <c r="I29" s="13"/>
      <c r="J29" s="13"/>
      <c r="K29" s="13"/>
      <c r="L29" s="13"/>
      <c r="M29" s="13"/>
      <c r="N29" s="13"/>
      <c r="O29" s="13"/>
    </row>
    <row r="30" spans="1:15" ht="12.6" customHeight="1" x14ac:dyDescent="0.2">
      <c r="A30" s="45">
        <v>21</v>
      </c>
      <c r="B30" s="50" t="s">
        <v>64</v>
      </c>
      <c r="C30" s="18">
        <f t="shared" si="0"/>
        <v>77.900000000000006</v>
      </c>
      <c r="D30" s="18">
        <v>38.299999999999997</v>
      </c>
      <c r="E30" s="47"/>
      <c r="F30" s="18">
        <v>39.6</v>
      </c>
      <c r="G30" s="48"/>
      <c r="H30" s="13"/>
      <c r="I30" s="13"/>
      <c r="J30" s="13"/>
      <c r="K30" s="13"/>
      <c r="L30" s="13"/>
      <c r="M30" s="13"/>
      <c r="N30" s="13"/>
      <c r="O30" s="13"/>
    </row>
    <row r="31" spans="1:15" ht="12.6" customHeight="1" x14ac:dyDescent="0.2">
      <c r="A31" s="45">
        <v>22</v>
      </c>
      <c r="B31" s="46" t="s">
        <v>185</v>
      </c>
      <c r="C31" s="18">
        <f t="shared" si="0"/>
        <v>14</v>
      </c>
      <c r="D31" s="18">
        <f>2+1</f>
        <v>3</v>
      </c>
      <c r="E31" s="47"/>
      <c r="F31" s="18">
        <v>11</v>
      </c>
      <c r="G31" s="48"/>
      <c r="H31" s="13"/>
      <c r="I31" s="13"/>
      <c r="J31" s="13"/>
      <c r="K31" s="13"/>
      <c r="L31" s="13"/>
      <c r="M31" s="13"/>
      <c r="N31" s="13"/>
      <c r="O31" s="13"/>
    </row>
    <row r="32" spans="1:15" ht="12.6" customHeight="1" x14ac:dyDescent="0.2">
      <c r="A32" s="45">
        <v>23</v>
      </c>
      <c r="B32" s="52" t="s">
        <v>46</v>
      </c>
      <c r="C32" s="18">
        <f t="shared" si="0"/>
        <v>87.1</v>
      </c>
      <c r="D32" s="18"/>
      <c r="E32" s="47"/>
      <c r="F32" s="18">
        <v>87.1</v>
      </c>
      <c r="G32" s="48"/>
      <c r="H32" s="13"/>
      <c r="I32" s="13"/>
      <c r="J32" s="13"/>
      <c r="K32" s="13"/>
      <c r="L32" s="13"/>
      <c r="M32" s="13"/>
      <c r="N32" s="13"/>
      <c r="O32" s="13"/>
    </row>
    <row r="33" spans="1:15" ht="12.6" customHeight="1" x14ac:dyDescent="0.2">
      <c r="A33" s="45">
        <v>24</v>
      </c>
      <c r="B33" s="52" t="s">
        <v>39</v>
      </c>
      <c r="C33" s="18">
        <f t="shared" si="0"/>
        <v>76.5</v>
      </c>
      <c r="D33" s="18">
        <v>0.5</v>
      </c>
      <c r="E33" s="47"/>
      <c r="F33" s="18">
        <v>76</v>
      </c>
      <c r="G33" s="48"/>
      <c r="H33" s="13"/>
      <c r="I33" s="13"/>
      <c r="J33" s="13"/>
      <c r="K33" s="13"/>
      <c r="L33" s="13"/>
      <c r="M33" s="13"/>
      <c r="N33" s="13"/>
      <c r="O33" s="13"/>
    </row>
    <row r="34" spans="1:15" ht="12.6" customHeight="1" x14ac:dyDescent="0.2">
      <c r="A34" s="45">
        <v>25</v>
      </c>
      <c r="B34" s="46" t="s">
        <v>40</v>
      </c>
      <c r="C34" s="18">
        <f t="shared" si="0"/>
        <v>87</v>
      </c>
      <c r="D34" s="18">
        <v>2</v>
      </c>
      <c r="E34" s="47">
        <v>7.5</v>
      </c>
      <c r="F34" s="18">
        <v>77.5</v>
      </c>
      <c r="G34" s="48"/>
      <c r="H34" s="13"/>
      <c r="I34" s="13"/>
      <c r="J34" s="13"/>
      <c r="K34" s="13"/>
      <c r="L34" s="13"/>
      <c r="M34" s="13"/>
      <c r="N34" s="13"/>
      <c r="O34" s="13"/>
    </row>
    <row r="35" spans="1:15" ht="12.6" customHeight="1" x14ac:dyDescent="0.2">
      <c r="A35" s="45">
        <v>26</v>
      </c>
      <c r="B35" s="52" t="s">
        <v>107</v>
      </c>
      <c r="C35" s="18">
        <f t="shared" si="0"/>
        <v>15.5</v>
      </c>
      <c r="D35" s="18">
        <v>14.7</v>
      </c>
      <c r="E35" s="47">
        <v>0.8</v>
      </c>
      <c r="F35" s="18"/>
      <c r="G35" s="48"/>
      <c r="H35" s="13"/>
      <c r="I35" s="13"/>
      <c r="J35" s="13"/>
      <c r="K35" s="13"/>
      <c r="L35" s="13"/>
      <c r="M35" s="13"/>
      <c r="N35" s="13"/>
      <c r="O35" s="13"/>
    </row>
    <row r="36" spans="1:15" ht="12.6" customHeight="1" x14ac:dyDescent="0.2">
      <c r="A36" s="45">
        <v>27</v>
      </c>
      <c r="B36" s="46" t="s">
        <v>65</v>
      </c>
      <c r="C36" s="18">
        <f t="shared" si="0"/>
        <v>120</v>
      </c>
      <c r="D36" s="18">
        <v>23</v>
      </c>
      <c r="E36" s="47">
        <f>35+35</f>
        <v>70</v>
      </c>
      <c r="F36" s="18">
        <f>22+5</f>
        <v>27</v>
      </c>
      <c r="G36" s="48"/>
      <c r="H36" s="13"/>
      <c r="I36" s="13"/>
      <c r="J36" s="13"/>
      <c r="K36" s="13"/>
      <c r="L36" s="13"/>
      <c r="M36" s="13"/>
      <c r="N36" s="13"/>
      <c r="O36" s="13"/>
    </row>
    <row r="37" spans="1:15" ht="12.6" customHeight="1" x14ac:dyDescent="0.2">
      <c r="A37" s="45">
        <v>28</v>
      </c>
      <c r="B37" s="52" t="s">
        <v>36</v>
      </c>
      <c r="C37" s="18">
        <f t="shared" si="0"/>
        <v>13</v>
      </c>
      <c r="D37" s="18">
        <f>8+1</f>
        <v>9</v>
      </c>
      <c r="E37" s="47">
        <v>4</v>
      </c>
      <c r="F37" s="18"/>
      <c r="G37" s="48"/>
      <c r="H37" s="13"/>
      <c r="I37" s="13"/>
      <c r="J37" s="13"/>
      <c r="K37" s="13"/>
      <c r="L37" s="13"/>
      <c r="M37" s="13"/>
      <c r="N37" s="13"/>
      <c r="O37" s="13"/>
    </row>
    <row r="38" spans="1:15" ht="12.6" customHeight="1" x14ac:dyDescent="0.2">
      <c r="A38" s="45">
        <v>29</v>
      </c>
      <c r="B38" s="53" t="s">
        <v>41</v>
      </c>
      <c r="C38" s="18">
        <f t="shared" si="0"/>
        <v>2.2999999999999998</v>
      </c>
      <c r="D38" s="18">
        <v>0.8</v>
      </c>
      <c r="E38" s="47">
        <v>1.5</v>
      </c>
      <c r="F38" s="18"/>
      <c r="G38" s="48"/>
      <c r="H38" s="13"/>
      <c r="I38" s="13"/>
      <c r="J38" s="13"/>
      <c r="K38" s="13"/>
      <c r="L38" s="13"/>
      <c r="M38" s="13"/>
      <c r="N38" s="13"/>
      <c r="O38" s="13"/>
    </row>
    <row r="39" spans="1:15" ht="12.6" customHeight="1" x14ac:dyDescent="0.2">
      <c r="A39" s="45">
        <v>30</v>
      </c>
      <c r="B39" s="52" t="s">
        <v>42</v>
      </c>
      <c r="C39" s="18">
        <f t="shared" si="0"/>
        <v>1.7</v>
      </c>
      <c r="D39" s="18">
        <v>1.2</v>
      </c>
      <c r="E39" s="47">
        <v>0.5</v>
      </c>
      <c r="F39" s="18"/>
      <c r="G39" s="48"/>
      <c r="H39" s="13"/>
      <c r="I39" s="13"/>
      <c r="J39" s="13"/>
      <c r="K39" s="13"/>
      <c r="L39" s="13"/>
      <c r="M39" s="13"/>
      <c r="N39" s="13"/>
      <c r="O39" s="13"/>
    </row>
    <row r="40" spans="1:15" ht="12.6" customHeight="1" x14ac:dyDescent="0.2">
      <c r="A40" s="45">
        <v>31</v>
      </c>
      <c r="B40" s="52" t="s">
        <v>37</v>
      </c>
      <c r="C40" s="18">
        <f t="shared" si="0"/>
        <v>8</v>
      </c>
      <c r="D40" s="18">
        <f>1+6</f>
        <v>7</v>
      </c>
      <c r="E40" s="47">
        <v>1</v>
      </c>
      <c r="F40" s="18"/>
      <c r="G40" s="48"/>
      <c r="H40" s="13"/>
      <c r="I40" s="13"/>
      <c r="J40" s="13"/>
      <c r="K40" s="13"/>
      <c r="L40" s="13"/>
      <c r="M40" s="13"/>
      <c r="N40" s="13"/>
      <c r="O40" s="13"/>
    </row>
    <row r="41" spans="1:15" ht="12.6" customHeight="1" x14ac:dyDescent="0.2">
      <c r="A41" s="45">
        <v>32</v>
      </c>
      <c r="B41" s="52" t="s">
        <v>43</v>
      </c>
      <c r="C41" s="18">
        <f t="shared" si="0"/>
        <v>0.6</v>
      </c>
      <c r="D41" s="18">
        <v>0.5</v>
      </c>
      <c r="E41" s="47">
        <v>0.1</v>
      </c>
      <c r="F41" s="18"/>
      <c r="G41" s="48"/>
      <c r="H41" s="13"/>
      <c r="I41" s="13"/>
      <c r="J41" s="13"/>
      <c r="K41" s="13"/>
      <c r="L41" s="13"/>
      <c r="M41" s="13"/>
      <c r="N41" s="13"/>
      <c r="O41" s="13"/>
    </row>
    <row r="42" spans="1:15" x14ac:dyDescent="0.2">
      <c r="A42" s="45">
        <v>33</v>
      </c>
      <c r="B42" s="52" t="s">
        <v>44</v>
      </c>
      <c r="C42" s="18">
        <f t="shared" si="0"/>
        <v>0.6</v>
      </c>
      <c r="D42" s="18">
        <v>0.3</v>
      </c>
      <c r="E42" s="47">
        <v>0.3</v>
      </c>
      <c r="F42" s="18"/>
      <c r="G42" s="48"/>
      <c r="H42" s="13"/>
      <c r="I42" s="13"/>
      <c r="J42" s="13"/>
      <c r="K42" s="13"/>
      <c r="L42" s="13"/>
      <c r="M42" s="13"/>
      <c r="N42" s="13"/>
      <c r="O42" s="13"/>
    </row>
    <row r="43" spans="1:15" ht="25.5" x14ac:dyDescent="0.2">
      <c r="A43" s="45">
        <v>34</v>
      </c>
      <c r="B43" s="51" t="s">
        <v>45</v>
      </c>
      <c r="C43" s="18">
        <f t="shared" si="0"/>
        <v>7.1</v>
      </c>
      <c r="D43" s="18">
        <v>1.1000000000000001</v>
      </c>
      <c r="E43" s="47">
        <v>6</v>
      </c>
      <c r="F43" s="18"/>
      <c r="G43" s="48"/>
      <c r="H43" s="13"/>
      <c r="I43" s="13"/>
      <c r="J43" s="13"/>
      <c r="K43" s="13"/>
      <c r="L43" s="13"/>
      <c r="M43" s="13"/>
      <c r="N43" s="13"/>
      <c r="O43" s="13"/>
    </row>
    <row r="44" spans="1:15" ht="12.6" customHeight="1" x14ac:dyDescent="0.2">
      <c r="A44" s="45">
        <v>35</v>
      </c>
      <c r="B44" s="52" t="s">
        <v>35</v>
      </c>
      <c r="C44" s="18">
        <f t="shared" si="0"/>
        <v>45.5</v>
      </c>
      <c r="D44" s="18">
        <v>45</v>
      </c>
      <c r="E44" s="47">
        <v>0.5</v>
      </c>
      <c r="F44" s="18"/>
      <c r="G44" s="48"/>
      <c r="H44" s="13"/>
      <c r="I44" s="13"/>
      <c r="J44" s="13"/>
      <c r="K44" s="13"/>
      <c r="L44" s="13"/>
      <c r="M44" s="13"/>
      <c r="N44" s="13"/>
      <c r="O44" s="13"/>
    </row>
    <row r="45" spans="1:15" ht="12.6" customHeight="1" x14ac:dyDescent="0.2">
      <c r="A45" s="45">
        <v>36</v>
      </c>
      <c r="B45" s="50" t="s">
        <v>25</v>
      </c>
      <c r="C45" s="18">
        <f t="shared" si="0"/>
        <v>1</v>
      </c>
      <c r="D45" s="18">
        <v>1</v>
      </c>
      <c r="E45" s="47"/>
      <c r="F45" s="18"/>
      <c r="G45" s="48"/>
      <c r="H45" s="13"/>
      <c r="I45" s="13"/>
      <c r="J45" s="13"/>
      <c r="K45" s="13"/>
      <c r="L45" s="13"/>
      <c r="M45" s="13"/>
      <c r="N45" s="13"/>
      <c r="O45" s="13"/>
    </row>
    <row r="46" spans="1:15" ht="12.6" customHeight="1" x14ac:dyDescent="0.2">
      <c r="A46" s="45">
        <v>37</v>
      </c>
      <c r="B46" s="54" t="s">
        <v>1</v>
      </c>
      <c r="C46" s="18">
        <f t="shared" si="0"/>
        <v>97</v>
      </c>
      <c r="D46" s="18">
        <v>97</v>
      </c>
      <c r="E46" s="47"/>
      <c r="F46" s="18"/>
      <c r="G46" s="48"/>
      <c r="H46" s="13"/>
      <c r="I46" s="13"/>
      <c r="J46" s="13"/>
      <c r="K46" s="13"/>
      <c r="L46" s="13"/>
      <c r="M46" s="13"/>
      <c r="N46" s="13"/>
      <c r="O46" s="13"/>
    </row>
    <row r="47" spans="1:15" ht="12.6" customHeight="1" x14ac:dyDescent="0.2">
      <c r="A47" s="45">
        <v>38</v>
      </c>
      <c r="B47" s="52" t="s">
        <v>2</v>
      </c>
      <c r="C47" s="18">
        <f t="shared" si="0"/>
        <v>390</v>
      </c>
      <c r="D47" s="18"/>
      <c r="E47" s="47"/>
      <c r="F47" s="18">
        <v>390</v>
      </c>
      <c r="G47" s="48"/>
      <c r="H47" s="13"/>
      <c r="I47" s="13"/>
      <c r="J47" s="13"/>
      <c r="K47" s="13"/>
      <c r="L47" s="13"/>
      <c r="M47" s="13"/>
      <c r="N47" s="13"/>
      <c r="O47" s="13"/>
    </row>
    <row r="48" spans="1:15" ht="12.6" customHeight="1" x14ac:dyDescent="0.2">
      <c r="A48" s="45">
        <v>39</v>
      </c>
      <c r="B48" s="52" t="s">
        <v>15</v>
      </c>
      <c r="C48" s="18">
        <f t="shared" si="0"/>
        <v>322</v>
      </c>
      <c r="D48" s="18"/>
      <c r="E48" s="47"/>
      <c r="F48" s="18">
        <v>322</v>
      </c>
      <c r="G48" s="48"/>
      <c r="H48" s="13"/>
      <c r="I48" s="13"/>
      <c r="J48" s="13"/>
      <c r="K48" s="13"/>
      <c r="L48" s="13"/>
      <c r="M48" s="13"/>
      <c r="N48" s="13"/>
      <c r="O48" s="13"/>
    </row>
    <row r="49" spans="1:15" ht="12.6" customHeight="1" x14ac:dyDescent="0.2">
      <c r="A49" s="45">
        <v>40</v>
      </c>
      <c r="B49" s="52" t="s">
        <v>108</v>
      </c>
      <c r="C49" s="18">
        <f t="shared" si="0"/>
        <v>324.3</v>
      </c>
      <c r="D49" s="18"/>
      <c r="E49" s="47"/>
      <c r="F49" s="18">
        <f>294.3+30</f>
        <v>324.3</v>
      </c>
      <c r="G49" s="48"/>
      <c r="H49" s="13"/>
      <c r="I49" s="13"/>
      <c r="J49" s="13"/>
      <c r="K49" s="13"/>
      <c r="L49" s="13"/>
      <c r="M49" s="13"/>
      <c r="N49" s="13"/>
      <c r="O49" s="13"/>
    </row>
    <row r="50" spans="1:15" ht="12.6" customHeight="1" x14ac:dyDescent="0.2">
      <c r="A50" s="45">
        <v>41</v>
      </c>
      <c r="B50" s="55" t="s">
        <v>78</v>
      </c>
      <c r="C50" s="18">
        <f t="shared" si="0"/>
        <v>9.3000000000000007</v>
      </c>
      <c r="D50" s="18"/>
      <c r="E50" s="47"/>
      <c r="F50" s="18">
        <f>5.8+3.5</f>
        <v>9.3000000000000007</v>
      </c>
      <c r="G50" s="48"/>
      <c r="H50" s="13"/>
      <c r="I50" s="13"/>
      <c r="J50" s="13"/>
      <c r="K50" s="13"/>
      <c r="L50" s="13"/>
      <c r="M50" s="13"/>
      <c r="N50" s="13"/>
      <c r="O50" s="13"/>
    </row>
    <row r="51" spans="1:15" ht="12.6" customHeight="1" x14ac:dyDescent="0.2">
      <c r="A51" s="45">
        <v>42</v>
      </c>
      <c r="B51" s="51" t="s">
        <v>109</v>
      </c>
      <c r="C51" s="18">
        <f t="shared" si="0"/>
        <v>9.4</v>
      </c>
      <c r="D51" s="18">
        <v>9.4</v>
      </c>
      <c r="E51" s="47"/>
      <c r="F51" s="18"/>
      <c r="G51" s="48"/>
      <c r="H51" s="13"/>
      <c r="I51" s="13"/>
      <c r="J51" s="13"/>
      <c r="K51" s="13"/>
      <c r="L51" s="13"/>
      <c r="M51" s="13"/>
      <c r="N51" s="13"/>
      <c r="O51" s="13"/>
    </row>
    <row r="52" spans="1:15" x14ac:dyDescent="0.2">
      <c r="A52" s="45">
        <v>43</v>
      </c>
      <c r="B52" s="56" t="s">
        <v>3</v>
      </c>
      <c r="C52" s="18">
        <f t="shared" si="0"/>
        <v>110.3</v>
      </c>
      <c r="D52" s="18"/>
      <c r="E52" s="47">
        <v>10.3</v>
      </c>
      <c r="F52" s="18"/>
      <c r="G52" s="48">
        <v>100</v>
      </c>
      <c r="H52" s="13"/>
      <c r="I52" s="13"/>
      <c r="J52" s="13"/>
      <c r="K52" s="13"/>
      <c r="L52" s="13"/>
      <c r="M52" s="13"/>
      <c r="N52" s="13"/>
      <c r="O52" s="13"/>
    </row>
    <row r="53" spans="1:15" ht="25.5" x14ac:dyDescent="0.2">
      <c r="A53" s="45">
        <v>44</v>
      </c>
      <c r="B53" s="51" t="s">
        <v>8</v>
      </c>
      <c r="C53" s="18">
        <f t="shared" si="0"/>
        <v>16.900000000000002</v>
      </c>
      <c r="D53" s="18">
        <v>0.3</v>
      </c>
      <c r="E53" s="47">
        <v>16.600000000000001</v>
      </c>
      <c r="F53" s="18"/>
      <c r="G53" s="48"/>
      <c r="H53" s="13"/>
      <c r="I53" s="13"/>
      <c r="J53" s="13"/>
      <c r="K53" s="13"/>
      <c r="L53" s="13"/>
      <c r="M53" s="13"/>
      <c r="N53" s="13"/>
      <c r="O53" s="13"/>
    </row>
    <row r="54" spans="1:15" ht="25.5" x14ac:dyDescent="0.2">
      <c r="A54" s="45">
        <v>45</v>
      </c>
      <c r="B54" s="51" t="s">
        <v>4</v>
      </c>
      <c r="C54" s="18">
        <f t="shared" si="0"/>
        <v>3.5</v>
      </c>
      <c r="D54" s="18"/>
      <c r="E54" s="47">
        <v>3.5</v>
      </c>
      <c r="F54" s="18"/>
      <c r="G54" s="48"/>
      <c r="H54" s="13"/>
      <c r="I54" s="13"/>
      <c r="J54" s="13"/>
      <c r="K54" s="13"/>
      <c r="L54" s="13"/>
      <c r="M54" s="13"/>
      <c r="N54" s="13"/>
      <c r="O54" s="13"/>
    </row>
    <row r="55" spans="1:15" ht="25.5" x14ac:dyDescent="0.2">
      <c r="A55" s="45">
        <v>46</v>
      </c>
      <c r="B55" s="51" t="s">
        <v>5</v>
      </c>
      <c r="C55" s="18">
        <f t="shared" si="0"/>
        <v>3.9</v>
      </c>
      <c r="D55" s="18">
        <v>1.4</v>
      </c>
      <c r="E55" s="47">
        <v>2.5</v>
      </c>
      <c r="F55" s="18"/>
      <c r="G55" s="48"/>
      <c r="H55" s="13"/>
      <c r="I55" s="13"/>
      <c r="J55" s="13"/>
      <c r="K55" s="13"/>
      <c r="L55" s="13"/>
      <c r="M55" s="13"/>
      <c r="N55" s="13"/>
      <c r="O55" s="13"/>
    </row>
    <row r="56" spans="1:15" ht="25.5" x14ac:dyDescent="0.2">
      <c r="A56" s="45">
        <v>47</v>
      </c>
      <c r="B56" s="51" t="s">
        <v>7</v>
      </c>
      <c r="C56" s="18">
        <f t="shared" si="0"/>
        <v>10.5</v>
      </c>
      <c r="D56" s="18">
        <v>3</v>
      </c>
      <c r="E56" s="47">
        <v>7.5</v>
      </c>
      <c r="F56" s="18"/>
      <c r="G56" s="48"/>
      <c r="H56" s="13"/>
      <c r="I56" s="13"/>
      <c r="J56" s="13"/>
      <c r="K56" s="13"/>
      <c r="L56" s="13"/>
      <c r="M56" s="13"/>
      <c r="N56" s="13"/>
      <c r="O56" s="13"/>
    </row>
    <row r="57" spans="1:15" ht="25.5" x14ac:dyDescent="0.2">
      <c r="A57" s="45">
        <v>48</v>
      </c>
      <c r="B57" s="51" t="s">
        <v>6</v>
      </c>
      <c r="C57" s="18">
        <f t="shared" si="0"/>
        <v>1.6</v>
      </c>
      <c r="D57" s="18">
        <v>0.6</v>
      </c>
      <c r="E57" s="47">
        <v>1</v>
      </c>
      <c r="F57" s="18"/>
      <c r="G57" s="48"/>
      <c r="H57" s="13"/>
      <c r="I57" s="13"/>
      <c r="J57" s="13"/>
      <c r="K57" s="13"/>
      <c r="L57" s="13"/>
      <c r="M57" s="13"/>
      <c r="N57" s="13"/>
      <c r="O57" s="13"/>
    </row>
    <row r="58" spans="1:15" ht="25.5" x14ac:dyDescent="0.2">
      <c r="A58" s="45">
        <v>49</v>
      </c>
      <c r="B58" s="51" t="s">
        <v>9</v>
      </c>
      <c r="C58" s="18">
        <f t="shared" si="0"/>
        <v>3.9</v>
      </c>
      <c r="D58" s="18"/>
      <c r="E58" s="47">
        <v>3.9</v>
      </c>
      <c r="F58" s="18"/>
      <c r="G58" s="48"/>
      <c r="H58" s="13"/>
      <c r="I58" s="13"/>
      <c r="J58" s="13"/>
      <c r="K58" s="13"/>
      <c r="L58" s="13"/>
      <c r="M58" s="13"/>
      <c r="N58" s="13"/>
      <c r="O58" s="13"/>
    </row>
    <row r="59" spans="1:15" ht="25.5" x14ac:dyDescent="0.2">
      <c r="A59" s="45">
        <v>50</v>
      </c>
      <c r="B59" s="54" t="s">
        <v>10</v>
      </c>
      <c r="C59" s="18">
        <f t="shared" si="0"/>
        <v>4.3000000000000007</v>
      </c>
      <c r="D59" s="18">
        <v>2.2000000000000002</v>
      </c>
      <c r="E59" s="47">
        <v>2.1</v>
      </c>
      <c r="F59" s="18"/>
      <c r="G59" s="48"/>
      <c r="H59" s="13"/>
      <c r="I59" s="13"/>
      <c r="J59" s="13"/>
      <c r="K59" s="13"/>
      <c r="L59" s="13"/>
      <c r="M59" s="13"/>
      <c r="N59" s="13"/>
      <c r="O59" s="13"/>
    </row>
    <row r="60" spans="1:15" ht="25.5" x14ac:dyDescent="0.2">
      <c r="A60" s="45">
        <v>51</v>
      </c>
      <c r="B60" s="51" t="s">
        <v>12</v>
      </c>
      <c r="C60" s="18">
        <f t="shared" si="0"/>
        <v>1.6</v>
      </c>
      <c r="D60" s="18">
        <v>0.1</v>
      </c>
      <c r="E60" s="47">
        <v>1.5</v>
      </c>
      <c r="F60" s="18"/>
      <c r="G60" s="48"/>
      <c r="H60" s="13"/>
      <c r="I60" s="13"/>
      <c r="J60" s="13"/>
      <c r="K60" s="13"/>
      <c r="L60" s="13"/>
      <c r="M60" s="13"/>
      <c r="N60" s="13"/>
      <c r="O60" s="13"/>
    </row>
    <row r="61" spans="1:15" ht="25.5" x14ac:dyDescent="0.2">
      <c r="A61" s="45">
        <v>52</v>
      </c>
      <c r="B61" s="51" t="s">
        <v>11</v>
      </c>
      <c r="C61" s="18">
        <f t="shared" si="0"/>
        <v>3.7</v>
      </c>
      <c r="D61" s="18">
        <v>2.6</v>
      </c>
      <c r="E61" s="47">
        <v>1.1000000000000001</v>
      </c>
      <c r="F61" s="18"/>
      <c r="G61" s="48"/>
      <c r="H61" s="13"/>
      <c r="I61" s="13"/>
      <c r="J61" s="13"/>
      <c r="K61" s="13"/>
      <c r="L61" s="13"/>
      <c r="M61" s="13"/>
      <c r="N61" s="13"/>
      <c r="O61" s="13"/>
    </row>
    <row r="62" spans="1:15" ht="25.5" x14ac:dyDescent="0.2">
      <c r="A62" s="45">
        <v>53</v>
      </c>
      <c r="B62" s="51" t="s">
        <v>13</v>
      </c>
      <c r="C62" s="18">
        <f t="shared" si="0"/>
        <v>4</v>
      </c>
      <c r="D62" s="18">
        <v>2</v>
      </c>
      <c r="E62" s="47">
        <v>2</v>
      </c>
      <c r="F62" s="18"/>
      <c r="G62" s="48"/>
      <c r="H62" s="13"/>
      <c r="I62" s="13"/>
      <c r="J62" s="13"/>
      <c r="K62" s="13"/>
      <c r="L62" s="13"/>
      <c r="M62" s="13"/>
      <c r="N62" s="13"/>
      <c r="O62" s="13"/>
    </row>
    <row r="63" spans="1:15" ht="25.5" x14ac:dyDescent="0.2">
      <c r="A63" s="45">
        <v>54</v>
      </c>
      <c r="B63" s="51" t="s">
        <v>14</v>
      </c>
      <c r="C63" s="18">
        <f t="shared" si="0"/>
        <v>2</v>
      </c>
      <c r="D63" s="18"/>
      <c r="E63" s="47">
        <v>2</v>
      </c>
      <c r="F63" s="18"/>
      <c r="G63" s="48"/>
      <c r="H63" s="13"/>
      <c r="I63" s="13"/>
      <c r="J63" s="13"/>
      <c r="K63" s="13"/>
      <c r="L63" s="13"/>
      <c r="M63" s="13"/>
      <c r="N63" s="13"/>
      <c r="O63" s="13"/>
    </row>
    <row r="64" spans="1:15" x14ac:dyDescent="0.2">
      <c r="A64" s="45">
        <v>55</v>
      </c>
      <c r="B64" s="57" t="s">
        <v>110</v>
      </c>
      <c r="C64" s="58">
        <f>+E64+D64+F64+G64</f>
        <v>2700.0000000000005</v>
      </c>
      <c r="D64" s="58">
        <f>SUM(D10:D63)</f>
        <v>311.70000000000005</v>
      </c>
      <c r="E64" s="58">
        <f>SUM(E10:E63)</f>
        <v>186.59999999999997</v>
      </c>
      <c r="F64" s="58">
        <f>SUM(F10:F63)</f>
        <v>2101.7000000000003</v>
      </c>
      <c r="G64" s="58">
        <f>SUM(G10:G63)</f>
        <v>100</v>
      </c>
      <c r="H64" s="16"/>
      <c r="I64" s="13"/>
      <c r="J64" s="13"/>
      <c r="K64" s="13"/>
      <c r="L64" s="13"/>
      <c r="M64" s="13"/>
      <c r="N64" s="13"/>
      <c r="O64" s="13"/>
    </row>
    <row r="65" spans="1:9" x14ac:dyDescent="0.2">
      <c r="E65" s="59"/>
      <c r="H65" s="60"/>
    </row>
    <row r="66" spans="1:9" x14ac:dyDescent="0.2">
      <c r="A66" s="166" t="s">
        <v>111</v>
      </c>
      <c r="B66" s="166"/>
      <c r="C66" s="166"/>
      <c r="D66" s="166"/>
      <c r="E66" s="166"/>
      <c r="F66" s="166"/>
    </row>
    <row r="67" spans="1:9" x14ac:dyDescent="0.2">
      <c r="C67" s="13"/>
      <c r="D67" s="13"/>
      <c r="E67" s="59"/>
      <c r="F67" s="13"/>
    </row>
    <row r="68" spans="1:9" x14ac:dyDescent="0.2">
      <c r="C68" s="60"/>
      <c r="D68" s="13"/>
      <c r="E68" s="13"/>
      <c r="F68" s="13"/>
      <c r="G68" s="13"/>
    </row>
    <row r="69" spans="1:9" x14ac:dyDescent="0.2">
      <c r="C69" s="60"/>
      <c r="D69" s="13"/>
      <c r="E69" s="13"/>
      <c r="F69" s="13"/>
      <c r="G69" s="13"/>
      <c r="H69" s="13"/>
      <c r="I69" s="13"/>
    </row>
    <row r="70" spans="1:9" x14ac:dyDescent="0.2">
      <c r="C70" s="13"/>
      <c r="D70" s="13"/>
      <c r="E70" s="13"/>
      <c r="F70" s="13"/>
      <c r="H70" s="13"/>
    </row>
    <row r="71" spans="1:9" x14ac:dyDescent="0.2">
      <c r="H71" s="13"/>
    </row>
    <row r="74" spans="1:9" x14ac:dyDescent="0.2">
      <c r="B74" s="61"/>
    </row>
  </sheetData>
  <mergeCells count="10">
    <mergeCell ref="B1:G1"/>
    <mergeCell ref="B2:G2"/>
    <mergeCell ref="E3:G3"/>
    <mergeCell ref="A66:F66"/>
    <mergeCell ref="A5:F5"/>
    <mergeCell ref="A7:A8"/>
    <mergeCell ref="B7:B8"/>
    <mergeCell ref="C7:C8"/>
    <mergeCell ref="D7:G7"/>
    <mergeCell ref="F6:G6"/>
  </mergeCells>
  <pageMargins left="0.59055118110236227" right="0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41"/>
  <sheetViews>
    <sheetView zoomScaleNormal="100" workbookViewId="0">
      <selection activeCell="J19" sqref="J19"/>
    </sheetView>
  </sheetViews>
  <sheetFormatPr defaultColWidth="9.140625" defaultRowHeight="12.75" x14ac:dyDescent="0.2"/>
  <cols>
    <col min="1" max="1" width="5.85546875" style="181" customWidth="1"/>
    <col min="2" max="2" width="7.42578125" style="182" customWidth="1"/>
    <col min="3" max="3" width="70" style="187" customWidth="1"/>
    <col min="4" max="4" width="9.7109375" style="187" customWidth="1"/>
    <col min="5" max="10" width="9.140625" style="184" customWidth="1"/>
    <col min="11" max="16384" width="9.140625" style="184"/>
  </cols>
  <sheetData>
    <row r="1" spans="1:9" ht="15.75" customHeight="1" x14ac:dyDescent="0.25">
      <c r="C1" s="183" t="s">
        <v>211</v>
      </c>
      <c r="D1" s="183"/>
    </row>
    <row r="2" spans="1:9" ht="15.75" x14ac:dyDescent="0.25">
      <c r="C2" s="185" t="s">
        <v>584</v>
      </c>
      <c r="D2" s="185"/>
    </row>
    <row r="3" spans="1:9" ht="14.25" customHeight="1" x14ac:dyDescent="0.2">
      <c r="B3" s="186"/>
      <c r="D3" s="188" t="s">
        <v>67</v>
      </c>
      <c r="I3" s="189"/>
    </row>
    <row r="4" spans="1:9" ht="15.75" x14ac:dyDescent="0.2">
      <c r="B4" s="186"/>
      <c r="D4" s="188"/>
    </row>
    <row r="5" spans="1:9" ht="25.5" customHeight="1" x14ac:dyDescent="0.2">
      <c r="A5" s="190" t="s">
        <v>237</v>
      </c>
      <c r="B5" s="190"/>
      <c r="C5" s="190"/>
      <c r="D5" s="190"/>
    </row>
    <row r="6" spans="1:9" x14ac:dyDescent="0.2">
      <c r="A6" s="191"/>
      <c r="B6" s="191"/>
      <c r="C6" s="191"/>
      <c r="D6" s="191"/>
    </row>
    <row r="7" spans="1:9" x14ac:dyDescent="0.2">
      <c r="B7" s="186"/>
      <c r="D7" s="192" t="s">
        <v>71</v>
      </c>
    </row>
    <row r="8" spans="1:9" ht="43.5" customHeight="1" x14ac:dyDescent="0.2">
      <c r="A8" s="193" t="s">
        <v>68</v>
      </c>
      <c r="B8" s="194" t="s">
        <v>186</v>
      </c>
      <c r="C8" s="193" t="s">
        <v>16</v>
      </c>
      <c r="D8" s="193" t="s">
        <v>17</v>
      </c>
      <c r="E8" s="195"/>
    </row>
    <row r="9" spans="1:9" x14ac:dyDescent="0.2">
      <c r="A9" s="196">
        <v>1</v>
      </c>
      <c r="B9" s="197" t="s">
        <v>18</v>
      </c>
      <c r="C9" s="193">
        <v>3</v>
      </c>
      <c r="D9" s="193">
        <v>4</v>
      </c>
      <c r="E9" s="195"/>
    </row>
    <row r="10" spans="1:9" x14ac:dyDescent="0.2">
      <c r="A10" s="198">
        <v>1</v>
      </c>
      <c r="B10" s="197" t="s">
        <v>47</v>
      </c>
      <c r="C10" s="199" t="s">
        <v>48</v>
      </c>
      <c r="D10" s="200">
        <f>+D11+D12+D13+D14+D15+D16+D17+D18+D19+D20+D21+D22+D23+D24+D25+D26+D27+D28+D29+D30+D31+D32+D33+D34+D35+D36+D38+D39+D40</f>
        <v>17086.800000000003</v>
      </c>
      <c r="E10" s="195"/>
      <c r="F10" s="201"/>
      <c r="G10" s="201"/>
      <c r="H10" s="201"/>
    </row>
    <row r="11" spans="1:9" ht="12.6" customHeight="1" x14ac:dyDescent="0.2">
      <c r="A11" s="198">
        <v>2</v>
      </c>
      <c r="B11" s="202"/>
      <c r="C11" s="203" t="s">
        <v>88</v>
      </c>
      <c r="D11" s="204">
        <v>499.7</v>
      </c>
      <c r="E11" s="195"/>
    </row>
    <row r="12" spans="1:9" ht="12.6" customHeight="1" x14ac:dyDescent="0.2">
      <c r="A12" s="198">
        <v>3</v>
      </c>
      <c r="B12" s="202"/>
      <c r="C12" s="203" t="s">
        <v>79</v>
      </c>
      <c r="D12" s="204">
        <v>532.70000000000005</v>
      </c>
      <c r="E12" s="195"/>
    </row>
    <row r="13" spans="1:9" ht="12.6" customHeight="1" x14ac:dyDescent="0.2">
      <c r="A13" s="198">
        <v>4</v>
      </c>
      <c r="B13" s="202"/>
      <c r="C13" s="203" t="s">
        <v>80</v>
      </c>
      <c r="D13" s="204">
        <v>530.6</v>
      </c>
      <c r="E13" s="195"/>
    </row>
    <row r="14" spans="1:9" ht="12.6" customHeight="1" x14ac:dyDescent="0.2">
      <c r="A14" s="198">
        <v>5</v>
      </c>
      <c r="B14" s="202"/>
      <c r="C14" s="203" t="s">
        <v>84</v>
      </c>
      <c r="D14" s="204">
        <v>536.9</v>
      </c>
      <c r="E14" s="195"/>
    </row>
    <row r="15" spans="1:9" ht="12.6" customHeight="1" x14ac:dyDescent="0.2">
      <c r="A15" s="198">
        <v>6</v>
      </c>
      <c r="B15" s="202"/>
      <c r="C15" s="203" t="s">
        <v>81</v>
      </c>
      <c r="D15" s="204">
        <v>492.5</v>
      </c>
      <c r="E15" s="195"/>
    </row>
    <row r="16" spans="1:9" ht="12.6" customHeight="1" x14ac:dyDescent="0.2">
      <c r="A16" s="198">
        <v>7</v>
      </c>
      <c r="B16" s="202"/>
      <c r="C16" s="203" t="s">
        <v>82</v>
      </c>
      <c r="D16" s="204">
        <v>596.9</v>
      </c>
      <c r="E16" s="195"/>
    </row>
    <row r="17" spans="1:5" ht="12.6" customHeight="1" x14ac:dyDescent="0.2">
      <c r="A17" s="198">
        <v>8</v>
      </c>
      <c r="B17" s="202"/>
      <c r="C17" s="203" t="s">
        <v>83</v>
      </c>
      <c r="D17" s="204">
        <v>563.6</v>
      </c>
      <c r="E17" s="195"/>
    </row>
    <row r="18" spans="1:5" ht="12.6" customHeight="1" x14ac:dyDescent="0.2">
      <c r="A18" s="198">
        <v>9</v>
      </c>
      <c r="B18" s="202"/>
      <c r="C18" s="205" t="s">
        <v>95</v>
      </c>
      <c r="D18" s="204">
        <f>498.9+1.9</f>
        <v>500.79999999999995</v>
      </c>
      <c r="E18" s="195"/>
    </row>
    <row r="19" spans="1:5" ht="12.6" customHeight="1" x14ac:dyDescent="0.2">
      <c r="A19" s="198">
        <v>10</v>
      </c>
      <c r="B19" s="202"/>
      <c r="C19" s="203" t="s">
        <v>87</v>
      </c>
      <c r="D19" s="204">
        <v>509.1</v>
      </c>
      <c r="E19" s="195"/>
    </row>
    <row r="20" spans="1:5" x14ac:dyDescent="0.2">
      <c r="A20" s="198">
        <v>11</v>
      </c>
      <c r="B20" s="202"/>
      <c r="C20" s="203" t="s">
        <v>38</v>
      </c>
      <c r="D20" s="204">
        <v>502.8</v>
      </c>
      <c r="E20" s="195"/>
    </row>
    <row r="21" spans="1:5" ht="12.6" customHeight="1" x14ac:dyDescent="0.2">
      <c r="A21" s="198">
        <v>12</v>
      </c>
      <c r="B21" s="202"/>
      <c r="C21" s="205" t="s">
        <v>73</v>
      </c>
      <c r="D21" s="204">
        <v>1240.9000000000001</v>
      </c>
      <c r="E21" s="195"/>
    </row>
    <row r="22" spans="1:5" ht="12.6" customHeight="1" x14ac:dyDescent="0.2">
      <c r="A22" s="198">
        <v>13</v>
      </c>
      <c r="B22" s="202"/>
      <c r="C22" s="205" t="s">
        <v>74</v>
      </c>
      <c r="D22" s="204">
        <v>452.4</v>
      </c>
      <c r="E22" s="195"/>
    </row>
    <row r="23" spans="1:5" ht="12.6" customHeight="1" x14ac:dyDescent="0.2">
      <c r="A23" s="198">
        <v>14</v>
      </c>
      <c r="B23" s="202"/>
      <c r="C23" s="205" t="s">
        <v>32</v>
      </c>
      <c r="D23" s="204">
        <v>974.3</v>
      </c>
      <c r="E23" s="195"/>
    </row>
    <row r="24" spans="1:5" ht="12.6" customHeight="1" x14ac:dyDescent="0.2">
      <c r="A24" s="198">
        <v>15</v>
      </c>
      <c r="B24" s="202"/>
      <c r="C24" s="203" t="s">
        <v>76</v>
      </c>
      <c r="D24" s="204">
        <f>742.2+26.9</f>
        <v>769.1</v>
      </c>
      <c r="E24" s="195"/>
    </row>
    <row r="25" spans="1:5" ht="12.6" customHeight="1" x14ac:dyDescent="0.2">
      <c r="A25" s="198">
        <v>16</v>
      </c>
      <c r="B25" s="202"/>
      <c r="C25" s="205" t="s">
        <v>85</v>
      </c>
      <c r="D25" s="204">
        <f>658+13+4.4</f>
        <v>675.4</v>
      </c>
      <c r="E25" s="195"/>
    </row>
    <row r="26" spans="1:5" ht="12.6" customHeight="1" x14ac:dyDescent="0.2">
      <c r="A26" s="198">
        <v>17</v>
      </c>
      <c r="B26" s="202"/>
      <c r="C26" s="203" t="s">
        <v>86</v>
      </c>
      <c r="D26" s="204">
        <v>516.6</v>
      </c>
      <c r="E26" s="195"/>
    </row>
    <row r="27" spans="1:5" ht="12.6" customHeight="1" x14ac:dyDescent="0.2">
      <c r="A27" s="198">
        <v>18</v>
      </c>
      <c r="B27" s="202"/>
      <c r="C27" s="206" t="s">
        <v>547</v>
      </c>
      <c r="D27" s="204">
        <v>526</v>
      </c>
      <c r="E27" s="195"/>
    </row>
    <row r="28" spans="1:5" ht="12.6" customHeight="1" x14ac:dyDescent="0.2">
      <c r="A28" s="198">
        <v>19</v>
      </c>
      <c r="B28" s="202"/>
      <c r="C28" s="205" t="s">
        <v>33</v>
      </c>
      <c r="D28" s="204">
        <v>326.10000000000002</v>
      </c>
      <c r="E28" s="195"/>
    </row>
    <row r="29" spans="1:5" ht="12.6" customHeight="1" x14ac:dyDescent="0.2">
      <c r="A29" s="198">
        <v>20</v>
      </c>
      <c r="B29" s="202"/>
      <c r="C29" s="205" t="s">
        <v>75</v>
      </c>
      <c r="D29" s="204">
        <v>876.1</v>
      </c>
      <c r="E29" s="195"/>
    </row>
    <row r="30" spans="1:5" ht="12.6" customHeight="1" x14ac:dyDescent="0.2">
      <c r="A30" s="198">
        <v>21</v>
      </c>
      <c r="B30" s="202"/>
      <c r="C30" s="205" t="s">
        <v>34</v>
      </c>
      <c r="D30" s="204">
        <v>319</v>
      </c>
      <c r="E30" s="195"/>
    </row>
    <row r="31" spans="1:5" x14ac:dyDescent="0.2">
      <c r="A31" s="198">
        <v>22</v>
      </c>
      <c r="B31" s="202"/>
      <c r="C31" s="205" t="s">
        <v>64</v>
      </c>
      <c r="D31" s="204">
        <v>559.70000000000005</v>
      </c>
      <c r="E31" s="195"/>
    </row>
    <row r="32" spans="1:5" ht="12.6" customHeight="1" x14ac:dyDescent="0.2">
      <c r="A32" s="198">
        <v>23</v>
      </c>
      <c r="B32" s="202"/>
      <c r="C32" s="207" t="s">
        <v>185</v>
      </c>
      <c r="D32" s="204">
        <f>1.9+67</f>
        <v>68.900000000000006</v>
      </c>
      <c r="E32" s="195"/>
    </row>
    <row r="33" spans="1:5" ht="12.6" customHeight="1" x14ac:dyDescent="0.2">
      <c r="A33" s="198">
        <v>24</v>
      </c>
      <c r="B33" s="202"/>
      <c r="C33" s="203" t="s">
        <v>46</v>
      </c>
      <c r="D33" s="204">
        <v>447.2</v>
      </c>
      <c r="E33" s="195"/>
    </row>
    <row r="34" spans="1:5" ht="12.6" customHeight="1" x14ac:dyDescent="0.2">
      <c r="A34" s="198">
        <v>25</v>
      </c>
      <c r="B34" s="202"/>
      <c r="C34" s="203" t="s">
        <v>39</v>
      </c>
      <c r="D34" s="204">
        <v>442.5</v>
      </c>
      <c r="E34" s="195"/>
    </row>
    <row r="35" spans="1:5" ht="12.6" customHeight="1" x14ac:dyDescent="0.2">
      <c r="A35" s="198">
        <v>26</v>
      </c>
      <c r="B35" s="202"/>
      <c r="C35" s="203" t="s">
        <v>40</v>
      </c>
      <c r="D35" s="204">
        <v>1171</v>
      </c>
      <c r="E35" s="195"/>
    </row>
    <row r="36" spans="1:5" ht="14.25" customHeight="1" x14ac:dyDescent="0.2">
      <c r="A36" s="208">
        <v>27</v>
      </c>
      <c r="B36" s="209"/>
      <c r="C36" s="203" t="s">
        <v>72</v>
      </c>
      <c r="D36" s="204">
        <f>158.2+30</f>
        <v>188.2</v>
      </c>
      <c r="E36" s="195"/>
    </row>
    <row r="37" spans="1:5" x14ac:dyDescent="0.2">
      <c r="A37" s="210"/>
      <c r="B37" s="211"/>
      <c r="C37" s="212" t="s">
        <v>205</v>
      </c>
      <c r="D37" s="204">
        <v>30</v>
      </c>
      <c r="E37" s="195"/>
    </row>
    <row r="38" spans="1:5" ht="12.6" customHeight="1" x14ac:dyDescent="0.2">
      <c r="A38" s="198">
        <v>28</v>
      </c>
      <c r="B38" s="202"/>
      <c r="C38" s="213" t="s">
        <v>15</v>
      </c>
      <c r="D38" s="204">
        <v>185.4</v>
      </c>
      <c r="E38" s="195"/>
    </row>
    <row r="39" spans="1:5" ht="12.6" customHeight="1" x14ac:dyDescent="0.2">
      <c r="A39" s="198">
        <v>29</v>
      </c>
      <c r="B39" s="202"/>
      <c r="C39" s="213" t="s">
        <v>19</v>
      </c>
      <c r="D39" s="204">
        <v>187.5</v>
      </c>
      <c r="E39" s="195"/>
    </row>
    <row r="40" spans="1:5" ht="12.6" customHeight="1" x14ac:dyDescent="0.2">
      <c r="A40" s="198">
        <v>30</v>
      </c>
      <c r="B40" s="202"/>
      <c r="C40" s="214" t="s">
        <v>89</v>
      </c>
      <c r="D40" s="215">
        <f>+D41+D49+D45+D44+D46+D42+D47+D43+D48</f>
        <v>1894.8999999999999</v>
      </c>
      <c r="E40" s="195"/>
    </row>
    <row r="41" spans="1:5" ht="15" customHeight="1" x14ac:dyDescent="0.2">
      <c r="A41" s="216" t="s">
        <v>362</v>
      </c>
      <c r="B41" s="202"/>
      <c r="C41" s="203" t="s">
        <v>3</v>
      </c>
      <c r="D41" s="215">
        <f>3+18.1</f>
        <v>21.1</v>
      </c>
      <c r="E41" s="195"/>
    </row>
    <row r="42" spans="1:5" ht="15" customHeight="1" x14ac:dyDescent="0.2">
      <c r="A42" s="216" t="s">
        <v>363</v>
      </c>
      <c r="B42" s="202"/>
      <c r="C42" s="203" t="s">
        <v>241</v>
      </c>
      <c r="D42" s="215">
        <v>50</v>
      </c>
      <c r="E42" s="195"/>
    </row>
    <row r="43" spans="1:5" ht="15" customHeight="1" x14ac:dyDescent="0.2">
      <c r="A43" s="216" t="s">
        <v>364</v>
      </c>
      <c r="B43" s="202"/>
      <c r="C43" s="203" t="s">
        <v>358</v>
      </c>
      <c r="D43" s="215">
        <f>22-13</f>
        <v>9</v>
      </c>
      <c r="E43" s="195"/>
    </row>
    <row r="44" spans="1:5" x14ac:dyDescent="0.2">
      <c r="A44" s="216" t="s">
        <v>365</v>
      </c>
      <c r="B44" s="202"/>
      <c r="C44" s="212" t="s">
        <v>155</v>
      </c>
      <c r="D44" s="215">
        <v>70</v>
      </c>
      <c r="E44" s="195"/>
    </row>
    <row r="45" spans="1:5" x14ac:dyDescent="0.2">
      <c r="A45" s="216" t="s">
        <v>366</v>
      </c>
      <c r="B45" s="202"/>
      <c r="C45" s="205" t="s">
        <v>242</v>
      </c>
      <c r="D45" s="215">
        <v>123</v>
      </c>
      <c r="E45" s="195"/>
    </row>
    <row r="46" spans="1:5" ht="12.6" customHeight="1" x14ac:dyDescent="0.2">
      <c r="A46" s="216" t="s">
        <v>367</v>
      </c>
      <c r="B46" s="202"/>
      <c r="C46" s="212" t="s">
        <v>243</v>
      </c>
      <c r="D46" s="215">
        <f>20+6.5</f>
        <v>26.5</v>
      </c>
      <c r="E46" s="195"/>
    </row>
    <row r="47" spans="1:5" ht="25.5" customHeight="1" x14ac:dyDescent="0.2">
      <c r="A47" s="216" t="s">
        <v>368</v>
      </c>
      <c r="B47" s="202"/>
      <c r="C47" s="214" t="s">
        <v>244</v>
      </c>
      <c r="D47" s="215">
        <v>57.7</v>
      </c>
      <c r="E47" s="195"/>
    </row>
    <row r="48" spans="1:5" ht="25.5" customHeight="1" x14ac:dyDescent="0.2">
      <c r="A48" s="216" t="s">
        <v>369</v>
      </c>
      <c r="B48" s="202"/>
      <c r="C48" s="214" t="s">
        <v>645</v>
      </c>
      <c r="D48" s="215">
        <v>37</v>
      </c>
      <c r="E48" s="195"/>
    </row>
    <row r="49" spans="1:8" ht="27" x14ac:dyDescent="0.2">
      <c r="A49" s="216" t="s">
        <v>632</v>
      </c>
      <c r="B49" s="202"/>
      <c r="C49" s="217" t="s">
        <v>235</v>
      </c>
      <c r="D49" s="218">
        <f>SUM(D50:D61)</f>
        <v>1500.6</v>
      </c>
      <c r="E49" s="195"/>
    </row>
    <row r="50" spans="1:8" x14ac:dyDescent="0.2">
      <c r="A50" s="216" t="s">
        <v>633</v>
      </c>
      <c r="B50" s="202"/>
      <c r="C50" s="219" t="s">
        <v>245</v>
      </c>
      <c r="D50" s="215">
        <v>150</v>
      </c>
      <c r="E50" s="195"/>
    </row>
    <row r="51" spans="1:8" ht="25.5" x14ac:dyDescent="0.2">
      <c r="A51" s="216" t="s">
        <v>634</v>
      </c>
      <c r="B51" s="202"/>
      <c r="C51" s="220" t="s">
        <v>246</v>
      </c>
      <c r="D51" s="215">
        <v>35</v>
      </c>
      <c r="E51" s="195"/>
    </row>
    <row r="52" spans="1:8" x14ac:dyDescent="0.2">
      <c r="A52" s="216" t="s">
        <v>635</v>
      </c>
      <c r="B52" s="202"/>
      <c r="C52" s="221" t="s">
        <v>247</v>
      </c>
      <c r="D52" s="222">
        <v>100</v>
      </c>
      <c r="E52" s="195"/>
    </row>
    <row r="53" spans="1:8" x14ac:dyDescent="0.2">
      <c r="A53" s="216" t="s">
        <v>636</v>
      </c>
      <c r="B53" s="202"/>
      <c r="C53" s="221" t="s">
        <v>248</v>
      </c>
      <c r="D53" s="215">
        <v>400</v>
      </c>
      <c r="E53" s="195"/>
    </row>
    <row r="54" spans="1:8" ht="25.5" x14ac:dyDescent="0.2">
      <c r="A54" s="216" t="s">
        <v>637</v>
      </c>
      <c r="B54" s="202"/>
      <c r="C54" s="223" t="s">
        <v>249</v>
      </c>
      <c r="D54" s="215">
        <f>150+30.6+0.6</f>
        <v>181.2</v>
      </c>
      <c r="E54" s="195"/>
      <c r="G54" s="224"/>
      <c r="H54" s="224"/>
    </row>
    <row r="55" spans="1:8" ht="25.5" x14ac:dyDescent="0.2">
      <c r="A55" s="216" t="s">
        <v>638</v>
      </c>
      <c r="B55" s="202"/>
      <c r="C55" s="223" t="s">
        <v>250</v>
      </c>
      <c r="D55" s="215">
        <f>300-30.6</f>
        <v>269.39999999999998</v>
      </c>
      <c r="E55" s="195"/>
    </row>
    <row r="56" spans="1:8" x14ac:dyDescent="0.2">
      <c r="A56" s="216" t="s">
        <v>639</v>
      </c>
      <c r="B56" s="202"/>
      <c r="C56" s="223" t="s">
        <v>251</v>
      </c>
      <c r="D56" s="215">
        <v>145</v>
      </c>
      <c r="E56" s="195"/>
    </row>
    <row r="57" spans="1:8" ht="25.5" x14ac:dyDescent="0.2">
      <c r="A57" s="216" t="s">
        <v>640</v>
      </c>
      <c r="B57" s="202"/>
      <c r="C57" s="223" t="s">
        <v>252</v>
      </c>
      <c r="D57" s="215">
        <v>30</v>
      </c>
      <c r="E57" s="195"/>
    </row>
    <row r="58" spans="1:8" x14ac:dyDescent="0.2">
      <c r="A58" s="216" t="s">
        <v>641</v>
      </c>
      <c r="B58" s="225"/>
      <c r="C58" s="220" t="s">
        <v>255</v>
      </c>
      <c r="D58" s="226">
        <v>30</v>
      </c>
      <c r="E58" s="195"/>
    </row>
    <row r="59" spans="1:8" ht="25.5" x14ac:dyDescent="0.2">
      <c r="A59" s="216" t="s">
        <v>642</v>
      </c>
      <c r="B59" s="202"/>
      <c r="C59" s="223" t="s">
        <v>253</v>
      </c>
      <c r="D59" s="215">
        <v>50</v>
      </c>
      <c r="E59" s="195"/>
    </row>
    <row r="60" spans="1:8" x14ac:dyDescent="0.2">
      <c r="A60" s="216" t="s">
        <v>643</v>
      </c>
      <c r="B60" s="202"/>
      <c r="C60" s="223" t="s">
        <v>254</v>
      </c>
      <c r="D60" s="215">
        <v>70</v>
      </c>
      <c r="E60" s="195"/>
    </row>
    <row r="61" spans="1:8" ht="25.5" x14ac:dyDescent="0.2">
      <c r="A61" s="216" t="s">
        <v>644</v>
      </c>
      <c r="B61" s="202"/>
      <c r="C61" s="212" t="s">
        <v>256</v>
      </c>
      <c r="D61" s="215">
        <v>40</v>
      </c>
      <c r="E61" s="195"/>
    </row>
    <row r="62" spans="1:8" x14ac:dyDescent="0.2">
      <c r="A62" s="198">
        <v>31</v>
      </c>
      <c r="B62" s="197" t="s">
        <v>49</v>
      </c>
      <c r="C62" s="227" t="s">
        <v>50</v>
      </c>
      <c r="D62" s="228">
        <f>+D63+D65</f>
        <v>1020.9000000000001</v>
      </c>
      <c r="E62" s="195"/>
    </row>
    <row r="63" spans="1:8" x14ac:dyDescent="0.2">
      <c r="A63" s="229">
        <v>32</v>
      </c>
      <c r="B63" s="197"/>
      <c r="C63" s="205" t="s">
        <v>90</v>
      </c>
      <c r="D63" s="204">
        <f>112.5+62+D64</f>
        <v>175.3</v>
      </c>
      <c r="E63" s="195"/>
    </row>
    <row r="64" spans="1:8" ht="25.5" x14ac:dyDescent="0.2">
      <c r="A64" s="230"/>
      <c r="B64" s="197"/>
      <c r="C64" s="231" t="s">
        <v>257</v>
      </c>
      <c r="D64" s="204">
        <v>0.8</v>
      </c>
      <c r="E64" s="195"/>
    </row>
    <row r="65" spans="1:5" ht="12.6" customHeight="1" x14ac:dyDescent="0.2">
      <c r="A65" s="198">
        <v>33</v>
      </c>
      <c r="B65" s="202"/>
      <c r="C65" s="214" t="s">
        <v>89</v>
      </c>
      <c r="D65" s="204">
        <f>SUM(D66:D88)</f>
        <v>845.60000000000014</v>
      </c>
      <c r="E65" s="195"/>
    </row>
    <row r="66" spans="1:5" ht="12.6" customHeight="1" x14ac:dyDescent="0.2">
      <c r="A66" s="216" t="s">
        <v>370</v>
      </c>
      <c r="B66" s="202"/>
      <c r="C66" s="203" t="s">
        <v>3</v>
      </c>
      <c r="D66" s="204">
        <v>3</v>
      </c>
      <c r="E66" s="195"/>
    </row>
    <row r="67" spans="1:5" ht="25.5" x14ac:dyDescent="0.2">
      <c r="A67" s="216" t="s">
        <v>371</v>
      </c>
      <c r="B67" s="202"/>
      <c r="C67" s="221" t="s">
        <v>239</v>
      </c>
      <c r="D67" s="204">
        <v>10</v>
      </c>
      <c r="E67" s="195"/>
    </row>
    <row r="68" spans="1:5" ht="25.5" x14ac:dyDescent="0.2">
      <c r="A68" s="216" t="s">
        <v>372</v>
      </c>
      <c r="B68" s="202"/>
      <c r="C68" s="221" t="s">
        <v>240</v>
      </c>
      <c r="D68" s="204">
        <v>10</v>
      </c>
      <c r="E68" s="195"/>
    </row>
    <row r="69" spans="1:5" ht="25.5" x14ac:dyDescent="0.2">
      <c r="A69" s="216" t="s">
        <v>373</v>
      </c>
      <c r="B69" s="202"/>
      <c r="C69" s="221" t="s">
        <v>618</v>
      </c>
      <c r="D69" s="204">
        <v>3</v>
      </c>
      <c r="E69" s="195"/>
    </row>
    <row r="70" spans="1:5" x14ac:dyDescent="0.2">
      <c r="A70" s="216" t="s">
        <v>374</v>
      </c>
      <c r="B70" s="202"/>
      <c r="C70" s="221" t="s">
        <v>619</v>
      </c>
      <c r="D70" s="204">
        <v>7.8</v>
      </c>
      <c r="E70" s="195"/>
    </row>
    <row r="71" spans="1:5" ht="25.5" x14ac:dyDescent="0.2">
      <c r="A71" s="216" t="s">
        <v>375</v>
      </c>
      <c r="B71" s="202"/>
      <c r="C71" s="232" t="s">
        <v>620</v>
      </c>
      <c r="D71" s="204">
        <v>80.400000000000006</v>
      </c>
      <c r="E71" s="195"/>
    </row>
    <row r="72" spans="1:5" ht="25.5" x14ac:dyDescent="0.2">
      <c r="A72" s="216" t="s">
        <v>376</v>
      </c>
      <c r="B72" s="202"/>
      <c r="C72" s="232" t="s">
        <v>621</v>
      </c>
      <c r="D72" s="204">
        <v>3</v>
      </c>
      <c r="E72" s="195"/>
    </row>
    <row r="73" spans="1:5" ht="25.5" x14ac:dyDescent="0.2">
      <c r="A73" s="216" t="s">
        <v>377</v>
      </c>
      <c r="B73" s="202"/>
      <c r="C73" s="232" t="s">
        <v>622</v>
      </c>
      <c r="D73" s="204">
        <v>21</v>
      </c>
      <c r="E73" s="195"/>
    </row>
    <row r="74" spans="1:5" ht="25.5" x14ac:dyDescent="0.2">
      <c r="A74" s="216" t="s">
        <v>378</v>
      </c>
      <c r="B74" s="202"/>
      <c r="C74" s="232" t="s">
        <v>623</v>
      </c>
      <c r="D74" s="204">
        <v>19.100000000000001</v>
      </c>
      <c r="E74" s="195"/>
    </row>
    <row r="75" spans="1:5" ht="27.6" customHeight="1" x14ac:dyDescent="0.2">
      <c r="A75" s="216" t="s">
        <v>379</v>
      </c>
      <c r="B75" s="202"/>
      <c r="C75" s="221" t="s">
        <v>624</v>
      </c>
      <c r="D75" s="204">
        <v>25.3</v>
      </c>
      <c r="E75" s="195"/>
    </row>
    <row r="76" spans="1:5" ht="25.5" x14ac:dyDescent="0.2">
      <c r="A76" s="216" t="s">
        <v>380</v>
      </c>
      <c r="B76" s="202"/>
      <c r="C76" s="221" t="s">
        <v>625</v>
      </c>
      <c r="D76" s="204">
        <v>28.3</v>
      </c>
      <c r="E76" s="195"/>
    </row>
    <row r="77" spans="1:5" ht="25.5" x14ac:dyDescent="0.2">
      <c r="A77" s="216" t="s">
        <v>381</v>
      </c>
      <c r="B77" s="202"/>
      <c r="C77" s="221" t="s">
        <v>626</v>
      </c>
      <c r="D77" s="204">
        <v>52.1</v>
      </c>
      <c r="E77" s="195"/>
    </row>
    <row r="78" spans="1:5" x14ac:dyDescent="0.2">
      <c r="A78" s="216" t="s">
        <v>382</v>
      </c>
      <c r="B78" s="202"/>
      <c r="C78" s="232" t="s">
        <v>258</v>
      </c>
      <c r="D78" s="204">
        <v>31.4</v>
      </c>
      <c r="E78" s="195"/>
    </row>
    <row r="79" spans="1:5" x14ac:dyDescent="0.2">
      <c r="A79" s="216" t="s">
        <v>383</v>
      </c>
      <c r="B79" s="202"/>
      <c r="C79" s="232" t="s">
        <v>627</v>
      </c>
      <c r="D79" s="204">
        <v>23.6</v>
      </c>
      <c r="E79" s="195"/>
    </row>
    <row r="80" spans="1:5" x14ac:dyDescent="0.2">
      <c r="A80" s="216" t="s">
        <v>384</v>
      </c>
      <c r="B80" s="202"/>
      <c r="C80" s="232" t="s">
        <v>628</v>
      </c>
      <c r="D80" s="204">
        <v>57</v>
      </c>
      <c r="E80" s="195"/>
    </row>
    <row r="81" spans="1:8" ht="25.5" x14ac:dyDescent="0.2">
      <c r="A81" s="216" t="s">
        <v>385</v>
      </c>
      <c r="B81" s="202"/>
      <c r="C81" s="232" t="s">
        <v>259</v>
      </c>
      <c r="D81" s="204">
        <v>15.1</v>
      </c>
      <c r="E81" s="195"/>
    </row>
    <row r="82" spans="1:8" ht="13.5" customHeight="1" x14ac:dyDescent="0.2">
      <c r="A82" s="216" t="s">
        <v>386</v>
      </c>
      <c r="B82" s="202"/>
      <c r="C82" s="232" t="s">
        <v>260</v>
      </c>
      <c r="D82" s="204">
        <v>98</v>
      </c>
      <c r="E82" s="195"/>
    </row>
    <row r="83" spans="1:8" ht="25.5" x14ac:dyDescent="0.2">
      <c r="A83" s="216" t="s">
        <v>387</v>
      </c>
      <c r="B83" s="202"/>
      <c r="C83" s="232" t="s">
        <v>261</v>
      </c>
      <c r="D83" s="204">
        <v>85</v>
      </c>
      <c r="E83" s="195"/>
    </row>
    <row r="84" spans="1:8" ht="25.5" x14ac:dyDescent="0.2">
      <c r="A84" s="216" t="s">
        <v>388</v>
      </c>
      <c r="B84" s="202"/>
      <c r="C84" s="232" t="s">
        <v>262</v>
      </c>
      <c r="D84" s="204">
        <v>35</v>
      </c>
      <c r="E84" s="195"/>
    </row>
    <row r="85" spans="1:8" ht="25.5" x14ac:dyDescent="0.2">
      <c r="A85" s="216" t="s">
        <v>389</v>
      </c>
      <c r="B85" s="202"/>
      <c r="C85" s="232" t="s">
        <v>263</v>
      </c>
      <c r="D85" s="204">
        <v>23</v>
      </c>
      <c r="E85" s="195"/>
    </row>
    <row r="86" spans="1:8" ht="25.5" x14ac:dyDescent="0.2">
      <c r="A86" s="216" t="s">
        <v>390</v>
      </c>
      <c r="B86" s="202"/>
      <c r="C86" s="232" t="s">
        <v>264</v>
      </c>
      <c r="D86" s="204">
        <v>40</v>
      </c>
      <c r="E86" s="195"/>
    </row>
    <row r="87" spans="1:8" ht="25.5" x14ac:dyDescent="0.2">
      <c r="A87" s="216" t="s">
        <v>391</v>
      </c>
      <c r="B87" s="202"/>
      <c r="C87" s="232" t="s">
        <v>265</v>
      </c>
      <c r="D87" s="204">
        <v>37.700000000000003</v>
      </c>
      <c r="E87" s="195"/>
    </row>
    <row r="88" spans="1:8" x14ac:dyDescent="0.2">
      <c r="A88" s="216" t="s">
        <v>392</v>
      </c>
      <c r="B88" s="202"/>
      <c r="C88" s="233" t="s">
        <v>147</v>
      </c>
      <c r="D88" s="234">
        <v>136.80000000000001</v>
      </c>
      <c r="E88" s="195"/>
    </row>
    <row r="89" spans="1:8" x14ac:dyDescent="0.2">
      <c r="A89" s="198">
        <v>34</v>
      </c>
      <c r="B89" s="197" t="s">
        <v>21</v>
      </c>
      <c r="C89" s="227" t="s">
        <v>22</v>
      </c>
      <c r="D89" s="228">
        <f>+D90+D92+D93+D94+D95+D96+D119+D121+D123+D125+D126+D128+D129+D131+D133+D135+D137</f>
        <v>12162.2</v>
      </c>
      <c r="E89" s="195"/>
    </row>
    <row r="90" spans="1:8" ht="12.6" customHeight="1" x14ac:dyDescent="0.2">
      <c r="A90" s="235">
        <v>35</v>
      </c>
      <c r="B90" s="236"/>
      <c r="C90" s="203" t="s">
        <v>1</v>
      </c>
      <c r="D90" s="204">
        <f>1577.8-56.5</f>
        <v>1521.3</v>
      </c>
      <c r="E90" s="195"/>
    </row>
    <row r="91" spans="1:8" ht="12.6" customHeight="1" x14ac:dyDescent="0.2">
      <c r="A91" s="235"/>
      <c r="B91" s="236"/>
      <c r="C91" s="237" t="s">
        <v>236</v>
      </c>
      <c r="D91" s="204">
        <v>245.5</v>
      </c>
      <c r="E91" s="195"/>
      <c r="H91" s="238"/>
    </row>
    <row r="92" spans="1:8" ht="12.6" customHeight="1" x14ac:dyDescent="0.2">
      <c r="A92" s="198">
        <v>36</v>
      </c>
      <c r="B92" s="202"/>
      <c r="C92" s="239" t="s">
        <v>2</v>
      </c>
      <c r="D92" s="204">
        <f>365.9-2.6</f>
        <v>363.29999999999995</v>
      </c>
      <c r="E92" s="195"/>
    </row>
    <row r="93" spans="1:8" ht="12.6" customHeight="1" x14ac:dyDescent="0.2">
      <c r="A93" s="198">
        <v>37</v>
      </c>
      <c r="B93" s="202"/>
      <c r="C93" s="213" t="s">
        <v>15</v>
      </c>
      <c r="D93" s="204">
        <f>455-11.6</f>
        <v>443.4</v>
      </c>
      <c r="E93" s="195"/>
    </row>
    <row r="94" spans="1:8" ht="12.6" customHeight="1" x14ac:dyDescent="0.2">
      <c r="A94" s="198">
        <v>38</v>
      </c>
      <c r="B94" s="202"/>
      <c r="C94" s="213" t="s">
        <v>19</v>
      </c>
      <c r="D94" s="204">
        <f>459.3-8.5</f>
        <v>450.8</v>
      </c>
      <c r="E94" s="195"/>
    </row>
    <row r="95" spans="1:8" ht="12.6" customHeight="1" x14ac:dyDescent="0.2">
      <c r="A95" s="198">
        <v>39</v>
      </c>
      <c r="B95" s="202"/>
      <c r="C95" s="203" t="s">
        <v>78</v>
      </c>
      <c r="D95" s="204">
        <f>1710.5-52.8</f>
        <v>1657.7</v>
      </c>
      <c r="E95" s="195"/>
    </row>
    <row r="96" spans="1:8" ht="12" customHeight="1" x14ac:dyDescent="0.2">
      <c r="A96" s="198">
        <v>40</v>
      </c>
      <c r="B96" s="202"/>
      <c r="C96" s="214" t="s">
        <v>89</v>
      </c>
      <c r="D96" s="215">
        <f>SUM(D97:D112)+D113</f>
        <v>4295.0000000000009</v>
      </c>
      <c r="E96" s="195"/>
    </row>
    <row r="97" spans="1:13" x14ac:dyDescent="0.2">
      <c r="A97" s="216" t="s">
        <v>393</v>
      </c>
      <c r="B97" s="202"/>
      <c r="C97" s="214" t="s">
        <v>3</v>
      </c>
      <c r="D97" s="204">
        <f>1865.5+35</f>
        <v>1900.5</v>
      </c>
      <c r="E97" s="195"/>
    </row>
    <row r="98" spans="1:13" x14ac:dyDescent="0.2">
      <c r="A98" s="216" t="s">
        <v>394</v>
      </c>
      <c r="B98" s="202"/>
      <c r="C98" s="232" t="s">
        <v>271</v>
      </c>
      <c r="D98" s="204">
        <v>100</v>
      </c>
      <c r="E98" s="195"/>
    </row>
    <row r="99" spans="1:13" x14ac:dyDescent="0.2">
      <c r="A99" s="216" t="s">
        <v>395</v>
      </c>
      <c r="B99" s="202"/>
      <c r="C99" s="240" t="s">
        <v>359</v>
      </c>
      <c r="D99" s="204">
        <v>250.3</v>
      </c>
      <c r="E99" s="195"/>
    </row>
    <row r="100" spans="1:13" x14ac:dyDescent="0.2">
      <c r="A100" s="216" t="s">
        <v>396</v>
      </c>
      <c r="B100" s="202"/>
      <c r="C100" s="220" t="s">
        <v>272</v>
      </c>
      <c r="D100" s="226">
        <v>800</v>
      </c>
      <c r="E100" s="195"/>
    </row>
    <row r="101" spans="1:13" ht="12.6" customHeight="1" x14ac:dyDescent="0.2">
      <c r="A101" s="216" t="s">
        <v>397</v>
      </c>
      <c r="B101" s="202"/>
      <c r="C101" s="220" t="s">
        <v>273</v>
      </c>
      <c r="D101" s="204">
        <v>100</v>
      </c>
      <c r="E101" s="195"/>
    </row>
    <row r="102" spans="1:13" ht="14.25" customHeight="1" x14ac:dyDescent="0.2">
      <c r="A102" s="216" t="s">
        <v>398</v>
      </c>
      <c r="B102" s="202"/>
      <c r="C102" s="220" t="s">
        <v>274</v>
      </c>
      <c r="D102" s="204">
        <v>161</v>
      </c>
      <c r="E102" s="195"/>
    </row>
    <row r="103" spans="1:13" ht="25.5" x14ac:dyDescent="0.2">
      <c r="A103" s="216" t="s">
        <v>399</v>
      </c>
      <c r="B103" s="202"/>
      <c r="C103" s="220" t="s">
        <v>275</v>
      </c>
      <c r="D103" s="226">
        <v>30</v>
      </c>
      <c r="E103" s="195"/>
    </row>
    <row r="104" spans="1:13" ht="14.25" customHeight="1" x14ac:dyDescent="0.2">
      <c r="A104" s="216" t="s">
        <v>400</v>
      </c>
      <c r="B104" s="202"/>
      <c r="C104" s="220" t="s">
        <v>276</v>
      </c>
      <c r="D104" s="226">
        <v>105</v>
      </c>
      <c r="E104" s="195"/>
    </row>
    <row r="105" spans="1:13" ht="25.5" x14ac:dyDescent="0.2">
      <c r="A105" s="216" t="s">
        <v>401</v>
      </c>
      <c r="B105" s="202"/>
      <c r="C105" s="220" t="s">
        <v>197</v>
      </c>
      <c r="D105" s="226">
        <v>15</v>
      </c>
      <c r="E105" s="195"/>
    </row>
    <row r="106" spans="1:13" x14ac:dyDescent="0.2">
      <c r="A106" s="216" t="s">
        <v>402</v>
      </c>
      <c r="B106" s="202"/>
      <c r="C106" s="220" t="s">
        <v>277</v>
      </c>
      <c r="D106" s="226">
        <v>51.9</v>
      </c>
      <c r="E106" s="195"/>
    </row>
    <row r="107" spans="1:13" x14ac:dyDescent="0.2">
      <c r="A107" s="216" t="s">
        <v>403</v>
      </c>
      <c r="B107" s="202"/>
      <c r="C107" s="220" t="s">
        <v>357</v>
      </c>
      <c r="D107" s="226">
        <v>40.299999999999997</v>
      </c>
      <c r="E107" s="195"/>
    </row>
    <row r="108" spans="1:13" x14ac:dyDescent="0.2">
      <c r="A108" s="216" t="s">
        <v>404</v>
      </c>
      <c r="B108" s="202"/>
      <c r="C108" s="220" t="s">
        <v>278</v>
      </c>
      <c r="D108" s="226">
        <v>144.30000000000001</v>
      </c>
      <c r="E108" s="195"/>
      <c r="H108" s="238"/>
      <c r="I108" s="238"/>
      <c r="J108" s="238"/>
      <c r="K108" s="238"/>
      <c r="L108" s="238"/>
      <c r="M108" s="238"/>
    </row>
    <row r="109" spans="1:13" ht="27" customHeight="1" x14ac:dyDescent="0.2">
      <c r="A109" s="216" t="s">
        <v>405</v>
      </c>
      <c r="B109" s="202"/>
      <c r="C109" s="220" t="s">
        <v>280</v>
      </c>
      <c r="D109" s="226">
        <v>19</v>
      </c>
      <c r="E109" s="195"/>
    </row>
    <row r="110" spans="1:13" ht="25.5" x14ac:dyDescent="0.2">
      <c r="A110" s="216" t="s">
        <v>406</v>
      </c>
      <c r="B110" s="202"/>
      <c r="C110" s="241" t="s">
        <v>281</v>
      </c>
      <c r="D110" s="226">
        <v>11</v>
      </c>
      <c r="E110" s="195"/>
    </row>
    <row r="111" spans="1:13" x14ac:dyDescent="0.2">
      <c r="A111" s="216" t="s">
        <v>407</v>
      </c>
      <c r="B111" s="202"/>
      <c r="C111" s="220" t="s">
        <v>279</v>
      </c>
      <c r="D111" s="226">
        <v>10</v>
      </c>
      <c r="E111" s="195"/>
    </row>
    <row r="112" spans="1:13" ht="25.5" x14ac:dyDescent="0.2">
      <c r="A112" s="216" t="s">
        <v>408</v>
      </c>
      <c r="B112" s="202"/>
      <c r="C112" s="220" t="s">
        <v>282</v>
      </c>
      <c r="D112" s="226">
        <v>12</v>
      </c>
      <c r="E112" s="195"/>
    </row>
    <row r="113" spans="1:9" ht="27" x14ac:dyDescent="0.2">
      <c r="A113" s="216" t="s">
        <v>409</v>
      </c>
      <c r="B113" s="202"/>
      <c r="C113" s="217" t="s">
        <v>235</v>
      </c>
      <c r="D113" s="242">
        <f>SUM(D114:D118)</f>
        <v>544.70000000000005</v>
      </c>
      <c r="E113" s="195"/>
    </row>
    <row r="114" spans="1:9" ht="12.6" customHeight="1" x14ac:dyDescent="0.2">
      <c r="A114" s="216" t="s">
        <v>410</v>
      </c>
      <c r="B114" s="202"/>
      <c r="C114" s="220" t="s">
        <v>283</v>
      </c>
      <c r="D114" s="226">
        <v>150</v>
      </c>
      <c r="E114" s="195"/>
    </row>
    <row r="115" spans="1:9" x14ac:dyDescent="0.2">
      <c r="A115" s="216" t="s">
        <v>411</v>
      </c>
      <c r="B115" s="202"/>
      <c r="C115" s="220" t="s">
        <v>284</v>
      </c>
      <c r="D115" s="226">
        <v>200</v>
      </c>
      <c r="E115" s="195"/>
    </row>
    <row r="116" spans="1:9" ht="25.5" x14ac:dyDescent="0.2">
      <c r="A116" s="216" t="s">
        <v>412</v>
      </c>
      <c r="B116" s="243"/>
      <c r="C116" s="223" t="s">
        <v>285</v>
      </c>
      <c r="D116" s="226">
        <f>15+1.7</f>
        <v>16.7</v>
      </c>
      <c r="E116" s="195"/>
      <c r="I116" s="244"/>
    </row>
    <row r="117" spans="1:9" x14ac:dyDescent="0.2">
      <c r="A117" s="216" t="s">
        <v>413</v>
      </c>
      <c r="B117" s="202"/>
      <c r="C117" s="220" t="s">
        <v>286</v>
      </c>
      <c r="D117" s="226">
        <v>170</v>
      </c>
      <c r="E117" s="195"/>
    </row>
    <row r="118" spans="1:9" x14ac:dyDescent="0.2">
      <c r="A118" s="216" t="s">
        <v>548</v>
      </c>
      <c r="B118" s="243"/>
      <c r="C118" s="220" t="s">
        <v>549</v>
      </c>
      <c r="D118" s="226">
        <v>8</v>
      </c>
      <c r="E118" s="195"/>
      <c r="G118" s="224"/>
      <c r="H118" s="224"/>
    </row>
    <row r="119" spans="1:9" x14ac:dyDescent="0.2">
      <c r="A119" s="229">
        <v>41</v>
      </c>
      <c r="B119" s="209"/>
      <c r="C119" s="205" t="s">
        <v>8</v>
      </c>
      <c r="D119" s="204">
        <f>1187+380</f>
        <v>1567</v>
      </c>
      <c r="E119" s="195"/>
    </row>
    <row r="120" spans="1:9" x14ac:dyDescent="0.2">
      <c r="A120" s="245"/>
      <c r="B120" s="211"/>
      <c r="C120" s="205" t="s">
        <v>157</v>
      </c>
      <c r="D120" s="204">
        <v>12.3</v>
      </c>
      <c r="E120" s="195"/>
      <c r="H120" s="244"/>
    </row>
    <row r="121" spans="1:9" x14ac:dyDescent="0.2">
      <c r="A121" s="229">
        <v>42</v>
      </c>
      <c r="B121" s="209"/>
      <c r="C121" s="205" t="s">
        <v>4</v>
      </c>
      <c r="D121" s="204">
        <f>471.7-130</f>
        <v>341.7</v>
      </c>
      <c r="E121" s="195"/>
    </row>
    <row r="122" spans="1:9" x14ac:dyDescent="0.2">
      <c r="A122" s="245"/>
      <c r="B122" s="211"/>
      <c r="C122" s="205" t="s">
        <v>157</v>
      </c>
      <c r="D122" s="204">
        <v>8.1999999999999993</v>
      </c>
      <c r="E122" s="195"/>
    </row>
    <row r="123" spans="1:9" x14ac:dyDescent="0.2">
      <c r="A123" s="229">
        <v>43</v>
      </c>
      <c r="B123" s="209"/>
      <c r="C123" s="205" t="s">
        <v>5</v>
      </c>
      <c r="D123" s="204">
        <f>150.3+5</f>
        <v>155.30000000000001</v>
      </c>
      <c r="E123" s="195"/>
    </row>
    <row r="124" spans="1:9" x14ac:dyDescent="0.2">
      <c r="A124" s="245"/>
      <c r="B124" s="211"/>
      <c r="C124" s="205" t="s">
        <v>157</v>
      </c>
      <c r="D124" s="204">
        <v>4.0999999999999996</v>
      </c>
      <c r="E124" s="195"/>
    </row>
    <row r="125" spans="1:9" x14ac:dyDescent="0.2">
      <c r="A125" s="246">
        <v>44</v>
      </c>
      <c r="B125" s="243"/>
      <c r="C125" s="205" t="s">
        <v>7</v>
      </c>
      <c r="D125" s="204">
        <f>209.5-50</f>
        <v>159.5</v>
      </c>
      <c r="E125" s="195"/>
    </row>
    <row r="126" spans="1:9" x14ac:dyDescent="0.2">
      <c r="A126" s="229">
        <v>45</v>
      </c>
      <c r="B126" s="209"/>
      <c r="C126" s="205" t="s">
        <v>6</v>
      </c>
      <c r="D126" s="204">
        <v>282.7</v>
      </c>
      <c r="E126" s="195"/>
    </row>
    <row r="127" spans="1:9" x14ac:dyDescent="0.2">
      <c r="A127" s="245"/>
      <c r="B127" s="211"/>
      <c r="C127" s="205" t="s">
        <v>157</v>
      </c>
      <c r="D127" s="204">
        <v>4.0999999999999996</v>
      </c>
      <c r="E127" s="195"/>
    </row>
    <row r="128" spans="1:9" x14ac:dyDescent="0.2">
      <c r="A128" s="246">
        <v>46</v>
      </c>
      <c r="B128" s="243"/>
      <c r="C128" s="205" t="s">
        <v>9</v>
      </c>
      <c r="D128" s="204">
        <f>224.8-35</f>
        <v>189.8</v>
      </c>
      <c r="E128" s="195"/>
    </row>
    <row r="129" spans="1:8" x14ac:dyDescent="0.2">
      <c r="A129" s="229">
        <v>47</v>
      </c>
      <c r="B129" s="209"/>
      <c r="C129" s="214" t="s">
        <v>10</v>
      </c>
      <c r="D129" s="204">
        <f>137.7-20</f>
        <v>117.69999999999999</v>
      </c>
      <c r="E129" s="195"/>
    </row>
    <row r="130" spans="1:8" x14ac:dyDescent="0.2">
      <c r="A130" s="245"/>
      <c r="B130" s="211"/>
      <c r="C130" s="205" t="s">
        <v>157</v>
      </c>
      <c r="D130" s="204">
        <v>8.1999999999999993</v>
      </c>
      <c r="E130" s="195"/>
    </row>
    <row r="131" spans="1:8" x14ac:dyDescent="0.2">
      <c r="A131" s="229">
        <v>48</v>
      </c>
      <c r="B131" s="209"/>
      <c r="C131" s="205" t="s">
        <v>12</v>
      </c>
      <c r="D131" s="204">
        <f>218.3-45</f>
        <v>173.3</v>
      </c>
      <c r="E131" s="195"/>
    </row>
    <row r="132" spans="1:8" x14ac:dyDescent="0.2">
      <c r="A132" s="245"/>
      <c r="B132" s="211"/>
      <c r="C132" s="205" t="s">
        <v>157</v>
      </c>
      <c r="D132" s="204">
        <v>8.1999999999999993</v>
      </c>
      <c r="E132" s="195"/>
    </row>
    <row r="133" spans="1:8" x14ac:dyDescent="0.2">
      <c r="A133" s="229">
        <v>49</v>
      </c>
      <c r="B133" s="209"/>
      <c r="C133" s="205" t="s">
        <v>11</v>
      </c>
      <c r="D133" s="204">
        <f>210.5-65</f>
        <v>145.5</v>
      </c>
      <c r="E133" s="195"/>
    </row>
    <row r="134" spans="1:8" x14ac:dyDescent="0.2">
      <c r="A134" s="245"/>
      <c r="B134" s="211"/>
      <c r="C134" s="205" t="s">
        <v>157</v>
      </c>
      <c r="D134" s="204">
        <v>4.0999999999999996</v>
      </c>
      <c r="E134" s="195"/>
    </row>
    <row r="135" spans="1:8" x14ac:dyDescent="0.2">
      <c r="A135" s="208">
        <v>50</v>
      </c>
      <c r="B135" s="209"/>
      <c r="C135" s="205" t="s">
        <v>13</v>
      </c>
      <c r="D135" s="204">
        <f>153.6-20</f>
        <v>133.6</v>
      </c>
      <c r="E135" s="195"/>
    </row>
    <row r="136" spans="1:8" x14ac:dyDescent="0.2">
      <c r="A136" s="210"/>
      <c r="B136" s="211"/>
      <c r="C136" s="205" t="s">
        <v>157</v>
      </c>
      <c r="D136" s="204">
        <v>4.0999999999999996</v>
      </c>
      <c r="E136" s="195"/>
    </row>
    <row r="137" spans="1:8" x14ac:dyDescent="0.2">
      <c r="A137" s="229">
        <v>51</v>
      </c>
      <c r="B137" s="209"/>
      <c r="C137" s="205" t="s">
        <v>14</v>
      </c>
      <c r="D137" s="204">
        <f>219.6-55</f>
        <v>164.6</v>
      </c>
      <c r="E137" s="195"/>
    </row>
    <row r="138" spans="1:8" x14ac:dyDescent="0.2">
      <c r="A138" s="245"/>
      <c r="B138" s="211"/>
      <c r="C138" s="205" t="s">
        <v>157</v>
      </c>
      <c r="D138" s="204">
        <v>8.1</v>
      </c>
      <c r="E138" s="195"/>
    </row>
    <row r="139" spans="1:8" x14ac:dyDescent="0.2">
      <c r="A139" s="198">
        <v>52</v>
      </c>
      <c r="B139" s="197" t="s">
        <v>51</v>
      </c>
      <c r="C139" s="227" t="s">
        <v>97</v>
      </c>
      <c r="D139" s="228">
        <f>+D141+D162+D163+D164+D165+D166+D167+D168+D169+D170+D140</f>
        <v>2597.8999999999996</v>
      </c>
      <c r="E139" s="195"/>
    </row>
    <row r="140" spans="1:8" ht="12.6" customHeight="1" x14ac:dyDescent="0.2">
      <c r="A140" s="198">
        <v>53</v>
      </c>
      <c r="B140" s="202"/>
      <c r="C140" s="203" t="s">
        <v>65</v>
      </c>
      <c r="D140" s="204">
        <f>1112.2+2.6+27.6+43.2</f>
        <v>1185.5999999999999</v>
      </c>
      <c r="E140" s="195"/>
    </row>
    <row r="141" spans="1:8" ht="12.6" customHeight="1" x14ac:dyDescent="0.2">
      <c r="A141" s="198">
        <v>54</v>
      </c>
      <c r="B141" s="197"/>
      <c r="C141" s="214" t="s">
        <v>89</v>
      </c>
      <c r="D141" s="204">
        <f>+D142+D143+D152+D154+D151+D153</f>
        <v>1380.2</v>
      </c>
      <c r="E141" s="195"/>
    </row>
    <row r="142" spans="1:8" ht="12.6" customHeight="1" x14ac:dyDescent="0.2">
      <c r="A142" s="216" t="s">
        <v>414</v>
      </c>
      <c r="B142" s="202"/>
      <c r="C142" s="214" t="s">
        <v>3</v>
      </c>
      <c r="D142" s="204">
        <f>68.5+5</f>
        <v>73.5</v>
      </c>
      <c r="E142" s="195"/>
    </row>
    <row r="143" spans="1:8" ht="12.6" customHeight="1" x14ac:dyDescent="0.2">
      <c r="A143" s="247" t="s">
        <v>415</v>
      </c>
      <c r="B143" s="209"/>
      <c r="C143" s="232" t="s">
        <v>200</v>
      </c>
      <c r="D143" s="204">
        <f>+D144+D145+D146+D147+D148+D149+D150</f>
        <v>675</v>
      </c>
      <c r="E143" s="195"/>
      <c r="H143" s="244"/>
    </row>
    <row r="144" spans="1:8" ht="13.5" customHeight="1" x14ac:dyDescent="0.2">
      <c r="A144" s="248"/>
      <c r="B144" s="249"/>
      <c r="C144" s="250" t="s">
        <v>289</v>
      </c>
      <c r="D144" s="204">
        <v>300</v>
      </c>
      <c r="E144" s="195"/>
    </row>
    <row r="145" spans="1:5" x14ac:dyDescent="0.2">
      <c r="A145" s="248"/>
      <c r="B145" s="249"/>
      <c r="C145" s="250" t="s">
        <v>290</v>
      </c>
      <c r="D145" s="204">
        <v>130</v>
      </c>
      <c r="E145" s="195"/>
    </row>
    <row r="146" spans="1:5" ht="12.6" customHeight="1" x14ac:dyDescent="0.2">
      <c r="A146" s="248"/>
      <c r="B146" s="249"/>
      <c r="C146" s="250" t="s">
        <v>291</v>
      </c>
      <c r="D146" s="204">
        <v>25</v>
      </c>
      <c r="E146" s="195"/>
    </row>
    <row r="147" spans="1:5" x14ac:dyDescent="0.2">
      <c r="A147" s="248"/>
      <c r="B147" s="249"/>
      <c r="C147" s="250" t="s">
        <v>292</v>
      </c>
      <c r="D147" s="204">
        <v>170</v>
      </c>
      <c r="E147" s="195"/>
    </row>
    <row r="148" spans="1:5" x14ac:dyDescent="0.2">
      <c r="A148" s="248"/>
      <c r="B148" s="249"/>
      <c r="C148" s="250" t="s">
        <v>293</v>
      </c>
      <c r="D148" s="204">
        <v>20</v>
      </c>
      <c r="E148" s="195"/>
    </row>
    <row r="149" spans="1:5" ht="12.75" customHeight="1" x14ac:dyDescent="0.2">
      <c r="A149" s="248"/>
      <c r="B149" s="249"/>
      <c r="C149" s="250" t="s">
        <v>294</v>
      </c>
      <c r="D149" s="204">
        <v>20</v>
      </c>
      <c r="E149" s="195"/>
    </row>
    <row r="150" spans="1:5" x14ac:dyDescent="0.2">
      <c r="A150" s="251"/>
      <c r="B150" s="211"/>
      <c r="C150" s="250" t="s">
        <v>295</v>
      </c>
      <c r="D150" s="204">
        <v>10</v>
      </c>
      <c r="E150" s="195"/>
    </row>
    <row r="151" spans="1:5" ht="25.5" x14ac:dyDescent="0.2">
      <c r="A151" s="216" t="s">
        <v>416</v>
      </c>
      <c r="B151" s="202"/>
      <c r="C151" s="232" t="s">
        <v>287</v>
      </c>
      <c r="D151" s="204">
        <v>10.3</v>
      </c>
      <c r="E151" s="195"/>
    </row>
    <row r="152" spans="1:5" ht="25.5" x14ac:dyDescent="0.2">
      <c r="A152" s="216" t="s">
        <v>417</v>
      </c>
      <c r="B152" s="202"/>
      <c r="C152" s="232" t="s">
        <v>288</v>
      </c>
      <c r="D152" s="204">
        <v>60</v>
      </c>
      <c r="E152" s="195"/>
    </row>
    <row r="153" spans="1:5" x14ac:dyDescent="0.2">
      <c r="A153" s="216" t="s">
        <v>418</v>
      </c>
      <c r="B153" s="202"/>
      <c r="C153" s="232" t="s">
        <v>296</v>
      </c>
      <c r="D153" s="204">
        <v>15</v>
      </c>
      <c r="E153" s="195"/>
    </row>
    <row r="154" spans="1:5" ht="27" x14ac:dyDescent="0.2">
      <c r="A154" s="216" t="s">
        <v>419</v>
      </c>
      <c r="B154" s="202"/>
      <c r="C154" s="217" t="s">
        <v>235</v>
      </c>
      <c r="D154" s="218">
        <f>SUM(D155:D161)</f>
        <v>546.4</v>
      </c>
      <c r="E154" s="195"/>
    </row>
    <row r="155" spans="1:5" x14ac:dyDescent="0.2">
      <c r="A155" s="216" t="s">
        <v>420</v>
      </c>
      <c r="B155" s="202"/>
      <c r="C155" s="205" t="s">
        <v>297</v>
      </c>
      <c r="D155" s="204">
        <v>100</v>
      </c>
      <c r="E155" s="195"/>
    </row>
    <row r="156" spans="1:5" x14ac:dyDescent="0.2">
      <c r="A156" s="216" t="s">
        <v>421</v>
      </c>
      <c r="B156" s="202"/>
      <c r="C156" s="205" t="s">
        <v>298</v>
      </c>
      <c r="D156" s="204">
        <v>116.1</v>
      </c>
      <c r="E156" s="195"/>
    </row>
    <row r="157" spans="1:5" ht="25.5" x14ac:dyDescent="0.2">
      <c r="A157" s="216" t="s">
        <v>422</v>
      </c>
      <c r="B157" s="202"/>
      <c r="C157" s="205" t="s">
        <v>299</v>
      </c>
      <c r="D157" s="204">
        <v>50</v>
      </c>
      <c r="E157" s="195"/>
    </row>
    <row r="158" spans="1:5" ht="13.5" customHeight="1" x14ac:dyDescent="0.2">
      <c r="A158" s="216" t="s">
        <v>423</v>
      </c>
      <c r="B158" s="202"/>
      <c r="C158" s="205" t="s">
        <v>300</v>
      </c>
      <c r="D158" s="204">
        <v>20</v>
      </c>
      <c r="E158" s="195"/>
    </row>
    <row r="159" spans="1:5" x14ac:dyDescent="0.2">
      <c r="A159" s="216" t="s">
        <v>424</v>
      </c>
      <c r="B159" s="202"/>
      <c r="C159" s="205" t="s">
        <v>552</v>
      </c>
      <c r="D159" s="204">
        <v>235</v>
      </c>
      <c r="E159" s="195"/>
    </row>
    <row r="160" spans="1:5" ht="38.25" x14ac:dyDescent="0.2">
      <c r="A160" s="216" t="s">
        <v>425</v>
      </c>
      <c r="B160" s="202"/>
      <c r="C160" s="205" t="s">
        <v>301</v>
      </c>
      <c r="D160" s="204">
        <v>7.3</v>
      </c>
      <c r="E160" s="195"/>
    </row>
    <row r="161" spans="1:5" x14ac:dyDescent="0.2">
      <c r="A161" s="216" t="s">
        <v>550</v>
      </c>
      <c r="B161" s="202"/>
      <c r="C161" s="205" t="s">
        <v>551</v>
      </c>
      <c r="D161" s="204">
        <v>18</v>
      </c>
      <c r="E161" s="195"/>
    </row>
    <row r="162" spans="1:5" ht="12" customHeight="1" x14ac:dyDescent="0.2">
      <c r="A162" s="198">
        <v>55</v>
      </c>
      <c r="B162" s="202"/>
      <c r="C162" s="205" t="s">
        <v>5</v>
      </c>
      <c r="D162" s="204">
        <v>3.4</v>
      </c>
      <c r="E162" s="195"/>
    </row>
    <row r="163" spans="1:5" ht="12.6" customHeight="1" x14ac:dyDescent="0.2">
      <c r="A163" s="198">
        <v>56</v>
      </c>
      <c r="B163" s="202"/>
      <c r="C163" s="214" t="s">
        <v>7</v>
      </c>
      <c r="D163" s="204">
        <v>3.8</v>
      </c>
      <c r="E163" s="195"/>
    </row>
    <row r="164" spans="1:5" ht="12.6" customHeight="1" x14ac:dyDescent="0.2">
      <c r="A164" s="198">
        <v>57</v>
      </c>
      <c r="B164" s="202"/>
      <c r="C164" s="205" t="s">
        <v>6</v>
      </c>
      <c r="D164" s="204">
        <v>3.7</v>
      </c>
      <c r="E164" s="195"/>
    </row>
    <row r="165" spans="1:5" ht="12.6" customHeight="1" x14ac:dyDescent="0.2">
      <c r="A165" s="198">
        <v>58</v>
      </c>
      <c r="B165" s="202"/>
      <c r="C165" s="205" t="s">
        <v>9</v>
      </c>
      <c r="D165" s="204">
        <v>3.6</v>
      </c>
      <c r="E165" s="195"/>
    </row>
    <row r="166" spans="1:5" ht="12.6" customHeight="1" x14ac:dyDescent="0.2">
      <c r="A166" s="198">
        <v>59</v>
      </c>
      <c r="B166" s="202"/>
      <c r="C166" s="214" t="s">
        <v>10</v>
      </c>
      <c r="D166" s="204">
        <v>3.6</v>
      </c>
      <c r="E166" s="195"/>
    </row>
    <row r="167" spans="1:5" ht="12.6" customHeight="1" x14ac:dyDescent="0.2">
      <c r="A167" s="198">
        <v>60</v>
      </c>
      <c r="B167" s="202"/>
      <c r="C167" s="205" t="s">
        <v>12</v>
      </c>
      <c r="D167" s="204">
        <v>3.6</v>
      </c>
      <c r="E167" s="195"/>
    </row>
    <row r="168" spans="1:5" ht="12.6" customHeight="1" x14ac:dyDescent="0.2">
      <c r="A168" s="198">
        <v>61</v>
      </c>
      <c r="B168" s="202"/>
      <c r="C168" s="205" t="s">
        <v>11</v>
      </c>
      <c r="D168" s="204">
        <v>3.6</v>
      </c>
      <c r="E168" s="195"/>
    </row>
    <row r="169" spans="1:5" ht="12.6" customHeight="1" x14ac:dyDescent="0.2">
      <c r="A169" s="198">
        <v>62</v>
      </c>
      <c r="B169" s="202"/>
      <c r="C169" s="205" t="s">
        <v>13</v>
      </c>
      <c r="D169" s="204">
        <v>3.3</v>
      </c>
      <c r="E169" s="195"/>
    </row>
    <row r="170" spans="1:5" ht="12.6" customHeight="1" x14ac:dyDescent="0.2">
      <c r="A170" s="198">
        <v>63</v>
      </c>
      <c r="B170" s="202"/>
      <c r="C170" s="205" t="s">
        <v>14</v>
      </c>
      <c r="D170" s="204">
        <v>3.5</v>
      </c>
      <c r="E170" s="195"/>
    </row>
    <row r="171" spans="1:5" ht="12.6" customHeight="1" x14ac:dyDescent="0.2">
      <c r="A171" s="198">
        <v>64</v>
      </c>
      <c r="B171" s="197" t="s">
        <v>52</v>
      </c>
      <c r="C171" s="227" t="s">
        <v>53</v>
      </c>
      <c r="D171" s="228">
        <f>+D172+D173+D174+D175+D176+D177+D178+D179+D181+D194</f>
        <v>6336.1</v>
      </c>
      <c r="E171" s="195"/>
    </row>
    <row r="172" spans="1:5" ht="14.25" customHeight="1" x14ac:dyDescent="0.2">
      <c r="A172" s="198">
        <v>65</v>
      </c>
      <c r="B172" s="202"/>
      <c r="C172" s="203" t="s">
        <v>36</v>
      </c>
      <c r="D172" s="204">
        <v>1204.7</v>
      </c>
      <c r="E172" s="195"/>
    </row>
    <row r="173" spans="1:5" ht="12.6" customHeight="1" x14ac:dyDescent="0.2">
      <c r="A173" s="198">
        <v>66</v>
      </c>
      <c r="B173" s="202"/>
      <c r="C173" s="239" t="s">
        <v>41</v>
      </c>
      <c r="D173" s="204">
        <v>350.3</v>
      </c>
      <c r="E173" s="195"/>
    </row>
    <row r="174" spans="1:5" ht="12.6" customHeight="1" x14ac:dyDescent="0.2">
      <c r="A174" s="198">
        <v>67</v>
      </c>
      <c r="B174" s="202"/>
      <c r="C174" s="239" t="s">
        <v>42</v>
      </c>
      <c r="D174" s="204">
        <v>265.3</v>
      </c>
      <c r="E174" s="195"/>
    </row>
    <row r="175" spans="1:5" ht="12.6" customHeight="1" x14ac:dyDescent="0.2">
      <c r="A175" s="198">
        <v>68</v>
      </c>
      <c r="B175" s="202"/>
      <c r="C175" s="239" t="s">
        <v>37</v>
      </c>
      <c r="D175" s="204">
        <f>247.2+10</f>
        <v>257.2</v>
      </c>
      <c r="E175" s="195"/>
    </row>
    <row r="176" spans="1:5" ht="12.6" customHeight="1" x14ac:dyDescent="0.2">
      <c r="A176" s="198">
        <v>69</v>
      </c>
      <c r="B176" s="202"/>
      <c r="C176" s="239" t="s">
        <v>43</v>
      </c>
      <c r="D176" s="204">
        <v>181.5</v>
      </c>
      <c r="E176" s="195"/>
    </row>
    <row r="177" spans="1:8" ht="12.6" customHeight="1" x14ac:dyDescent="0.2">
      <c r="A177" s="198">
        <v>70</v>
      </c>
      <c r="B177" s="202"/>
      <c r="C177" s="239" t="s">
        <v>44</v>
      </c>
      <c r="D177" s="204">
        <v>147.30000000000001</v>
      </c>
      <c r="E177" s="195"/>
    </row>
    <row r="178" spans="1:8" ht="12.6" customHeight="1" x14ac:dyDescent="0.2">
      <c r="A178" s="198">
        <v>71</v>
      </c>
      <c r="B178" s="202"/>
      <c r="C178" s="205" t="s">
        <v>45</v>
      </c>
      <c r="D178" s="204">
        <v>1459.4</v>
      </c>
      <c r="E178" s="195"/>
    </row>
    <row r="179" spans="1:8" ht="12.6" customHeight="1" x14ac:dyDescent="0.2">
      <c r="A179" s="229">
        <v>72</v>
      </c>
      <c r="B179" s="209"/>
      <c r="C179" s="239" t="s">
        <v>35</v>
      </c>
      <c r="D179" s="204">
        <f>755.3+D180+2.4</f>
        <v>762.69999999999993</v>
      </c>
      <c r="E179" s="195"/>
    </row>
    <row r="180" spans="1:8" ht="25.5" x14ac:dyDescent="0.2">
      <c r="A180" s="245"/>
      <c r="B180" s="211"/>
      <c r="C180" s="213" t="s">
        <v>198</v>
      </c>
      <c r="D180" s="204">
        <v>5</v>
      </c>
      <c r="E180" s="195"/>
    </row>
    <row r="181" spans="1:8" x14ac:dyDescent="0.2">
      <c r="A181" s="198">
        <v>73</v>
      </c>
      <c r="B181" s="202"/>
      <c r="C181" s="214" t="s">
        <v>89</v>
      </c>
      <c r="D181" s="204">
        <f>+D182+D183+D184+D187+D188+D185+D186</f>
        <v>1699.1</v>
      </c>
      <c r="E181" s="195"/>
    </row>
    <row r="182" spans="1:8" ht="12.6" customHeight="1" x14ac:dyDescent="0.2">
      <c r="A182" s="216" t="s">
        <v>426</v>
      </c>
      <c r="B182" s="202"/>
      <c r="C182" s="214" t="s">
        <v>3</v>
      </c>
      <c r="D182" s="204">
        <v>319.60000000000002</v>
      </c>
      <c r="E182" s="195"/>
    </row>
    <row r="183" spans="1:8" ht="25.5" x14ac:dyDescent="0.2">
      <c r="A183" s="216" t="s">
        <v>427</v>
      </c>
      <c r="B183" s="202"/>
      <c r="C183" s="220" t="s">
        <v>302</v>
      </c>
      <c r="D183" s="204">
        <v>30</v>
      </c>
      <c r="E183" s="195"/>
    </row>
    <row r="184" spans="1:8" x14ac:dyDescent="0.2">
      <c r="A184" s="216" t="s">
        <v>428</v>
      </c>
      <c r="B184" s="202"/>
      <c r="C184" s="220" t="s">
        <v>303</v>
      </c>
      <c r="D184" s="204">
        <v>26</v>
      </c>
      <c r="E184" s="195"/>
    </row>
    <row r="185" spans="1:8" ht="25.5" x14ac:dyDescent="0.2">
      <c r="A185" s="216" t="s">
        <v>429</v>
      </c>
      <c r="B185" s="202"/>
      <c r="C185" s="223" t="s">
        <v>304</v>
      </c>
      <c r="D185" s="204">
        <f>59.5+11.6</f>
        <v>71.099999999999994</v>
      </c>
      <c r="E185" s="195"/>
      <c r="H185" s="195"/>
    </row>
    <row r="186" spans="1:8" ht="25.5" x14ac:dyDescent="0.2">
      <c r="A186" s="216" t="s">
        <v>430</v>
      </c>
      <c r="B186" s="202"/>
      <c r="C186" s="223" t="s">
        <v>305</v>
      </c>
      <c r="D186" s="204">
        <v>19</v>
      </c>
      <c r="E186" s="195"/>
    </row>
    <row r="187" spans="1:8" x14ac:dyDescent="0.2">
      <c r="A187" s="216" t="s">
        <v>431</v>
      </c>
      <c r="B187" s="202"/>
      <c r="C187" s="220" t="s">
        <v>306</v>
      </c>
      <c r="D187" s="204">
        <f>13-7.6</f>
        <v>5.4</v>
      </c>
      <c r="E187" s="195"/>
    </row>
    <row r="188" spans="1:8" ht="27" x14ac:dyDescent="0.2">
      <c r="A188" s="216" t="s">
        <v>432</v>
      </c>
      <c r="B188" s="202"/>
      <c r="C188" s="217" t="s">
        <v>235</v>
      </c>
      <c r="D188" s="218">
        <f>SUM(D189:D193)</f>
        <v>1228</v>
      </c>
      <c r="E188" s="195"/>
    </row>
    <row r="189" spans="1:8" x14ac:dyDescent="0.2">
      <c r="A189" s="216" t="s">
        <v>433</v>
      </c>
      <c r="B189" s="202"/>
      <c r="C189" s="223" t="s">
        <v>307</v>
      </c>
      <c r="D189" s="204">
        <v>1100</v>
      </c>
      <c r="E189" s="195"/>
    </row>
    <row r="190" spans="1:8" x14ac:dyDescent="0.2">
      <c r="A190" s="216" t="s">
        <v>435</v>
      </c>
      <c r="B190" s="202"/>
      <c r="C190" s="205" t="s">
        <v>308</v>
      </c>
      <c r="D190" s="204">
        <v>30</v>
      </c>
      <c r="E190" s="195"/>
    </row>
    <row r="191" spans="1:8" x14ac:dyDescent="0.2">
      <c r="A191" s="216" t="s">
        <v>436</v>
      </c>
      <c r="B191" s="202"/>
      <c r="C191" s="205" t="s">
        <v>309</v>
      </c>
      <c r="D191" s="204">
        <f>10+8</f>
        <v>18</v>
      </c>
      <c r="E191" s="195"/>
    </row>
    <row r="192" spans="1:8" x14ac:dyDescent="0.2">
      <c r="A192" s="216" t="s">
        <v>434</v>
      </c>
      <c r="B192" s="202"/>
      <c r="C192" s="205" t="s">
        <v>310</v>
      </c>
      <c r="D192" s="204">
        <v>40</v>
      </c>
      <c r="E192" s="195"/>
    </row>
    <row r="193" spans="1:7" x14ac:dyDescent="0.2">
      <c r="A193" s="216" t="s">
        <v>437</v>
      </c>
      <c r="B193" s="202"/>
      <c r="C193" s="205" t="s">
        <v>311</v>
      </c>
      <c r="D193" s="204">
        <v>40</v>
      </c>
      <c r="E193" s="195"/>
    </row>
    <row r="194" spans="1:7" ht="12.6" customHeight="1" x14ac:dyDescent="0.2">
      <c r="A194" s="198">
        <v>74</v>
      </c>
      <c r="B194" s="202"/>
      <c r="C194" s="205" t="s">
        <v>6</v>
      </c>
      <c r="D194" s="204">
        <v>8.6</v>
      </c>
      <c r="E194" s="195"/>
    </row>
    <row r="195" spans="1:7" x14ac:dyDescent="0.2">
      <c r="A195" s="198">
        <v>75</v>
      </c>
      <c r="B195" s="197" t="s">
        <v>62</v>
      </c>
      <c r="C195" s="252" t="s">
        <v>63</v>
      </c>
      <c r="D195" s="228">
        <f>+D196</f>
        <v>805.9</v>
      </c>
      <c r="E195" s="195"/>
    </row>
    <row r="196" spans="1:7" x14ac:dyDescent="0.2">
      <c r="A196" s="198">
        <v>76</v>
      </c>
      <c r="B196" s="202"/>
      <c r="C196" s="214" t="s">
        <v>89</v>
      </c>
      <c r="D196" s="204">
        <f>+D197+D198+D199</f>
        <v>805.9</v>
      </c>
      <c r="E196" s="195"/>
    </row>
    <row r="197" spans="1:7" ht="13.5" customHeight="1" x14ac:dyDescent="0.2">
      <c r="A197" s="253" t="s">
        <v>438</v>
      </c>
      <c r="B197" s="202"/>
      <c r="C197" s="220" t="s">
        <v>312</v>
      </c>
      <c r="D197" s="204">
        <v>108</v>
      </c>
      <c r="E197" s="195"/>
    </row>
    <row r="198" spans="1:7" x14ac:dyDescent="0.2">
      <c r="A198" s="253" t="s">
        <v>439</v>
      </c>
      <c r="B198" s="202"/>
      <c r="C198" s="220" t="s">
        <v>313</v>
      </c>
      <c r="D198" s="204">
        <v>50</v>
      </c>
      <c r="E198" s="195"/>
    </row>
    <row r="199" spans="1:7" ht="27" x14ac:dyDescent="0.2">
      <c r="A199" s="253" t="s">
        <v>440</v>
      </c>
      <c r="B199" s="202"/>
      <c r="C199" s="217" t="s">
        <v>235</v>
      </c>
      <c r="D199" s="218">
        <f>SUM(D200:D208)</f>
        <v>647.9</v>
      </c>
      <c r="E199" s="195"/>
    </row>
    <row r="200" spans="1:7" ht="25.5" x14ac:dyDescent="0.2">
      <c r="A200" s="216" t="s">
        <v>441</v>
      </c>
      <c r="B200" s="202"/>
      <c r="C200" s="240" t="s">
        <v>314</v>
      </c>
      <c r="D200" s="204">
        <v>3</v>
      </c>
      <c r="E200" s="195"/>
    </row>
    <row r="201" spans="1:7" ht="38.25" x14ac:dyDescent="0.2">
      <c r="A201" s="216" t="s">
        <v>442</v>
      </c>
      <c r="B201" s="202"/>
      <c r="C201" s="240" t="s">
        <v>315</v>
      </c>
      <c r="D201" s="204">
        <f>100+123.9</f>
        <v>223.9</v>
      </c>
      <c r="E201" s="195"/>
    </row>
    <row r="202" spans="1:7" x14ac:dyDescent="0.2">
      <c r="A202" s="216" t="s">
        <v>443</v>
      </c>
      <c r="B202" s="202"/>
      <c r="C202" s="240" t="s">
        <v>316</v>
      </c>
      <c r="D202" s="204">
        <f>103-83</f>
        <v>20</v>
      </c>
      <c r="E202" s="195"/>
      <c r="F202" s="254"/>
      <c r="G202" s="254"/>
    </row>
    <row r="203" spans="1:7" ht="25.5" x14ac:dyDescent="0.2">
      <c r="A203" s="216" t="s">
        <v>444</v>
      </c>
      <c r="B203" s="202"/>
      <c r="C203" s="240" t="s">
        <v>317</v>
      </c>
      <c r="D203" s="204">
        <v>3</v>
      </c>
      <c r="E203" s="195"/>
    </row>
    <row r="204" spans="1:7" ht="39.75" customHeight="1" x14ac:dyDescent="0.2">
      <c r="A204" s="216" t="s">
        <v>445</v>
      </c>
      <c r="B204" s="202"/>
      <c r="C204" s="240" t="s">
        <v>318</v>
      </c>
      <c r="D204" s="204">
        <v>25</v>
      </c>
      <c r="E204" s="195"/>
    </row>
    <row r="205" spans="1:7" x14ac:dyDescent="0.2">
      <c r="A205" s="216" t="s">
        <v>446</v>
      </c>
      <c r="B205" s="202"/>
      <c r="C205" s="240" t="s">
        <v>319</v>
      </c>
      <c r="D205" s="204">
        <v>3</v>
      </c>
      <c r="E205" s="195"/>
    </row>
    <row r="206" spans="1:7" ht="25.5" x14ac:dyDescent="0.2">
      <c r="A206" s="216" t="s">
        <v>447</v>
      </c>
      <c r="B206" s="202"/>
      <c r="C206" s="240" t="s">
        <v>320</v>
      </c>
      <c r="D206" s="204">
        <v>20</v>
      </c>
      <c r="E206" s="195"/>
    </row>
    <row r="207" spans="1:7" x14ac:dyDescent="0.2">
      <c r="A207" s="216" t="s">
        <v>448</v>
      </c>
      <c r="B207" s="202"/>
      <c r="C207" s="240" t="s">
        <v>321</v>
      </c>
      <c r="D207" s="204">
        <v>300</v>
      </c>
      <c r="E207" s="195"/>
    </row>
    <row r="208" spans="1:7" x14ac:dyDescent="0.2">
      <c r="A208" s="216" t="s">
        <v>449</v>
      </c>
      <c r="B208" s="202"/>
      <c r="C208" s="240" t="s">
        <v>322</v>
      </c>
      <c r="D208" s="204">
        <v>50</v>
      </c>
      <c r="E208" s="195"/>
    </row>
    <row r="209" spans="1:10" x14ac:dyDescent="0.2">
      <c r="A209" s="198">
        <v>77</v>
      </c>
      <c r="B209" s="197" t="s">
        <v>54</v>
      </c>
      <c r="C209" s="255" t="s">
        <v>55</v>
      </c>
      <c r="D209" s="200">
        <f>+D210+D211+D234+D235+D236+D237+D238+D239+D240+D241+D242+D243+D244</f>
        <v>3397</v>
      </c>
      <c r="E209" s="195"/>
    </row>
    <row r="210" spans="1:10" x14ac:dyDescent="0.2">
      <c r="A210" s="198">
        <v>78</v>
      </c>
      <c r="B210" s="197"/>
      <c r="C210" s="256" t="s">
        <v>147</v>
      </c>
      <c r="D210" s="257">
        <v>150</v>
      </c>
      <c r="E210" s="195"/>
    </row>
    <row r="211" spans="1:10" x14ac:dyDescent="0.2">
      <c r="A211" s="198">
        <v>79</v>
      </c>
      <c r="B211" s="202"/>
      <c r="C211" s="214" t="s">
        <v>91</v>
      </c>
      <c r="D211" s="204">
        <f>D212</f>
        <v>2091.5</v>
      </c>
      <c r="E211" s="195"/>
    </row>
    <row r="212" spans="1:10" ht="27" x14ac:dyDescent="0.2">
      <c r="A212" s="216" t="s">
        <v>450</v>
      </c>
      <c r="B212" s="202"/>
      <c r="C212" s="217" t="s">
        <v>235</v>
      </c>
      <c r="D212" s="218">
        <f>SUM(D213:D233)</f>
        <v>2091.5</v>
      </c>
      <c r="E212" s="195"/>
    </row>
    <row r="213" spans="1:10" x14ac:dyDescent="0.2">
      <c r="A213" s="216" t="s">
        <v>451</v>
      </c>
      <c r="B213" s="202"/>
      <c r="C213" s="223" t="s">
        <v>323</v>
      </c>
      <c r="D213" s="204">
        <v>75</v>
      </c>
      <c r="E213" s="195"/>
    </row>
    <row r="214" spans="1:10" x14ac:dyDescent="0.2">
      <c r="A214" s="216" t="s">
        <v>452</v>
      </c>
      <c r="B214" s="202"/>
      <c r="C214" s="223" t="s">
        <v>324</v>
      </c>
      <c r="D214" s="204">
        <v>24</v>
      </c>
      <c r="E214" s="195"/>
      <c r="H214" s="187"/>
      <c r="I214" s="187"/>
      <c r="J214" s="187"/>
    </row>
    <row r="215" spans="1:10" x14ac:dyDescent="0.2">
      <c r="A215" s="216" t="s">
        <v>453</v>
      </c>
      <c r="B215" s="202"/>
      <c r="C215" s="240" t="s">
        <v>325</v>
      </c>
      <c r="D215" s="204">
        <v>50</v>
      </c>
      <c r="E215" s="195"/>
      <c r="H215" s="187"/>
      <c r="I215" s="187"/>
      <c r="J215" s="187"/>
    </row>
    <row r="216" spans="1:10" ht="25.5" x14ac:dyDescent="0.2">
      <c r="A216" s="216" t="s">
        <v>454</v>
      </c>
      <c r="B216" s="202"/>
      <c r="C216" s="214" t="s">
        <v>326</v>
      </c>
      <c r="D216" s="204">
        <v>60</v>
      </c>
      <c r="E216" s="195"/>
    </row>
    <row r="217" spans="1:10" x14ac:dyDescent="0.2">
      <c r="A217" s="216" t="s">
        <v>455</v>
      </c>
      <c r="B217" s="202"/>
      <c r="C217" s="205" t="s">
        <v>327</v>
      </c>
      <c r="D217" s="204">
        <v>30</v>
      </c>
      <c r="E217" s="195"/>
    </row>
    <row r="218" spans="1:10" x14ac:dyDescent="0.2">
      <c r="A218" s="216" t="s">
        <v>456</v>
      </c>
      <c r="B218" s="202"/>
      <c r="C218" s="240" t="s">
        <v>328</v>
      </c>
      <c r="D218" s="204">
        <v>15</v>
      </c>
      <c r="E218" s="195"/>
    </row>
    <row r="219" spans="1:10" x14ac:dyDescent="0.2">
      <c r="A219" s="216" t="s">
        <v>457</v>
      </c>
      <c r="B219" s="202"/>
      <c r="C219" s="240" t="s">
        <v>329</v>
      </c>
      <c r="D219" s="204">
        <v>360</v>
      </c>
      <c r="E219" s="195"/>
    </row>
    <row r="220" spans="1:10" x14ac:dyDescent="0.2">
      <c r="A220" s="216" t="s">
        <v>458</v>
      </c>
      <c r="B220" s="202"/>
      <c r="C220" s="240" t="s">
        <v>330</v>
      </c>
      <c r="D220" s="204">
        <f>91-20</f>
        <v>71</v>
      </c>
      <c r="E220" s="195"/>
    </row>
    <row r="221" spans="1:10" x14ac:dyDescent="0.2">
      <c r="A221" s="216" t="s">
        <v>459</v>
      </c>
      <c r="B221" s="202"/>
      <c r="C221" s="240" t="s">
        <v>69</v>
      </c>
      <c r="D221" s="204">
        <f>50+33</f>
        <v>83</v>
      </c>
      <c r="E221" s="195"/>
    </row>
    <row r="222" spans="1:10" ht="12.75" customHeight="1" x14ac:dyDescent="0.2">
      <c r="A222" s="216" t="s">
        <v>460</v>
      </c>
      <c r="B222" s="202"/>
      <c r="C222" s="240" t="s">
        <v>70</v>
      </c>
      <c r="D222" s="204">
        <v>30</v>
      </c>
      <c r="E222" s="195"/>
    </row>
    <row r="223" spans="1:10" x14ac:dyDescent="0.2">
      <c r="A223" s="216" t="s">
        <v>461</v>
      </c>
      <c r="B223" s="202"/>
      <c r="C223" s="205" t="s">
        <v>331</v>
      </c>
      <c r="D223" s="204">
        <v>105</v>
      </c>
      <c r="E223" s="195"/>
    </row>
    <row r="224" spans="1:10" x14ac:dyDescent="0.2">
      <c r="A224" s="216" t="s">
        <v>462</v>
      </c>
      <c r="B224" s="202"/>
      <c r="C224" s="240" t="s">
        <v>332</v>
      </c>
      <c r="D224" s="204">
        <v>25</v>
      </c>
      <c r="E224" s="195"/>
    </row>
    <row r="225" spans="1:5" x14ac:dyDescent="0.2">
      <c r="A225" s="216" t="s">
        <v>463</v>
      </c>
      <c r="B225" s="202"/>
      <c r="C225" s="240" t="s">
        <v>333</v>
      </c>
      <c r="D225" s="204">
        <v>230</v>
      </c>
      <c r="E225" s="195"/>
    </row>
    <row r="226" spans="1:5" x14ac:dyDescent="0.2">
      <c r="A226" s="216" t="s">
        <v>464</v>
      </c>
      <c r="B226" s="202"/>
      <c r="C226" s="240" t="s">
        <v>334</v>
      </c>
      <c r="D226" s="204">
        <f>70+15</f>
        <v>85</v>
      </c>
      <c r="E226" s="195"/>
    </row>
    <row r="227" spans="1:5" ht="12.6" customHeight="1" x14ac:dyDescent="0.2">
      <c r="A227" s="216" t="s">
        <v>465</v>
      </c>
      <c r="B227" s="202"/>
      <c r="C227" s="240" t="s">
        <v>335</v>
      </c>
      <c r="D227" s="204">
        <f>(150-12.3)+(100-30)</f>
        <v>207.7</v>
      </c>
      <c r="E227" s="195"/>
    </row>
    <row r="228" spans="1:5" x14ac:dyDescent="0.2">
      <c r="A228" s="216" t="s">
        <v>466</v>
      </c>
      <c r="B228" s="202"/>
      <c r="C228" s="205" t="s">
        <v>629</v>
      </c>
      <c r="D228" s="204">
        <v>110</v>
      </c>
      <c r="E228" s="195"/>
    </row>
    <row r="229" spans="1:5" ht="12.6" customHeight="1" x14ac:dyDescent="0.2">
      <c r="A229" s="216" t="s">
        <v>467</v>
      </c>
      <c r="B229" s="202"/>
      <c r="C229" s="240" t="s">
        <v>336</v>
      </c>
      <c r="D229" s="204">
        <f>50+35</f>
        <v>85</v>
      </c>
      <c r="E229" s="195"/>
    </row>
    <row r="230" spans="1:5" x14ac:dyDescent="0.2">
      <c r="A230" s="216" t="s">
        <v>468</v>
      </c>
      <c r="B230" s="202"/>
      <c r="C230" s="205" t="s">
        <v>630</v>
      </c>
      <c r="D230" s="204">
        <v>50</v>
      </c>
      <c r="E230" s="195"/>
    </row>
    <row r="231" spans="1:5" ht="25.5" x14ac:dyDescent="0.2">
      <c r="A231" s="216" t="s">
        <v>469</v>
      </c>
      <c r="B231" s="202"/>
      <c r="C231" s="205" t="s">
        <v>631</v>
      </c>
      <c r="D231" s="204">
        <v>124</v>
      </c>
      <c r="E231" s="195"/>
    </row>
    <row r="232" spans="1:5" ht="25.5" x14ac:dyDescent="0.2">
      <c r="A232" s="216" t="s">
        <v>470</v>
      </c>
      <c r="B232" s="202"/>
      <c r="C232" s="205" t="s">
        <v>337</v>
      </c>
      <c r="D232" s="204">
        <f>200+302.2-235.7-37</f>
        <v>229.5</v>
      </c>
      <c r="E232" s="195"/>
    </row>
    <row r="233" spans="1:5" x14ac:dyDescent="0.2">
      <c r="A233" s="216" t="s">
        <v>535</v>
      </c>
      <c r="B233" s="202"/>
      <c r="C233" s="205" t="s">
        <v>238</v>
      </c>
      <c r="D233" s="204">
        <f>30+12.3</f>
        <v>42.3</v>
      </c>
      <c r="E233" s="195"/>
    </row>
    <row r="234" spans="1:5" x14ac:dyDescent="0.2">
      <c r="A234" s="198">
        <v>80</v>
      </c>
      <c r="B234" s="197"/>
      <c r="C234" s="205" t="s">
        <v>8</v>
      </c>
      <c r="D234" s="204">
        <f>624+7.4</f>
        <v>631.4</v>
      </c>
      <c r="E234" s="195"/>
    </row>
    <row r="235" spans="1:5" x14ac:dyDescent="0.2">
      <c r="A235" s="198">
        <v>81</v>
      </c>
      <c r="B235" s="197"/>
      <c r="C235" s="205" t="s">
        <v>4</v>
      </c>
      <c r="D235" s="204">
        <f>42.5+48.1</f>
        <v>90.6</v>
      </c>
      <c r="E235" s="195"/>
    </row>
    <row r="236" spans="1:5" ht="12.6" customHeight="1" x14ac:dyDescent="0.2">
      <c r="A236" s="198">
        <v>82</v>
      </c>
      <c r="B236" s="197"/>
      <c r="C236" s="205" t="s">
        <v>5</v>
      </c>
      <c r="D236" s="204">
        <f>12.5+2.7</f>
        <v>15.2</v>
      </c>
      <c r="E236" s="195"/>
    </row>
    <row r="237" spans="1:5" ht="12.6" customHeight="1" x14ac:dyDescent="0.2">
      <c r="A237" s="198">
        <v>83</v>
      </c>
      <c r="B237" s="197"/>
      <c r="C237" s="214" t="s">
        <v>7</v>
      </c>
      <c r="D237" s="204">
        <f>34+34.8</f>
        <v>68.8</v>
      </c>
      <c r="E237" s="195"/>
    </row>
    <row r="238" spans="1:5" ht="12.6" customHeight="1" x14ac:dyDescent="0.2">
      <c r="A238" s="198">
        <v>84</v>
      </c>
      <c r="B238" s="197"/>
      <c r="C238" s="205" t="s">
        <v>6</v>
      </c>
      <c r="D238" s="204">
        <f>25.3+24.7</f>
        <v>50</v>
      </c>
      <c r="E238" s="195"/>
    </row>
    <row r="239" spans="1:5" ht="12.6" customHeight="1" x14ac:dyDescent="0.2">
      <c r="A239" s="198">
        <v>85</v>
      </c>
      <c r="B239" s="197"/>
      <c r="C239" s="205" t="s">
        <v>9</v>
      </c>
      <c r="D239" s="204">
        <f>22.7+39.9+22</f>
        <v>84.6</v>
      </c>
      <c r="E239" s="195"/>
    </row>
    <row r="240" spans="1:5" ht="12.6" customHeight="1" x14ac:dyDescent="0.2">
      <c r="A240" s="198">
        <v>86</v>
      </c>
      <c r="B240" s="197"/>
      <c r="C240" s="214" t="s">
        <v>10</v>
      </c>
      <c r="D240" s="204">
        <f>19.9+14.9</f>
        <v>34.799999999999997</v>
      </c>
      <c r="E240" s="195"/>
    </row>
    <row r="241" spans="1:10" ht="12.6" customHeight="1" x14ac:dyDescent="0.2">
      <c r="A241" s="198">
        <v>87</v>
      </c>
      <c r="B241" s="197"/>
      <c r="C241" s="205" t="s">
        <v>12</v>
      </c>
      <c r="D241" s="204">
        <f>12.6+15.3</f>
        <v>27.9</v>
      </c>
      <c r="E241" s="195"/>
    </row>
    <row r="242" spans="1:10" ht="12.6" customHeight="1" x14ac:dyDescent="0.2">
      <c r="A242" s="198">
        <v>88</v>
      </c>
      <c r="B242" s="197"/>
      <c r="C242" s="205" t="s">
        <v>11</v>
      </c>
      <c r="D242" s="204">
        <f>20.5+17.2</f>
        <v>37.700000000000003</v>
      </c>
      <c r="E242" s="195"/>
    </row>
    <row r="243" spans="1:10" ht="12.6" customHeight="1" x14ac:dyDescent="0.2">
      <c r="A243" s="198">
        <v>89</v>
      </c>
      <c r="B243" s="197"/>
      <c r="C243" s="205" t="s">
        <v>13</v>
      </c>
      <c r="D243" s="204">
        <f>30.5+12.1</f>
        <v>42.6</v>
      </c>
      <c r="E243" s="195"/>
    </row>
    <row r="244" spans="1:10" ht="12.6" customHeight="1" x14ac:dyDescent="0.2">
      <c r="A244" s="198">
        <v>90</v>
      </c>
      <c r="B244" s="202"/>
      <c r="C244" s="205" t="s">
        <v>14</v>
      </c>
      <c r="D244" s="204">
        <f>39+32.9</f>
        <v>71.900000000000006</v>
      </c>
      <c r="E244" s="195"/>
    </row>
    <row r="245" spans="1:10" ht="12.6" customHeight="1" x14ac:dyDescent="0.2">
      <c r="A245" s="198">
        <v>91</v>
      </c>
      <c r="B245" s="197" t="s">
        <v>56</v>
      </c>
      <c r="C245" s="227" t="s">
        <v>57</v>
      </c>
      <c r="D245" s="228">
        <f>+D255+D256+D258+D257+D254+D259+D260+D262+D261+D263+D264+D246</f>
        <v>6413.4</v>
      </c>
      <c r="E245" s="195"/>
    </row>
    <row r="246" spans="1:10" x14ac:dyDescent="0.2">
      <c r="A246" s="198">
        <v>92</v>
      </c>
      <c r="B246" s="202"/>
      <c r="C246" s="214" t="s">
        <v>89</v>
      </c>
      <c r="D246" s="204">
        <f>+D247+D248+D249+D250+D251</f>
        <v>3346.5</v>
      </c>
      <c r="E246" s="195"/>
      <c r="H246" s="244"/>
    </row>
    <row r="247" spans="1:10" ht="12.6" customHeight="1" x14ac:dyDescent="0.2">
      <c r="A247" s="216" t="s">
        <v>471</v>
      </c>
      <c r="B247" s="202"/>
      <c r="C247" s="258" t="s">
        <v>3</v>
      </c>
      <c r="D247" s="204">
        <f>677.6-2.5</f>
        <v>675.1</v>
      </c>
      <c r="E247" s="195"/>
    </row>
    <row r="248" spans="1:10" x14ac:dyDescent="0.2">
      <c r="A248" s="216" t="s">
        <v>472</v>
      </c>
      <c r="B248" s="202"/>
      <c r="C248" s="232" t="s">
        <v>147</v>
      </c>
      <c r="D248" s="204">
        <v>494.4</v>
      </c>
      <c r="E248" s="195"/>
    </row>
    <row r="249" spans="1:10" x14ac:dyDescent="0.2">
      <c r="A249" s="216" t="s">
        <v>473</v>
      </c>
      <c r="B249" s="202"/>
      <c r="C249" s="232" t="s">
        <v>338</v>
      </c>
      <c r="D249" s="204">
        <v>1700</v>
      </c>
      <c r="E249" s="195"/>
      <c r="J249" s="244"/>
    </row>
    <row r="250" spans="1:10" ht="12.6" customHeight="1" x14ac:dyDescent="0.2">
      <c r="A250" s="216" t="s">
        <v>474</v>
      </c>
      <c r="B250" s="202"/>
      <c r="C250" s="232" t="s">
        <v>77</v>
      </c>
      <c r="D250" s="204">
        <v>333</v>
      </c>
      <c r="E250" s="195"/>
    </row>
    <row r="251" spans="1:10" ht="27" x14ac:dyDescent="0.2">
      <c r="A251" s="216" t="s">
        <v>475</v>
      </c>
      <c r="B251" s="202"/>
      <c r="C251" s="217" t="s">
        <v>235</v>
      </c>
      <c r="D251" s="218">
        <f>D252+D253</f>
        <v>144</v>
      </c>
      <c r="E251" s="195"/>
    </row>
    <row r="252" spans="1:10" ht="15.75" customHeight="1" x14ac:dyDescent="0.2">
      <c r="A252" s="216" t="s">
        <v>476</v>
      </c>
      <c r="B252" s="202"/>
      <c r="C252" s="240" t="s">
        <v>340</v>
      </c>
      <c r="D252" s="226">
        <v>94</v>
      </c>
      <c r="E252" s="195"/>
    </row>
    <row r="253" spans="1:10" ht="25.5" x14ac:dyDescent="0.2">
      <c r="A253" s="216" t="s">
        <v>477</v>
      </c>
      <c r="B253" s="202"/>
      <c r="C253" s="240" t="s">
        <v>339</v>
      </c>
      <c r="D253" s="226">
        <v>50</v>
      </c>
      <c r="E253" s="195"/>
    </row>
    <row r="254" spans="1:10" x14ac:dyDescent="0.2">
      <c r="A254" s="198">
        <v>93</v>
      </c>
      <c r="B254" s="202"/>
      <c r="C254" s="220" t="s">
        <v>8</v>
      </c>
      <c r="D254" s="204">
        <f>1732.5-38</f>
        <v>1694.5</v>
      </c>
      <c r="E254" s="195"/>
    </row>
    <row r="255" spans="1:10" x14ac:dyDescent="0.2">
      <c r="A255" s="198">
        <v>94</v>
      </c>
      <c r="B255" s="202"/>
      <c r="C255" s="205" t="s">
        <v>4</v>
      </c>
      <c r="D255" s="204">
        <f>156.7+4</f>
        <v>160.69999999999999</v>
      </c>
      <c r="E255" s="195"/>
    </row>
    <row r="256" spans="1:10" x14ac:dyDescent="0.2">
      <c r="A256" s="198">
        <v>95</v>
      </c>
      <c r="B256" s="202"/>
      <c r="C256" s="205" t="s">
        <v>5</v>
      </c>
      <c r="D256" s="204">
        <v>141.80000000000001</v>
      </c>
      <c r="E256" s="195"/>
    </row>
    <row r="257" spans="1:5" x14ac:dyDescent="0.2">
      <c r="A257" s="198">
        <v>96</v>
      </c>
      <c r="B257" s="202"/>
      <c r="C257" s="205" t="s">
        <v>7</v>
      </c>
      <c r="D257" s="204">
        <f>124+15</f>
        <v>139</v>
      </c>
      <c r="E257" s="195"/>
    </row>
    <row r="258" spans="1:5" x14ac:dyDescent="0.2">
      <c r="A258" s="198">
        <v>97</v>
      </c>
      <c r="B258" s="202"/>
      <c r="C258" s="220" t="s">
        <v>6</v>
      </c>
      <c r="D258" s="204">
        <f>127.5+6</f>
        <v>133.5</v>
      </c>
      <c r="E258" s="195"/>
    </row>
    <row r="259" spans="1:5" x14ac:dyDescent="0.2">
      <c r="A259" s="198">
        <v>98</v>
      </c>
      <c r="B259" s="202"/>
      <c r="C259" s="205" t="s">
        <v>9</v>
      </c>
      <c r="D259" s="204">
        <f>104.5+5</f>
        <v>109.5</v>
      </c>
      <c r="E259" s="195"/>
    </row>
    <row r="260" spans="1:5" x14ac:dyDescent="0.2">
      <c r="A260" s="198">
        <v>99</v>
      </c>
      <c r="B260" s="202"/>
      <c r="C260" s="214" t="s">
        <v>10</v>
      </c>
      <c r="D260" s="204">
        <v>133.6</v>
      </c>
      <c r="E260" s="195"/>
    </row>
    <row r="261" spans="1:5" x14ac:dyDescent="0.2">
      <c r="A261" s="198">
        <v>100</v>
      </c>
      <c r="B261" s="202"/>
      <c r="C261" s="205" t="s">
        <v>12</v>
      </c>
      <c r="D261" s="204">
        <f>81.7+6+30</f>
        <v>117.7</v>
      </c>
      <c r="E261" s="195"/>
    </row>
    <row r="262" spans="1:5" x14ac:dyDescent="0.2">
      <c r="A262" s="198">
        <v>101</v>
      </c>
      <c r="B262" s="202"/>
      <c r="C262" s="220" t="s">
        <v>11</v>
      </c>
      <c r="D262" s="204">
        <v>88.5</v>
      </c>
      <c r="E262" s="195"/>
    </row>
    <row r="263" spans="1:5" x14ac:dyDescent="0.2">
      <c r="A263" s="198">
        <v>102</v>
      </c>
      <c r="B263" s="202"/>
      <c r="C263" s="205" t="s">
        <v>13</v>
      </c>
      <c r="D263" s="204">
        <v>94.4</v>
      </c>
      <c r="E263" s="195"/>
    </row>
    <row r="264" spans="1:5" x14ac:dyDescent="0.2">
      <c r="A264" s="198">
        <v>103</v>
      </c>
      <c r="B264" s="202"/>
      <c r="C264" s="205" t="s">
        <v>14</v>
      </c>
      <c r="D264" s="204">
        <v>253.7</v>
      </c>
      <c r="E264" s="195"/>
    </row>
    <row r="265" spans="1:5" x14ac:dyDescent="0.2">
      <c r="A265" s="198">
        <v>104</v>
      </c>
      <c r="B265" s="197" t="s">
        <v>26</v>
      </c>
      <c r="C265" s="227" t="s">
        <v>27</v>
      </c>
      <c r="D265" s="228">
        <f>+D266</f>
        <v>228.20000000000005</v>
      </c>
      <c r="E265" s="195"/>
    </row>
    <row r="266" spans="1:5" x14ac:dyDescent="0.2">
      <c r="A266" s="198">
        <v>105</v>
      </c>
      <c r="B266" s="197"/>
      <c r="C266" s="214" t="s">
        <v>92</v>
      </c>
      <c r="D266" s="204">
        <f>+D268+D267</f>
        <v>228.20000000000005</v>
      </c>
      <c r="E266" s="195"/>
    </row>
    <row r="267" spans="1:5" ht="12.6" customHeight="1" x14ac:dyDescent="0.2">
      <c r="A267" s="253" t="s">
        <v>478</v>
      </c>
      <c r="B267" s="197"/>
      <c r="C267" s="214" t="s">
        <v>61</v>
      </c>
      <c r="D267" s="204">
        <v>3</v>
      </c>
      <c r="E267" s="195"/>
    </row>
    <row r="268" spans="1:5" ht="27" x14ac:dyDescent="0.2">
      <c r="A268" s="253" t="s">
        <v>479</v>
      </c>
      <c r="B268" s="202"/>
      <c r="C268" s="217" t="s">
        <v>235</v>
      </c>
      <c r="D268" s="218">
        <f>SUM(D269:D275)</f>
        <v>225.20000000000005</v>
      </c>
      <c r="E268" s="195"/>
    </row>
    <row r="269" spans="1:5" x14ac:dyDescent="0.2">
      <c r="A269" s="253" t="s">
        <v>480</v>
      </c>
      <c r="B269" s="202"/>
      <c r="C269" s="205" t="s">
        <v>341</v>
      </c>
      <c r="D269" s="204">
        <v>40</v>
      </c>
      <c r="E269" s="195"/>
    </row>
    <row r="270" spans="1:5" x14ac:dyDescent="0.2">
      <c r="A270" s="253" t="s">
        <v>481</v>
      </c>
      <c r="B270" s="202"/>
      <c r="C270" s="205" t="s">
        <v>342</v>
      </c>
      <c r="D270" s="204">
        <v>35</v>
      </c>
      <c r="E270" s="195"/>
    </row>
    <row r="271" spans="1:5" ht="25.5" x14ac:dyDescent="0.2">
      <c r="A271" s="253" t="s">
        <v>482</v>
      </c>
      <c r="B271" s="202"/>
      <c r="C271" s="205" t="s">
        <v>343</v>
      </c>
      <c r="D271" s="204">
        <f>206-71</f>
        <v>135</v>
      </c>
      <c r="E271" s="195"/>
    </row>
    <row r="272" spans="1:5" ht="25.5" x14ac:dyDescent="0.2">
      <c r="A272" s="253" t="s">
        <v>483</v>
      </c>
      <c r="B272" s="202"/>
      <c r="C272" s="205" t="s">
        <v>344</v>
      </c>
      <c r="D272" s="204">
        <v>3.8</v>
      </c>
      <c r="E272" s="195"/>
    </row>
    <row r="273" spans="1:8" ht="25.5" x14ac:dyDescent="0.2">
      <c r="A273" s="253" t="s">
        <v>484</v>
      </c>
      <c r="B273" s="202"/>
      <c r="C273" s="205" t="s">
        <v>345</v>
      </c>
      <c r="D273" s="204">
        <v>3.8</v>
      </c>
      <c r="E273" s="195"/>
    </row>
    <row r="274" spans="1:8" ht="25.5" x14ac:dyDescent="0.2">
      <c r="A274" s="253" t="s">
        <v>485</v>
      </c>
      <c r="B274" s="202"/>
      <c r="C274" s="205" t="s">
        <v>346</v>
      </c>
      <c r="D274" s="204">
        <v>3.8</v>
      </c>
      <c r="E274" s="195"/>
    </row>
    <row r="275" spans="1:8" ht="25.5" x14ac:dyDescent="0.2">
      <c r="A275" s="253" t="s">
        <v>486</v>
      </c>
      <c r="B275" s="202"/>
      <c r="C275" s="205" t="s">
        <v>347</v>
      </c>
      <c r="D275" s="204">
        <v>3.8</v>
      </c>
      <c r="E275" s="195"/>
    </row>
    <row r="276" spans="1:8" x14ac:dyDescent="0.2">
      <c r="A276" s="198">
        <v>106</v>
      </c>
      <c r="B276" s="197" t="s">
        <v>58</v>
      </c>
      <c r="C276" s="227" t="s">
        <v>59</v>
      </c>
      <c r="D276" s="228">
        <f>+D277</f>
        <v>87</v>
      </c>
      <c r="E276" s="195"/>
    </row>
    <row r="277" spans="1:8" x14ac:dyDescent="0.2">
      <c r="A277" s="198">
        <v>107</v>
      </c>
      <c r="B277" s="197"/>
      <c r="C277" s="214" t="s">
        <v>89</v>
      </c>
      <c r="D277" s="204">
        <f>+D279+D280+D278+D281</f>
        <v>87</v>
      </c>
      <c r="E277" s="195"/>
    </row>
    <row r="278" spans="1:8" ht="12.6" customHeight="1" x14ac:dyDescent="0.2">
      <c r="A278" s="253" t="s">
        <v>208</v>
      </c>
      <c r="B278" s="197"/>
      <c r="C278" s="220" t="s">
        <v>61</v>
      </c>
      <c r="D278" s="204">
        <v>3</v>
      </c>
      <c r="E278" s="195"/>
    </row>
    <row r="279" spans="1:8" ht="25.5" x14ac:dyDescent="0.2">
      <c r="A279" s="253" t="s">
        <v>209</v>
      </c>
      <c r="B279" s="202"/>
      <c r="C279" s="220" t="s">
        <v>348</v>
      </c>
      <c r="D279" s="204">
        <v>44</v>
      </c>
      <c r="E279" s="195"/>
    </row>
    <row r="280" spans="1:8" ht="25.5" x14ac:dyDescent="0.2">
      <c r="A280" s="253" t="s">
        <v>487</v>
      </c>
      <c r="B280" s="202"/>
      <c r="C280" s="220" t="s">
        <v>349</v>
      </c>
      <c r="D280" s="204">
        <v>36</v>
      </c>
      <c r="E280" s="195"/>
    </row>
    <row r="281" spans="1:8" ht="38.25" x14ac:dyDescent="0.2">
      <c r="A281" s="253" t="s">
        <v>488</v>
      </c>
      <c r="B281" s="202"/>
      <c r="C281" s="220" t="s">
        <v>350</v>
      </c>
      <c r="D281" s="204">
        <v>4</v>
      </c>
      <c r="E281" s="195"/>
    </row>
    <row r="282" spans="1:8" x14ac:dyDescent="0.2">
      <c r="A282" s="198">
        <v>108</v>
      </c>
      <c r="B282" s="197" t="s">
        <v>23</v>
      </c>
      <c r="C282" s="227" t="s">
        <v>24</v>
      </c>
      <c r="D282" s="228">
        <f>+D283+D284+D285+D295+D296+D297+D298+D299+D300+D301+D302+D303+D304+D305</f>
        <v>9712.1</v>
      </c>
      <c r="E282" s="195"/>
    </row>
    <row r="283" spans="1:8" x14ac:dyDescent="0.2">
      <c r="A283" s="198">
        <v>109</v>
      </c>
      <c r="B283" s="197"/>
      <c r="C283" s="205" t="s">
        <v>25</v>
      </c>
      <c r="D283" s="204">
        <v>26.7</v>
      </c>
      <c r="E283" s="195"/>
    </row>
    <row r="284" spans="1:8" x14ac:dyDescent="0.2">
      <c r="A284" s="198">
        <v>110</v>
      </c>
      <c r="B284" s="197"/>
      <c r="C284" s="214" t="s">
        <v>60</v>
      </c>
      <c r="D284" s="204">
        <v>211.2</v>
      </c>
      <c r="E284" s="195"/>
    </row>
    <row r="285" spans="1:8" x14ac:dyDescent="0.2">
      <c r="A285" s="198">
        <v>111</v>
      </c>
      <c r="B285" s="197"/>
      <c r="C285" s="214" t="s">
        <v>89</v>
      </c>
      <c r="D285" s="204">
        <f>+D286+D287+D288+D291+D292+D294+D289+D290+D293</f>
        <v>7976.7</v>
      </c>
      <c r="E285" s="195"/>
    </row>
    <row r="286" spans="1:8" x14ac:dyDescent="0.2">
      <c r="A286" s="253" t="s">
        <v>489</v>
      </c>
      <c r="B286" s="197"/>
      <c r="C286" s="214" t="s">
        <v>61</v>
      </c>
      <c r="D286" s="204">
        <f>6431.8+20+29</f>
        <v>6480.8</v>
      </c>
      <c r="E286" s="195"/>
      <c r="F286" s="244"/>
      <c r="H286" s="195"/>
    </row>
    <row r="287" spans="1:8" x14ac:dyDescent="0.2">
      <c r="A287" s="253" t="s">
        <v>491</v>
      </c>
      <c r="B287" s="202"/>
      <c r="C287" s="220" t="s">
        <v>351</v>
      </c>
      <c r="D287" s="204">
        <v>123</v>
      </c>
      <c r="E287" s="195"/>
      <c r="H287" s="259"/>
    </row>
    <row r="288" spans="1:8" x14ac:dyDescent="0.2">
      <c r="A288" s="253" t="s">
        <v>490</v>
      </c>
      <c r="B288" s="202"/>
      <c r="C288" s="220" t="s">
        <v>352</v>
      </c>
      <c r="D288" s="204">
        <v>23.9</v>
      </c>
      <c r="E288" s="195"/>
      <c r="H288" s="259"/>
    </row>
    <row r="289" spans="1:8" x14ac:dyDescent="0.2">
      <c r="A289" s="253" t="s">
        <v>492</v>
      </c>
      <c r="B289" s="202"/>
      <c r="C289" s="220" t="s">
        <v>96</v>
      </c>
      <c r="D289" s="204">
        <v>400</v>
      </c>
      <c r="E289" s="195"/>
      <c r="H289" s="259"/>
    </row>
    <row r="290" spans="1:8" ht="12.6" customHeight="1" x14ac:dyDescent="0.2">
      <c r="A290" s="253" t="s">
        <v>493</v>
      </c>
      <c r="B290" s="202"/>
      <c r="C290" s="220" t="s">
        <v>156</v>
      </c>
      <c r="D290" s="204">
        <v>84.8</v>
      </c>
      <c r="E290" s="195"/>
      <c r="H290" s="259"/>
    </row>
    <row r="291" spans="1:8" ht="12.6" customHeight="1" x14ac:dyDescent="0.2">
      <c r="A291" s="253" t="s">
        <v>494</v>
      </c>
      <c r="B291" s="202"/>
      <c r="C291" s="220" t="s">
        <v>353</v>
      </c>
      <c r="D291" s="204">
        <v>790</v>
      </c>
      <c r="E291" s="195"/>
      <c r="H291" s="259"/>
    </row>
    <row r="292" spans="1:8" x14ac:dyDescent="0.2">
      <c r="A292" s="253" t="s">
        <v>495</v>
      </c>
      <c r="B292" s="202"/>
      <c r="C292" s="220" t="s">
        <v>354</v>
      </c>
      <c r="D292" s="204">
        <f>17.5-2.5</f>
        <v>15</v>
      </c>
      <c r="E292" s="195"/>
      <c r="H292" s="259"/>
    </row>
    <row r="293" spans="1:8" ht="25.5" x14ac:dyDescent="0.2">
      <c r="A293" s="253" t="s">
        <v>496</v>
      </c>
      <c r="B293" s="197"/>
      <c r="C293" s="214" t="s">
        <v>355</v>
      </c>
      <c r="D293" s="204">
        <v>40</v>
      </c>
      <c r="E293" s="195"/>
      <c r="H293" s="259"/>
    </row>
    <row r="294" spans="1:8" ht="25.5" x14ac:dyDescent="0.2">
      <c r="A294" s="253" t="s">
        <v>497</v>
      </c>
      <c r="B294" s="202"/>
      <c r="C294" s="220" t="s">
        <v>356</v>
      </c>
      <c r="D294" s="204">
        <v>19.2</v>
      </c>
      <c r="E294" s="195"/>
      <c r="H294" s="259"/>
    </row>
    <row r="295" spans="1:8" ht="12.6" customHeight="1" x14ac:dyDescent="0.2">
      <c r="A295" s="246">
        <v>112</v>
      </c>
      <c r="B295" s="243"/>
      <c r="C295" s="205" t="s">
        <v>8</v>
      </c>
      <c r="D295" s="204">
        <v>429.7</v>
      </c>
      <c r="E295" s="195"/>
      <c r="F295" s="244"/>
      <c r="G295" s="244"/>
    </row>
    <row r="296" spans="1:8" x14ac:dyDescent="0.2">
      <c r="A296" s="246">
        <v>113</v>
      </c>
      <c r="B296" s="243"/>
      <c r="C296" s="205" t="s">
        <v>4</v>
      </c>
      <c r="D296" s="204">
        <f>87.4+12</f>
        <v>99.4</v>
      </c>
      <c r="E296" s="195"/>
      <c r="F296" s="244"/>
      <c r="G296" s="244"/>
    </row>
    <row r="297" spans="1:8" x14ac:dyDescent="0.2">
      <c r="A297" s="246">
        <v>114</v>
      </c>
      <c r="B297" s="243"/>
      <c r="C297" s="205" t="s">
        <v>5</v>
      </c>
      <c r="D297" s="204">
        <v>120.6</v>
      </c>
      <c r="E297" s="195"/>
      <c r="F297" s="244"/>
      <c r="G297" s="244"/>
    </row>
    <row r="298" spans="1:8" ht="15" customHeight="1" x14ac:dyDescent="0.2">
      <c r="A298" s="246">
        <v>115</v>
      </c>
      <c r="B298" s="243"/>
      <c r="C298" s="205" t="s">
        <v>7</v>
      </c>
      <c r="D298" s="204">
        <v>88.1</v>
      </c>
      <c r="E298" s="195"/>
      <c r="F298" s="244"/>
      <c r="G298" s="244"/>
    </row>
    <row r="299" spans="1:8" x14ac:dyDescent="0.2">
      <c r="A299" s="246">
        <v>116</v>
      </c>
      <c r="B299" s="243"/>
      <c r="C299" s="205" t="s">
        <v>6</v>
      </c>
      <c r="D299" s="204">
        <v>83.3</v>
      </c>
      <c r="E299" s="195"/>
      <c r="F299" s="244"/>
      <c r="G299" s="244"/>
    </row>
    <row r="300" spans="1:8" x14ac:dyDescent="0.2">
      <c r="A300" s="246">
        <v>117</v>
      </c>
      <c r="B300" s="243"/>
      <c r="C300" s="205" t="s">
        <v>9</v>
      </c>
      <c r="D300" s="204">
        <v>95.7</v>
      </c>
      <c r="E300" s="195"/>
      <c r="F300" s="244"/>
      <c r="G300" s="244"/>
    </row>
    <row r="301" spans="1:8" x14ac:dyDescent="0.2">
      <c r="A301" s="246">
        <v>118</v>
      </c>
      <c r="B301" s="243"/>
      <c r="C301" s="214" t="s">
        <v>10</v>
      </c>
      <c r="D301" s="204">
        <v>135.80000000000001</v>
      </c>
      <c r="E301" s="195"/>
      <c r="F301" s="244"/>
      <c r="G301" s="244"/>
    </row>
    <row r="302" spans="1:8" x14ac:dyDescent="0.2">
      <c r="A302" s="246">
        <v>119</v>
      </c>
      <c r="B302" s="243"/>
      <c r="C302" s="205" t="s">
        <v>12</v>
      </c>
      <c r="D302" s="204">
        <v>83.1</v>
      </c>
      <c r="E302" s="195"/>
      <c r="F302" s="244"/>
      <c r="G302" s="244"/>
    </row>
    <row r="303" spans="1:8" x14ac:dyDescent="0.2">
      <c r="A303" s="246">
        <v>120</v>
      </c>
      <c r="B303" s="243"/>
      <c r="C303" s="205" t="s">
        <v>11</v>
      </c>
      <c r="D303" s="204">
        <v>120.3</v>
      </c>
      <c r="E303" s="195"/>
      <c r="F303" s="244"/>
      <c r="G303" s="244"/>
    </row>
    <row r="304" spans="1:8" ht="15.75" customHeight="1" x14ac:dyDescent="0.2">
      <c r="A304" s="246">
        <v>121</v>
      </c>
      <c r="B304" s="243"/>
      <c r="C304" s="205" t="s">
        <v>13</v>
      </c>
      <c r="D304" s="204">
        <v>111.1</v>
      </c>
      <c r="E304" s="195"/>
      <c r="F304" s="244"/>
      <c r="G304" s="244"/>
    </row>
    <row r="305" spans="1:11" x14ac:dyDescent="0.2">
      <c r="A305" s="246">
        <v>122</v>
      </c>
      <c r="B305" s="243"/>
      <c r="C305" s="205" t="s">
        <v>14</v>
      </c>
      <c r="D305" s="204">
        <v>130.4</v>
      </c>
      <c r="E305" s="195"/>
      <c r="F305" s="244"/>
      <c r="G305" s="244"/>
    </row>
    <row r="306" spans="1:11" ht="14.25" x14ac:dyDescent="0.2">
      <c r="A306" s="198">
        <v>123</v>
      </c>
      <c r="B306" s="202"/>
      <c r="C306" s="260" t="s">
        <v>20</v>
      </c>
      <c r="D306" s="218">
        <f>+D10+D62+D89+D139+D171+D195+D209+D245+D265+D276+D282</f>
        <v>59847.5</v>
      </c>
      <c r="E306" s="261"/>
      <c r="F306" s="261"/>
      <c r="G306" s="261"/>
      <c r="H306" s="261"/>
      <c r="I306" s="261"/>
      <c r="J306" s="261"/>
    </row>
    <row r="307" spans="1:11" x14ac:dyDescent="0.2">
      <c r="C307" s="181"/>
      <c r="E307" s="262"/>
    </row>
    <row r="308" spans="1:11" x14ac:dyDescent="0.2">
      <c r="A308" s="184" t="s">
        <v>111</v>
      </c>
      <c r="B308" s="184"/>
      <c r="C308" s="184"/>
      <c r="D308" s="184"/>
      <c r="E308" s="244"/>
      <c r="H308" s="195"/>
      <c r="I308" s="195"/>
      <c r="J308" s="195"/>
    </row>
    <row r="309" spans="1:11" x14ac:dyDescent="0.2">
      <c r="C309" s="263"/>
      <c r="D309" s="264"/>
      <c r="E309" s="195"/>
      <c r="H309" s="195"/>
      <c r="K309" s="195"/>
    </row>
    <row r="310" spans="1:11" x14ac:dyDescent="0.2">
      <c r="C310" s="181"/>
      <c r="D310" s="265"/>
      <c r="G310" s="195"/>
    </row>
    <row r="311" spans="1:11" ht="15.75" x14ac:dyDescent="0.2">
      <c r="C311" s="266"/>
      <c r="D311" s="267"/>
    </row>
    <row r="312" spans="1:11" x14ac:dyDescent="0.2">
      <c r="C312" s="181"/>
      <c r="D312" s="244"/>
    </row>
    <row r="313" spans="1:11" x14ac:dyDescent="0.2">
      <c r="C313" s="181"/>
      <c r="D313" s="184"/>
    </row>
    <row r="314" spans="1:11" x14ac:dyDescent="0.2">
      <c r="C314" s="268"/>
      <c r="D314" s="244"/>
      <c r="E314" s="269"/>
    </row>
    <row r="315" spans="1:11" x14ac:dyDescent="0.2">
      <c r="C315" s="268"/>
      <c r="D315" s="269"/>
      <c r="E315" s="270"/>
    </row>
    <row r="316" spans="1:11" x14ac:dyDescent="0.2">
      <c r="C316" s="268"/>
      <c r="D316" s="269"/>
    </row>
    <row r="317" spans="1:11" ht="15.75" x14ac:dyDescent="0.2">
      <c r="C317" s="266"/>
      <c r="D317" s="271"/>
    </row>
    <row r="318" spans="1:11" x14ac:dyDescent="0.2">
      <c r="C318" s="181"/>
    </row>
    <row r="319" spans="1:11" x14ac:dyDescent="0.2">
      <c r="C319" s="181"/>
      <c r="D319" s="272"/>
    </row>
    <row r="320" spans="1:11" x14ac:dyDescent="0.2">
      <c r="C320" s="181"/>
    </row>
    <row r="321" spans="3:5" x14ac:dyDescent="0.2">
      <c r="E321" s="195"/>
    </row>
    <row r="322" spans="3:5" x14ac:dyDescent="0.2">
      <c r="C322" s="181"/>
      <c r="D322" s="269"/>
    </row>
    <row r="323" spans="3:5" x14ac:dyDescent="0.2">
      <c r="C323" s="181"/>
      <c r="D323" s="272"/>
    </row>
    <row r="324" spans="3:5" x14ac:dyDescent="0.2">
      <c r="C324" s="263"/>
      <c r="D324" s="264"/>
    </row>
    <row r="325" spans="3:5" x14ac:dyDescent="0.2">
      <c r="C325" s="181"/>
      <c r="D325" s="273"/>
    </row>
    <row r="326" spans="3:5" x14ac:dyDescent="0.2">
      <c r="D326" s="264"/>
    </row>
    <row r="327" spans="3:5" x14ac:dyDescent="0.2">
      <c r="D327" s="264"/>
    </row>
    <row r="328" spans="3:5" x14ac:dyDescent="0.2">
      <c r="D328" s="264"/>
    </row>
    <row r="330" spans="3:5" x14ac:dyDescent="0.2">
      <c r="D330" s="264"/>
    </row>
    <row r="332" spans="3:5" x14ac:dyDescent="0.2">
      <c r="D332" s="264"/>
    </row>
    <row r="341" spans="4:4" x14ac:dyDescent="0.2">
      <c r="D341" s="264"/>
    </row>
  </sheetData>
  <mergeCells count="33">
    <mergeCell ref="C1:D1"/>
    <mergeCell ref="C2:D2"/>
    <mergeCell ref="A5:D5"/>
    <mergeCell ref="A36:A37"/>
    <mergeCell ref="B36:B37"/>
    <mergeCell ref="A123:A124"/>
    <mergeCell ref="B123:B124"/>
    <mergeCell ref="A126:A127"/>
    <mergeCell ref="A90:A91"/>
    <mergeCell ref="B90:B91"/>
    <mergeCell ref="B126:B127"/>
    <mergeCell ref="G54:H54"/>
    <mergeCell ref="G118:H118"/>
    <mergeCell ref="A119:A120"/>
    <mergeCell ref="B119:B120"/>
    <mergeCell ref="A121:A122"/>
    <mergeCell ref="B121:B122"/>
    <mergeCell ref="A63:A64"/>
    <mergeCell ref="A137:A138"/>
    <mergeCell ref="B137:B138"/>
    <mergeCell ref="F202:G202"/>
    <mergeCell ref="A143:A150"/>
    <mergeCell ref="B143:B150"/>
    <mergeCell ref="A179:A180"/>
    <mergeCell ref="B179:B180"/>
    <mergeCell ref="A129:A130"/>
    <mergeCell ref="A133:A134"/>
    <mergeCell ref="B133:B134"/>
    <mergeCell ref="A135:A136"/>
    <mergeCell ref="B135:B136"/>
    <mergeCell ref="B129:B130"/>
    <mergeCell ref="A131:A132"/>
    <mergeCell ref="B131:B132"/>
  </mergeCells>
  <phoneticPr fontId="12" type="noConversion"/>
  <pageMargins left="0.70866141732283472" right="0" top="0.74803149606299213" bottom="0.39370078740157483" header="0.31496062992125984" footer="0.31496062992125984"/>
  <pageSetup paperSize="9" fitToHeight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5"/>
  <sheetViews>
    <sheetView zoomScale="90" zoomScaleNormal="90" workbookViewId="0">
      <selection activeCell="G53" sqref="G53"/>
    </sheetView>
  </sheetViews>
  <sheetFormatPr defaultColWidth="9.140625" defaultRowHeight="12.75" x14ac:dyDescent="0.2"/>
  <cols>
    <col min="1" max="1" width="5.85546875" style="10" customWidth="1"/>
    <col min="2" max="2" width="7.5703125" style="63" customWidth="1"/>
    <col min="3" max="3" width="70" style="10" customWidth="1"/>
    <col min="4" max="4" width="9.7109375" style="62" customWidth="1"/>
    <col min="5" max="8" width="9.140625" style="3" customWidth="1"/>
    <col min="9" max="16384" width="9.140625" style="3"/>
  </cols>
  <sheetData>
    <row r="1" spans="1:12" ht="15.75" x14ac:dyDescent="0.25">
      <c r="C1" s="165" t="s">
        <v>585</v>
      </c>
      <c r="D1" s="165"/>
    </row>
    <row r="2" spans="1:12" ht="15.75" x14ac:dyDescent="0.25">
      <c r="C2" s="165" t="s">
        <v>536</v>
      </c>
      <c r="D2" s="165"/>
    </row>
    <row r="4" spans="1:12" ht="18.75" customHeight="1" x14ac:dyDescent="0.2">
      <c r="A4" s="167" t="s">
        <v>216</v>
      </c>
      <c r="B4" s="167"/>
      <c r="C4" s="167"/>
      <c r="D4" s="167"/>
    </row>
    <row r="5" spans="1:12" x14ac:dyDescent="0.2">
      <c r="D5" s="67" t="s">
        <v>71</v>
      </c>
    </row>
    <row r="6" spans="1:12" ht="56.25" customHeight="1" x14ac:dyDescent="0.2">
      <c r="A6" s="42" t="s">
        <v>68</v>
      </c>
      <c r="B6" s="68" t="s">
        <v>186</v>
      </c>
      <c r="C6" s="42" t="s">
        <v>16</v>
      </c>
      <c r="D6" s="42" t="s">
        <v>17</v>
      </c>
    </row>
    <row r="7" spans="1:12" x14ac:dyDescent="0.2">
      <c r="A7" s="69">
        <v>1</v>
      </c>
      <c r="B7" s="70" t="s">
        <v>18</v>
      </c>
      <c r="C7" s="42">
        <v>3</v>
      </c>
      <c r="D7" s="42">
        <v>4</v>
      </c>
    </row>
    <row r="8" spans="1:12" x14ac:dyDescent="0.2">
      <c r="A8" s="71">
        <v>1</v>
      </c>
      <c r="B8" s="70" t="s">
        <v>47</v>
      </c>
      <c r="C8" s="72" t="s">
        <v>48</v>
      </c>
      <c r="D8" s="95">
        <f>SUM(D9:D23)</f>
        <v>199.7</v>
      </c>
      <c r="E8" s="13"/>
      <c r="I8" s="13"/>
      <c r="J8" s="13"/>
      <c r="K8" s="13"/>
      <c r="L8" s="13"/>
    </row>
    <row r="9" spans="1:12" ht="12.6" customHeight="1" x14ac:dyDescent="0.2">
      <c r="A9" s="71">
        <v>2</v>
      </c>
      <c r="B9" s="84"/>
      <c r="C9" s="46" t="s">
        <v>87</v>
      </c>
      <c r="D9" s="96">
        <v>11.6</v>
      </c>
      <c r="E9" s="13"/>
      <c r="I9" s="13"/>
      <c r="J9" s="13"/>
      <c r="K9" s="13"/>
      <c r="L9" s="13"/>
    </row>
    <row r="10" spans="1:12" ht="12.6" customHeight="1" x14ac:dyDescent="0.2">
      <c r="A10" s="71">
        <v>3</v>
      </c>
      <c r="B10" s="84"/>
      <c r="C10" s="46" t="s">
        <v>38</v>
      </c>
      <c r="D10" s="96">
        <v>1.3</v>
      </c>
      <c r="E10" s="13"/>
      <c r="I10" s="13"/>
      <c r="J10" s="13"/>
      <c r="K10" s="13"/>
      <c r="L10" s="13"/>
    </row>
    <row r="11" spans="1:12" ht="12.6" customHeight="1" x14ac:dyDescent="0.2">
      <c r="A11" s="71">
        <v>4</v>
      </c>
      <c r="B11" s="84"/>
      <c r="C11" s="50" t="s">
        <v>73</v>
      </c>
      <c r="D11" s="96">
        <v>1</v>
      </c>
      <c r="E11" s="13"/>
      <c r="I11" s="13"/>
      <c r="J11" s="13"/>
      <c r="K11" s="13"/>
      <c r="L11" s="13"/>
    </row>
    <row r="12" spans="1:12" ht="12.6" customHeight="1" x14ac:dyDescent="0.2">
      <c r="A12" s="71">
        <v>5</v>
      </c>
      <c r="B12" s="84"/>
      <c r="C12" s="50" t="s">
        <v>74</v>
      </c>
      <c r="D12" s="96">
        <v>3.9</v>
      </c>
      <c r="E12" s="13"/>
      <c r="I12" s="13"/>
      <c r="J12" s="13"/>
      <c r="K12" s="13"/>
      <c r="L12" s="13"/>
    </row>
    <row r="13" spans="1:12" ht="12.6" customHeight="1" x14ac:dyDescent="0.2">
      <c r="A13" s="71">
        <v>6</v>
      </c>
      <c r="B13" s="84"/>
      <c r="C13" s="50" t="s">
        <v>32</v>
      </c>
      <c r="D13" s="96">
        <v>3.4</v>
      </c>
      <c r="E13" s="13"/>
      <c r="I13" s="13"/>
      <c r="J13" s="13"/>
      <c r="K13" s="13"/>
      <c r="L13" s="13"/>
    </row>
    <row r="14" spans="1:12" ht="12.6" customHeight="1" x14ac:dyDescent="0.2">
      <c r="A14" s="71">
        <v>7</v>
      </c>
      <c r="B14" s="84"/>
      <c r="C14" s="46" t="s">
        <v>76</v>
      </c>
      <c r="D14" s="96">
        <v>2.2999999999999998</v>
      </c>
      <c r="E14" s="13"/>
      <c r="I14" s="13"/>
      <c r="J14" s="13"/>
      <c r="K14" s="13"/>
      <c r="L14" s="13"/>
    </row>
    <row r="15" spans="1:12" ht="12.6" customHeight="1" x14ac:dyDescent="0.2">
      <c r="A15" s="71">
        <v>8</v>
      </c>
      <c r="B15" s="84"/>
      <c r="C15" s="50" t="s">
        <v>85</v>
      </c>
      <c r="D15" s="96">
        <v>48.7</v>
      </c>
      <c r="E15" s="13"/>
      <c r="I15" s="13"/>
      <c r="J15" s="13"/>
      <c r="K15" s="13"/>
      <c r="L15" s="13"/>
    </row>
    <row r="16" spans="1:12" ht="12.6" customHeight="1" x14ac:dyDescent="0.2">
      <c r="A16" s="71">
        <v>9</v>
      </c>
      <c r="B16" s="84"/>
      <c r="C16" s="46" t="s">
        <v>86</v>
      </c>
      <c r="D16" s="96">
        <v>3.5</v>
      </c>
      <c r="E16" s="13"/>
      <c r="I16" s="13"/>
      <c r="J16" s="13"/>
      <c r="K16" s="13"/>
      <c r="L16" s="13"/>
    </row>
    <row r="17" spans="1:12" ht="12.6" customHeight="1" x14ac:dyDescent="0.2">
      <c r="A17" s="71">
        <v>10</v>
      </c>
      <c r="B17" s="84"/>
      <c r="C17" s="50" t="s">
        <v>33</v>
      </c>
      <c r="D17" s="96">
        <v>0.5</v>
      </c>
      <c r="E17" s="13"/>
      <c r="I17" s="13"/>
      <c r="J17" s="13"/>
      <c r="K17" s="13"/>
      <c r="L17" s="13"/>
    </row>
    <row r="18" spans="1:12" ht="12.6" customHeight="1" x14ac:dyDescent="0.2">
      <c r="A18" s="71">
        <v>11</v>
      </c>
      <c r="B18" s="84"/>
      <c r="C18" s="49" t="s">
        <v>34</v>
      </c>
      <c r="D18" s="96">
        <v>0.2</v>
      </c>
      <c r="E18" s="13"/>
      <c r="I18" s="13"/>
      <c r="J18" s="13"/>
      <c r="K18" s="13"/>
      <c r="L18" s="13"/>
    </row>
    <row r="19" spans="1:12" ht="12.6" customHeight="1" x14ac:dyDescent="0.2">
      <c r="A19" s="71">
        <v>12</v>
      </c>
      <c r="B19" s="84"/>
      <c r="C19" s="50" t="s">
        <v>64</v>
      </c>
      <c r="D19" s="96">
        <v>95.1</v>
      </c>
      <c r="E19" s="13"/>
      <c r="I19" s="13"/>
      <c r="J19" s="13"/>
      <c r="K19" s="13"/>
      <c r="L19" s="13"/>
    </row>
    <row r="20" spans="1:12" ht="12.6" customHeight="1" x14ac:dyDescent="0.2">
      <c r="A20" s="71">
        <v>13</v>
      </c>
      <c r="B20" s="84"/>
      <c r="C20" s="46" t="s">
        <v>185</v>
      </c>
      <c r="D20" s="96">
        <v>3</v>
      </c>
      <c r="E20" s="13"/>
      <c r="I20" s="13"/>
      <c r="J20" s="13"/>
      <c r="K20" s="13"/>
      <c r="L20" s="13"/>
    </row>
    <row r="21" spans="1:12" ht="12.6" customHeight="1" x14ac:dyDescent="0.2">
      <c r="A21" s="71">
        <v>14</v>
      </c>
      <c r="B21" s="84"/>
      <c r="C21" s="46" t="s">
        <v>39</v>
      </c>
      <c r="D21" s="96">
        <v>0.7</v>
      </c>
      <c r="E21" s="13"/>
      <c r="I21" s="13"/>
      <c r="J21" s="13"/>
      <c r="K21" s="13"/>
      <c r="L21" s="13"/>
    </row>
    <row r="22" spans="1:12" ht="12.6" customHeight="1" x14ac:dyDescent="0.2">
      <c r="A22" s="71">
        <v>15</v>
      </c>
      <c r="B22" s="84"/>
      <c r="C22" s="55" t="s">
        <v>40</v>
      </c>
      <c r="D22" s="96">
        <v>2</v>
      </c>
      <c r="E22" s="13"/>
      <c r="I22" s="13"/>
      <c r="J22" s="13"/>
      <c r="K22" s="13"/>
      <c r="L22" s="13"/>
    </row>
    <row r="23" spans="1:12" ht="12.6" customHeight="1" x14ac:dyDescent="0.2">
      <c r="A23" s="71">
        <v>16</v>
      </c>
      <c r="B23" s="84"/>
      <c r="C23" s="55" t="s">
        <v>107</v>
      </c>
      <c r="D23" s="96">
        <v>22.5</v>
      </c>
      <c r="E23" s="13"/>
      <c r="I23" s="13"/>
      <c r="J23" s="13"/>
      <c r="K23" s="13"/>
      <c r="L23" s="13"/>
    </row>
    <row r="24" spans="1:12" ht="12.6" customHeight="1" x14ac:dyDescent="0.2">
      <c r="A24" s="71">
        <v>17</v>
      </c>
      <c r="B24" s="70" t="s">
        <v>49</v>
      </c>
      <c r="C24" s="85" t="s">
        <v>50</v>
      </c>
      <c r="D24" s="95">
        <f>SUM(D25:D25)</f>
        <v>14.6</v>
      </c>
      <c r="E24" s="13"/>
      <c r="I24" s="13"/>
      <c r="J24" s="13"/>
      <c r="K24" s="13"/>
      <c r="L24" s="13"/>
    </row>
    <row r="25" spans="1:12" x14ac:dyDescent="0.2">
      <c r="A25" s="71">
        <v>18</v>
      </c>
      <c r="B25" s="84"/>
      <c r="C25" s="51" t="s">
        <v>109</v>
      </c>
      <c r="D25" s="96">
        <v>14.6</v>
      </c>
      <c r="E25" s="13"/>
      <c r="I25" s="13"/>
      <c r="J25" s="13"/>
      <c r="K25" s="13"/>
      <c r="L25" s="13"/>
    </row>
    <row r="26" spans="1:12" ht="12.6" customHeight="1" x14ac:dyDescent="0.2">
      <c r="A26" s="71">
        <v>19</v>
      </c>
      <c r="B26" s="70" t="s">
        <v>21</v>
      </c>
      <c r="C26" s="85" t="s">
        <v>22</v>
      </c>
      <c r="D26" s="95">
        <f>SUM(D27:D27)</f>
        <v>116.3</v>
      </c>
      <c r="E26" s="13"/>
      <c r="I26" s="13"/>
      <c r="J26" s="13"/>
      <c r="K26" s="13"/>
      <c r="L26" s="13"/>
    </row>
    <row r="27" spans="1:12" x14ac:dyDescent="0.2">
      <c r="A27" s="71">
        <v>20</v>
      </c>
      <c r="B27" s="84"/>
      <c r="C27" s="54" t="s">
        <v>1</v>
      </c>
      <c r="D27" s="96">
        <v>116.3</v>
      </c>
      <c r="E27" s="13"/>
      <c r="I27" s="13"/>
      <c r="J27" s="13"/>
      <c r="K27" s="13"/>
      <c r="L27" s="13"/>
    </row>
    <row r="28" spans="1:12" x14ac:dyDescent="0.2">
      <c r="A28" s="71">
        <v>21</v>
      </c>
      <c r="B28" s="70" t="s">
        <v>51</v>
      </c>
      <c r="C28" s="85" t="s">
        <v>97</v>
      </c>
      <c r="D28" s="95">
        <f>+D29</f>
        <v>28.8</v>
      </c>
      <c r="E28" s="13"/>
      <c r="F28" s="13"/>
      <c r="I28" s="13"/>
      <c r="J28" s="13"/>
      <c r="K28" s="13"/>
      <c r="L28" s="13"/>
    </row>
    <row r="29" spans="1:12" ht="12.75" customHeight="1" x14ac:dyDescent="0.2">
      <c r="A29" s="71">
        <v>22</v>
      </c>
      <c r="B29" s="84"/>
      <c r="C29" s="46" t="s">
        <v>65</v>
      </c>
      <c r="D29" s="96">
        <v>28.8</v>
      </c>
      <c r="E29" s="13"/>
      <c r="I29" s="13"/>
      <c r="J29" s="13"/>
      <c r="K29" s="13"/>
      <c r="L29" s="13"/>
    </row>
    <row r="30" spans="1:12" ht="12.6" customHeight="1" x14ac:dyDescent="0.2">
      <c r="A30" s="71">
        <v>23</v>
      </c>
      <c r="B30" s="70" t="s">
        <v>52</v>
      </c>
      <c r="C30" s="85" t="s">
        <v>53</v>
      </c>
      <c r="D30" s="95">
        <f>SUM(D31:D38)</f>
        <v>88.9</v>
      </c>
      <c r="E30" s="13"/>
      <c r="I30" s="13"/>
      <c r="J30" s="13"/>
      <c r="K30" s="13"/>
      <c r="L30" s="13"/>
    </row>
    <row r="31" spans="1:12" x14ac:dyDescent="0.2">
      <c r="A31" s="71">
        <v>24</v>
      </c>
      <c r="B31" s="84"/>
      <c r="C31" s="55" t="s">
        <v>36</v>
      </c>
      <c r="D31" s="96">
        <v>11</v>
      </c>
      <c r="E31" s="13"/>
      <c r="I31" s="13"/>
      <c r="J31" s="13"/>
      <c r="K31" s="13"/>
      <c r="L31" s="13"/>
    </row>
    <row r="32" spans="1:12" ht="12.6" customHeight="1" x14ac:dyDescent="0.2">
      <c r="A32" s="71">
        <v>25</v>
      </c>
      <c r="B32" s="84"/>
      <c r="C32" s="55" t="s">
        <v>41</v>
      </c>
      <c r="D32" s="96">
        <v>0.8</v>
      </c>
      <c r="E32" s="13"/>
      <c r="I32" s="13"/>
      <c r="J32" s="13"/>
      <c r="K32" s="13"/>
      <c r="L32" s="13"/>
    </row>
    <row r="33" spans="1:12" ht="12.6" customHeight="1" x14ac:dyDescent="0.2">
      <c r="A33" s="71">
        <v>26</v>
      </c>
      <c r="B33" s="84"/>
      <c r="C33" s="55" t="s">
        <v>42</v>
      </c>
      <c r="D33" s="96">
        <v>1.3</v>
      </c>
      <c r="E33" s="13"/>
      <c r="I33" s="13"/>
      <c r="J33" s="13"/>
      <c r="K33" s="13"/>
      <c r="L33" s="13"/>
    </row>
    <row r="34" spans="1:12" ht="12.6" customHeight="1" x14ac:dyDescent="0.2">
      <c r="A34" s="71">
        <v>27</v>
      </c>
      <c r="B34" s="84"/>
      <c r="C34" s="55" t="s">
        <v>37</v>
      </c>
      <c r="D34" s="96">
        <f>1+6</f>
        <v>7</v>
      </c>
      <c r="E34" s="13"/>
      <c r="I34" s="13"/>
      <c r="J34" s="13"/>
      <c r="K34" s="13"/>
      <c r="L34" s="13"/>
    </row>
    <row r="35" spans="1:12" ht="12.6" customHeight="1" x14ac:dyDescent="0.2">
      <c r="A35" s="71">
        <v>28</v>
      </c>
      <c r="B35" s="84"/>
      <c r="C35" s="55" t="s">
        <v>43</v>
      </c>
      <c r="D35" s="96">
        <v>0.9</v>
      </c>
      <c r="E35" s="13"/>
      <c r="I35" s="13"/>
      <c r="J35" s="13"/>
      <c r="K35" s="13"/>
      <c r="L35" s="13"/>
    </row>
    <row r="36" spans="1:12" ht="12.6" customHeight="1" x14ac:dyDescent="0.2">
      <c r="A36" s="71">
        <v>29</v>
      </c>
      <c r="B36" s="84"/>
      <c r="C36" s="55" t="s">
        <v>44</v>
      </c>
      <c r="D36" s="96">
        <v>0.7</v>
      </c>
      <c r="E36" s="13"/>
      <c r="I36" s="13"/>
      <c r="J36" s="13"/>
      <c r="K36" s="13"/>
      <c r="L36" s="13"/>
    </row>
    <row r="37" spans="1:12" ht="12.6" customHeight="1" x14ac:dyDescent="0.2">
      <c r="A37" s="71">
        <v>30</v>
      </c>
      <c r="B37" s="84"/>
      <c r="C37" s="51" t="s">
        <v>45</v>
      </c>
      <c r="D37" s="96">
        <v>1.8</v>
      </c>
      <c r="E37" s="13"/>
      <c r="I37" s="13"/>
      <c r="J37" s="13"/>
      <c r="K37" s="13"/>
      <c r="L37" s="13"/>
    </row>
    <row r="38" spans="1:12" ht="12.6" customHeight="1" x14ac:dyDescent="0.2">
      <c r="A38" s="71">
        <v>31</v>
      </c>
      <c r="B38" s="84"/>
      <c r="C38" s="55" t="s">
        <v>35</v>
      </c>
      <c r="D38" s="96">
        <v>65.400000000000006</v>
      </c>
      <c r="E38" s="13"/>
      <c r="I38" s="13"/>
      <c r="J38" s="13"/>
      <c r="K38" s="13"/>
      <c r="L38" s="13"/>
    </row>
    <row r="39" spans="1:12" ht="12.6" customHeight="1" x14ac:dyDescent="0.2">
      <c r="A39" s="71">
        <v>32</v>
      </c>
      <c r="B39" s="70" t="s">
        <v>56</v>
      </c>
      <c r="C39" s="85" t="s">
        <v>57</v>
      </c>
      <c r="D39" s="95">
        <f>SUM(D40:D44)</f>
        <v>12.3</v>
      </c>
      <c r="E39" s="13"/>
      <c r="I39" s="13"/>
      <c r="J39" s="13"/>
      <c r="K39" s="13"/>
      <c r="L39" s="13"/>
    </row>
    <row r="40" spans="1:12" x14ac:dyDescent="0.2">
      <c r="A40" s="71">
        <v>33</v>
      </c>
      <c r="B40" s="84"/>
      <c r="C40" s="54" t="s">
        <v>5</v>
      </c>
      <c r="D40" s="96">
        <v>1.4</v>
      </c>
      <c r="E40" s="13"/>
      <c r="I40" s="13"/>
      <c r="J40" s="13"/>
      <c r="K40" s="13"/>
      <c r="L40" s="13"/>
    </row>
    <row r="41" spans="1:12" ht="12.6" customHeight="1" x14ac:dyDescent="0.2">
      <c r="A41" s="71">
        <v>34</v>
      </c>
      <c r="B41" s="70"/>
      <c r="C41" s="54" t="s">
        <v>7</v>
      </c>
      <c r="D41" s="96">
        <v>6.5</v>
      </c>
      <c r="E41" s="13"/>
      <c r="I41" s="13"/>
      <c r="J41" s="13"/>
      <c r="K41" s="13"/>
      <c r="L41" s="13"/>
    </row>
    <row r="42" spans="1:12" x14ac:dyDescent="0.2">
      <c r="A42" s="71">
        <v>35</v>
      </c>
      <c r="B42" s="84"/>
      <c r="C42" s="51" t="s">
        <v>6</v>
      </c>
      <c r="D42" s="96">
        <v>0.6</v>
      </c>
      <c r="E42" s="13"/>
      <c r="I42" s="13"/>
      <c r="J42" s="13"/>
      <c r="K42" s="13"/>
      <c r="L42" s="13"/>
    </row>
    <row r="43" spans="1:12" ht="12.6" customHeight="1" x14ac:dyDescent="0.2">
      <c r="A43" s="71">
        <v>36</v>
      </c>
      <c r="B43" s="84"/>
      <c r="C43" s="54" t="s">
        <v>12</v>
      </c>
      <c r="D43" s="96">
        <v>0.1</v>
      </c>
      <c r="E43" s="13"/>
      <c r="I43" s="13"/>
      <c r="J43" s="13"/>
      <c r="K43" s="13"/>
      <c r="L43" s="13"/>
    </row>
    <row r="44" spans="1:12" ht="12.6" customHeight="1" x14ac:dyDescent="0.2">
      <c r="A44" s="71">
        <v>37</v>
      </c>
      <c r="B44" s="70"/>
      <c r="C44" s="54" t="s">
        <v>11</v>
      </c>
      <c r="D44" s="96">
        <v>3.7</v>
      </c>
      <c r="E44" s="13"/>
      <c r="I44" s="13"/>
      <c r="J44" s="13"/>
      <c r="K44" s="13"/>
      <c r="L44" s="13"/>
    </row>
    <row r="45" spans="1:12" ht="12.6" customHeight="1" x14ac:dyDescent="0.2">
      <c r="A45" s="71">
        <v>38</v>
      </c>
      <c r="B45" s="70" t="s">
        <v>23</v>
      </c>
      <c r="C45" s="85" t="s">
        <v>24</v>
      </c>
      <c r="D45" s="95">
        <f>SUM(D46:D49)</f>
        <v>6.9</v>
      </c>
      <c r="E45" s="13"/>
      <c r="I45" s="13"/>
      <c r="J45" s="13"/>
      <c r="K45" s="13"/>
      <c r="L45" s="13"/>
    </row>
    <row r="46" spans="1:12" x14ac:dyDescent="0.2">
      <c r="A46" s="71">
        <v>39</v>
      </c>
      <c r="B46" s="70"/>
      <c r="C46" s="50" t="s">
        <v>25</v>
      </c>
      <c r="D46" s="96">
        <v>1.2</v>
      </c>
      <c r="E46" s="13"/>
      <c r="I46" s="13"/>
      <c r="J46" s="13"/>
      <c r="K46" s="13"/>
      <c r="L46" s="13"/>
    </row>
    <row r="47" spans="1:12" ht="12.6" customHeight="1" x14ac:dyDescent="0.2">
      <c r="A47" s="71">
        <v>40</v>
      </c>
      <c r="B47" s="84"/>
      <c r="C47" s="54" t="s">
        <v>8</v>
      </c>
      <c r="D47" s="96">
        <v>0.3</v>
      </c>
      <c r="E47" s="13"/>
      <c r="I47" s="13"/>
      <c r="J47" s="13"/>
      <c r="K47" s="13"/>
      <c r="L47" s="13"/>
    </row>
    <row r="48" spans="1:12" x14ac:dyDescent="0.2">
      <c r="A48" s="71">
        <v>41</v>
      </c>
      <c r="B48" s="84"/>
      <c r="C48" s="54" t="s">
        <v>10</v>
      </c>
      <c r="D48" s="96">
        <v>2.2000000000000002</v>
      </c>
      <c r="E48" s="13"/>
      <c r="I48" s="13"/>
      <c r="J48" s="13"/>
      <c r="K48" s="13"/>
      <c r="L48" s="13"/>
    </row>
    <row r="49" spans="1:12" ht="12.6" customHeight="1" x14ac:dyDescent="0.2">
      <c r="A49" s="71">
        <v>42</v>
      </c>
      <c r="B49" s="84"/>
      <c r="C49" s="80" t="s">
        <v>13</v>
      </c>
      <c r="D49" s="96">
        <v>3.2</v>
      </c>
      <c r="E49" s="13"/>
      <c r="I49" s="13"/>
      <c r="J49" s="13"/>
      <c r="K49" s="13"/>
      <c r="L49" s="13"/>
    </row>
    <row r="50" spans="1:12" ht="12.6" customHeight="1" x14ac:dyDescent="0.2">
      <c r="A50" s="71">
        <v>43</v>
      </c>
      <c r="B50" s="84"/>
      <c r="C50" s="97" t="s">
        <v>20</v>
      </c>
      <c r="D50" s="95">
        <f>+D8+D24+D26+D30+D39+D45+D28</f>
        <v>467.5</v>
      </c>
      <c r="E50" s="16"/>
      <c r="I50" s="13"/>
      <c r="J50" s="13"/>
      <c r="K50" s="13"/>
      <c r="L50" s="13"/>
    </row>
    <row r="51" spans="1:12" ht="12.6" customHeight="1" x14ac:dyDescent="0.2">
      <c r="C51" s="10" t="s">
        <v>112</v>
      </c>
      <c r="D51" s="98"/>
      <c r="F51" s="13"/>
      <c r="G51" s="13"/>
      <c r="H51" s="13"/>
      <c r="I51" s="13"/>
      <c r="J51" s="13"/>
      <c r="K51" s="13"/>
      <c r="L51" s="13"/>
    </row>
    <row r="52" spans="1:12" x14ac:dyDescent="0.2">
      <c r="A52" s="166" t="s">
        <v>111</v>
      </c>
      <c r="B52" s="166"/>
      <c r="C52" s="166"/>
      <c r="D52" s="166"/>
    </row>
    <row r="53" spans="1:12" x14ac:dyDescent="0.2">
      <c r="D53" s="98"/>
    </row>
    <row r="54" spans="1:12" x14ac:dyDescent="0.2">
      <c r="D54" s="98"/>
    </row>
    <row r="55" spans="1:12" x14ac:dyDescent="0.2">
      <c r="D55" s="99"/>
    </row>
  </sheetData>
  <mergeCells count="4">
    <mergeCell ref="C1:D1"/>
    <mergeCell ref="C2:D2"/>
    <mergeCell ref="A4:D4"/>
    <mergeCell ref="A52:D52"/>
  </mergeCells>
  <phoneticPr fontId="20" type="noConversion"/>
  <pageMargins left="0.78740157480314965" right="0" top="0.78740157480314965" bottom="0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9"/>
  <sheetViews>
    <sheetView zoomScaleNormal="100" workbookViewId="0">
      <selection activeCell="C65" sqref="C65"/>
    </sheetView>
  </sheetViews>
  <sheetFormatPr defaultColWidth="9.140625" defaultRowHeight="12.75" x14ac:dyDescent="0.2"/>
  <cols>
    <col min="1" max="1" width="5.85546875" style="10" customWidth="1"/>
    <col min="2" max="2" width="7.5703125" style="63" customWidth="1"/>
    <col min="3" max="3" width="70" style="10" customWidth="1"/>
    <col min="4" max="4" width="9.7109375" style="10" customWidth="1"/>
    <col min="5" max="6" width="9.140625" style="3" customWidth="1"/>
    <col min="7" max="16384" width="9.140625" style="3"/>
  </cols>
  <sheetData>
    <row r="1" spans="1:6" ht="15" customHeight="1" x14ac:dyDescent="0.25">
      <c r="C1" s="165" t="s">
        <v>162</v>
      </c>
      <c r="D1" s="165"/>
    </row>
    <row r="2" spans="1:6" ht="15.75" x14ac:dyDescent="0.25">
      <c r="C2" s="165" t="s">
        <v>584</v>
      </c>
      <c r="D2" s="165"/>
    </row>
    <row r="3" spans="1:6" ht="15.75" x14ac:dyDescent="0.2">
      <c r="C3" s="100"/>
      <c r="D3" s="65" t="s">
        <v>148</v>
      </c>
    </row>
    <row r="5" spans="1:6" ht="28.5" customHeight="1" x14ac:dyDescent="0.2">
      <c r="A5" s="167" t="s">
        <v>223</v>
      </c>
      <c r="B5" s="167"/>
      <c r="C5" s="167"/>
      <c r="D5" s="167"/>
    </row>
    <row r="6" spans="1:6" x14ac:dyDescent="0.2">
      <c r="D6" s="67" t="s">
        <v>71</v>
      </c>
    </row>
    <row r="7" spans="1:6" ht="51" customHeight="1" x14ac:dyDescent="0.2">
      <c r="A7" s="42" t="s">
        <v>68</v>
      </c>
      <c r="B7" s="68" t="s">
        <v>186</v>
      </c>
      <c r="C7" s="42" t="s">
        <v>16</v>
      </c>
      <c r="D7" s="42" t="s">
        <v>17</v>
      </c>
    </row>
    <row r="8" spans="1:6" s="61" customFormat="1" ht="12" customHeight="1" x14ac:dyDescent="0.2">
      <c r="A8" s="69">
        <v>1</v>
      </c>
      <c r="B8" s="70" t="s">
        <v>18</v>
      </c>
      <c r="C8" s="42">
        <v>3</v>
      </c>
      <c r="D8" s="42">
        <v>4</v>
      </c>
    </row>
    <row r="9" spans="1:6" ht="20.100000000000001" customHeight="1" x14ac:dyDescent="0.2">
      <c r="A9" s="71">
        <v>1</v>
      </c>
      <c r="B9" s="70" t="s">
        <v>47</v>
      </c>
      <c r="C9" s="72" t="s">
        <v>48</v>
      </c>
      <c r="D9" s="95">
        <f>SUM(D10:D31)</f>
        <v>67.8</v>
      </c>
      <c r="E9" s="13"/>
      <c r="F9" s="13"/>
    </row>
    <row r="10" spans="1:6" ht="12.6" customHeight="1" x14ac:dyDescent="0.2">
      <c r="A10" s="71">
        <v>2</v>
      </c>
      <c r="B10" s="70"/>
      <c r="C10" s="46" t="s">
        <v>88</v>
      </c>
      <c r="D10" s="96">
        <v>1.3</v>
      </c>
      <c r="E10" s="13"/>
      <c r="F10" s="13"/>
    </row>
    <row r="11" spans="1:6" ht="12.6" customHeight="1" x14ac:dyDescent="0.2">
      <c r="A11" s="71">
        <v>3</v>
      </c>
      <c r="B11" s="70"/>
      <c r="C11" s="46" t="s">
        <v>79</v>
      </c>
      <c r="D11" s="96">
        <v>1.4</v>
      </c>
      <c r="E11" s="13"/>
      <c r="F11" s="13"/>
    </row>
    <row r="12" spans="1:6" ht="12.6" customHeight="1" x14ac:dyDescent="0.2">
      <c r="A12" s="71">
        <v>4</v>
      </c>
      <c r="B12" s="69"/>
      <c r="C12" s="46" t="s">
        <v>80</v>
      </c>
      <c r="D12" s="96">
        <v>3.4</v>
      </c>
      <c r="E12" s="13"/>
      <c r="F12" s="13"/>
    </row>
    <row r="13" spans="1:6" ht="12.6" customHeight="1" x14ac:dyDescent="0.2">
      <c r="A13" s="71">
        <v>5</v>
      </c>
      <c r="B13" s="69"/>
      <c r="C13" s="46" t="s">
        <v>84</v>
      </c>
      <c r="D13" s="96">
        <v>3.7</v>
      </c>
      <c r="E13" s="13"/>
      <c r="F13" s="13"/>
    </row>
    <row r="14" spans="1:6" ht="12.6" customHeight="1" x14ac:dyDescent="0.2">
      <c r="A14" s="71">
        <v>6</v>
      </c>
      <c r="B14" s="69"/>
      <c r="C14" s="46" t="s">
        <v>81</v>
      </c>
      <c r="D14" s="96">
        <v>4</v>
      </c>
      <c r="E14" s="13"/>
      <c r="F14" s="13"/>
    </row>
    <row r="15" spans="1:6" ht="12.6" customHeight="1" x14ac:dyDescent="0.2">
      <c r="A15" s="71">
        <v>7</v>
      </c>
      <c r="B15" s="84"/>
      <c r="C15" s="46" t="s">
        <v>82</v>
      </c>
      <c r="D15" s="96">
        <v>0.8</v>
      </c>
      <c r="E15" s="13"/>
      <c r="F15" s="13"/>
    </row>
    <row r="16" spans="1:6" ht="12.6" customHeight="1" x14ac:dyDescent="0.2">
      <c r="A16" s="71">
        <v>8</v>
      </c>
      <c r="B16" s="84"/>
      <c r="C16" s="46" t="s">
        <v>83</v>
      </c>
      <c r="D16" s="96">
        <v>2.2000000000000002</v>
      </c>
      <c r="E16" s="13"/>
      <c r="F16" s="13"/>
    </row>
    <row r="17" spans="1:6" ht="12.6" customHeight="1" x14ac:dyDescent="0.2">
      <c r="A17" s="71">
        <v>9</v>
      </c>
      <c r="B17" s="84"/>
      <c r="C17" s="49" t="s">
        <v>95</v>
      </c>
      <c r="D17" s="96">
        <v>0.4</v>
      </c>
      <c r="E17" s="13"/>
      <c r="F17" s="13"/>
    </row>
    <row r="18" spans="1:6" ht="12.6" customHeight="1" x14ac:dyDescent="0.2">
      <c r="A18" s="71">
        <v>10</v>
      </c>
      <c r="B18" s="84"/>
      <c r="C18" s="46" t="s">
        <v>87</v>
      </c>
      <c r="D18" s="96">
        <v>16.2</v>
      </c>
      <c r="E18" s="13"/>
      <c r="F18" s="13"/>
    </row>
    <row r="19" spans="1:6" ht="12.6" customHeight="1" x14ac:dyDescent="0.2">
      <c r="A19" s="71">
        <v>11</v>
      </c>
      <c r="B19" s="84"/>
      <c r="C19" s="46" t="s">
        <v>38</v>
      </c>
      <c r="D19" s="96">
        <v>0.2</v>
      </c>
      <c r="E19" s="13"/>
      <c r="F19" s="13"/>
    </row>
    <row r="20" spans="1:6" ht="12.6" customHeight="1" x14ac:dyDescent="0.2">
      <c r="A20" s="71">
        <v>12</v>
      </c>
      <c r="B20" s="84"/>
      <c r="C20" s="50" t="s">
        <v>73</v>
      </c>
      <c r="D20" s="96">
        <v>1.2</v>
      </c>
      <c r="E20" s="13"/>
      <c r="F20" s="13"/>
    </row>
    <row r="21" spans="1:6" ht="12.6" customHeight="1" x14ac:dyDescent="0.2">
      <c r="A21" s="71">
        <v>13</v>
      </c>
      <c r="B21" s="84"/>
      <c r="C21" s="50" t="s">
        <v>74</v>
      </c>
      <c r="D21" s="96">
        <v>0.4</v>
      </c>
      <c r="E21" s="13"/>
      <c r="F21" s="13"/>
    </row>
    <row r="22" spans="1:6" ht="12.6" customHeight="1" x14ac:dyDescent="0.2">
      <c r="A22" s="71">
        <v>14</v>
      </c>
      <c r="B22" s="84"/>
      <c r="C22" s="50" t="s">
        <v>32</v>
      </c>
      <c r="D22" s="96">
        <v>0.3</v>
      </c>
      <c r="E22" s="13"/>
      <c r="F22" s="13"/>
    </row>
    <row r="23" spans="1:6" ht="12.6" customHeight="1" x14ac:dyDescent="0.2">
      <c r="A23" s="71">
        <v>15</v>
      </c>
      <c r="B23" s="84"/>
      <c r="C23" s="46" t="s">
        <v>76</v>
      </c>
      <c r="D23" s="96">
        <v>1.6</v>
      </c>
      <c r="E23" s="13"/>
      <c r="F23" s="13"/>
    </row>
    <row r="24" spans="1:6" ht="12.6" customHeight="1" x14ac:dyDescent="0.2">
      <c r="A24" s="71">
        <v>16</v>
      </c>
      <c r="B24" s="84"/>
      <c r="C24" s="50" t="s">
        <v>85</v>
      </c>
      <c r="D24" s="96">
        <v>10.4</v>
      </c>
      <c r="E24" s="13"/>
      <c r="F24" s="13"/>
    </row>
    <row r="25" spans="1:6" ht="12.6" customHeight="1" x14ac:dyDescent="0.2">
      <c r="A25" s="71">
        <v>17</v>
      </c>
      <c r="B25" s="84"/>
      <c r="C25" s="46" t="s">
        <v>149</v>
      </c>
      <c r="D25" s="96">
        <v>0.7</v>
      </c>
      <c r="E25" s="13"/>
      <c r="F25" s="13"/>
    </row>
    <row r="26" spans="1:6" ht="12.6" customHeight="1" x14ac:dyDescent="0.2">
      <c r="A26" s="71">
        <v>18</v>
      </c>
      <c r="B26" s="84"/>
      <c r="C26" s="50" t="s">
        <v>547</v>
      </c>
      <c r="D26" s="96">
        <v>7.6</v>
      </c>
      <c r="E26" s="13"/>
      <c r="F26" s="13"/>
    </row>
    <row r="27" spans="1:6" ht="12.6" customHeight="1" x14ac:dyDescent="0.2">
      <c r="A27" s="71">
        <v>19</v>
      </c>
      <c r="B27" s="84"/>
      <c r="C27" s="50" t="s">
        <v>33</v>
      </c>
      <c r="D27" s="96">
        <v>0.3</v>
      </c>
      <c r="E27" s="13"/>
      <c r="F27" s="13"/>
    </row>
    <row r="28" spans="1:6" ht="12.6" customHeight="1" x14ac:dyDescent="0.2">
      <c r="A28" s="71">
        <v>20</v>
      </c>
      <c r="B28" s="84"/>
      <c r="C28" s="50" t="s">
        <v>75</v>
      </c>
      <c r="D28" s="96">
        <v>3</v>
      </c>
      <c r="E28" s="13"/>
      <c r="F28" s="13"/>
    </row>
    <row r="29" spans="1:6" ht="12.6" customHeight="1" x14ac:dyDescent="0.2">
      <c r="A29" s="71">
        <v>21</v>
      </c>
      <c r="B29" s="84"/>
      <c r="C29" s="49" t="s">
        <v>34</v>
      </c>
      <c r="D29" s="96">
        <v>0.1</v>
      </c>
      <c r="E29" s="13"/>
      <c r="F29" s="13"/>
    </row>
    <row r="30" spans="1:6" ht="12.6" customHeight="1" x14ac:dyDescent="0.2">
      <c r="A30" s="71">
        <v>22</v>
      </c>
      <c r="B30" s="84"/>
      <c r="C30" s="46" t="s">
        <v>40</v>
      </c>
      <c r="D30" s="96">
        <v>7.8</v>
      </c>
      <c r="E30" s="13"/>
      <c r="F30" s="13"/>
    </row>
    <row r="31" spans="1:6" ht="12.6" customHeight="1" x14ac:dyDescent="0.2">
      <c r="A31" s="71">
        <v>23</v>
      </c>
      <c r="B31" s="84"/>
      <c r="C31" s="55" t="s">
        <v>107</v>
      </c>
      <c r="D31" s="96">
        <v>0.8</v>
      </c>
      <c r="E31" s="13"/>
      <c r="F31" s="13"/>
    </row>
    <row r="32" spans="1:6" ht="12.6" customHeight="1" x14ac:dyDescent="0.2">
      <c r="A32" s="71">
        <v>24</v>
      </c>
      <c r="B32" s="70" t="s">
        <v>51</v>
      </c>
      <c r="C32" s="85" t="s">
        <v>97</v>
      </c>
      <c r="D32" s="95">
        <f>+D33</f>
        <v>105.6</v>
      </c>
      <c r="E32" s="13"/>
      <c r="F32" s="13"/>
    </row>
    <row r="33" spans="1:6" ht="12.6" customHeight="1" x14ac:dyDescent="0.2">
      <c r="A33" s="71">
        <v>25</v>
      </c>
      <c r="B33" s="84"/>
      <c r="C33" s="46" t="s">
        <v>65</v>
      </c>
      <c r="D33" s="96">
        <f>70.6+35</f>
        <v>105.6</v>
      </c>
      <c r="E33" s="13"/>
      <c r="F33" s="13"/>
    </row>
    <row r="34" spans="1:6" ht="12.6" customHeight="1" x14ac:dyDescent="0.2">
      <c r="A34" s="71">
        <v>26</v>
      </c>
      <c r="B34" s="70" t="s">
        <v>52</v>
      </c>
      <c r="C34" s="85" t="s">
        <v>53</v>
      </c>
      <c r="D34" s="95">
        <f>SUM(D35:D42)</f>
        <v>18.900000000000002</v>
      </c>
      <c r="E34" s="13"/>
      <c r="F34" s="13"/>
    </row>
    <row r="35" spans="1:6" ht="15" customHeight="1" x14ac:dyDescent="0.2">
      <c r="A35" s="71">
        <v>27</v>
      </c>
      <c r="B35" s="84"/>
      <c r="C35" s="55" t="s">
        <v>36</v>
      </c>
      <c r="D35" s="96">
        <v>4</v>
      </c>
      <c r="E35" s="13"/>
      <c r="F35" s="13"/>
    </row>
    <row r="36" spans="1:6" ht="12.6" customHeight="1" x14ac:dyDescent="0.2">
      <c r="A36" s="71">
        <v>28</v>
      </c>
      <c r="B36" s="84"/>
      <c r="C36" s="88" t="s">
        <v>41</v>
      </c>
      <c r="D36" s="96">
        <v>2.4</v>
      </c>
      <c r="E36" s="13"/>
      <c r="F36" s="13"/>
    </row>
    <row r="37" spans="1:6" ht="12.6" customHeight="1" x14ac:dyDescent="0.2">
      <c r="A37" s="71">
        <v>29</v>
      </c>
      <c r="B37" s="84"/>
      <c r="C37" s="55" t="s">
        <v>42</v>
      </c>
      <c r="D37" s="96">
        <v>1.5</v>
      </c>
      <c r="E37" s="13"/>
      <c r="F37" s="13"/>
    </row>
    <row r="38" spans="1:6" ht="12.6" customHeight="1" x14ac:dyDescent="0.2">
      <c r="A38" s="71">
        <v>30</v>
      </c>
      <c r="B38" s="84"/>
      <c r="C38" s="55" t="s">
        <v>37</v>
      </c>
      <c r="D38" s="96">
        <v>1</v>
      </c>
      <c r="E38" s="13"/>
      <c r="F38" s="13"/>
    </row>
    <row r="39" spans="1:6" ht="12.6" customHeight="1" x14ac:dyDescent="0.2">
      <c r="A39" s="71">
        <v>31</v>
      </c>
      <c r="B39" s="84"/>
      <c r="C39" s="55" t="s">
        <v>43</v>
      </c>
      <c r="D39" s="96">
        <v>0.1</v>
      </c>
      <c r="E39" s="13"/>
      <c r="F39" s="13"/>
    </row>
    <row r="40" spans="1:6" ht="12.6" customHeight="1" x14ac:dyDescent="0.2">
      <c r="A40" s="71">
        <v>32</v>
      </c>
      <c r="B40" s="84"/>
      <c r="C40" s="55" t="s">
        <v>44</v>
      </c>
      <c r="D40" s="96">
        <v>0.4</v>
      </c>
      <c r="E40" s="13"/>
      <c r="F40" s="13"/>
    </row>
    <row r="41" spans="1:6" ht="12.6" customHeight="1" x14ac:dyDescent="0.2">
      <c r="A41" s="71">
        <v>33</v>
      </c>
      <c r="B41" s="84"/>
      <c r="C41" s="50" t="s">
        <v>45</v>
      </c>
      <c r="D41" s="96">
        <v>8.6999999999999993</v>
      </c>
      <c r="E41" s="13"/>
      <c r="F41" s="13"/>
    </row>
    <row r="42" spans="1:6" x14ac:dyDescent="0.2">
      <c r="A42" s="71">
        <v>34</v>
      </c>
      <c r="B42" s="84"/>
      <c r="C42" s="55" t="s">
        <v>35</v>
      </c>
      <c r="D42" s="96">
        <v>0.8</v>
      </c>
      <c r="E42" s="13"/>
      <c r="F42" s="13"/>
    </row>
    <row r="43" spans="1:6" ht="12.6" customHeight="1" x14ac:dyDescent="0.2">
      <c r="A43" s="71">
        <v>35</v>
      </c>
      <c r="B43" s="70" t="s">
        <v>23</v>
      </c>
      <c r="C43" s="85" t="s">
        <v>24</v>
      </c>
      <c r="D43" s="95">
        <f>SUM(D44:D55)</f>
        <v>74.999999999999972</v>
      </c>
      <c r="E43" s="13"/>
      <c r="F43" s="13"/>
    </row>
    <row r="44" spans="1:6" ht="15" customHeight="1" x14ac:dyDescent="0.2">
      <c r="A44" s="71">
        <v>36</v>
      </c>
      <c r="B44" s="84"/>
      <c r="C44" s="80" t="s">
        <v>3</v>
      </c>
      <c r="D44" s="96">
        <v>11.5</v>
      </c>
      <c r="E44" s="13"/>
      <c r="F44" s="13"/>
    </row>
    <row r="45" spans="1:6" ht="12.6" customHeight="1" x14ac:dyDescent="0.2">
      <c r="A45" s="71">
        <v>37</v>
      </c>
      <c r="B45" s="84"/>
      <c r="C45" s="54" t="s">
        <v>8</v>
      </c>
      <c r="D45" s="96">
        <v>19.600000000000001</v>
      </c>
      <c r="E45" s="13"/>
      <c r="F45" s="13"/>
    </row>
    <row r="46" spans="1:6" ht="12.6" customHeight="1" x14ac:dyDescent="0.2">
      <c r="A46" s="71">
        <v>38</v>
      </c>
      <c r="B46" s="84"/>
      <c r="C46" s="49" t="s">
        <v>4</v>
      </c>
      <c r="D46" s="96">
        <v>3.5</v>
      </c>
      <c r="E46" s="13"/>
      <c r="F46" s="13"/>
    </row>
    <row r="47" spans="1:6" ht="12.6" customHeight="1" x14ac:dyDescent="0.2">
      <c r="A47" s="71">
        <v>39</v>
      </c>
      <c r="B47" s="84"/>
      <c r="C47" s="49" t="s">
        <v>5</v>
      </c>
      <c r="D47" s="96">
        <v>4.4000000000000004</v>
      </c>
      <c r="E47" s="13"/>
      <c r="F47" s="13"/>
    </row>
    <row r="48" spans="1:6" ht="12.6" customHeight="1" x14ac:dyDescent="0.2">
      <c r="A48" s="71">
        <v>40</v>
      </c>
      <c r="B48" s="84"/>
      <c r="C48" s="49" t="s">
        <v>7</v>
      </c>
      <c r="D48" s="96">
        <v>15.3</v>
      </c>
      <c r="E48" s="13"/>
      <c r="F48" s="13"/>
    </row>
    <row r="49" spans="1:7" ht="12.6" customHeight="1" x14ac:dyDescent="0.2">
      <c r="A49" s="71">
        <v>41</v>
      </c>
      <c r="B49" s="101"/>
      <c r="C49" s="102" t="s">
        <v>6</v>
      </c>
      <c r="D49" s="103">
        <v>1</v>
      </c>
      <c r="E49" s="13"/>
      <c r="F49" s="13"/>
    </row>
    <row r="50" spans="1:7" ht="12.6" customHeight="1" x14ac:dyDescent="0.2">
      <c r="A50" s="71">
        <v>42</v>
      </c>
      <c r="B50" s="84"/>
      <c r="C50" s="49" t="s">
        <v>9</v>
      </c>
      <c r="D50" s="96">
        <v>5.2</v>
      </c>
      <c r="E50" s="13"/>
      <c r="F50" s="13"/>
    </row>
    <row r="51" spans="1:7" ht="12.6" customHeight="1" x14ac:dyDescent="0.2">
      <c r="A51" s="71">
        <v>43</v>
      </c>
      <c r="B51" s="84"/>
      <c r="C51" s="80" t="s">
        <v>10</v>
      </c>
      <c r="D51" s="96">
        <v>4.5999999999999996</v>
      </c>
      <c r="E51" s="13"/>
      <c r="F51" s="13"/>
    </row>
    <row r="52" spans="1:7" ht="12.6" customHeight="1" x14ac:dyDescent="0.2">
      <c r="A52" s="71">
        <v>44</v>
      </c>
      <c r="B52" s="84"/>
      <c r="C52" s="49" t="s">
        <v>12</v>
      </c>
      <c r="D52" s="96">
        <v>2.1</v>
      </c>
      <c r="E52" s="13"/>
      <c r="F52" s="13"/>
    </row>
    <row r="53" spans="1:7" ht="12.6" customHeight="1" x14ac:dyDescent="0.2">
      <c r="A53" s="71">
        <v>45</v>
      </c>
      <c r="B53" s="84"/>
      <c r="C53" s="49" t="s">
        <v>11</v>
      </c>
      <c r="D53" s="96">
        <v>1.6</v>
      </c>
      <c r="E53" s="13"/>
      <c r="F53" s="13"/>
    </row>
    <row r="54" spans="1:7" ht="12.6" customHeight="1" x14ac:dyDescent="0.2">
      <c r="A54" s="71">
        <v>46</v>
      </c>
      <c r="B54" s="84"/>
      <c r="C54" s="80" t="s">
        <v>13</v>
      </c>
      <c r="D54" s="96">
        <v>3.1</v>
      </c>
      <c r="E54" s="13"/>
      <c r="F54" s="13"/>
    </row>
    <row r="55" spans="1:7" ht="12.6" customHeight="1" x14ac:dyDescent="0.2">
      <c r="A55" s="71">
        <v>47</v>
      </c>
      <c r="B55" s="84"/>
      <c r="C55" s="49" t="s">
        <v>14</v>
      </c>
      <c r="D55" s="96">
        <v>3.1</v>
      </c>
      <c r="E55" s="13"/>
      <c r="F55" s="13"/>
    </row>
    <row r="56" spans="1:7" ht="12.6" customHeight="1" x14ac:dyDescent="0.2">
      <c r="A56" s="71">
        <v>48</v>
      </c>
      <c r="B56" s="84"/>
      <c r="C56" s="97" t="s">
        <v>20</v>
      </c>
      <c r="D56" s="95">
        <f>+D9+D34+D43+D32</f>
        <v>267.29999999999995</v>
      </c>
      <c r="E56" s="16"/>
      <c r="F56" s="13"/>
    </row>
    <row r="57" spans="1:7" ht="12.6" customHeight="1" x14ac:dyDescent="0.2">
      <c r="C57" s="10" t="s">
        <v>150</v>
      </c>
      <c r="D57" s="93"/>
      <c r="E57" s="13"/>
      <c r="F57" s="13"/>
      <c r="G57" s="13"/>
    </row>
    <row r="58" spans="1:7" x14ac:dyDescent="0.2">
      <c r="D58" s="93"/>
    </row>
    <row r="59" spans="1:7" x14ac:dyDescent="0.2">
      <c r="D59" s="104"/>
    </row>
  </sheetData>
  <mergeCells count="3">
    <mergeCell ref="C1:D1"/>
    <mergeCell ref="C2:D2"/>
    <mergeCell ref="A5:D5"/>
  </mergeCells>
  <phoneticPr fontId="5" type="noConversion"/>
  <pageMargins left="0.78740157480314965" right="0" top="0.70866141732283472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50"/>
  <sheetViews>
    <sheetView zoomScale="90" zoomScaleNormal="90" workbookViewId="0">
      <selection activeCell="F50" sqref="F50"/>
    </sheetView>
  </sheetViews>
  <sheetFormatPr defaultColWidth="9.140625" defaultRowHeight="12.75" x14ac:dyDescent="0.2"/>
  <cols>
    <col min="1" max="1" width="5.85546875" style="10" customWidth="1"/>
    <col min="2" max="2" width="7.42578125" style="63" customWidth="1"/>
    <col min="3" max="3" width="70" style="10" customWidth="1"/>
    <col min="4" max="4" width="9.7109375" style="62" customWidth="1"/>
    <col min="5" max="8" width="9.140625" style="3" customWidth="1"/>
    <col min="9" max="16384" width="9.140625" style="3"/>
  </cols>
  <sheetData>
    <row r="1" spans="1:12" ht="15.75" x14ac:dyDescent="0.25">
      <c r="C1" s="165" t="s">
        <v>187</v>
      </c>
      <c r="D1" s="165"/>
    </row>
    <row r="2" spans="1:12" ht="15.75" x14ac:dyDescent="0.25">
      <c r="C2" s="165" t="s">
        <v>586</v>
      </c>
      <c r="D2" s="165"/>
    </row>
    <row r="3" spans="1:12" ht="15.75" x14ac:dyDescent="0.2">
      <c r="D3" s="65" t="s">
        <v>113</v>
      </c>
    </row>
    <row r="4" spans="1:12" ht="15.75" x14ac:dyDescent="0.2">
      <c r="D4" s="65"/>
    </row>
    <row r="5" spans="1:12" ht="28.5" customHeight="1" x14ac:dyDescent="0.2">
      <c r="B5" s="167" t="s">
        <v>224</v>
      </c>
      <c r="C5" s="167"/>
      <c r="D5" s="167"/>
    </row>
    <row r="7" spans="1:12" x14ac:dyDescent="0.2">
      <c r="D7" s="67" t="s">
        <v>71</v>
      </c>
    </row>
    <row r="8" spans="1:12" ht="49.5" customHeight="1" x14ac:dyDescent="0.2">
      <c r="A8" s="42" t="s">
        <v>68</v>
      </c>
      <c r="B8" s="68" t="s">
        <v>186</v>
      </c>
      <c r="C8" s="42" t="s">
        <v>16</v>
      </c>
      <c r="D8" s="42" t="s">
        <v>17</v>
      </c>
    </row>
    <row r="9" spans="1:12" x14ac:dyDescent="0.2">
      <c r="A9" s="69">
        <v>1</v>
      </c>
      <c r="B9" s="70" t="s">
        <v>18</v>
      </c>
      <c r="C9" s="42">
        <v>3</v>
      </c>
      <c r="D9" s="42">
        <v>4</v>
      </c>
    </row>
    <row r="10" spans="1:12" ht="20.100000000000001" customHeight="1" x14ac:dyDescent="0.2">
      <c r="A10" s="71">
        <v>1</v>
      </c>
      <c r="B10" s="70" t="s">
        <v>47</v>
      </c>
      <c r="C10" s="105" t="s">
        <v>48</v>
      </c>
      <c r="D10" s="58">
        <f>SUM(D11:D36)</f>
        <v>1211.5999999999999</v>
      </c>
      <c r="E10" s="13"/>
      <c r="F10" s="13"/>
      <c r="G10" s="13"/>
      <c r="I10" s="13"/>
      <c r="J10" s="13"/>
      <c r="K10" s="13"/>
      <c r="L10" s="13"/>
    </row>
    <row r="11" spans="1:12" ht="12.6" customHeight="1" x14ac:dyDescent="0.2">
      <c r="A11" s="71">
        <v>2</v>
      </c>
      <c r="B11" s="84"/>
      <c r="C11" s="46" t="s">
        <v>88</v>
      </c>
      <c r="D11" s="76">
        <v>63</v>
      </c>
      <c r="E11" s="13"/>
      <c r="F11" s="13"/>
      <c r="G11" s="13"/>
      <c r="I11" s="13"/>
      <c r="J11" s="13"/>
      <c r="K11" s="13"/>
      <c r="L11" s="13"/>
    </row>
    <row r="12" spans="1:12" ht="12.6" customHeight="1" x14ac:dyDescent="0.2">
      <c r="A12" s="71">
        <v>3</v>
      </c>
      <c r="B12" s="84"/>
      <c r="C12" s="46" t="s">
        <v>79</v>
      </c>
      <c r="D12" s="76">
        <v>68.3</v>
      </c>
      <c r="E12" s="13"/>
      <c r="F12" s="13"/>
      <c r="G12" s="13"/>
      <c r="I12" s="13"/>
      <c r="J12" s="13"/>
      <c r="K12" s="13"/>
      <c r="L12" s="13"/>
    </row>
    <row r="13" spans="1:12" ht="12.6" customHeight="1" x14ac:dyDescent="0.2">
      <c r="A13" s="71">
        <v>4</v>
      </c>
      <c r="B13" s="84"/>
      <c r="C13" s="46" t="s">
        <v>80</v>
      </c>
      <c r="D13" s="76">
        <v>94</v>
      </c>
      <c r="E13" s="13"/>
      <c r="F13" s="13"/>
      <c r="G13" s="13"/>
      <c r="I13" s="13"/>
      <c r="J13" s="13"/>
      <c r="K13" s="13"/>
      <c r="L13" s="13"/>
    </row>
    <row r="14" spans="1:12" ht="12.6" customHeight="1" x14ac:dyDescent="0.2">
      <c r="A14" s="71">
        <v>5</v>
      </c>
      <c r="B14" s="84"/>
      <c r="C14" s="46" t="s">
        <v>84</v>
      </c>
      <c r="D14" s="76">
        <v>87.6</v>
      </c>
      <c r="E14" s="13"/>
      <c r="F14" s="13"/>
      <c r="G14" s="13"/>
      <c r="I14" s="13"/>
      <c r="J14" s="13"/>
      <c r="K14" s="13"/>
      <c r="L14" s="13"/>
    </row>
    <row r="15" spans="1:12" ht="12.6" customHeight="1" x14ac:dyDescent="0.2">
      <c r="A15" s="71">
        <v>6</v>
      </c>
      <c r="B15" s="84"/>
      <c r="C15" s="46" t="s">
        <v>81</v>
      </c>
      <c r="D15" s="76">
        <v>96.9</v>
      </c>
      <c r="E15" s="13"/>
      <c r="F15" s="13"/>
      <c r="G15" s="13"/>
      <c r="I15" s="13"/>
      <c r="J15" s="13"/>
      <c r="K15" s="13"/>
      <c r="L15" s="13"/>
    </row>
    <row r="16" spans="1:12" ht="12.6" customHeight="1" x14ac:dyDescent="0.2">
      <c r="A16" s="71">
        <v>7</v>
      </c>
      <c r="B16" s="84"/>
      <c r="C16" s="46" t="s">
        <v>82</v>
      </c>
      <c r="D16" s="76">
        <v>54.5</v>
      </c>
      <c r="E16" s="13"/>
      <c r="F16" s="13"/>
      <c r="G16" s="13"/>
      <c r="I16" s="13"/>
      <c r="J16" s="13"/>
      <c r="K16" s="13"/>
      <c r="L16" s="13"/>
    </row>
    <row r="17" spans="1:12" ht="12.6" customHeight="1" x14ac:dyDescent="0.2">
      <c r="A17" s="71">
        <v>8</v>
      </c>
      <c r="B17" s="84"/>
      <c r="C17" s="46" t="s">
        <v>83</v>
      </c>
      <c r="D17" s="76">
        <v>87.1</v>
      </c>
      <c r="E17" s="13"/>
      <c r="F17" s="13"/>
      <c r="G17" s="13"/>
      <c r="I17" s="13"/>
      <c r="J17" s="13"/>
      <c r="K17" s="13"/>
      <c r="L17" s="13"/>
    </row>
    <row r="18" spans="1:12" ht="12.6" customHeight="1" x14ac:dyDescent="0.2">
      <c r="A18" s="71">
        <v>9</v>
      </c>
      <c r="B18" s="84"/>
      <c r="C18" s="49" t="s">
        <v>95</v>
      </c>
      <c r="D18" s="76">
        <v>77.3</v>
      </c>
      <c r="E18" s="13"/>
      <c r="F18" s="13"/>
      <c r="G18" s="13"/>
      <c r="I18" s="13"/>
      <c r="J18" s="13"/>
      <c r="K18" s="13"/>
      <c r="L18" s="13"/>
    </row>
    <row r="19" spans="1:12" ht="12.6" customHeight="1" x14ac:dyDescent="0.2">
      <c r="A19" s="71">
        <v>10</v>
      </c>
      <c r="B19" s="84"/>
      <c r="C19" s="46" t="s">
        <v>38</v>
      </c>
      <c r="D19" s="76">
        <v>20.8</v>
      </c>
      <c r="E19" s="13"/>
      <c r="F19" s="13"/>
      <c r="G19" s="13"/>
      <c r="I19" s="13"/>
      <c r="J19" s="13"/>
      <c r="K19" s="13"/>
      <c r="L19" s="13"/>
    </row>
    <row r="20" spans="1:12" ht="12.6" customHeight="1" x14ac:dyDescent="0.2">
      <c r="A20" s="71">
        <v>11</v>
      </c>
      <c r="B20" s="84"/>
      <c r="C20" s="50" t="s">
        <v>73</v>
      </c>
      <c r="D20" s="18">
        <v>31</v>
      </c>
      <c r="E20" s="13"/>
      <c r="F20" s="13"/>
      <c r="G20" s="13"/>
      <c r="I20" s="13"/>
      <c r="J20" s="13"/>
      <c r="K20" s="13"/>
      <c r="L20" s="13"/>
    </row>
    <row r="21" spans="1:12" ht="12.6" customHeight="1" x14ac:dyDescent="0.2">
      <c r="A21" s="71">
        <v>12</v>
      </c>
      <c r="B21" s="84"/>
      <c r="C21" s="50" t="s">
        <v>74</v>
      </c>
      <c r="D21" s="18">
        <v>3.5</v>
      </c>
      <c r="E21" s="13"/>
      <c r="F21" s="13"/>
      <c r="G21" s="13"/>
      <c r="I21" s="13"/>
      <c r="J21" s="13"/>
      <c r="K21" s="13"/>
      <c r="L21" s="13"/>
    </row>
    <row r="22" spans="1:12" ht="12.6" customHeight="1" x14ac:dyDescent="0.2">
      <c r="A22" s="71">
        <v>13</v>
      </c>
      <c r="B22" s="84"/>
      <c r="C22" s="50" t="s">
        <v>32</v>
      </c>
      <c r="D22" s="18">
        <v>19.5</v>
      </c>
      <c r="E22" s="13"/>
      <c r="F22" s="13"/>
      <c r="G22" s="13"/>
      <c r="I22" s="13"/>
      <c r="J22" s="13"/>
      <c r="K22" s="13"/>
      <c r="L22" s="13"/>
    </row>
    <row r="23" spans="1:12" ht="12.6" customHeight="1" x14ac:dyDescent="0.2">
      <c r="A23" s="71">
        <v>14</v>
      </c>
      <c r="B23" s="84"/>
      <c r="C23" s="46" t="s">
        <v>76</v>
      </c>
      <c r="D23" s="76">
        <v>7.4</v>
      </c>
      <c r="E23" s="13"/>
      <c r="F23" s="13"/>
      <c r="G23" s="13"/>
      <c r="I23" s="13"/>
      <c r="J23" s="13"/>
      <c r="K23" s="13"/>
      <c r="L23" s="13"/>
    </row>
    <row r="24" spans="1:12" ht="12.6" customHeight="1" x14ac:dyDescent="0.2">
      <c r="A24" s="71">
        <v>15</v>
      </c>
      <c r="B24" s="84"/>
      <c r="C24" s="50" t="s">
        <v>85</v>
      </c>
      <c r="D24" s="76">
        <v>6.3</v>
      </c>
      <c r="E24" s="13"/>
      <c r="F24" s="13"/>
      <c r="G24" s="13"/>
      <c r="I24" s="13"/>
      <c r="J24" s="13"/>
      <c r="K24" s="13"/>
      <c r="L24" s="13"/>
    </row>
    <row r="25" spans="1:12" ht="12.6" customHeight="1" x14ac:dyDescent="0.2">
      <c r="A25" s="71">
        <v>16</v>
      </c>
      <c r="B25" s="84"/>
      <c r="C25" s="46" t="s">
        <v>86</v>
      </c>
      <c r="D25" s="76">
        <v>3.4</v>
      </c>
      <c r="E25" s="13"/>
      <c r="F25" s="13"/>
      <c r="G25" s="13"/>
      <c r="I25" s="13"/>
      <c r="J25" s="13"/>
      <c r="K25" s="13"/>
      <c r="L25" s="13"/>
    </row>
    <row r="26" spans="1:12" ht="12.6" customHeight="1" x14ac:dyDescent="0.2">
      <c r="A26" s="71">
        <v>17</v>
      </c>
      <c r="B26" s="84"/>
      <c r="C26" s="50" t="s">
        <v>547</v>
      </c>
      <c r="D26" s="76">
        <v>11</v>
      </c>
      <c r="E26" s="13"/>
      <c r="F26" s="13"/>
      <c r="G26" s="13"/>
      <c r="I26" s="13"/>
      <c r="J26" s="13"/>
      <c r="K26" s="13"/>
      <c r="L26" s="13"/>
    </row>
    <row r="27" spans="1:12" ht="12.6" customHeight="1" x14ac:dyDescent="0.2">
      <c r="A27" s="71">
        <v>18</v>
      </c>
      <c r="B27" s="84"/>
      <c r="C27" s="50" t="s">
        <v>33</v>
      </c>
      <c r="D27" s="76">
        <v>0.7</v>
      </c>
      <c r="E27" s="13"/>
      <c r="F27" s="13"/>
      <c r="G27" s="13"/>
      <c r="I27" s="13"/>
      <c r="J27" s="13"/>
      <c r="K27" s="13"/>
      <c r="L27" s="13"/>
    </row>
    <row r="28" spans="1:12" ht="12.6" customHeight="1" x14ac:dyDescent="0.2">
      <c r="A28" s="71">
        <v>19</v>
      </c>
      <c r="B28" s="84"/>
      <c r="C28" s="106" t="s">
        <v>75</v>
      </c>
      <c r="D28" s="18">
        <v>59.7</v>
      </c>
      <c r="E28" s="13"/>
      <c r="F28" s="13"/>
      <c r="G28" s="13"/>
      <c r="I28" s="13"/>
      <c r="J28" s="13"/>
      <c r="K28" s="13"/>
      <c r="L28" s="13"/>
    </row>
    <row r="29" spans="1:12" ht="12.6" customHeight="1" x14ac:dyDescent="0.2">
      <c r="A29" s="71">
        <v>20</v>
      </c>
      <c r="B29" s="84"/>
      <c r="C29" s="49" t="s">
        <v>34</v>
      </c>
      <c r="D29" s="18">
        <v>4.0999999999999996</v>
      </c>
      <c r="E29" s="13"/>
      <c r="F29" s="13"/>
      <c r="G29" s="13"/>
      <c r="I29" s="13"/>
      <c r="J29" s="13"/>
      <c r="K29" s="13"/>
      <c r="L29" s="13"/>
    </row>
    <row r="30" spans="1:12" ht="12.6" customHeight="1" x14ac:dyDescent="0.2">
      <c r="A30" s="71">
        <v>21</v>
      </c>
      <c r="B30" s="84"/>
      <c r="C30" s="50" t="s">
        <v>64</v>
      </c>
      <c r="D30" s="18">
        <v>43.6</v>
      </c>
      <c r="E30" s="13"/>
      <c r="F30" s="13"/>
      <c r="G30" s="13"/>
      <c r="I30" s="13"/>
      <c r="J30" s="13"/>
      <c r="K30" s="13"/>
      <c r="L30" s="13"/>
    </row>
    <row r="31" spans="1:12" ht="12.6" customHeight="1" x14ac:dyDescent="0.2">
      <c r="A31" s="71">
        <v>22</v>
      </c>
      <c r="B31" s="84"/>
      <c r="C31" s="46" t="s">
        <v>185</v>
      </c>
      <c r="D31" s="18">
        <v>11</v>
      </c>
      <c r="E31" s="13"/>
      <c r="F31" s="13"/>
      <c r="G31" s="13"/>
      <c r="I31" s="13"/>
      <c r="J31" s="13"/>
      <c r="K31" s="13"/>
      <c r="L31" s="13"/>
    </row>
    <row r="32" spans="1:12" ht="12.6" customHeight="1" x14ac:dyDescent="0.2">
      <c r="A32" s="71">
        <v>23</v>
      </c>
      <c r="B32" s="84"/>
      <c r="C32" s="107" t="s">
        <v>46</v>
      </c>
      <c r="D32" s="18">
        <v>128.9</v>
      </c>
      <c r="E32" s="13"/>
      <c r="F32" s="13"/>
      <c r="G32" s="13"/>
      <c r="I32" s="13"/>
      <c r="J32" s="13"/>
      <c r="K32" s="13"/>
      <c r="L32" s="13"/>
    </row>
    <row r="33" spans="1:12" ht="12.6" customHeight="1" x14ac:dyDescent="0.2">
      <c r="A33" s="71">
        <v>24</v>
      </c>
      <c r="B33" s="84"/>
      <c r="C33" s="107" t="s">
        <v>39</v>
      </c>
      <c r="D33" s="18">
        <v>106.2</v>
      </c>
      <c r="E33" s="13"/>
      <c r="F33" s="13"/>
      <c r="G33" s="13"/>
      <c r="I33" s="13"/>
      <c r="J33" s="13"/>
      <c r="K33" s="13"/>
      <c r="L33" s="13"/>
    </row>
    <row r="34" spans="1:12" ht="12.6" customHeight="1" x14ac:dyDescent="0.2">
      <c r="A34" s="71">
        <v>25</v>
      </c>
      <c r="B34" s="84"/>
      <c r="C34" s="107" t="s">
        <v>40</v>
      </c>
      <c r="D34" s="18">
        <v>93.1</v>
      </c>
      <c r="E34" s="13"/>
      <c r="F34" s="13"/>
      <c r="G34" s="13"/>
      <c r="I34" s="13"/>
      <c r="J34" s="13"/>
      <c r="K34" s="13"/>
      <c r="L34" s="13"/>
    </row>
    <row r="35" spans="1:12" ht="12.6" customHeight="1" x14ac:dyDescent="0.2">
      <c r="A35" s="71">
        <v>26</v>
      </c>
      <c r="B35" s="84"/>
      <c r="C35" s="107" t="s">
        <v>15</v>
      </c>
      <c r="D35" s="18">
        <v>20.7</v>
      </c>
      <c r="E35" s="13"/>
      <c r="F35" s="13"/>
      <c r="G35" s="13"/>
      <c r="I35" s="13"/>
      <c r="J35" s="13"/>
      <c r="K35" s="13"/>
      <c r="L35" s="13"/>
    </row>
    <row r="36" spans="1:12" ht="12.6" customHeight="1" x14ac:dyDescent="0.2">
      <c r="A36" s="71">
        <v>27</v>
      </c>
      <c r="B36" s="84"/>
      <c r="C36" s="107" t="s">
        <v>108</v>
      </c>
      <c r="D36" s="18">
        <v>12</v>
      </c>
      <c r="E36" s="13"/>
      <c r="F36" s="13"/>
      <c r="G36" s="13"/>
      <c r="I36" s="13"/>
      <c r="J36" s="13"/>
      <c r="K36" s="13"/>
      <c r="L36" s="13"/>
    </row>
    <row r="37" spans="1:12" ht="20.100000000000001" customHeight="1" x14ac:dyDescent="0.2">
      <c r="A37" s="71">
        <v>28</v>
      </c>
      <c r="B37" s="70" t="s">
        <v>21</v>
      </c>
      <c r="C37" s="108" t="s">
        <v>22</v>
      </c>
      <c r="D37" s="58">
        <f>SUM(D38:D41)</f>
        <v>1128.2</v>
      </c>
      <c r="E37" s="13"/>
      <c r="F37" s="13"/>
      <c r="G37" s="13"/>
      <c r="I37" s="13"/>
      <c r="J37" s="13"/>
      <c r="K37" s="13"/>
      <c r="L37" s="13"/>
    </row>
    <row r="38" spans="1:12" ht="12.6" customHeight="1" x14ac:dyDescent="0.2">
      <c r="A38" s="71">
        <v>29</v>
      </c>
      <c r="B38" s="84"/>
      <c r="C38" s="107" t="s">
        <v>2</v>
      </c>
      <c r="D38" s="76">
        <v>437.1</v>
      </c>
      <c r="E38" s="13"/>
      <c r="F38" s="13"/>
      <c r="G38" s="13"/>
      <c r="I38" s="13"/>
      <c r="J38" s="13"/>
      <c r="K38" s="13"/>
      <c r="L38" s="13"/>
    </row>
    <row r="39" spans="1:12" ht="12.6" customHeight="1" x14ac:dyDescent="0.2">
      <c r="A39" s="71">
        <v>30</v>
      </c>
      <c r="B39" s="84"/>
      <c r="C39" s="107" t="s">
        <v>15</v>
      </c>
      <c r="D39" s="76">
        <v>331.3</v>
      </c>
      <c r="E39" s="13"/>
      <c r="F39" s="13"/>
      <c r="G39" s="13"/>
      <c r="I39" s="13"/>
      <c r="J39" s="13"/>
      <c r="K39" s="13"/>
      <c r="L39" s="13" t="s">
        <v>154</v>
      </c>
    </row>
    <row r="40" spans="1:12" ht="12.6" customHeight="1" x14ac:dyDescent="0.2">
      <c r="A40" s="71">
        <v>31</v>
      </c>
      <c r="B40" s="84"/>
      <c r="C40" s="107" t="s">
        <v>108</v>
      </c>
      <c r="D40" s="76">
        <f>320+30</f>
        <v>350</v>
      </c>
      <c r="E40" s="13"/>
      <c r="F40" s="13"/>
      <c r="G40" s="13"/>
      <c r="I40" s="13"/>
      <c r="J40" s="13"/>
      <c r="K40" s="13"/>
      <c r="L40" s="13"/>
    </row>
    <row r="41" spans="1:12" ht="12.6" customHeight="1" x14ac:dyDescent="0.2">
      <c r="A41" s="71">
        <v>32</v>
      </c>
      <c r="B41" s="84"/>
      <c r="C41" s="55" t="s">
        <v>78</v>
      </c>
      <c r="D41" s="76">
        <f>6.3+3.5</f>
        <v>9.8000000000000007</v>
      </c>
      <c r="E41" s="13"/>
      <c r="F41" s="13"/>
      <c r="G41" s="13"/>
      <c r="I41" s="13"/>
      <c r="J41" s="13"/>
      <c r="K41" s="13"/>
      <c r="L41" s="13"/>
    </row>
    <row r="42" spans="1:12" ht="12.6" customHeight="1" x14ac:dyDescent="0.2">
      <c r="A42" s="71">
        <v>33</v>
      </c>
      <c r="B42" s="70" t="s">
        <v>51</v>
      </c>
      <c r="C42" s="85" t="s">
        <v>97</v>
      </c>
      <c r="D42" s="95">
        <f>D43</f>
        <v>44</v>
      </c>
      <c r="E42" s="13"/>
      <c r="F42" s="13"/>
      <c r="G42" s="13"/>
      <c r="I42" s="13"/>
      <c r="J42" s="13"/>
      <c r="K42" s="13"/>
      <c r="L42" s="13"/>
    </row>
    <row r="43" spans="1:12" ht="12.6" customHeight="1" x14ac:dyDescent="0.2">
      <c r="A43" s="71">
        <v>34</v>
      </c>
      <c r="B43" s="84"/>
      <c r="C43" s="46" t="s">
        <v>65</v>
      </c>
      <c r="D43" s="18">
        <f>39+5</f>
        <v>44</v>
      </c>
      <c r="E43" s="13"/>
      <c r="F43" s="13"/>
      <c r="G43" s="13"/>
      <c r="I43" s="13"/>
      <c r="J43" s="13"/>
      <c r="K43" s="13"/>
      <c r="L43" s="13"/>
    </row>
    <row r="44" spans="1:12" ht="12.6" customHeight="1" x14ac:dyDescent="0.2">
      <c r="A44" s="71">
        <v>35</v>
      </c>
      <c r="B44" s="84"/>
      <c r="C44" s="109" t="s">
        <v>20</v>
      </c>
      <c r="D44" s="58">
        <f>+D10+D37+D42</f>
        <v>2383.8000000000002</v>
      </c>
      <c r="E44" s="16"/>
      <c r="F44" s="13"/>
      <c r="G44" s="13"/>
      <c r="H44" s="13"/>
      <c r="I44" s="13"/>
      <c r="J44" s="13"/>
      <c r="K44" s="13"/>
      <c r="L44" s="13"/>
    </row>
    <row r="45" spans="1:12" x14ac:dyDescent="0.2">
      <c r="D45" s="98"/>
    </row>
    <row r="46" spans="1:12" x14ac:dyDescent="0.2">
      <c r="C46" s="10" t="s">
        <v>114</v>
      </c>
    </row>
    <row r="47" spans="1:12" x14ac:dyDescent="0.2">
      <c r="D47" s="98"/>
    </row>
    <row r="48" spans="1:12" x14ac:dyDescent="0.2">
      <c r="D48" s="98"/>
    </row>
    <row r="49" spans="4:4" x14ac:dyDescent="0.2">
      <c r="D49" s="98"/>
    </row>
    <row r="50" spans="4:4" x14ac:dyDescent="0.2">
      <c r="D50" s="91"/>
    </row>
  </sheetData>
  <mergeCells count="3">
    <mergeCell ref="C1:D1"/>
    <mergeCell ref="C2:D2"/>
    <mergeCell ref="B5:D5"/>
  </mergeCells>
  <pageMargins left="0.70866141732283472" right="0" top="0.78740157480314965" bottom="0.19685039370078741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46C32-864E-42C9-B300-E49A4990BFA0}">
  <dimension ref="A1:J45"/>
  <sheetViews>
    <sheetView workbookViewId="0">
      <selection activeCell="G9" sqref="G9"/>
    </sheetView>
  </sheetViews>
  <sheetFormatPr defaultColWidth="9.140625" defaultRowHeight="12.75" x14ac:dyDescent="0.2"/>
  <cols>
    <col min="1" max="1" width="6" style="10" customWidth="1"/>
    <col min="2" max="2" width="7.42578125" style="61" customWidth="1"/>
    <col min="3" max="3" width="70" style="10" customWidth="1"/>
    <col min="4" max="4" width="9.5703125" style="10" customWidth="1"/>
    <col min="5" max="16384" width="9.140625" style="3"/>
  </cols>
  <sheetData>
    <row r="1" spans="1:10" ht="15.75" customHeight="1" x14ac:dyDescent="0.25">
      <c r="C1" s="178" t="s">
        <v>187</v>
      </c>
      <c r="D1" s="178"/>
    </row>
    <row r="2" spans="1:10" ht="15.75" customHeight="1" x14ac:dyDescent="0.25">
      <c r="C2" s="178" t="s">
        <v>590</v>
      </c>
      <c r="D2" s="178"/>
    </row>
    <row r="3" spans="1:10" ht="15.75" x14ac:dyDescent="0.2">
      <c r="B3" s="64"/>
      <c r="D3" s="65" t="s">
        <v>591</v>
      </c>
    </row>
    <row r="4" spans="1:10" ht="15.75" x14ac:dyDescent="0.2">
      <c r="B4" s="64"/>
      <c r="D4" s="65"/>
    </row>
    <row r="5" spans="1:10" ht="30" customHeight="1" x14ac:dyDescent="0.2">
      <c r="A5" s="179" t="s">
        <v>592</v>
      </c>
      <c r="B5" s="179"/>
      <c r="C5" s="179"/>
      <c r="D5" s="179"/>
    </row>
    <row r="6" spans="1:10" x14ac:dyDescent="0.2">
      <c r="A6" s="66"/>
      <c r="B6" s="66"/>
      <c r="C6" s="66"/>
      <c r="D6" s="66"/>
    </row>
    <row r="7" spans="1:10" x14ac:dyDescent="0.2">
      <c r="B7" s="64"/>
      <c r="D7" s="62" t="s">
        <v>71</v>
      </c>
    </row>
    <row r="8" spans="1:10" ht="46.5" customHeight="1" x14ac:dyDescent="0.2">
      <c r="A8" s="42" t="s">
        <v>68</v>
      </c>
      <c r="B8" s="68" t="s">
        <v>186</v>
      </c>
      <c r="C8" s="42" t="s">
        <v>16</v>
      </c>
      <c r="D8" s="42" t="s">
        <v>17</v>
      </c>
    </row>
    <row r="9" spans="1:10" x14ac:dyDescent="0.2">
      <c r="A9" s="69">
        <v>1</v>
      </c>
      <c r="B9" s="70" t="s">
        <v>18</v>
      </c>
      <c r="C9" s="42">
        <v>3</v>
      </c>
      <c r="D9" s="42">
        <v>4</v>
      </c>
    </row>
    <row r="10" spans="1:10" x14ac:dyDescent="0.2">
      <c r="A10" s="71">
        <v>1</v>
      </c>
      <c r="B10" s="70" t="s">
        <v>47</v>
      </c>
      <c r="C10" s="72" t="s">
        <v>48</v>
      </c>
      <c r="D10" s="73">
        <f>+D11</f>
        <v>2503.1</v>
      </c>
      <c r="E10" s="13"/>
      <c r="F10" s="13"/>
      <c r="G10" s="13"/>
      <c r="H10" s="13"/>
      <c r="I10" s="13"/>
      <c r="J10" s="13"/>
    </row>
    <row r="11" spans="1:10" x14ac:dyDescent="0.2">
      <c r="A11" s="71">
        <v>2</v>
      </c>
      <c r="B11" s="75"/>
      <c r="C11" s="154" t="s">
        <v>92</v>
      </c>
      <c r="D11" s="81">
        <f>SUM(D12:D15)</f>
        <v>2503.1</v>
      </c>
      <c r="E11" s="13"/>
      <c r="F11" s="13"/>
      <c r="G11" s="13"/>
      <c r="H11" s="13"/>
      <c r="I11" s="13"/>
      <c r="J11" s="160"/>
    </row>
    <row r="12" spans="1:10" ht="25.5" x14ac:dyDescent="0.2">
      <c r="A12" s="155" t="s">
        <v>593</v>
      </c>
      <c r="B12" s="75"/>
      <c r="C12" s="83" t="s">
        <v>594</v>
      </c>
      <c r="D12" s="81">
        <f>138.6+28.7</f>
        <v>167.29999999999998</v>
      </c>
      <c r="E12" s="13"/>
      <c r="F12" s="13"/>
      <c r="G12" s="13"/>
      <c r="H12" s="13"/>
      <c r="I12" s="13"/>
      <c r="J12" s="160"/>
    </row>
    <row r="13" spans="1:10" ht="25.5" x14ac:dyDescent="0.2">
      <c r="A13" s="155" t="s">
        <v>595</v>
      </c>
      <c r="B13" s="75"/>
      <c r="C13" s="83" t="s">
        <v>596</v>
      </c>
      <c r="D13" s="81">
        <v>238.8</v>
      </c>
      <c r="E13" s="13"/>
      <c r="F13" s="13"/>
      <c r="G13" s="13"/>
      <c r="H13" s="13"/>
      <c r="I13" s="13"/>
      <c r="J13" s="160"/>
    </row>
    <row r="14" spans="1:10" x14ac:dyDescent="0.2">
      <c r="A14" s="155" t="s">
        <v>597</v>
      </c>
      <c r="B14" s="75"/>
      <c r="C14" s="78" t="s">
        <v>598</v>
      </c>
      <c r="D14" s="81">
        <v>1400</v>
      </c>
      <c r="E14" s="13"/>
      <c r="F14" s="13"/>
      <c r="G14" s="13"/>
      <c r="H14" s="13"/>
      <c r="I14" s="13"/>
      <c r="J14" s="160"/>
    </row>
    <row r="15" spans="1:10" ht="25.5" x14ac:dyDescent="0.2">
      <c r="A15" s="155" t="s">
        <v>599</v>
      </c>
      <c r="B15" s="75"/>
      <c r="C15" s="78" t="s">
        <v>600</v>
      </c>
      <c r="D15" s="81">
        <v>697</v>
      </c>
      <c r="E15" s="13"/>
      <c r="F15" s="13"/>
      <c r="G15" s="13"/>
      <c r="H15" s="13"/>
      <c r="I15" s="13"/>
      <c r="J15" s="160"/>
    </row>
    <row r="16" spans="1:10" x14ac:dyDescent="0.2">
      <c r="A16" s="155" t="s">
        <v>601</v>
      </c>
      <c r="B16" s="70" t="s">
        <v>49</v>
      </c>
      <c r="C16" s="85" t="s">
        <v>50</v>
      </c>
      <c r="D16" s="153">
        <f>+D17</f>
        <v>16.3</v>
      </c>
      <c r="E16" s="13"/>
      <c r="F16" s="13"/>
      <c r="G16" s="13"/>
      <c r="H16" s="13"/>
      <c r="I16" s="13"/>
      <c r="J16" s="160"/>
    </row>
    <row r="17" spans="1:10" x14ac:dyDescent="0.2">
      <c r="A17" s="155" t="s">
        <v>602</v>
      </c>
      <c r="B17" s="75"/>
      <c r="C17" s="154" t="s">
        <v>92</v>
      </c>
      <c r="D17" s="81">
        <f>+D18</f>
        <v>16.3</v>
      </c>
      <c r="E17" s="13"/>
      <c r="F17" s="13"/>
      <c r="G17" s="13"/>
      <c r="H17" s="13"/>
      <c r="I17" s="13"/>
      <c r="J17" s="160"/>
    </row>
    <row r="18" spans="1:10" x14ac:dyDescent="0.2">
      <c r="A18" s="155" t="s">
        <v>603</v>
      </c>
      <c r="B18" s="75"/>
      <c r="C18" s="83" t="s">
        <v>604</v>
      </c>
      <c r="D18" s="81">
        <v>16.3</v>
      </c>
      <c r="E18" s="13"/>
      <c r="F18" s="13"/>
      <c r="G18" s="13"/>
      <c r="H18" s="13"/>
      <c r="I18" s="13"/>
      <c r="J18" s="160"/>
    </row>
    <row r="19" spans="1:10" x14ac:dyDescent="0.2">
      <c r="A19" s="155" t="s">
        <v>605</v>
      </c>
      <c r="B19" s="70" t="s">
        <v>21</v>
      </c>
      <c r="C19" s="85" t="s">
        <v>22</v>
      </c>
      <c r="D19" s="153">
        <f>+D20</f>
        <v>10</v>
      </c>
      <c r="E19" s="13"/>
      <c r="F19" s="13"/>
      <c r="G19" s="13"/>
      <c r="H19" s="13"/>
      <c r="I19" s="13"/>
      <c r="J19" s="160"/>
    </row>
    <row r="20" spans="1:10" x14ac:dyDescent="0.2">
      <c r="A20" s="155" t="s">
        <v>606</v>
      </c>
      <c r="B20" s="70"/>
      <c r="C20" s="154" t="s">
        <v>92</v>
      </c>
      <c r="D20" s="81">
        <f>+D21</f>
        <v>10</v>
      </c>
      <c r="E20" s="13"/>
      <c r="F20" s="13"/>
      <c r="G20" s="13"/>
      <c r="H20" s="13"/>
      <c r="I20" s="13"/>
      <c r="J20" s="160"/>
    </row>
    <row r="21" spans="1:10" x14ac:dyDescent="0.2">
      <c r="A21" s="155" t="s">
        <v>607</v>
      </c>
      <c r="B21" s="70"/>
      <c r="C21" s="83" t="s">
        <v>608</v>
      </c>
      <c r="D21" s="81">
        <v>10</v>
      </c>
      <c r="E21" s="13"/>
      <c r="F21" s="13"/>
      <c r="G21" s="13"/>
      <c r="H21" s="13"/>
      <c r="I21" s="13"/>
      <c r="J21" s="160"/>
    </row>
    <row r="22" spans="1:10" x14ac:dyDescent="0.2">
      <c r="A22" s="155" t="s">
        <v>609</v>
      </c>
      <c r="B22" s="70" t="s">
        <v>26</v>
      </c>
      <c r="C22" s="85" t="s">
        <v>27</v>
      </c>
      <c r="D22" s="153">
        <f>+D23</f>
        <v>93.3</v>
      </c>
      <c r="E22" s="13"/>
      <c r="F22" s="13"/>
      <c r="G22" s="13"/>
      <c r="H22" s="13"/>
      <c r="I22" s="13"/>
      <c r="J22" s="160"/>
    </row>
    <row r="23" spans="1:10" x14ac:dyDescent="0.2">
      <c r="A23" s="155" t="s">
        <v>610</v>
      </c>
      <c r="B23" s="75"/>
      <c r="C23" s="154" t="s">
        <v>92</v>
      </c>
      <c r="D23" s="81">
        <f>+D24</f>
        <v>93.3</v>
      </c>
      <c r="E23" s="13"/>
      <c r="F23" s="13"/>
      <c r="G23" s="13"/>
      <c r="H23" s="13"/>
      <c r="I23" s="13"/>
      <c r="J23" s="160"/>
    </row>
    <row r="24" spans="1:10" ht="25.5" x14ac:dyDescent="0.2">
      <c r="A24" s="155" t="s">
        <v>611</v>
      </c>
      <c r="B24" s="75"/>
      <c r="C24" s="156" t="s">
        <v>612</v>
      </c>
      <c r="D24" s="81">
        <v>93.3</v>
      </c>
      <c r="E24" s="13"/>
      <c r="F24" s="13"/>
      <c r="G24" s="13"/>
      <c r="H24" s="13"/>
      <c r="I24" s="13"/>
      <c r="J24" s="160"/>
    </row>
    <row r="25" spans="1:10" ht="15.75" customHeight="1" x14ac:dyDescent="0.2">
      <c r="A25" s="71">
        <v>9</v>
      </c>
      <c r="B25" s="75"/>
      <c r="C25" s="109" t="s">
        <v>20</v>
      </c>
      <c r="D25" s="58">
        <f>+D10+D19+D22+D16</f>
        <v>2622.7000000000003</v>
      </c>
      <c r="E25" s="16"/>
      <c r="F25" s="16"/>
      <c r="G25" s="13"/>
      <c r="H25" s="13"/>
      <c r="I25" s="13"/>
      <c r="J25" s="13"/>
    </row>
    <row r="26" spans="1:10" x14ac:dyDescent="0.2">
      <c r="C26" s="10" t="s">
        <v>613</v>
      </c>
      <c r="D26" s="93"/>
    </row>
    <row r="27" spans="1:10" x14ac:dyDescent="0.2">
      <c r="D27" s="93"/>
    </row>
    <row r="28" spans="1:10" x14ac:dyDescent="0.2">
      <c r="C28" s="92"/>
      <c r="D28" s="161"/>
    </row>
    <row r="29" spans="1:10" x14ac:dyDescent="0.2">
      <c r="C29" s="24"/>
      <c r="D29" s="93"/>
    </row>
    <row r="30" spans="1:10" x14ac:dyDescent="0.2">
      <c r="C30" s="24"/>
      <c r="D30" s="93"/>
    </row>
    <row r="32" spans="1:10" x14ac:dyDescent="0.2">
      <c r="C32" s="62"/>
      <c r="D32" s="93"/>
    </row>
    <row r="33" spans="3:4" x14ac:dyDescent="0.2">
      <c r="C33" s="62"/>
    </row>
    <row r="34" spans="3:4" x14ac:dyDescent="0.2">
      <c r="C34" s="62"/>
    </row>
    <row r="35" spans="3:4" x14ac:dyDescent="0.2">
      <c r="C35" s="62"/>
      <c r="D35" s="93"/>
    </row>
    <row r="36" spans="3:4" x14ac:dyDescent="0.2">
      <c r="C36" s="62"/>
      <c r="D36" s="93"/>
    </row>
    <row r="37" spans="3:4" x14ac:dyDescent="0.2">
      <c r="C37" s="158"/>
      <c r="D37" s="93"/>
    </row>
    <row r="38" spans="3:4" x14ac:dyDescent="0.2">
      <c r="C38" s="159"/>
    </row>
    <row r="39" spans="3:4" x14ac:dyDescent="0.2">
      <c r="C39" s="62"/>
    </row>
    <row r="40" spans="3:4" x14ac:dyDescent="0.2">
      <c r="C40" s="62"/>
    </row>
    <row r="41" spans="3:4" x14ac:dyDescent="0.2">
      <c r="C41" s="62"/>
    </row>
    <row r="42" spans="3:4" x14ac:dyDescent="0.2">
      <c r="C42" s="62"/>
    </row>
    <row r="45" spans="3:4" x14ac:dyDescent="0.2">
      <c r="C45" s="62"/>
    </row>
  </sheetData>
  <mergeCells count="3">
    <mergeCell ref="C1:D1"/>
    <mergeCell ref="C2:D2"/>
    <mergeCell ref="A5:D5"/>
  </mergeCells>
  <pageMargins left="0.70866141732283472" right="0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0"/>
  <sheetViews>
    <sheetView zoomScaleNormal="100" workbookViewId="0">
      <selection activeCell="N6" sqref="N6"/>
    </sheetView>
  </sheetViews>
  <sheetFormatPr defaultColWidth="9.140625" defaultRowHeight="12.75" x14ac:dyDescent="0.2"/>
  <cols>
    <col min="1" max="1" width="5.85546875" style="10" customWidth="1"/>
    <col min="2" max="2" width="7.42578125" style="64" customWidth="1"/>
    <col min="3" max="3" width="70" style="92" customWidth="1"/>
    <col min="4" max="4" width="9.7109375" style="62" customWidth="1"/>
    <col min="5" max="6" width="9.140625" style="3" customWidth="1"/>
    <col min="7" max="16384" width="9.140625" style="3"/>
  </cols>
  <sheetData>
    <row r="1" spans="1:8" ht="15.75" x14ac:dyDescent="0.25">
      <c r="C1" s="178" t="s">
        <v>162</v>
      </c>
      <c r="D1" s="178"/>
    </row>
    <row r="2" spans="1:8" ht="15.75" x14ac:dyDescent="0.25">
      <c r="C2" s="178" t="s">
        <v>583</v>
      </c>
      <c r="D2" s="178"/>
    </row>
    <row r="3" spans="1:8" ht="15.75" x14ac:dyDescent="0.25">
      <c r="C3" s="4"/>
      <c r="D3" s="65" t="s">
        <v>115</v>
      </c>
    </row>
    <row r="4" spans="1:8" ht="12" customHeight="1" x14ac:dyDescent="0.2">
      <c r="C4" s="63"/>
      <c r="D4" s="63"/>
    </row>
    <row r="5" spans="1:8" ht="25.5" customHeight="1" x14ac:dyDescent="0.2">
      <c r="A5" s="179" t="s">
        <v>225</v>
      </c>
      <c r="B5" s="179"/>
      <c r="C5" s="179"/>
      <c r="D5" s="179"/>
    </row>
    <row r="6" spans="1:8" x14ac:dyDescent="0.2">
      <c r="A6" s="66"/>
      <c r="B6" s="66"/>
      <c r="C6" s="66"/>
      <c r="D6" s="66"/>
    </row>
    <row r="7" spans="1:8" x14ac:dyDescent="0.2">
      <c r="D7" s="67" t="s">
        <v>71</v>
      </c>
    </row>
    <row r="8" spans="1:8" ht="51.75" customHeight="1" x14ac:dyDescent="0.2">
      <c r="A8" s="42" t="s">
        <v>68</v>
      </c>
      <c r="B8" s="68" t="s">
        <v>186</v>
      </c>
      <c r="C8" s="42" t="s">
        <v>16</v>
      </c>
      <c r="D8" s="42" t="s">
        <v>17</v>
      </c>
    </row>
    <row r="9" spans="1:8" s="61" customFormat="1" ht="12" customHeight="1" x14ac:dyDescent="0.2">
      <c r="A9" s="69">
        <v>1</v>
      </c>
      <c r="B9" s="70" t="s">
        <v>18</v>
      </c>
      <c r="C9" s="42">
        <v>3</v>
      </c>
      <c r="D9" s="42">
        <v>4</v>
      </c>
    </row>
    <row r="10" spans="1:8" s="61" customFormat="1" x14ac:dyDescent="0.2">
      <c r="A10" s="71">
        <v>1</v>
      </c>
      <c r="B10" s="68" t="s">
        <v>49</v>
      </c>
      <c r="C10" s="72" t="s">
        <v>50</v>
      </c>
      <c r="D10" s="58">
        <f>SUM(+D11+D13)</f>
        <v>537</v>
      </c>
      <c r="E10" s="110"/>
    </row>
    <row r="11" spans="1:8" s="61" customFormat="1" ht="25.5" x14ac:dyDescent="0.2">
      <c r="A11" s="71">
        <v>2</v>
      </c>
      <c r="B11" s="111" t="s">
        <v>116</v>
      </c>
      <c r="C11" s="87" t="s">
        <v>226</v>
      </c>
      <c r="D11" s="112">
        <f>+D12</f>
        <v>534.70000000000005</v>
      </c>
      <c r="E11" s="110"/>
    </row>
    <row r="12" spans="1:8" s="61" customFormat="1" ht="12.6" customHeight="1" x14ac:dyDescent="0.2">
      <c r="A12" s="71">
        <v>3</v>
      </c>
      <c r="B12" s="111"/>
      <c r="C12" s="89" t="s">
        <v>109</v>
      </c>
      <c r="D12" s="47">
        <v>534.70000000000005</v>
      </c>
      <c r="E12" s="110"/>
    </row>
    <row r="13" spans="1:8" s="61" customFormat="1" ht="12.6" customHeight="1" x14ac:dyDescent="0.2">
      <c r="A13" s="71">
        <v>4</v>
      </c>
      <c r="B13" s="111" t="s">
        <v>117</v>
      </c>
      <c r="C13" s="87" t="s">
        <v>118</v>
      </c>
      <c r="D13" s="112">
        <f>+D14</f>
        <v>2.2999999999999998</v>
      </c>
      <c r="E13" s="110"/>
    </row>
    <row r="14" spans="1:8" s="61" customFormat="1" ht="12.6" customHeight="1" x14ac:dyDescent="0.2">
      <c r="A14" s="71">
        <v>5</v>
      </c>
      <c r="B14" s="68"/>
      <c r="C14" s="102" t="s">
        <v>3</v>
      </c>
      <c r="D14" s="47">
        <v>2.2999999999999998</v>
      </c>
      <c r="E14" s="110"/>
    </row>
    <row r="15" spans="1:8" x14ac:dyDescent="0.2">
      <c r="A15" s="71">
        <v>6</v>
      </c>
      <c r="B15" s="70" t="s">
        <v>21</v>
      </c>
      <c r="C15" s="85" t="s">
        <v>22</v>
      </c>
      <c r="D15" s="58">
        <f>SUM(D16+D22+D24+D26+D38+D41+D43+D45)</f>
        <v>4054.8</v>
      </c>
      <c r="E15" s="13"/>
    </row>
    <row r="16" spans="1:8" ht="24.95" customHeight="1" x14ac:dyDescent="0.2">
      <c r="A16" s="71">
        <v>7</v>
      </c>
      <c r="B16" s="75" t="s">
        <v>119</v>
      </c>
      <c r="C16" s="87" t="s">
        <v>120</v>
      </c>
      <c r="D16" s="113">
        <f>SUM(D17:D21)</f>
        <v>1410</v>
      </c>
      <c r="E16" s="13"/>
      <c r="H16" s="2"/>
    </row>
    <row r="17" spans="1:8" ht="12.6" customHeight="1" x14ac:dyDescent="0.2">
      <c r="A17" s="71">
        <v>8</v>
      </c>
      <c r="B17" s="75"/>
      <c r="C17" s="80" t="s">
        <v>1</v>
      </c>
      <c r="D17" s="76">
        <v>430</v>
      </c>
      <c r="E17" s="13"/>
    </row>
    <row r="18" spans="1:8" ht="12.6" customHeight="1" x14ac:dyDescent="0.2">
      <c r="A18" s="71">
        <v>9</v>
      </c>
      <c r="B18" s="75"/>
      <c r="C18" s="82" t="s">
        <v>2</v>
      </c>
      <c r="D18" s="76">
        <v>178</v>
      </c>
      <c r="E18" s="13"/>
    </row>
    <row r="19" spans="1:8" ht="12.6" customHeight="1" x14ac:dyDescent="0.2">
      <c r="A19" s="71">
        <v>10</v>
      </c>
      <c r="B19" s="75"/>
      <c r="C19" s="82" t="s">
        <v>15</v>
      </c>
      <c r="D19" s="76">
        <v>120</v>
      </c>
      <c r="E19" s="13"/>
    </row>
    <row r="20" spans="1:8" ht="12.6" customHeight="1" x14ac:dyDescent="0.2">
      <c r="A20" s="71">
        <v>11</v>
      </c>
      <c r="B20" s="75"/>
      <c r="C20" s="82" t="s">
        <v>19</v>
      </c>
      <c r="D20" s="76">
        <v>142</v>
      </c>
      <c r="E20" s="13"/>
    </row>
    <row r="21" spans="1:8" ht="12.6" customHeight="1" x14ac:dyDescent="0.2">
      <c r="A21" s="71">
        <v>12</v>
      </c>
      <c r="B21" s="77"/>
      <c r="C21" s="102" t="s">
        <v>3</v>
      </c>
      <c r="D21" s="76">
        <v>540</v>
      </c>
      <c r="E21" s="13"/>
      <c r="H21" s="2"/>
    </row>
    <row r="22" spans="1:8" ht="24.95" customHeight="1" x14ac:dyDescent="0.2">
      <c r="A22" s="71">
        <v>13</v>
      </c>
      <c r="B22" s="75" t="s">
        <v>121</v>
      </c>
      <c r="C22" s="87" t="s">
        <v>227</v>
      </c>
      <c r="D22" s="113">
        <f>SUM(D23:D23)</f>
        <v>912</v>
      </c>
      <c r="E22" s="13"/>
    </row>
    <row r="23" spans="1:8" ht="12.6" customHeight="1" x14ac:dyDescent="0.2">
      <c r="A23" s="71">
        <v>14</v>
      </c>
      <c r="B23" s="75"/>
      <c r="C23" s="80" t="s">
        <v>78</v>
      </c>
      <c r="D23" s="76">
        <v>912</v>
      </c>
      <c r="E23" s="13"/>
    </row>
    <row r="24" spans="1:8" ht="25.5" x14ac:dyDescent="0.2">
      <c r="A24" s="71">
        <v>15</v>
      </c>
      <c r="B24" s="75" t="s">
        <v>122</v>
      </c>
      <c r="C24" s="87" t="s">
        <v>195</v>
      </c>
      <c r="D24" s="113">
        <f>SUM(D25:D25)</f>
        <v>144.9</v>
      </c>
      <c r="E24" s="13"/>
    </row>
    <row r="25" spans="1:8" x14ac:dyDescent="0.2">
      <c r="A25" s="71">
        <v>16</v>
      </c>
      <c r="B25" s="75"/>
      <c r="C25" s="80" t="s">
        <v>78</v>
      </c>
      <c r="D25" s="76">
        <v>144.9</v>
      </c>
      <c r="E25" s="13"/>
    </row>
    <row r="26" spans="1:8" x14ac:dyDescent="0.2">
      <c r="A26" s="71">
        <v>17</v>
      </c>
      <c r="B26" s="75" t="s">
        <v>124</v>
      </c>
      <c r="C26" s="87" t="s">
        <v>123</v>
      </c>
      <c r="D26" s="113">
        <f>SUM(D27:D37)</f>
        <v>379.1</v>
      </c>
      <c r="E26" s="13"/>
      <c r="G26" s="2"/>
    </row>
    <row r="27" spans="1:8" ht="12.6" customHeight="1" x14ac:dyDescent="0.2">
      <c r="A27" s="71">
        <v>18</v>
      </c>
      <c r="B27" s="75"/>
      <c r="C27" s="49" t="s">
        <v>8</v>
      </c>
      <c r="D27" s="76">
        <f>232.9-26.9</f>
        <v>206</v>
      </c>
      <c r="E27" s="13"/>
    </row>
    <row r="28" spans="1:8" ht="12.6" customHeight="1" x14ac:dyDescent="0.2">
      <c r="A28" s="71">
        <v>19</v>
      </c>
      <c r="B28" s="75"/>
      <c r="C28" s="49" t="s">
        <v>4</v>
      </c>
      <c r="D28" s="76">
        <f>38.5-3.7</f>
        <v>34.799999999999997</v>
      </c>
      <c r="E28" s="13"/>
    </row>
    <row r="29" spans="1:8" ht="12.6" customHeight="1" x14ac:dyDescent="0.2">
      <c r="A29" s="71">
        <v>20</v>
      </c>
      <c r="B29" s="75"/>
      <c r="C29" s="49" t="s">
        <v>5</v>
      </c>
      <c r="D29" s="76">
        <f>11.5-1.8</f>
        <v>9.6999999999999993</v>
      </c>
      <c r="E29" s="13"/>
    </row>
    <row r="30" spans="1:8" ht="12.6" customHeight="1" x14ac:dyDescent="0.2">
      <c r="A30" s="71">
        <v>21</v>
      </c>
      <c r="B30" s="75"/>
      <c r="C30" s="49" t="s">
        <v>7</v>
      </c>
      <c r="D30" s="76">
        <f>21.3-3</f>
        <v>18.3</v>
      </c>
      <c r="E30" s="13"/>
    </row>
    <row r="31" spans="1:8" ht="12.6" customHeight="1" x14ac:dyDescent="0.2">
      <c r="A31" s="71">
        <v>22</v>
      </c>
      <c r="B31" s="75"/>
      <c r="C31" s="49" t="s">
        <v>6</v>
      </c>
      <c r="D31" s="76">
        <v>18.5</v>
      </c>
      <c r="E31" s="13"/>
    </row>
    <row r="32" spans="1:8" ht="12.6" customHeight="1" x14ac:dyDescent="0.2">
      <c r="A32" s="71">
        <v>23</v>
      </c>
      <c r="B32" s="75"/>
      <c r="C32" s="49" t="s">
        <v>9</v>
      </c>
      <c r="D32" s="76">
        <f>28.2+0.5</f>
        <v>28.7</v>
      </c>
      <c r="E32" s="13"/>
    </row>
    <row r="33" spans="1:5" ht="12.6" customHeight="1" x14ac:dyDescent="0.2">
      <c r="A33" s="71">
        <v>24</v>
      </c>
      <c r="B33" s="75"/>
      <c r="C33" s="80" t="s">
        <v>10</v>
      </c>
      <c r="D33" s="76">
        <f>10.3-3</f>
        <v>7.3000000000000007</v>
      </c>
      <c r="E33" s="13"/>
    </row>
    <row r="34" spans="1:5" ht="12.6" customHeight="1" x14ac:dyDescent="0.2">
      <c r="A34" s="71">
        <v>25</v>
      </c>
      <c r="B34" s="75"/>
      <c r="C34" s="49" t="s">
        <v>12</v>
      </c>
      <c r="D34" s="76">
        <f>10.3+3.8</f>
        <v>14.100000000000001</v>
      </c>
      <c r="E34" s="13"/>
    </row>
    <row r="35" spans="1:5" ht="12.6" customHeight="1" x14ac:dyDescent="0.2">
      <c r="A35" s="71">
        <v>26</v>
      </c>
      <c r="B35" s="75"/>
      <c r="C35" s="49" t="s">
        <v>11</v>
      </c>
      <c r="D35" s="76">
        <f>13.1+2.1</f>
        <v>15.2</v>
      </c>
      <c r="E35" s="13"/>
    </row>
    <row r="36" spans="1:5" ht="12.6" customHeight="1" x14ac:dyDescent="0.2">
      <c r="A36" s="71">
        <v>27</v>
      </c>
      <c r="B36" s="75"/>
      <c r="C36" s="49" t="s">
        <v>13</v>
      </c>
      <c r="D36" s="76">
        <v>8.5</v>
      </c>
      <c r="E36" s="13"/>
    </row>
    <row r="37" spans="1:5" ht="12.6" customHeight="1" x14ac:dyDescent="0.2">
      <c r="A37" s="71">
        <v>28</v>
      </c>
      <c r="B37" s="75"/>
      <c r="C37" s="49" t="s">
        <v>14</v>
      </c>
      <c r="D37" s="76">
        <f>21-3</f>
        <v>18</v>
      </c>
      <c r="E37" s="13"/>
    </row>
    <row r="38" spans="1:5" x14ac:dyDescent="0.2">
      <c r="A38" s="71">
        <v>29</v>
      </c>
      <c r="B38" s="75"/>
      <c r="C38" s="86" t="s">
        <v>228</v>
      </c>
      <c r="D38" s="113">
        <f>SUM(D39:D40)</f>
        <v>9.8000000000000007</v>
      </c>
      <c r="E38" s="13"/>
    </row>
    <row r="39" spans="1:5" ht="12.6" customHeight="1" x14ac:dyDescent="0.2">
      <c r="A39" s="71">
        <v>30</v>
      </c>
      <c r="B39" s="75"/>
      <c r="C39" s="49" t="s">
        <v>3</v>
      </c>
      <c r="D39" s="76">
        <v>8.3000000000000007</v>
      </c>
      <c r="E39" s="13"/>
    </row>
    <row r="40" spans="1:5" ht="12.6" customHeight="1" x14ac:dyDescent="0.2">
      <c r="A40" s="71">
        <v>31</v>
      </c>
      <c r="B40" s="75"/>
      <c r="C40" s="49" t="s">
        <v>8</v>
      </c>
      <c r="D40" s="76">
        <v>1.5</v>
      </c>
      <c r="E40" s="13"/>
    </row>
    <row r="41" spans="1:5" ht="29.25" customHeight="1" x14ac:dyDescent="0.2">
      <c r="A41" s="71">
        <v>32</v>
      </c>
      <c r="B41" s="75" t="s">
        <v>126</v>
      </c>
      <c r="C41" s="114" t="s">
        <v>125</v>
      </c>
      <c r="D41" s="113">
        <f>+D42</f>
        <v>996.3</v>
      </c>
      <c r="E41" s="13"/>
    </row>
    <row r="42" spans="1:5" ht="12.6" customHeight="1" x14ac:dyDescent="0.2">
      <c r="A42" s="71">
        <v>33</v>
      </c>
      <c r="B42" s="75"/>
      <c r="C42" s="102" t="s">
        <v>3</v>
      </c>
      <c r="D42" s="76">
        <v>996.3</v>
      </c>
      <c r="E42" s="13"/>
    </row>
    <row r="43" spans="1:5" x14ac:dyDescent="0.2">
      <c r="A43" s="71">
        <v>34</v>
      </c>
      <c r="B43" s="75" t="s">
        <v>194</v>
      </c>
      <c r="C43" s="114" t="s">
        <v>127</v>
      </c>
      <c r="D43" s="113">
        <f>+D44</f>
        <v>7.7</v>
      </c>
      <c r="E43" s="13"/>
    </row>
    <row r="44" spans="1:5" ht="12.6" customHeight="1" x14ac:dyDescent="0.2">
      <c r="A44" s="71">
        <v>35</v>
      </c>
      <c r="B44" s="75"/>
      <c r="C44" s="102" t="s">
        <v>3</v>
      </c>
      <c r="D44" s="76">
        <v>7.7</v>
      </c>
      <c r="E44" s="13"/>
    </row>
    <row r="45" spans="1:5" ht="12.6" customHeight="1" x14ac:dyDescent="0.2">
      <c r="A45" s="71">
        <v>36</v>
      </c>
      <c r="B45" s="75" t="s">
        <v>202</v>
      </c>
      <c r="C45" s="114" t="s">
        <v>229</v>
      </c>
      <c r="D45" s="113">
        <f>SUM(D46:D57)</f>
        <v>195.00000000000003</v>
      </c>
      <c r="E45" s="13"/>
    </row>
    <row r="46" spans="1:5" ht="12.6" customHeight="1" x14ac:dyDescent="0.2">
      <c r="A46" s="71">
        <v>37</v>
      </c>
      <c r="B46" s="75"/>
      <c r="C46" s="102" t="s">
        <v>3</v>
      </c>
      <c r="D46" s="113">
        <v>56.5</v>
      </c>
      <c r="E46" s="13"/>
    </row>
    <row r="47" spans="1:5" ht="12.6" customHeight="1" x14ac:dyDescent="0.2">
      <c r="A47" s="71">
        <v>38</v>
      </c>
      <c r="B47" s="75"/>
      <c r="C47" s="49" t="s">
        <v>8</v>
      </c>
      <c r="D47" s="76">
        <v>50.1</v>
      </c>
      <c r="E47" s="13"/>
    </row>
    <row r="48" spans="1:5" ht="12.6" customHeight="1" x14ac:dyDescent="0.2">
      <c r="A48" s="71">
        <v>39</v>
      </c>
      <c r="B48" s="75"/>
      <c r="C48" s="49" t="s">
        <v>4</v>
      </c>
      <c r="D48" s="76">
        <v>12.6</v>
      </c>
      <c r="E48" s="13"/>
    </row>
    <row r="49" spans="1:5" ht="12.6" customHeight="1" x14ac:dyDescent="0.2">
      <c r="A49" s="71">
        <v>40</v>
      </c>
      <c r="B49" s="75"/>
      <c r="C49" s="49" t="s">
        <v>5</v>
      </c>
      <c r="D49" s="76">
        <v>8.4</v>
      </c>
      <c r="E49" s="13"/>
    </row>
    <row r="50" spans="1:5" ht="12.6" customHeight="1" x14ac:dyDescent="0.2">
      <c r="A50" s="71">
        <v>41</v>
      </c>
      <c r="B50" s="75"/>
      <c r="C50" s="49" t="s">
        <v>7</v>
      </c>
      <c r="D50" s="76">
        <v>12.6</v>
      </c>
      <c r="E50" s="13"/>
    </row>
    <row r="51" spans="1:5" ht="12.6" customHeight="1" x14ac:dyDescent="0.2">
      <c r="A51" s="71">
        <v>42</v>
      </c>
      <c r="B51" s="75"/>
      <c r="C51" s="49" t="s">
        <v>6</v>
      </c>
      <c r="D51" s="76">
        <v>8.4</v>
      </c>
      <c r="E51" s="13"/>
    </row>
    <row r="52" spans="1:5" ht="12.6" customHeight="1" x14ac:dyDescent="0.2">
      <c r="A52" s="71">
        <v>43</v>
      </c>
      <c r="B52" s="75"/>
      <c r="C52" s="49" t="s">
        <v>9</v>
      </c>
      <c r="D52" s="76">
        <v>12.6</v>
      </c>
      <c r="E52" s="13"/>
    </row>
    <row r="53" spans="1:5" ht="12.6" customHeight="1" x14ac:dyDescent="0.2">
      <c r="A53" s="71">
        <v>44</v>
      </c>
      <c r="B53" s="75"/>
      <c r="C53" s="80" t="s">
        <v>10</v>
      </c>
      <c r="D53" s="76">
        <v>4.3</v>
      </c>
      <c r="E53" s="13"/>
    </row>
    <row r="54" spans="1:5" ht="12.6" customHeight="1" x14ac:dyDescent="0.2">
      <c r="A54" s="71">
        <v>45</v>
      </c>
      <c r="B54" s="75"/>
      <c r="C54" s="49" t="s">
        <v>12</v>
      </c>
      <c r="D54" s="76">
        <v>4.3</v>
      </c>
      <c r="E54" s="13"/>
    </row>
    <row r="55" spans="1:5" ht="12.6" customHeight="1" x14ac:dyDescent="0.2">
      <c r="A55" s="71">
        <v>46</v>
      </c>
      <c r="B55" s="75"/>
      <c r="C55" s="49" t="s">
        <v>11</v>
      </c>
      <c r="D55" s="76">
        <v>8.4</v>
      </c>
      <c r="E55" s="13"/>
    </row>
    <row r="56" spans="1:5" ht="12.6" customHeight="1" x14ac:dyDescent="0.2">
      <c r="A56" s="71">
        <v>47</v>
      </c>
      <c r="B56" s="75"/>
      <c r="C56" s="49" t="s">
        <v>13</v>
      </c>
      <c r="D56" s="76">
        <v>8.4</v>
      </c>
      <c r="E56" s="13"/>
    </row>
    <row r="57" spans="1:5" ht="12.6" customHeight="1" x14ac:dyDescent="0.2">
      <c r="A57" s="71">
        <v>48</v>
      </c>
      <c r="B57" s="75"/>
      <c r="C57" s="49" t="s">
        <v>14</v>
      </c>
      <c r="D57" s="76">
        <v>8.4</v>
      </c>
      <c r="E57" s="13"/>
    </row>
    <row r="58" spans="1:5" x14ac:dyDescent="0.2">
      <c r="A58" s="71">
        <v>49</v>
      </c>
      <c r="B58" s="70" t="s">
        <v>26</v>
      </c>
      <c r="C58" s="85" t="s">
        <v>27</v>
      </c>
      <c r="D58" s="58">
        <f>+D59+D71</f>
        <v>615.9</v>
      </c>
      <c r="E58" s="13"/>
    </row>
    <row r="59" spans="1:5" ht="12.6" customHeight="1" x14ac:dyDescent="0.2">
      <c r="A59" s="71">
        <v>50</v>
      </c>
      <c r="B59" s="75" t="s">
        <v>128</v>
      </c>
      <c r="C59" s="114" t="s">
        <v>129</v>
      </c>
      <c r="D59" s="113">
        <f>SUM(D60:D70)</f>
        <v>255.9</v>
      </c>
      <c r="E59" s="13"/>
    </row>
    <row r="60" spans="1:5" ht="12.6" customHeight="1" x14ac:dyDescent="0.2">
      <c r="A60" s="71">
        <v>51</v>
      </c>
      <c r="B60" s="75"/>
      <c r="C60" s="102" t="s">
        <v>3</v>
      </c>
      <c r="D60" s="76">
        <v>145.1</v>
      </c>
      <c r="E60" s="13"/>
    </row>
    <row r="61" spans="1:5" ht="12.6" customHeight="1" x14ac:dyDescent="0.2">
      <c r="A61" s="71">
        <v>52</v>
      </c>
      <c r="B61" s="75"/>
      <c r="C61" s="49" t="s">
        <v>4</v>
      </c>
      <c r="D61" s="76">
        <v>13.5</v>
      </c>
      <c r="E61" s="13"/>
    </row>
    <row r="62" spans="1:5" ht="12.6" customHeight="1" x14ac:dyDescent="0.2">
      <c r="A62" s="71">
        <v>53</v>
      </c>
      <c r="B62" s="75"/>
      <c r="C62" s="49" t="s">
        <v>5</v>
      </c>
      <c r="D62" s="76">
        <v>10.199999999999999</v>
      </c>
      <c r="E62" s="13"/>
    </row>
    <row r="63" spans="1:5" ht="12.6" customHeight="1" x14ac:dyDescent="0.2">
      <c r="A63" s="71">
        <v>54</v>
      </c>
      <c r="B63" s="75"/>
      <c r="C63" s="49" t="s">
        <v>7</v>
      </c>
      <c r="D63" s="76">
        <v>5.9</v>
      </c>
      <c r="E63" s="13"/>
    </row>
    <row r="64" spans="1:5" ht="12.6" customHeight="1" x14ac:dyDescent="0.2">
      <c r="A64" s="71">
        <v>55</v>
      </c>
      <c r="B64" s="75"/>
      <c r="C64" s="49" t="s">
        <v>6</v>
      </c>
      <c r="D64" s="76">
        <v>15.4</v>
      </c>
      <c r="E64" s="13"/>
    </row>
    <row r="65" spans="1:5" ht="12.6" customHeight="1" x14ac:dyDescent="0.2">
      <c r="A65" s="71">
        <v>56</v>
      </c>
      <c r="B65" s="75"/>
      <c r="C65" s="49" t="s">
        <v>9</v>
      </c>
      <c r="D65" s="76">
        <v>14.6</v>
      </c>
      <c r="E65" s="13"/>
    </row>
    <row r="66" spans="1:5" ht="12.6" customHeight="1" x14ac:dyDescent="0.2">
      <c r="A66" s="71">
        <v>57</v>
      </c>
      <c r="B66" s="75"/>
      <c r="C66" s="80" t="s">
        <v>10</v>
      </c>
      <c r="D66" s="76">
        <v>10.8</v>
      </c>
      <c r="E66" s="13"/>
    </row>
    <row r="67" spans="1:5" ht="12.6" customHeight="1" x14ac:dyDescent="0.2">
      <c r="A67" s="71">
        <v>58</v>
      </c>
      <c r="B67" s="75"/>
      <c r="C67" s="49" t="s">
        <v>12</v>
      </c>
      <c r="D67" s="76">
        <v>9.4</v>
      </c>
      <c r="E67" s="13"/>
    </row>
    <row r="68" spans="1:5" ht="12.6" customHeight="1" x14ac:dyDescent="0.2">
      <c r="A68" s="71">
        <v>59</v>
      </c>
      <c r="B68" s="75"/>
      <c r="C68" s="49" t="s">
        <v>11</v>
      </c>
      <c r="D68" s="76">
        <v>13.5</v>
      </c>
      <c r="E68" s="13"/>
    </row>
    <row r="69" spans="1:5" ht="12.6" customHeight="1" x14ac:dyDescent="0.2">
      <c r="A69" s="71">
        <v>60</v>
      </c>
      <c r="B69" s="75"/>
      <c r="C69" s="49" t="s">
        <v>13</v>
      </c>
      <c r="D69" s="76">
        <v>10.8</v>
      </c>
      <c r="E69" s="13"/>
    </row>
    <row r="70" spans="1:5" ht="12.6" customHeight="1" x14ac:dyDescent="0.2">
      <c r="A70" s="71">
        <v>61</v>
      </c>
      <c r="B70" s="75"/>
      <c r="C70" s="49" t="s">
        <v>14</v>
      </c>
      <c r="D70" s="76">
        <v>6.7</v>
      </c>
      <c r="E70" s="13"/>
    </row>
    <row r="71" spans="1:5" ht="51" x14ac:dyDescent="0.2">
      <c r="A71" s="174">
        <v>62</v>
      </c>
      <c r="B71" s="176" t="s">
        <v>130</v>
      </c>
      <c r="C71" s="87" t="s">
        <v>199</v>
      </c>
      <c r="D71" s="113">
        <f>+D73</f>
        <v>360</v>
      </c>
      <c r="E71" s="13"/>
    </row>
    <row r="72" spans="1:5" ht="12.6" customHeight="1" x14ac:dyDescent="0.2">
      <c r="A72" s="175"/>
      <c r="B72" s="177"/>
      <c r="C72" s="87" t="s">
        <v>131</v>
      </c>
      <c r="D72" s="113">
        <v>9</v>
      </c>
      <c r="E72" s="13"/>
    </row>
    <row r="73" spans="1:5" ht="12.6" customHeight="1" x14ac:dyDescent="0.2">
      <c r="A73" s="71">
        <v>63</v>
      </c>
      <c r="B73" s="75"/>
      <c r="C73" s="102" t="s">
        <v>3</v>
      </c>
      <c r="D73" s="76">
        <v>360</v>
      </c>
      <c r="E73" s="13"/>
    </row>
    <row r="74" spans="1:5" x14ac:dyDescent="0.2">
      <c r="A74" s="71">
        <v>64</v>
      </c>
      <c r="B74" s="70" t="s">
        <v>23</v>
      </c>
      <c r="C74" s="85" t="s">
        <v>24</v>
      </c>
      <c r="D74" s="58">
        <f>SUM(D75+D77+D79+D81+D83+D85+D87+D89+D91+D93+D95+D97+D99+D101)</f>
        <v>1764.7999999999997</v>
      </c>
      <c r="E74" s="13"/>
    </row>
    <row r="75" spans="1:5" ht="12.6" customHeight="1" x14ac:dyDescent="0.2">
      <c r="A75" s="71">
        <v>65</v>
      </c>
      <c r="B75" s="75" t="s">
        <v>28</v>
      </c>
      <c r="C75" s="114" t="s">
        <v>132</v>
      </c>
      <c r="D75" s="113">
        <f>+D76</f>
        <v>1445</v>
      </c>
      <c r="E75" s="13"/>
    </row>
    <row r="76" spans="1:5" ht="12.6" customHeight="1" x14ac:dyDescent="0.2">
      <c r="A76" s="71">
        <v>66</v>
      </c>
      <c r="B76" s="115"/>
      <c r="C76" s="49" t="s">
        <v>25</v>
      </c>
      <c r="D76" s="76">
        <v>1445</v>
      </c>
      <c r="E76" s="13"/>
    </row>
    <row r="77" spans="1:5" ht="12.6" customHeight="1" x14ac:dyDescent="0.2">
      <c r="A77" s="71">
        <v>67</v>
      </c>
      <c r="B77" s="75" t="s">
        <v>29</v>
      </c>
      <c r="C77" s="87" t="s">
        <v>133</v>
      </c>
      <c r="D77" s="113">
        <f>SUM(D78:D78)</f>
        <v>0.8</v>
      </c>
      <c r="E77" s="13"/>
    </row>
    <row r="78" spans="1:5" ht="12.6" customHeight="1" x14ac:dyDescent="0.2">
      <c r="A78" s="71">
        <v>68</v>
      </c>
      <c r="B78" s="75"/>
      <c r="C78" s="102" t="s">
        <v>3</v>
      </c>
      <c r="D78" s="76">
        <v>0.8</v>
      </c>
      <c r="E78" s="13"/>
    </row>
    <row r="79" spans="1:5" ht="12.6" customHeight="1" x14ac:dyDescent="0.2">
      <c r="A79" s="71">
        <v>69</v>
      </c>
      <c r="B79" s="111" t="s">
        <v>30</v>
      </c>
      <c r="C79" s="87" t="s">
        <v>134</v>
      </c>
      <c r="D79" s="112">
        <f>+D80</f>
        <v>47.9</v>
      </c>
      <c r="E79" s="13"/>
    </row>
    <row r="80" spans="1:5" ht="12.6" customHeight="1" x14ac:dyDescent="0.2">
      <c r="A80" s="71">
        <v>70</v>
      </c>
      <c r="B80" s="75"/>
      <c r="C80" s="102" t="s">
        <v>3</v>
      </c>
      <c r="D80" s="76">
        <v>47.9</v>
      </c>
      <c r="E80" s="13"/>
    </row>
    <row r="81" spans="1:5" ht="12.6" customHeight="1" x14ac:dyDescent="0.2">
      <c r="A81" s="71">
        <v>71</v>
      </c>
      <c r="B81" s="75" t="s">
        <v>31</v>
      </c>
      <c r="C81" s="87" t="s">
        <v>135</v>
      </c>
      <c r="D81" s="112">
        <f>+D82</f>
        <v>35.299999999999997</v>
      </c>
      <c r="E81" s="13"/>
    </row>
    <row r="82" spans="1:5" ht="12.6" customHeight="1" x14ac:dyDescent="0.2">
      <c r="A82" s="71">
        <v>72</v>
      </c>
      <c r="B82" s="75"/>
      <c r="C82" s="102" t="s">
        <v>3</v>
      </c>
      <c r="D82" s="76">
        <v>35.299999999999997</v>
      </c>
      <c r="E82" s="13"/>
    </row>
    <row r="83" spans="1:5" ht="12.6" customHeight="1" x14ac:dyDescent="0.2">
      <c r="A83" s="71">
        <v>73</v>
      </c>
      <c r="B83" s="75" t="s">
        <v>93</v>
      </c>
      <c r="C83" s="87" t="s">
        <v>136</v>
      </c>
      <c r="D83" s="112">
        <f>+D84</f>
        <v>46.8</v>
      </c>
      <c r="E83" s="13"/>
    </row>
    <row r="84" spans="1:5" ht="12.6" customHeight="1" x14ac:dyDescent="0.2">
      <c r="A84" s="71">
        <v>74</v>
      </c>
      <c r="B84" s="75"/>
      <c r="C84" s="102" t="s">
        <v>3</v>
      </c>
      <c r="D84" s="47">
        <f>45.9+0.9</f>
        <v>46.8</v>
      </c>
      <c r="E84" s="13"/>
    </row>
    <row r="85" spans="1:5" ht="12.6" customHeight="1" x14ac:dyDescent="0.2">
      <c r="A85" s="71">
        <v>75</v>
      </c>
      <c r="B85" s="75" t="s">
        <v>137</v>
      </c>
      <c r="C85" s="114" t="s">
        <v>138</v>
      </c>
      <c r="D85" s="112">
        <f>+D86</f>
        <v>9</v>
      </c>
      <c r="E85" s="13"/>
    </row>
    <row r="86" spans="1:5" ht="12.6" customHeight="1" x14ac:dyDescent="0.2">
      <c r="A86" s="71">
        <v>76</v>
      </c>
      <c r="B86" s="75"/>
      <c r="C86" s="102" t="s">
        <v>3</v>
      </c>
      <c r="D86" s="76">
        <v>9</v>
      </c>
      <c r="E86" s="13"/>
    </row>
    <row r="87" spans="1:5" ht="12.6" customHeight="1" x14ac:dyDescent="0.2">
      <c r="A87" s="71">
        <v>77</v>
      </c>
      <c r="B87" s="75" t="s">
        <v>139</v>
      </c>
      <c r="C87" s="87" t="s">
        <v>140</v>
      </c>
      <c r="D87" s="113">
        <f>+D88</f>
        <v>34.299999999999997</v>
      </c>
      <c r="E87" s="13"/>
    </row>
    <row r="88" spans="1:5" ht="12.6" customHeight="1" x14ac:dyDescent="0.2">
      <c r="A88" s="71">
        <v>78</v>
      </c>
      <c r="B88" s="75"/>
      <c r="C88" s="102" t="s">
        <v>3</v>
      </c>
      <c r="D88" s="76">
        <v>34.299999999999997</v>
      </c>
      <c r="E88" s="13"/>
    </row>
    <row r="89" spans="1:5" ht="12.6" customHeight="1" x14ac:dyDescent="0.2">
      <c r="A89" s="71">
        <v>79</v>
      </c>
      <c r="B89" s="75" t="s">
        <v>193</v>
      </c>
      <c r="C89" s="114" t="s">
        <v>230</v>
      </c>
      <c r="D89" s="113">
        <f>+D90</f>
        <v>19.5</v>
      </c>
      <c r="E89" s="13"/>
    </row>
    <row r="90" spans="1:5" ht="12.6" customHeight="1" x14ac:dyDescent="0.2">
      <c r="A90" s="71">
        <v>80</v>
      </c>
      <c r="B90" s="75"/>
      <c r="C90" s="102" t="s">
        <v>3</v>
      </c>
      <c r="D90" s="76">
        <v>19.5</v>
      </c>
      <c r="E90" s="13"/>
    </row>
    <row r="91" spans="1:5" ht="12.6" customHeight="1" x14ac:dyDescent="0.2">
      <c r="A91" s="71">
        <v>81</v>
      </c>
      <c r="B91" s="75" t="s">
        <v>141</v>
      </c>
      <c r="C91" s="87" t="s">
        <v>231</v>
      </c>
      <c r="D91" s="113">
        <f>+D92</f>
        <v>12.7</v>
      </c>
      <c r="E91" s="13"/>
    </row>
    <row r="92" spans="1:5" ht="12.6" customHeight="1" x14ac:dyDescent="0.2">
      <c r="A92" s="71">
        <v>82</v>
      </c>
      <c r="B92" s="75"/>
      <c r="C92" s="102" t="s">
        <v>3</v>
      </c>
      <c r="D92" s="76">
        <v>12.7</v>
      </c>
      <c r="E92" s="13"/>
    </row>
    <row r="93" spans="1:5" ht="12.6" customHeight="1" x14ac:dyDescent="0.2">
      <c r="A93" s="71">
        <v>83</v>
      </c>
      <c r="B93" s="75" t="s">
        <v>142</v>
      </c>
      <c r="C93" s="114" t="s">
        <v>201</v>
      </c>
      <c r="D93" s="113">
        <f>+D94</f>
        <v>1.3</v>
      </c>
      <c r="E93" s="13"/>
    </row>
    <row r="94" spans="1:5" ht="12.6" customHeight="1" x14ac:dyDescent="0.2">
      <c r="A94" s="71">
        <v>84</v>
      </c>
      <c r="B94" s="75"/>
      <c r="C94" s="102" t="s">
        <v>3</v>
      </c>
      <c r="D94" s="76">
        <v>1.3</v>
      </c>
      <c r="E94" s="13"/>
    </row>
    <row r="95" spans="1:5" ht="12.6" customHeight="1" x14ac:dyDescent="0.2">
      <c r="A95" s="71">
        <v>85</v>
      </c>
      <c r="B95" s="75" t="s">
        <v>143</v>
      </c>
      <c r="C95" s="114" t="s">
        <v>145</v>
      </c>
      <c r="D95" s="113">
        <f>SUM(D96:D96)</f>
        <v>5</v>
      </c>
      <c r="E95" s="13"/>
    </row>
    <row r="96" spans="1:5" ht="12.6" customHeight="1" x14ac:dyDescent="0.2">
      <c r="A96" s="71">
        <v>86</v>
      </c>
      <c r="B96" s="77"/>
      <c r="C96" s="49" t="s">
        <v>8</v>
      </c>
      <c r="D96" s="76">
        <v>5</v>
      </c>
      <c r="E96" s="13"/>
    </row>
    <row r="97" spans="1:5" ht="38.25" x14ac:dyDescent="0.2">
      <c r="A97" s="71">
        <v>87</v>
      </c>
      <c r="B97" s="75" t="s">
        <v>144</v>
      </c>
      <c r="C97" s="86" t="s">
        <v>160</v>
      </c>
      <c r="D97" s="76">
        <f>+D98</f>
        <v>22.8</v>
      </c>
      <c r="E97" s="116"/>
    </row>
    <row r="98" spans="1:5" ht="12.6" customHeight="1" x14ac:dyDescent="0.2">
      <c r="A98" s="71">
        <v>88</v>
      </c>
      <c r="B98" s="75"/>
      <c r="C98" s="117" t="s">
        <v>3</v>
      </c>
      <c r="D98" s="76">
        <v>22.8</v>
      </c>
      <c r="E98" s="13"/>
    </row>
    <row r="99" spans="1:5" ht="12.6" customHeight="1" x14ac:dyDescent="0.2">
      <c r="A99" s="71">
        <v>89</v>
      </c>
      <c r="B99" s="75" t="s">
        <v>207</v>
      </c>
      <c r="C99" s="86" t="s">
        <v>232</v>
      </c>
      <c r="D99" s="76">
        <f>+D100</f>
        <v>18.600000000000001</v>
      </c>
      <c r="E99" s="118"/>
    </row>
    <row r="100" spans="1:5" ht="12.6" customHeight="1" x14ac:dyDescent="0.2">
      <c r="A100" s="71">
        <v>90</v>
      </c>
      <c r="B100" s="75"/>
      <c r="C100" s="49" t="s">
        <v>3</v>
      </c>
      <c r="D100" s="76">
        <v>18.600000000000001</v>
      </c>
      <c r="E100" s="118"/>
    </row>
    <row r="101" spans="1:5" ht="26.25" customHeight="1" x14ac:dyDescent="0.2">
      <c r="A101" s="71">
        <v>91</v>
      </c>
      <c r="B101" s="75" t="s">
        <v>233</v>
      </c>
      <c r="C101" s="86" t="s">
        <v>234</v>
      </c>
      <c r="D101" s="76">
        <f>+D102</f>
        <v>65.8</v>
      </c>
      <c r="E101" s="118"/>
    </row>
    <row r="102" spans="1:5" ht="12.6" customHeight="1" x14ac:dyDescent="0.2">
      <c r="A102" s="71">
        <v>92</v>
      </c>
      <c r="B102" s="75"/>
      <c r="C102" s="49" t="s">
        <v>3</v>
      </c>
      <c r="D102" s="76">
        <v>65.8</v>
      </c>
      <c r="E102" s="118"/>
    </row>
    <row r="103" spans="1:5" ht="12.6" customHeight="1" x14ac:dyDescent="0.2">
      <c r="A103" s="71">
        <v>93</v>
      </c>
      <c r="B103" s="75"/>
      <c r="C103" s="119" t="s">
        <v>20</v>
      </c>
      <c r="D103" s="58">
        <f>+D10+D15+D58+D74</f>
        <v>6972.5</v>
      </c>
      <c r="E103" s="16"/>
    </row>
    <row r="104" spans="1:5" x14ac:dyDescent="0.2">
      <c r="C104" s="10" t="s">
        <v>146</v>
      </c>
      <c r="D104" s="98"/>
    </row>
    <row r="105" spans="1:5" x14ac:dyDescent="0.2">
      <c r="D105" s="93"/>
    </row>
    <row r="106" spans="1:5" x14ac:dyDescent="0.2">
      <c r="D106" s="98"/>
    </row>
    <row r="107" spans="1:5" x14ac:dyDescent="0.2">
      <c r="D107" s="98"/>
    </row>
    <row r="108" spans="1:5" x14ac:dyDescent="0.2">
      <c r="C108" s="120"/>
      <c r="D108" s="91"/>
    </row>
    <row r="109" spans="1:5" x14ac:dyDescent="0.2">
      <c r="C109" s="120"/>
    </row>
    <row r="110" spans="1:5" x14ac:dyDescent="0.2">
      <c r="C110" s="62"/>
    </row>
  </sheetData>
  <mergeCells count="5">
    <mergeCell ref="C1:D1"/>
    <mergeCell ref="C2:D2"/>
    <mergeCell ref="A5:D5"/>
    <mergeCell ref="A71:A72"/>
    <mergeCell ref="B71:B72"/>
  </mergeCells>
  <pageMargins left="0.70866141732283472" right="0" top="0.78740157480314965" bottom="0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72"/>
  <sheetViews>
    <sheetView zoomScaleNormal="100" workbookViewId="0">
      <selection activeCell="F53" sqref="F53"/>
    </sheetView>
  </sheetViews>
  <sheetFormatPr defaultColWidth="9.140625" defaultRowHeight="12.75" x14ac:dyDescent="0.2"/>
  <cols>
    <col min="1" max="1" width="5.85546875" style="10" customWidth="1"/>
    <col min="2" max="2" width="7.42578125" style="64" customWidth="1"/>
    <col min="3" max="3" width="70" style="121" customWidth="1"/>
    <col min="4" max="4" width="9.7109375" style="62" customWidth="1"/>
    <col min="5" max="6" width="11.140625" style="62" customWidth="1"/>
    <col min="7" max="16384" width="9.140625" style="3"/>
  </cols>
  <sheetData>
    <row r="1" spans="1:14" ht="15.75" x14ac:dyDescent="0.25">
      <c r="C1" s="178" t="s">
        <v>212</v>
      </c>
      <c r="D1" s="178"/>
      <c r="E1" s="39"/>
      <c r="F1" s="39"/>
    </row>
    <row r="2" spans="1:14" ht="15.75" x14ac:dyDescent="0.25">
      <c r="C2" s="178" t="s">
        <v>583</v>
      </c>
      <c r="D2" s="178"/>
      <c r="E2" s="39"/>
      <c r="F2" s="39"/>
    </row>
    <row r="3" spans="1:14" ht="15.75" x14ac:dyDescent="0.25">
      <c r="C3" s="4"/>
      <c r="D3" s="65" t="s">
        <v>188</v>
      </c>
      <c r="E3" s="39"/>
      <c r="F3" s="39"/>
    </row>
    <row r="4" spans="1:14" ht="15.75" x14ac:dyDescent="0.25">
      <c r="D4" s="65"/>
      <c r="E4" s="39"/>
      <c r="F4" s="39"/>
    </row>
    <row r="5" spans="1:14" ht="33" customHeight="1" x14ac:dyDescent="0.25">
      <c r="A5" s="180" t="s">
        <v>217</v>
      </c>
      <c r="B5" s="180"/>
      <c r="C5" s="180"/>
      <c r="D5" s="180"/>
      <c r="E5" s="39"/>
      <c r="F5" s="39"/>
    </row>
    <row r="6" spans="1:14" ht="15.75" x14ac:dyDescent="0.25">
      <c r="A6" s="122"/>
      <c r="B6" s="122"/>
      <c r="C6" s="122"/>
      <c r="D6" s="122"/>
      <c r="E6" s="39"/>
      <c r="F6" s="39"/>
    </row>
    <row r="7" spans="1:14" ht="15.75" x14ac:dyDescent="0.25">
      <c r="A7" s="123"/>
      <c r="B7" s="124"/>
      <c r="C7" s="125"/>
      <c r="D7" s="67" t="s">
        <v>71</v>
      </c>
      <c r="E7" s="39"/>
      <c r="F7" s="39"/>
    </row>
    <row r="8" spans="1:14" ht="38.25" x14ac:dyDescent="0.2">
      <c r="A8" s="42" t="s">
        <v>68</v>
      </c>
      <c r="B8" s="68" t="s">
        <v>186</v>
      </c>
      <c r="C8" s="42" t="s">
        <v>16</v>
      </c>
      <c r="D8" s="42" t="s">
        <v>17</v>
      </c>
      <c r="E8" s="65"/>
      <c r="F8" s="65"/>
    </row>
    <row r="9" spans="1:14" ht="15.75" x14ac:dyDescent="0.2">
      <c r="A9" s="69">
        <v>1</v>
      </c>
      <c r="B9" s="70" t="s">
        <v>18</v>
      </c>
      <c r="C9" s="42">
        <v>3</v>
      </c>
      <c r="D9" s="42">
        <v>4</v>
      </c>
      <c r="E9" s="65"/>
      <c r="F9" s="65"/>
    </row>
    <row r="10" spans="1:14" ht="32.25" customHeight="1" x14ac:dyDescent="0.2">
      <c r="A10" s="71">
        <v>1</v>
      </c>
      <c r="B10" s="70" t="s">
        <v>47</v>
      </c>
      <c r="C10" s="72" t="s">
        <v>48</v>
      </c>
      <c r="D10" s="73">
        <f>+D11+D44</f>
        <v>21798.500000000004</v>
      </c>
      <c r="E10" s="122"/>
      <c r="F10" s="122"/>
      <c r="I10" s="24"/>
    </row>
    <row r="11" spans="1:14" x14ac:dyDescent="0.2">
      <c r="A11" s="71">
        <v>2</v>
      </c>
      <c r="B11" s="111" t="s">
        <v>158</v>
      </c>
      <c r="C11" s="126" t="s">
        <v>151</v>
      </c>
      <c r="D11" s="112">
        <f>+D13+D16+D17+D18+D12+D14+D15+D19+D24+D21+D32+D20+D26+D27+D22+D23+D25+D28+D29+D30+D31+D33+D34+D35+D36+D43+D42</f>
        <v>21116.300000000003</v>
      </c>
      <c r="E11" s="122"/>
      <c r="F11" s="122"/>
    </row>
    <row r="12" spans="1:14" x14ac:dyDescent="0.2">
      <c r="A12" s="71">
        <v>3</v>
      </c>
      <c r="B12" s="75"/>
      <c r="C12" s="46" t="s">
        <v>88</v>
      </c>
      <c r="D12" s="76">
        <v>382.9</v>
      </c>
      <c r="E12" s="127"/>
      <c r="F12" s="127"/>
    </row>
    <row r="13" spans="1:14" x14ac:dyDescent="0.2">
      <c r="A13" s="71">
        <v>4</v>
      </c>
      <c r="B13" s="75"/>
      <c r="C13" s="46" t="s">
        <v>79</v>
      </c>
      <c r="D13" s="76">
        <v>440.6</v>
      </c>
      <c r="E13" s="41"/>
      <c r="F13" s="41"/>
    </row>
    <row r="14" spans="1:14" s="61" customFormat="1" ht="12.75" customHeight="1" x14ac:dyDescent="0.2">
      <c r="A14" s="71">
        <v>5</v>
      </c>
      <c r="B14" s="75"/>
      <c r="C14" s="46" t="s">
        <v>80</v>
      </c>
      <c r="D14" s="76">
        <v>441.2</v>
      </c>
      <c r="E14" s="41"/>
      <c r="F14" s="41"/>
      <c r="G14" s="3"/>
      <c r="H14" s="3"/>
      <c r="I14" s="3"/>
      <c r="J14" s="3"/>
      <c r="K14" s="3"/>
    </row>
    <row r="15" spans="1:14" s="61" customFormat="1" x14ac:dyDescent="0.2">
      <c r="A15" s="71">
        <v>6</v>
      </c>
      <c r="B15" s="75"/>
      <c r="C15" s="46" t="s">
        <v>84</v>
      </c>
      <c r="D15" s="76">
        <v>454.3</v>
      </c>
      <c r="E15" s="74"/>
      <c r="F15" s="74"/>
      <c r="G15" s="13"/>
      <c r="H15" s="13"/>
      <c r="I15" s="13"/>
      <c r="J15" s="13"/>
      <c r="K15" s="13"/>
      <c r="L15" s="110"/>
      <c r="M15" s="110"/>
      <c r="N15" s="110"/>
    </row>
    <row r="16" spans="1:14" s="61" customFormat="1" x14ac:dyDescent="0.2">
      <c r="A16" s="71">
        <v>7</v>
      </c>
      <c r="B16" s="75"/>
      <c r="C16" s="46" t="s">
        <v>81</v>
      </c>
      <c r="D16" s="76">
        <v>510.3</v>
      </c>
      <c r="E16" s="128"/>
      <c r="F16" s="128"/>
      <c r="G16" s="13"/>
      <c r="H16" s="13"/>
      <c r="I16" s="13"/>
      <c r="J16" s="13"/>
      <c r="K16" s="13"/>
      <c r="L16" s="110"/>
      <c r="M16" s="110"/>
      <c r="N16" s="110"/>
    </row>
    <row r="17" spans="1:14" ht="12.6" customHeight="1" x14ac:dyDescent="0.2">
      <c r="A17" s="71">
        <v>8</v>
      </c>
      <c r="B17" s="75"/>
      <c r="C17" s="46" t="s">
        <v>82</v>
      </c>
      <c r="D17" s="76">
        <v>494.9</v>
      </c>
      <c r="E17" s="91"/>
      <c r="F17" s="91"/>
      <c r="G17" s="91"/>
      <c r="H17" s="91"/>
      <c r="I17" s="13"/>
      <c r="J17" s="13"/>
      <c r="K17" s="13"/>
      <c r="L17" s="13"/>
      <c r="M17" s="13"/>
      <c r="N17" s="13"/>
    </row>
    <row r="18" spans="1:14" ht="12.6" customHeight="1" x14ac:dyDescent="0.2">
      <c r="A18" s="71">
        <v>9</v>
      </c>
      <c r="B18" s="75"/>
      <c r="C18" s="46" t="s">
        <v>83</v>
      </c>
      <c r="D18" s="76">
        <v>490.6</v>
      </c>
      <c r="E18" s="91"/>
      <c r="F18" s="91"/>
      <c r="G18" s="91"/>
      <c r="H18" s="91"/>
      <c r="I18" s="13"/>
      <c r="J18" s="13"/>
      <c r="K18" s="13"/>
      <c r="L18" s="13"/>
      <c r="M18" s="13"/>
      <c r="N18" s="13"/>
    </row>
    <row r="19" spans="1:14" ht="12.6" customHeight="1" x14ac:dyDescent="0.2">
      <c r="A19" s="71">
        <v>10</v>
      </c>
      <c r="B19" s="77"/>
      <c r="C19" s="49" t="s">
        <v>95</v>
      </c>
      <c r="D19" s="76">
        <v>534</v>
      </c>
      <c r="E19" s="91"/>
      <c r="F19" s="91"/>
      <c r="G19" s="91"/>
      <c r="H19" s="91"/>
      <c r="I19" s="13"/>
      <c r="J19" s="13"/>
      <c r="K19" s="13"/>
      <c r="L19" s="13"/>
      <c r="M19" s="13"/>
      <c r="N19" s="13"/>
    </row>
    <row r="20" spans="1:14" ht="12.6" customHeight="1" x14ac:dyDescent="0.2">
      <c r="A20" s="71">
        <v>11</v>
      </c>
      <c r="B20" s="77"/>
      <c r="C20" s="46" t="s">
        <v>87</v>
      </c>
      <c r="D20" s="76">
        <v>1364</v>
      </c>
      <c r="E20" s="91"/>
      <c r="F20" s="91"/>
      <c r="G20" s="91"/>
      <c r="H20" s="91"/>
      <c r="I20" s="13"/>
      <c r="J20" s="13"/>
      <c r="K20" s="13"/>
      <c r="L20" s="13"/>
      <c r="M20" s="13"/>
      <c r="N20" s="13"/>
    </row>
    <row r="21" spans="1:14" ht="12.6" customHeight="1" x14ac:dyDescent="0.2">
      <c r="A21" s="71">
        <v>12</v>
      </c>
      <c r="B21" s="77"/>
      <c r="C21" s="46" t="s">
        <v>38</v>
      </c>
      <c r="D21" s="76">
        <v>1448.6</v>
      </c>
      <c r="E21" s="91"/>
      <c r="F21" s="91"/>
      <c r="G21" s="91"/>
      <c r="H21" s="91"/>
      <c r="I21" s="13"/>
      <c r="J21" s="13"/>
      <c r="K21" s="13"/>
      <c r="L21" s="13"/>
      <c r="M21" s="13"/>
      <c r="N21" s="13"/>
    </row>
    <row r="22" spans="1:14" ht="12.6" customHeight="1" x14ac:dyDescent="0.2">
      <c r="A22" s="71">
        <v>13</v>
      </c>
      <c r="B22" s="77"/>
      <c r="C22" s="50" t="s">
        <v>73</v>
      </c>
      <c r="D22" s="76">
        <v>1632.4</v>
      </c>
      <c r="E22" s="91"/>
      <c r="F22" s="91"/>
      <c r="G22" s="91"/>
      <c r="H22" s="91"/>
      <c r="I22" s="13"/>
      <c r="J22" s="13"/>
      <c r="K22" s="13"/>
      <c r="M22" s="13"/>
      <c r="N22" s="13"/>
    </row>
    <row r="23" spans="1:14" ht="12.6" customHeight="1" x14ac:dyDescent="0.2">
      <c r="A23" s="71">
        <v>14</v>
      </c>
      <c r="B23" s="77"/>
      <c r="C23" s="50" t="s">
        <v>74</v>
      </c>
      <c r="D23" s="76">
        <v>972.8</v>
      </c>
      <c r="E23" s="91"/>
      <c r="F23" s="91"/>
      <c r="G23" s="91"/>
      <c r="H23" s="91"/>
      <c r="I23" s="13"/>
      <c r="J23" s="13"/>
      <c r="K23" s="59"/>
      <c r="M23" s="13"/>
      <c r="N23" s="13"/>
    </row>
    <row r="24" spans="1:14" ht="12.6" customHeight="1" x14ac:dyDescent="0.2">
      <c r="A24" s="71">
        <v>15</v>
      </c>
      <c r="B24" s="77"/>
      <c r="C24" s="50" t="s">
        <v>32</v>
      </c>
      <c r="D24" s="76">
        <v>1036.0999999999999</v>
      </c>
      <c r="E24" s="91"/>
      <c r="F24" s="91"/>
      <c r="G24" s="91"/>
      <c r="H24" s="91"/>
      <c r="I24" s="13"/>
      <c r="J24" s="13"/>
      <c r="K24" s="13"/>
      <c r="M24" s="13"/>
      <c r="N24" s="13"/>
    </row>
    <row r="25" spans="1:14" ht="12.6" customHeight="1" x14ac:dyDescent="0.2">
      <c r="A25" s="71">
        <v>16</v>
      </c>
      <c r="B25" s="77"/>
      <c r="C25" s="46" t="s">
        <v>76</v>
      </c>
      <c r="D25" s="76">
        <v>921.4</v>
      </c>
      <c r="E25" s="91"/>
      <c r="F25" s="91"/>
      <c r="G25" s="91"/>
      <c r="H25" s="91"/>
      <c r="I25" s="13"/>
      <c r="J25" s="13"/>
      <c r="K25" s="13"/>
      <c r="L25" s="13"/>
      <c r="M25" s="13"/>
      <c r="N25" s="13"/>
    </row>
    <row r="26" spans="1:14" ht="12.6" customHeight="1" x14ac:dyDescent="0.2">
      <c r="A26" s="71">
        <v>17</v>
      </c>
      <c r="B26" s="77"/>
      <c r="C26" s="50" t="s">
        <v>85</v>
      </c>
      <c r="D26" s="76">
        <v>2132.3000000000002</v>
      </c>
      <c r="E26" s="91"/>
      <c r="F26" s="91"/>
      <c r="G26" s="91"/>
      <c r="H26" s="91"/>
      <c r="I26" s="13"/>
      <c r="J26" s="13"/>
      <c r="K26" s="13"/>
      <c r="L26" s="13"/>
      <c r="M26" s="13"/>
      <c r="N26" s="13"/>
    </row>
    <row r="27" spans="1:14" ht="12.6" customHeight="1" x14ac:dyDescent="0.2">
      <c r="A27" s="71">
        <v>18</v>
      </c>
      <c r="B27" s="77"/>
      <c r="C27" s="46" t="s">
        <v>86</v>
      </c>
      <c r="D27" s="76">
        <v>2063.6</v>
      </c>
      <c r="E27" s="91"/>
      <c r="F27" s="91"/>
      <c r="G27" s="91"/>
      <c r="H27" s="91"/>
      <c r="I27" s="13"/>
      <c r="J27" s="13"/>
      <c r="K27" s="13"/>
      <c r="L27" s="13"/>
      <c r="M27" s="13"/>
      <c r="N27" s="13"/>
    </row>
    <row r="28" spans="1:14" ht="12.6" customHeight="1" x14ac:dyDescent="0.2">
      <c r="A28" s="71">
        <v>19</v>
      </c>
      <c r="B28" s="77"/>
      <c r="C28" s="50" t="s">
        <v>547</v>
      </c>
      <c r="D28" s="76">
        <v>1553.9</v>
      </c>
      <c r="E28" s="91"/>
      <c r="F28" s="91"/>
      <c r="G28" s="91"/>
      <c r="H28" s="91"/>
      <c r="I28" s="13"/>
      <c r="J28" s="13"/>
      <c r="K28" s="13"/>
      <c r="L28" s="13"/>
      <c r="M28" s="13"/>
      <c r="N28" s="13"/>
    </row>
    <row r="29" spans="1:14" ht="12.6" customHeight="1" x14ac:dyDescent="0.2">
      <c r="A29" s="71">
        <v>20</v>
      </c>
      <c r="B29" s="77"/>
      <c r="C29" s="50" t="s">
        <v>33</v>
      </c>
      <c r="D29" s="76">
        <v>520.20000000000005</v>
      </c>
      <c r="E29" s="91"/>
      <c r="F29" s="91"/>
      <c r="G29" s="91"/>
      <c r="H29" s="91"/>
      <c r="I29" s="13"/>
      <c r="J29" s="13"/>
      <c r="K29" s="13"/>
      <c r="L29" s="13"/>
      <c r="M29" s="13"/>
      <c r="N29" s="13"/>
    </row>
    <row r="30" spans="1:14" ht="12.6" customHeight="1" x14ac:dyDescent="0.2">
      <c r="A30" s="71">
        <v>21</v>
      </c>
      <c r="B30" s="77"/>
      <c r="C30" s="50" t="s">
        <v>75</v>
      </c>
      <c r="D30" s="76">
        <v>1022.7</v>
      </c>
      <c r="E30" s="91"/>
      <c r="F30" s="91"/>
      <c r="G30" s="91"/>
      <c r="H30" s="91"/>
      <c r="I30" s="13"/>
      <c r="J30" s="13"/>
      <c r="K30" s="13"/>
      <c r="L30" s="13"/>
      <c r="M30" s="13"/>
      <c r="N30" s="13"/>
    </row>
    <row r="31" spans="1:14" ht="12.6" customHeight="1" x14ac:dyDescent="0.2">
      <c r="A31" s="71">
        <v>22</v>
      </c>
      <c r="B31" s="129"/>
      <c r="C31" s="50" t="s">
        <v>34</v>
      </c>
      <c r="D31" s="76">
        <v>413.3</v>
      </c>
      <c r="E31" s="91"/>
      <c r="F31" s="91"/>
      <c r="G31" s="91"/>
      <c r="H31" s="91"/>
      <c r="I31" s="13"/>
      <c r="J31" s="13"/>
      <c r="K31" s="13"/>
      <c r="L31" s="13"/>
      <c r="M31" s="13"/>
      <c r="N31" s="13"/>
    </row>
    <row r="32" spans="1:14" ht="12.6" customHeight="1" x14ac:dyDescent="0.2">
      <c r="A32" s="71">
        <v>23</v>
      </c>
      <c r="B32" s="77"/>
      <c r="C32" s="50" t="s">
        <v>64</v>
      </c>
      <c r="D32" s="76">
        <v>296.7</v>
      </c>
      <c r="E32" s="91"/>
      <c r="F32" s="91"/>
      <c r="G32" s="91"/>
      <c r="H32" s="91"/>
      <c r="I32" s="13"/>
      <c r="J32" s="13"/>
      <c r="K32" s="13"/>
      <c r="L32" s="13"/>
      <c r="M32" s="13"/>
      <c r="N32" s="13"/>
    </row>
    <row r="33" spans="1:14" ht="12.6" customHeight="1" x14ac:dyDescent="0.2">
      <c r="A33" s="71">
        <v>24</v>
      </c>
      <c r="B33" s="77"/>
      <c r="C33" s="46" t="s">
        <v>185</v>
      </c>
      <c r="D33" s="76">
        <v>816.9</v>
      </c>
      <c r="E33" s="91"/>
      <c r="F33" s="91"/>
      <c r="G33" s="91"/>
      <c r="H33" s="91"/>
      <c r="I33" s="13"/>
      <c r="J33" s="13"/>
      <c r="K33" s="13"/>
      <c r="L33" s="13"/>
      <c r="M33" s="13"/>
      <c r="N33" s="13"/>
    </row>
    <row r="34" spans="1:14" ht="12.6" customHeight="1" x14ac:dyDescent="0.2">
      <c r="A34" s="71">
        <v>25</v>
      </c>
      <c r="B34" s="75"/>
      <c r="C34" s="46" t="s">
        <v>46</v>
      </c>
      <c r="D34" s="76">
        <v>26.9</v>
      </c>
      <c r="E34" s="91"/>
      <c r="F34" s="91"/>
      <c r="G34" s="91"/>
      <c r="H34" s="91"/>
      <c r="I34" s="13"/>
      <c r="J34" s="13"/>
      <c r="K34" s="13"/>
      <c r="L34" s="13"/>
      <c r="M34" s="13"/>
      <c r="N34" s="13"/>
    </row>
    <row r="35" spans="1:14" ht="12.6" customHeight="1" x14ac:dyDescent="0.2">
      <c r="A35" s="71">
        <v>26</v>
      </c>
      <c r="B35" s="75"/>
      <c r="C35" s="46" t="s">
        <v>40</v>
      </c>
      <c r="D35" s="76">
        <v>29.5</v>
      </c>
      <c r="E35" s="91"/>
      <c r="F35" s="91"/>
      <c r="G35" s="91"/>
      <c r="H35" s="91"/>
      <c r="I35" s="13"/>
      <c r="J35" s="13"/>
      <c r="K35" s="13"/>
      <c r="L35" s="13"/>
      <c r="M35" s="13"/>
      <c r="N35" s="13"/>
    </row>
    <row r="36" spans="1:14" ht="12.6" customHeight="1" x14ac:dyDescent="0.2">
      <c r="A36" s="71">
        <v>27</v>
      </c>
      <c r="B36" s="75"/>
      <c r="C36" s="46" t="s">
        <v>152</v>
      </c>
      <c r="D36" s="76">
        <f>+D37+D38+D39+D40+D41</f>
        <v>823.7</v>
      </c>
      <c r="E36" s="91"/>
      <c r="F36" s="91"/>
      <c r="G36" s="91"/>
      <c r="H36" s="91"/>
      <c r="I36" s="13"/>
      <c r="J36" s="13"/>
      <c r="K36" s="13"/>
      <c r="L36" s="13"/>
      <c r="M36" s="13"/>
      <c r="N36" s="13"/>
    </row>
    <row r="37" spans="1:14" ht="12.6" customHeight="1" x14ac:dyDescent="0.2">
      <c r="A37" s="130" t="s">
        <v>218</v>
      </c>
      <c r="B37" s="131"/>
      <c r="C37" s="50" t="s">
        <v>182</v>
      </c>
      <c r="D37" s="76">
        <v>252.5</v>
      </c>
      <c r="E37" s="91"/>
      <c r="F37" s="91"/>
      <c r="G37" s="91"/>
      <c r="H37" s="91"/>
      <c r="I37" s="13"/>
      <c r="J37" s="13"/>
      <c r="K37" s="13"/>
      <c r="L37" s="13"/>
      <c r="M37" s="13"/>
      <c r="N37" s="13"/>
    </row>
    <row r="38" spans="1:14" x14ac:dyDescent="0.2">
      <c r="A38" s="130" t="s">
        <v>219</v>
      </c>
      <c r="B38" s="131"/>
      <c r="C38" s="50" t="s">
        <v>181</v>
      </c>
      <c r="D38" s="76">
        <v>13.8</v>
      </c>
      <c r="E38" s="91"/>
      <c r="F38" s="91"/>
      <c r="G38" s="91"/>
      <c r="H38" s="91"/>
      <c r="I38" s="13"/>
      <c r="J38" s="13"/>
      <c r="K38" s="13"/>
      <c r="L38" s="13"/>
      <c r="M38" s="13"/>
      <c r="N38" s="13"/>
    </row>
    <row r="39" spans="1:14" ht="12.6" customHeight="1" x14ac:dyDescent="0.2">
      <c r="A39" s="130" t="s">
        <v>220</v>
      </c>
      <c r="B39" s="131"/>
      <c r="C39" s="50" t="s">
        <v>183</v>
      </c>
      <c r="D39" s="76">
        <v>138.19999999999999</v>
      </c>
      <c r="E39" s="91"/>
      <c r="F39" s="91"/>
      <c r="G39" s="91"/>
      <c r="H39" s="91"/>
      <c r="I39" s="13"/>
      <c r="J39" s="13"/>
      <c r="K39" s="13"/>
      <c r="L39" s="13"/>
      <c r="M39" s="13"/>
      <c r="N39" s="13"/>
    </row>
    <row r="40" spans="1:14" ht="12.6" customHeight="1" x14ac:dyDescent="0.2">
      <c r="A40" s="130" t="s">
        <v>221</v>
      </c>
      <c r="B40" s="132"/>
      <c r="C40" s="50" t="s">
        <v>184</v>
      </c>
      <c r="D40" s="76">
        <v>49.9</v>
      </c>
      <c r="E40" s="91"/>
      <c r="F40" s="91"/>
      <c r="G40" s="91"/>
      <c r="H40" s="91"/>
      <c r="I40" s="13"/>
      <c r="J40" s="13"/>
      <c r="K40" s="13"/>
      <c r="L40" s="13"/>
      <c r="M40" s="13"/>
      <c r="N40" s="13"/>
    </row>
    <row r="41" spans="1:14" ht="12.6" customHeight="1" x14ac:dyDescent="0.2">
      <c r="A41" s="130" t="s">
        <v>222</v>
      </c>
      <c r="B41" s="132"/>
      <c r="C41" s="50" t="s">
        <v>196</v>
      </c>
      <c r="D41" s="76">
        <v>369.3</v>
      </c>
      <c r="E41" s="91"/>
      <c r="F41" s="91"/>
      <c r="G41" s="91"/>
      <c r="H41" s="91"/>
      <c r="I41" s="13"/>
      <c r="J41" s="13"/>
      <c r="K41" s="13"/>
      <c r="L41" s="13"/>
      <c r="M41" s="13"/>
      <c r="N41" s="13"/>
    </row>
    <row r="42" spans="1:14" ht="12.6" customHeight="1" x14ac:dyDescent="0.2">
      <c r="A42" s="71">
        <v>28</v>
      </c>
      <c r="B42" s="75"/>
      <c r="C42" s="133" t="s">
        <v>15</v>
      </c>
      <c r="D42" s="76">
        <v>162.9</v>
      </c>
      <c r="F42" s="91"/>
      <c r="G42" s="91"/>
      <c r="H42" s="91"/>
      <c r="I42" s="13"/>
      <c r="J42" s="13"/>
      <c r="K42" s="13"/>
      <c r="L42" s="13"/>
      <c r="M42" s="13"/>
      <c r="N42" s="13"/>
    </row>
    <row r="43" spans="1:14" ht="24.95" customHeight="1" x14ac:dyDescent="0.2">
      <c r="A43" s="71">
        <v>29</v>
      </c>
      <c r="B43" s="75"/>
      <c r="C43" s="133" t="s">
        <v>153</v>
      </c>
      <c r="D43" s="76">
        <v>129.6</v>
      </c>
      <c r="E43" s="91"/>
      <c r="F43" s="91"/>
      <c r="G43" s="91"/>
      <c r="H43" s="91"/>
      <c r="I43" s="13"/>
      <c r="J43" s="13"/>
      <c r="K43" s="13"/>
      <c r="L43" s="13"/>
      <c r="M43" s="13"/>
      <c r="N43" s="13"/>
    </row>
    <row r="44" spans="1:14" ht="12.6" customHeight="1" x14ac:dyDescent="0.2">
      <c r="A44" s="71">
        <v>30</v>
      </c>
      <c r="B44" s="111" t="s">
        <v>159</v>
      </c>
      <c r="C44" s="126" t="s">
        <v>98</v>
      </c>
      <c r="D44" s="113">
        <f>+D45</f>
        <v>682.2</v>
      </c>
      <c r="E44" s="91"/>
      <c r="F44" s="91"/>
      <c r="G44" s="91"/>
      <c r="H44" s="91"/>
      <c r="I44" s="13"/>
      <c r="J44" s="13"/>
      <c r="K44" s="13"/>
      <c r="L44" s="13"/>
      <c r="M44" s="13"/>
      <c r="N44" s="13"/>
    </row>
    <row r="45" spans="1:14" ht="12.6" customHeight="1" x14ac:dyDescent="0.2">
      <c r="A45" s="71">
        <v>31</v>
      </c>
      <c r="B45" s="75"/>
      <c r="C45" s="46" t="s">
        <v>185</v>
      </c>
      <c r="D45" s="134">
        <v>682.2</v>
      </c>
      <c r="E45" s="91"/>
      <c r="F45" s="91"/>
      <c r="G45" s="91"/>
      <c r="H45" s="91"/>
      <c r="I45" s="13"/>
      <c r="J45" s="13"/>
      <c r="K45" s="13"/>
      <c r="L45" s="13"/>
      <c r="M45" s="13"/>
      <c r="N45" s="13"/>
    </row>
    <row r="46" spans="1:14" ht="12.6" customHeight="1" x14ac:dyDescent="0.2">
      <c r="A46" s="71">
        <v>32</v>
      </c>
      <c r="B46" s="70" t="s">
        <v>51</v>
      </c>
      <c r="C46" s="85" t="s">
        <v>97</v>
      </c>
      <c r="D46" s="95">
        <f>+D47</f>
        <v>59.6</v>
      </c>
      <c r="E46" s="91"/>
      <c r="F46" s="91"/>
      <c r="G46" s="91"/>
      <c r="H46" s="91"/>
      <c r="I46" s="13"/>
      <c r="J46" s="13"/>
      <c r="K46" s="13"/>
      <c r="L46" s="13"/>
      <c r="M46" s="13"/>
      <c r="N46" s="13"/>
    </row>
    <row r="47" spans="1:14" ht="12.6" customHeight="1" x14ac:dyDescent="0.2">
      <c r="A47" s="71">
        <v>33</v>
      </c>
      <c r="B47" s="111" t="s">
        <v>161</v>
      </c>
      <c r="C47" s="126" t="s">
        <v>151</v>
      </c>
      <c r="D47" s="112">
        <f>+D48</f>
        <v>59.6</v>
      </c>
      <c r="E47" s="91"/>
      <c r="F47" s="91"/>
      <c r="G47" s="91"/>
      <c r="H47" s="91"/>
      <c r="I47" s="13"/>
      <c r="J47" s="13"/>
      <c r="K47" s="13"/>
      <c r="L47" s="13"/>
      <c r="M47" s="13"/>
      <c r="N47" s="13"/>
    </row>
    <row r="48" spans="1:14" ht="12.6" customHeight="1" x14ac:dyDescent="0.2">
      <c r="A48" s="71">
        <v>34</v>
      </c>
      <c r="B48" s="84"/>
      <c r="C48" s="46" t="s">
        <v>65</v>
      </c>
      <c r="D48" s="76">
        <v>59.6</v>
      </c>
      <c r="E48" s="91"/>
      <c r="F48" s="91"/>
      <c r="G48" s="91"/>
      <c r="H48" s="91"/>
      <c r="I48" s="13"/>
      <c r="J48" s="13"/>
      <c r="K48" s="13"/>
      <c r="L48" s="13"/>
      <c r="M48" s="13"/>
      <c r="N48" s="13"/>
    </row>
    <row r="49" spans="1:14" ht="12.6" customHeight="1" x14ac:dyDescent="0.2">
      <c r="A49" s="71">
        <v>35</v>
      </c>
      <c r="B49" s="70"/>
      <c r="C49" s="109" t="s">
        <v>20</v>
      </c>
      <c r="D49" s="58">
        <f>+D10+D46</f>
        <v>21858.100000000002</v>
      </c>
      <c r="E49" s="94"/>
      <c r="F49" s="91"/>
      <c r="G49" s="91"/>
      <c r="H49" s="91"/>
      <c r="I49" s="13"/>
      <c r="J49" s="13"/>
      <c r="K49" s="13"/>
      <c r="L49" s="13"/>
      <c r="M49" s="13"/>
      <c r="N49" s="13"/>
    </row>
    <row r="50" spans="1:14" x14ac:dyDescent="0.2">
      <c r="A50" s="62"/>
      <c r="B50" s="135"/>
      <c r="C50" s="136"/>
      <c r="D50" s="137"/>
      <c r="E50" s="138"/>
      <c r="F50" s="91"/>
      <c r="G50" s="13"/>
      <c r="H50" s="13"/>
      <c r="I50" s="13"/>
      <c r="J50" s="13"/>
      <c r="K50" s="13"/>
      <c r="L50" s="13"/>
      <c r="M50" s="13"/>
      <c r="N50" s="13"/>
    </row>
    <row r="51" spans="1:14" ht="12.6" customHeight="1" x14ac:dyDescent="0.2">
      <c r="C51" s="121" t="s">
        <v>66</v>
      </c>
      <c r="D51" s="98"/>
      <c r="E51" s="91"/>
      <c r="F51" s="91"/>
      <c r="G51" s="91"/>
      <c r="H51" s="91"/>
      <c r="I51" s="13"/>
      <c r="J51" s="13"/>
      <c r="K51" s="13"/>
      <c r="L51" s="13"/>
      <c r="M51" s="13"/>
      <c r="N51" s="13"/>
    </row>
    <row r="52" spans="1:14" ht="18" customHeight="1" x14ac:dyDescent="0.2">
      <c r="D52" s="98"/>
      <c r="E52" s="139"/>
      <c r="F52" s="91"/>
      <c r="G52" s="13"/>
      <c r="H52" s="13"/>
      <c r="I52" s="13"/>
      <c r="J52" s="13"/>
      <c r="K52" s="13"/>
      <c r="L52" s="13"/>
      <c r="M52" s="13"/>
      <c r="N52" s="13"/>
    </row>
    <row r="53" spans="1:14" ht="12.6" customHeight="1" x14ac:dyDescent="0.2">
      <c r="D53" s="98"/>
      <c r="E53" s="128"/>
      <c r="F53" s="91"/>
      <c r="G53" s="13"/>
      <c r="H53" s="13"/>
      <c r="I53" s="13"/>
      <c r="J53" s="13"/>
      <c r="K53" s="13"/>
      <c r="L53" s="13"/>
      <c r="M53" s="13"/>
      <c r="N53" s="13"/>
    </row>
    <row r="54" spans="1:14" ht="12.6" customHeight="1" x14ac:dyDescent="0.2">
      <c r="D54" s="98"/>
      <c r="E54" s="91"/>
      <c r="F54" s="91"/>
      <c r="G54" s="91"/>
      <c r="H54" s="91"/>
      <c r="I54" s="13"/>
      <c r="J54" s="13"/>
      <c r="K54" s="13"/>
      <c r="L54" s="13"/>
      <c r="M54" s="13"/>
      <c r="N54" s="13"/>
    </row>
    <row r="55" spans="1:14" ht="12.75" customHeight="1" x14ac:dyDescent="0.2">
      <c r="D55" s="25"/>
      <c r="E55" s="60"/>
      <c r="F55" s="60"/>
      <c r="G55" s="13"/>
      <c r="H55" s="13"/>
      <c r="I55" s="13"/>
      <c r="J55" s="13"/>
      <c r="K55" s="13"/>
      <c r="L55" s="13"/>
      <c r="M55" s="13"/>
      <c r="N55" s="13"/>
    </row>
    <row r="56" spans="1:14" ht="12.75" customHeight="1" x14ac:dyDescent="0.2">
      <c r="D56" s="93"/>
      <c r="E56" s="60"/>
      <c r="F56" s="60"/>
      <c r="G56" s="13"/>
      <c r="H56" s="13"/>
      <c r="I56" s="13"/>
      <c r="J56" s="13"/>
      <c r="K56" s="13"/>
      <c r="L56" s="13"/>
      <c r="M56" s="13"/>
      <c r="N56" s="13"/>
    </row>
    <row r="57" spans="1:14" x14ac:dyDescent="0.2">
      <c r="D57" s="93"/>
      <c r="E57" s="98"/>
      <c r="F57" s="98"/>
    </row>
    <row r="58" spans="1:14" x14ac:dyDescent="0.2">
      <c r="D58" s="93"/>
      <c r="E58" s="98"/>
      <c r="F58" s="98"/>
    </row>
    <row r="59" spans="1:14" x14ac:dyDescent="0.2">
      <c r="C59" s="10"/>
      <c r="D59" s="98"/>
      <c r="E59" s="98"/>
      <c r="F59" s="98"/>
    </row>
    <row r="60" spans="1:14" x14ac:dyDescent="0.2">
      <c r="D60" s="10"/>
      <c r="E60" s="98"/>
      <c r="F60" s="98"/>
    </row>
    <row r="61" spans="1:14" x14ac:dyDescent="0.2">
      <c r="C61" s="140"/>
      <c r="D61" s="93"/>
      <c r="E61" s="93"/>
      <c r="F61" s="93"/>
    </row>
    <row r="62" spans="1:14" x14ac:dyDescent="0.2">
      <c r="D62" s="93"/>
      <c r="E62" s="93"/>
      <c r="F62" s="93"/>
    </row>
    <row r="63" spans="1:14" x14ac:dyDescent="0.2">
      <c r="D63" s="10"/>
      <c r="E63" s="93"/>
      <c r="F63" s="93"/>
    </row>
    <row r="64" spans="1:14" x14ac:dyDescent="0.2">
      <c r="D64" s="93"/>
      <c r="E64" s="93"/>
      <c r="F64" s="93"/>
      <c r="G64" s="93"/>
      <c r="H64" s="93"/>
      <c r="I64" s="93"/>
      <c r="J64" s="93"/>
    </row>
    <row r="65" spans="4:6" x14ac:dyDescent="0.2">
      <c r="D65" s="10"/>
      <c r="E65" s="98"/>
      <c r="F65" s="98"/>
    </row>
    <row r="66" spans="4:6" x14ac:dyDescent="0.2">
      <c r="D66" s="10"/>
      <c r="E66" s="10"/>
      <c r="F66" s="10"/>
    </row>
    <row r="67" spans="4:6" x14ac:dyDescent="0.2">
      <c r="E67" s="93"/>
      <c r="F67" s="93"/>
    </row>
    <row r="68" spans="4:6" x14ac:dyDescent="0.2">
      <c r="E68" s="93"/>
      <c r="F68" s="93"/>
    </row>
    <row r="69" spans="4:6" x14ac:dyDescent="0.2">
      <c r="E69" s="10"/>
      <c r="F69" s="10"/>
    </row>
    <row r="70" spans="4:6" x14ac:dyDescent="0.2">
      <c r="E70" s="93"/>
      <c r="F70" s="93"/>
    </row>
    <row r="71" spans="4:6" x14ac:dyDescent="0.2">
      <c r="E71" s="10"/>
      <c r="F71" s="10"/>
    </row>
    <row r="72" spans="4:6" x14ac:dyDescent="0.2">
      <c r="E72" s="10"/>
      <c r="F72" s="10"/>
    </row>
  </sheetData>
  <mergeCells count="3">
    <mergeCell ref="C1:D1"/>
    <mergeCell ref="C2:D2"/>
    <mergeCell ref="A5:D5"/>
  </mergeCells>
  <phoneticPr fontId="15" type="noConversion"/>
  <pageMargins left="0.59055118110236227" right="0" top="0.78740157480314965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20</vt:i4>
      </vt:variant>
    </vt:vector>
  </HeadingPairs>
  <TitlesOfParts>
    <vt:vector size="31" baseType="lpstr">
      <vt:lpstr>1 pr</vt:lpstr>
      <vt:lpstr>2 pr</vt:lpstr>
      <vt:lpstr>3 pr</vt:lpstr>
      <vt:lpstr>4 pr</vt:lpstr>
      <vt:lpstr>5 pr</vt:lpstr>
      <vt:lpstr>6 pr</vt:lpstr>
      <vt:lpstr>7 pr</vt:lpstr>
      <vt:lpstr>8 pr</vt:lpstr>
      <vt:lpstr>9 pr</vt:lpstr>
      <vt:lpstr>10 pr</vt:lpstr>
      <vt:lpstr>11 pr</vt:lpstr>
      <vt:lpstr>'1 pr'!Print_Area</vt:lpstr>
      <vt:lpstr>'10 pr'!Print_Area</vt:lpstr>
      <vt:lpstr>'11 pr'!Print_Area</vt:lpstr>
      <vt:lpstr>'2 pr'!Print_Area</vt:lpstr>
      <vt:lpstr>'3 pr'!Print_Area</vt:lpstr>
      <vt:lpstr>'4 pr'!Print_Area</vt:lpstr>
      <vt:lpstr>'5 pr'!Print_Area</vt:lpstr>
      <vt:lpstr>'6 pr'!Print_Area</vt:lpstr>
      <vt:lpstr>'7 pr'!Print_Area</vt:lpstr>
      <vt:lpstr>'8 pr'!Print_Area</vt:lpstr>
      <vt:lpstr>'9 pr'!Print_Area</vt:lpstr>
      <vt:lpstr>'1 pr'!Print_Titles</vt:lpstr>
      <vt:lpstr>'10 pr'!Print_Titles</vt:lpstr>
      <vt:lpstr>'2 pr'!Print_Titles</vt:lpstr>
      <vt:lpstr>'3 pr'!Print_Titles</vt:lpstr>
      <vt:lpstr>'4 pr'!Print_Titles</vt:lpstr>
      <vt:lpstr>'5 pr'!Print_Titles</vt:lpstr>
      <vt:lpstr>'6 pr'!Print_Titles</vt:lpstr>
      <vt:lpstr>'8 pr'!Print_Titles</vt:lpstr>
      <vt:lpstr>'9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A107C6109FBE9@outlook.com</cp:lastModifiedBy>
  <cp:lastPrinted>2024-09-11T13:01:19Z</cp:lastPrinted>
  <dcterms:created xsi:type="dcterms:W3CDTF">1996-10-14T23:33:28Z</dcterms:created>
  <dcterms:modified xsi:type="dcterms:W3CDTF">2024-09-17T13:42:07Z</dcterms:modified>
</cp:coreProperties>
</file>