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sakaviciene\Desktop\seni dokumentai\2024 m sprendimai\2024-12-20 Tarybos posėdis\Biudzetas\Biudzetas tarybai\"/>
    </mc:Choice>
  </mc:AlternateContent>
  <xr:revisionPtr revIDLastSave="0" documentId="13_ncr:1_{431B1F33-045C-4238-8DCD-F5C5E315402B}" xr6:coauthVersionLast="47" xr6:coauthVersionMax="47" xr10:uidLastSave="{00000000-0000-0000-0000-000000000000}"/>
  <bookViews>
    <workbookView xWindow="-120" yWindow="-120" windowWidth="29040" windowHeight="15720" tabRatio="897" activeTab="3" xr2:uid="{00000000-000D-0000-FFFF-FFFF00000000}"/>
  </bookViews>
  <sheets>
    <sheet name="1 pr" sheetId="75" r:id="rId1"/>
    <sheet name="3 pr" sheetId="76" r:id="rId2"/>
    <sheet name="8 pr" sheetId="78" r:id="rId3"/>
    <sheet name="10 pr" sheetId="79" r:id="rId4"/>
  </sheets>
  <definedNames>
    <definedName name="_xlnm.Print_Area" localSheetId="0">'1 pr'!$A$1:$C$49</definedName>
    <definedName name="_xlnm.Print_Area" localSheetId="3">'10 pr'!$A$1:$D$162</definedName>
    <definedName name="_xlnm.Print_Area" localSheetId="1">'3 pr'!$A$1:$D$309</definedName>
    <definedName name="_xlnm.Print_Area" localSheetId="2">'8 pr'!$A$1:$D$104</definedName>
    <definedName name="_xlnm.Print_Titles" localSheetId="0">'1 pr'!$7:$7</definedName>
    <definedName name="_xlnm.Print_Titles" localSheetId="3">'10 pr'!$9:$9</definedName>
    <definedName name="_xlnm.Print_Titles" localSheetId="1">'3 pr'!$9:$9</definedName>
    <definedName name="_xlnm.Print_Titles" localSheetId="2">'8 pr'!$9:$9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5" i="79" l="1"/>
  <c r="C43" i="75"/>
  <c r="D152" i="79"/>
  <c r="D136" i="79"/>
  <c r="D107" i="79"/>
  <c r="D129" i="79"/>
  <c r="D128" i="79"/>
  <c r="D127" i="79"/>
  <c r="D126" i="79"/>
  <c r="D125" i="79"/>
  <c r="D124" i="79"/>
  <c r="D123" i="79"/>
  <c r="D122" i="79"/>
  <c r="D121" i="79"/>
  <c r="D120" i="79"/>
  <c r="D119" i="79"/>
  <c r="D117" i="79"/>
  <c r="D113" i="79"/>
  <c r="D92" i="79"/>
  <c r="D84" i="79"/>
  <c r="D82" i="79"/>
  <c r="D76" i="78"/>
  <c r="D37" i="78"/>
  <c r="D36" i="78"/>
  <c r="D35" i="78"/>
  <c r="D34" i="78"/>
  <c r="D33" i="78"/>
  <c r="D28" i="78"/>
  <c r="D27" i="78"/>
  <c r="D271" i="76"/>
  <c r="D270" i="76"/>
  <c r="D225" i="76"/>
  <c r="D190" i="76"/>
  <c r="D162" i="76"/>
  <c r="D115" i="76"/>
  <c r="C47" i="75"/>
  <c r="C39" i="75"/>
  <c r="C14" i="75"/>
  <c r="C16" i="75"/>
  <c r="D146" i="76"/>
  <c r="D21" i="78"/>
  <c r="D20" i="78"/>
  <c r="D19" i="78"/>
  <c r="D18" i="78"/>
  <c r="D17" i="78"/>
  <c r="D252" i="76"/>
  <c r="D101" i="76" l="1"/>
  <c r="D290" i="76"/>
  <c r="D175" i="76" l="1"/>
  <c r="D245" i="76"/>
  <c r="D283" i="76"/>
  <c r="D109" i="79" l="1"/>
  <c r="D26" i="76" l="1"/>
  <c r="D258" i="76" l="1"/>
  <c r="C28" i="75"/>
  <c r="C26" i="75"/>
  <c r="C27" i="75"/>
  <c r="D90" i="78"/>
  <c r="D52" i="78" l="1"/>
  <c r="D51" i="78"/>
  <c r="D49" i="78"/>
  <c r="D46" i="78"/>
  <c r="D160" i="79" l="1"/>
  <c r="D116" i="79"/>
  <c r="D52" i="79"/>
  <c r="D20" i="76"/>
  <c r="D31" i="76" l="1"/>
  <c r="C44" i="75"/>
  <c r="D67" i="78" l="1"/>
  <c r="D66" i="78"/>
  <c r="D64" i="78"/>
  <c r="D61" i="78"/>
  <c r="D60" i="78"/>
  <c r="D40" i="78"/>
  <c r="D39" i="78"/>
  <c r="D38" i="78" s="1"/>
  <c r="D32" i="78"/>
  <c r="D30" i="78"/>
  <c r="D29" i="78"/>
  <c r="D25" i="78"/>
  <c r="D305" i="76"/>
  <c r="D304" i="76"/>
  <c r="D303" i="76"/>
  <c r="D302" i="76"/>
  <c r="D301" i="76"/>
  <c r="D300" i="76"/>
  <c r="D299" i="76"/>
  <c r="D298" i="76"/>
  <c r="D297" i="76"/>
  <c r="D296" i="76"/>
  <c r="D295" i="76"/>
  <c r="D264" i="76"/>
  <c r="D263" i="76"/>
  <c r="D262" i="76"/>
  <c r="D261" i="76"/>
  <c r="D260" i="76"/>
  <c r="D259" i="76"/>
  <c r="D257" i="76"/>
  <c r="D256" i="76"/>
  <c r="D255" i="76"/>
  <c r="D254" i="76"/>
  <c r="D250" i="76"/>
  <c r="D240" i="76"/>
  <c r="D239" i="76"/>
  <c r="D238" i="76"/>
  <c r="D237" i="76"/>
  <c r="D236" i="76"/>
  <c r="D195" i="76"/>
  <c r="D180" i="76"/>
  <c r="D179" i="76"/>
  <c r="D176" i="76"/>
  <c r="D174" i="76"/>
  <c r="D173" i="76"/>
  <c r="D166" i="76"/>
  <c r="D165" i="76"/>
  <c r="D163" i="76"/>
  <c r="D138" i="76"/>
  <c r="D136" i="76"/>
  <c r="D134" i="76"/>
  <c r="D132" i="76"/>
  <c r="D130" i="76"/>
  <c r="D129" i="76"/>
  <c r="D127" i="76"/>
  <c r="D126" i="76"/>
  <c r="D124" i="76"/>
  <c r="D122" i="76"/>
  <c r="D109" i="76"/>
  <c r="D104" i="76"/>
  <c r="D103" i="76"/>
  <c r="D102" i="76"/>
  <c r="D100" i="76"/>
  <c r="D98" i="76"/>
  <c r="D96" i="76"/>
  <c r="D95" i="76"/>
  <c r="D94" i="76"/>
  <c r="D33" i="76"/>
  <c r="D32" i="76"/>
  <c r="D29" i="76"/>
  <c r="D27" i="76"/>
  <c r="D25" i="76"/>
  <c r="D24" i="76"/>
  <c r="D22" i="76"/>
  <c r="D21" i="76"/>
  <c r="D36" i="76"/>
  <c r="D41" i="76"/>
  <c r="D43" i="76"/>
  <c r="D46" i="76"/>
  <c r="D54" i="76"/>
  <c r="D55" i="76"/>
  <c r="D64" i="76"/>
  <c r="D66" i="76"/>
  <c r="D91" i="76"/>
  <c r="D93" i="76"/>
  <c r="D117" i="76"/>
  <c r="D114" i="76" s="1"/>
  <c r="D120" i="76"/>
  <c r="D141" i="76"/>
  <c r="D143" i="76"/>
  <c r="D144" i="76"/>
  <c r="D155" i="76"/>
  <c r="D186" i="76"/>
  <c r="D188" i="76"/>
  <c r="D192" i="76"/>
  <c r="D189" i="76" s="1"/>
  <c r="D202" i="76"/>
  <c r="D203" i="76"/>
  <c r="D221" i="76"/>
  <c r="D222" i="76"/>
  <c r="D227" i="76"/>
  <c r="D228" i="76"/>
  <c r="D230" i="76"/>
  <c r="D233" i="76"/>
  <c r="D234" i="76"/>
  <c r="D235" i="76"/>
  <c r="D241" i="76"/>
  <c r="D242" i="76"/>
  <c r="D243" i="76"/>
  <c r="D244" i="76"/>
  <c r="D248" i="76"/>
  <c r="D268" i="76"/>
  <c r="D266" i="76" s="1"/>
  <c r="D265" i="76" s="1"/>
  <c r="D276" i="76"/>
  <c r="D275" i="76" s="1"/>
  <c r="D285" i="76"/>
  <c r="D291" i="76"/>
  <c r="D17" i="76"/>
  <c r="D16" i="76"/>
  <c r="D15" i="76"/>
  <c r="D14" i="76"/>
  <c r="D13" i="76"/>
  <c r="D12" i="76"/>
  <c r="D11" i="76"/>
  <c r="D49" i="76" l="1"/>
  <c r="D142" i="76"/>
  <c r="D140" i="76" s="1"/>
  <c r="D284" i="76"/>
  <c r="D281" i="76" s="1"/>
  <c r="D63" i="76"/>
  <c r="D97" i="76"/>
  <c r="D90" i="76" s="1"/>
  <c r="D247" i="76"/>
  <c r="D246" i="76" s="1"/>
  <c r="D213" i="76"/>
  <c r="D212" i="76" s="1"/>
  <c r="D210" i="76" s="1"/>
  <c r="D200" i="76"/>
  <c r="D197" i="76" s="1"/>
  <c r="D196" i="76" s="1"/>
  <c r="D40" i="76"/>
  <c r="D182" i="76"/>
  <c r="D172" i="76" s="1"/>
  <c r="C46" i="75" l="1"/>
  <c r="C41" i="75"/>
  <c r="C40" i="75"/>
  <c r="C38" i="75" s="1"/>
  <c r="C37" i="75" s="1"/>
  <c r="C34" i="75"/>
  <c r="C30" i="75"/>
  <c r="C25" i="75"/>
  <c r="C20" i="75"/>
  <c r="C17" i="75"/>
  <c r="C13" i="75"/>
  <c r="C10" i="75"/>
  <c r="D159" i="79"/>
  <c r="D158" i="79" s="1"/>
  <c r="D156" i="79"/>
  <c r="D155" i="79" s="1"/>
  <c r="D153" i="79"/>
  <c r="D151" i="79"/>
  <c r="D148" i="79"/>
  <c r="D146" i="79"/>
  <c r="D145" i="79" s="1"/>
  <c r="D143" i="79"/>
  <c r="D142" i="79" s="1"/>
  <c r="D140" i="79"/>
  <c r="D138" i="79"/>
  <c r="D135" i="79"/>
  <c r="D134" i="79" s="1"/>
  <c r="D132" i="79"/>
  <c r="D114" i="79"/>
  <c r="D112" i="79"/>
  <c r="D110" i="79"/>
  <c r="D108" i="79"/>
  <c r="D106" i="79"/>
  <c r="D104" i="79"/>
  <c r="D99" i="79"/>
  <c r="D98" i="79"/>
  <c r="D97" i="79" s="1"/>
  <c r="D96" i="79"/>
  <c r="D95" i="79" s="1"/>
  <c r="D94" i="79"/>
  <c r="D93" i="79" s="1"/>
  <c r="D91" i="79"/>
  <c r="D90" i="79"/>
  <c r="D85" i="79" s="1"/>
  <c r="D83" i="79"/>
  <c r="D81" i="79"/>
  <c r="D80" i="79"/>
  <c r="D79" i="79"/>
  <c r="D77" i="79"/>
  <c r="D50" i="79"/>
  <c r="D43" i="79"/>
  <c r="D41" i="79"/>
  <c r="D35" i="79"/>
  <c r="D34" i="79"/>
  <c r="D31" i="79"/>
  <c r="D30" i="79"/>
  <c r="D27" i="79"/>
  <c r="D20" i="79"/>
  <c r="D19" i="79"/>
  <c r="D18" i="79"/>
  <c r="D17" i="79"/>
  <c r="D16" i="79"/>
  <c r="D11" i="79"/>
  <c r="C9" i="75" l="1"/>
  <c r="D76" i="79"/>
  <c r="C19" i="75"/>
  <c r="C36" i="75" s="1"/>
  <c r="C45" i="75" s="1"/>
  <c r="D131" i="79"/>
  <c r="D137" i="79"/>
  <c r="D14" i="79"/>
  <c r="D29" i="79"/>
  <c r="D150" i="79"/>
  <c r="D10" i="79" l="1"/>
  <c r="D161" i="79"/>
  <c r="D84" i="78" l="1"/>
  <c r="D18" i="76" l="1"/>
  <c r="D26" i="78" l="1"/>
  <c r="D10" i="76" l="1"/>
  <c r="D306" i="76" s="1"/>
  <c r="D101" i="78" l="1"/>
  <c r="D99" i="78"/>
  <c r="D97" i="78"/>
  <c r="D95" i="78"/>
  <c r="D93" i="78"/>
  <c r="D91" i="78"/>
  <c r="D89" i="78"/>
  <c r="D87" i="78"/>
  <c r="D85" i="78"/>
  <c r="D83" i="78"/>
  <c r="D81" i="78"/>
  <c r="D79" i="78"/>
  <c r="D77" i="78"/>
  <c r="D75" i="78"/>
  <c r="D71" i="78"/>
  <c r="D59" i="78"/>
  <c r="D45" i="78"/>
  <c r="D43" i="78"/>
  <c r="D41" i="78"/>
  <c r="D24" i="78"/>
  <c r="D22" i="78"/>
  <c r="D16" i="78"/>
  <c r="D13" i="78"/>
  <c r="D11" i="78"/>
  <c r="D10" i="78" l="1"/>
  <c r="D58" i="78"/>
  <c r="D74" i="78"/>
  <c r="D15" i="78"/>
  <c r="D103" i="78" l="1"/>
</calcChain>
</file>

<file path=xl/sharedStrings.xml><?xml version="1.0" encoding="utf-8"?>
<sst xmlns="http://schemas.openxmlformats.org/spreadsheetml/2006/main" count="871" uniqueCount="579">
  <si>
    <t>Eil. Nr.</t>
  </si>
  <si>
    <t>Kėdainių bendruomenės socialinis centras</t>
  </si>
  <si>
    <t>Dotnuvos slaugos namai</t>
  </si>
  <si>
    <t xml:space="preserve">Kėdainių rajono savivaldybės administracija </t>
  </si>
  <si>
    <t>Kėdainių rajono savivaldybės administracijos Dotnuvos seniūnija</t>
  </si>
  <si>
    <t>Kėdainių rajono savivaldybės administracijos Gudžiūnų seniūnija</t>
  </si>
  <si>
    <t>Kėdainių rajono savivaldybės administracijos Krakių seniūnija</t>
  </si>
  <si>
    <t>Kėdainių rajono savivaldybės administracijos Josvainių seniūnija</t>
  </si>
  <si>
    <t>Kėdainių rajono savivaldybės administracijos Kėdainių miesto seniūnija</t>
  </si>
  <si>
    <t>Kėdainių rajono savivaldybės administracijos Pelėdnagių seniūnija</t>
  </si>
  <si>
    <t>Kėdainių rajono savivaldybės administracijos Pernaravos seniūnija</t>
  </si>
  <si>
    <t>Kėdainių rajono savivaldybės administracijos Šėtos seniūnija</t>
  </si>
  <si>
    <t>Kėdainių rajono savivaldybės administracijos Surviliškio seniūnija</t>
  </si>
  <si>
    <t>Kėdainių rajono savivaldybės administracijos Truskavos seniūnija</t>
  </si>
  <si>
    <t>Kėdainių rajono savivaldybės administracijos Vilainių seniūnija</t>
  </si>
  <si>
    <t>Josvainių socialinis ir ugdymo centras</t>
  </si>
  <si>
    <t>Asignavimų valdytojas</t>
  </si>
  <si>
    <t>Iš viso</t>
  </si>
  <si>
    <t>2</t>
  </si>
  <si>
    <t>Šėtos socialinis ir ugdymo  centras</t>
  </si>
  <si>
    <t>Iš viso asignavimų</t>
  </si>
  <si>
    <t>03</t>
  </si>
  <si>
    <t>SOCIALINĖS APSAUGOS PLĖTOJIMAS</t>
  </si>
  <si>
    <t>11</t>
  </si>
  <si>
    <t>SAVIVALDYBĖS VALDYMO TOBULINIMAS</t>
  </si>
  <si>
    <t>Kėdainių rajono savivaldybės priešgaisrinė tarnyba</t>
  </si>
  <si>
    <t>09</t>
  </si>
  <si>
    <t xml:space="preserve"> ŽEMĖS ŪKIO PLĖTRA IR MELIORACIJA</t>
  </si>
  <si>
    <t>11.1</t>
  </si>
  <si>
    <t>11.2</t>
  </si>
  <si>
    <t>11.3</t>
  </si>
  <si>
    <t>11.4</t>
  </si>
  <si>
    <t>Kėdainių r. Krakių Mikalojaus Katkaus gimnazija</t>
  </si>
  <si>
    <t>Kėdainių r. Dotnuvos pagrindinė mokykla</t>
  </si>
  <si>
    <t>Kėdainių r. Surviliškio Vinco Svirskio pagrindinė mokykla</t>
  </si>
  <si>
    <t>Kėdainių krašto muziejus</t>
  </si>
  <si>
    <t>Kėdainių kultūros centras</t>
  </si>
  <si>
    <t>Krakių kultūros centras</t>
  </si>
  <si>
    <t>Kėdainių šviesioji gimnazija</t>
  </si>
  <si>
    <t>Kėdainių kalbų mokykla</t>
  </si>
  <si>
    <t>Kėdainių muzikos  mokykla</t>
  </si>
  <si>
    <t>Akademijos kultūros centras</t>
  </si>
  <si>
    <t>Josvainių kultūros centras</t>
  </si>
  <si>
    <t>Šėtos kultūros centras</t>
  </si>
  <si>
    <t>Truskavos kultūros centras</t>
  </si>
  <si>
    <t>Kėdainių rajono savivaldybės Mikalojaus Daukšos viešoji biblioteka</t>
  </si>
  <si>
    <t>Kėdainių dailės mokykla</t>
  </si>
  <si>
    <t>01</t>
  </si>
  <si>
    <t>ŠVIETIMAS IR UGDYMAS</t>
  </si>
  <si>
    <t>02</t>
  </si>
  <si>
    <t>SVEIKATOS APSAUGA</t>
  </si>
  <si>
    <t>04</t>
  </si>
  <si>
    <t>05</t>
  </si>
  <si>
    <t>KULTŪROS VEIKLOS PLĖTRA</t>
  </si>
  <si>
    <t>07</t>
  </si>
  <si>
    <t>INFRASTRUKTŪROS OBJEKTŲ  PRIEŽIŪRA IR PLĖTRA</t>
  </si>
  <si>
    <t>08</t>
  </si>
  <si>
    <t>APLINKOS APSAUGA</t>
  </si>
  <si>
    <t>10</t>
  </si>
  <si>
    <t>PARAMA VERSLUI IR VERSLO PLĖTRA</t>
  </si>
  <si>
    <t>Kėdainių rajono savivaldybės kontrolės ir audito tarnyba</t>
  </si>
  <si>
    <t xml:space="preserve">Kėdainių rajono savivaldybės administracija  </t>
  </si>
  <si>
    <t>06</t>
  </si>
  <si>
    <t>KULTŪROS PAVELDO IŠSAUGOJIMAS, TURIZMO SKATINIMAS IR VYSTYMAS</t>
  </si>
  <si>
    <t>Kėdainių suaugusiųjų ir jaunimo mokymo centras</t>
  </si>
  <si>
    <t>Kėdainių sporto centras</t>
  </si>
  <si>
    <t xml:space="preserve">                                                                                         ___________________________</t>
  </si>
  <si>
    <t>3 priedas</t>
  </si>
  <si>
    <t>Eil.   Nr.</t>
  </si>
  <si>
    <t>Remontuoti objektus pagal administracijos direktoriaus įsakymus</t>
  </si>
  <si>
    <t>Likviduoti avarinius židinius</t>
  </si>
  <si>
    <t>(tūkst. Eur)</t>
  </si>
  <si>
    <t xml:space="preserve">Kėdainių švietimo pagalbos tarnyba </t>
  </si>
  <si>
    <t>Kėdainių r. Akademijos gimnazija</t>
  </si>
  <si>
    <t>Kėdainių r. Josvainių gimnazija</t>
  </si>
  <si>
    <t>Kėdainių r. Labūnavos pagrindinė mokykla</t>
  </si>
  <si>
    <t>Kėdainių r. Šėtos  gimnazija</t>
  </si>
  <si>
    <t>Vykdyti savivaldybės viešųjų teritorijų tvarkymą</t>
  </si>
  <si>
    <t>Kėdainių pagalbos šeimai centras</t>
  </si>
  <si>
    <t>Kėdainių lopšelis-darželis „Pasaka“</t>
  </si>
  <si>
    <t>Kėdainių lopšelis-darželis „Puriena“</t>
  </si>
  <si>
    <t>Kėdainių lopšelis-darželis „Varpelis“</t>
  </si>
  <si>
    <t>Kėdainių lopšelis-darželis „Vyturėlis“</t>
  </si>
  <si>
    <t>Kėdainių lopšelis-darželis „Žilvitis“</t>
  </si>
  <si>
    <t>Kėdainių lopšelis-darželis „Vaikystė“</t>
  </si>
  <si>
    <t>Lietuvos sporto universiteto Kėdainių „Aušros“ progimnazija</t>
  </si>
  <si>
    <t>Kėdainių „Ryto“ progimnazija</t>
  </si>
  <si>
    <t>Kėdainių „Atžalyno“ gimnazija</t>
  </si>
  <si>
    <t>Kėdainių lopšelis-darželis „Aviliukas“</t>
  </si>
  <si>
    <t xml:space="preserve">Kėdainių rajono savivaldybės administracija iš viso: </t>
  </si>
  <si>
    <t>Kėdainių rajono savivaldybės visuomenės sveikatos biuras iš viso:</t>
  </si>
  <si>
    <t>Kėdainių rajono savivaldybės administracija iš viso :</t>
  </si>
  <si>
    <t>Kėdainių rajono savivaldybės administracija iš viso:</t>
  </si>
  <si>
    <t>11.5</t>
  </si>
  <si>
    <t>Mokesčiai už valstybinius gamtos išteklius</t>
  </si>
  <si>
    <t>Kėdainių r. Vilainių mokykla-darželis „Obelėlė“</t>
  </si>
  <si>
    <t>Mokėti palūkanas</t>
  </si>
  <si>
    <t xml:space="preserve">SPORTO VEIKLOS PLĖTRA </t>
  </si>
  <si>
    <t>Kėdainių švietimo pagalbos tarnyba</t>
  </si>
  <si>
    <t>Kėdainių rajono savivaldybės visuomenės sveikatos biuras</t>
  </si>
  <si>
    <t xml:space="preserve">                                                                   _____________________________________                                                                                       </t>
  </si>
  <si>
    <t>8 priedas</t>
  </si>
  <si>
    <t>02.1</t>
  </si>
  <si>
    <t>02.2</t>
  </si>
  <si>
    <t>Neveiksnių asmenų būklės peržiūrėjimui</t>
  </si>
  <si>
    <t>03.1</t>
  </si>
  <si>
    <t>Socialinėms paslaugoms:
Socialinei globai asmenims su sunkia negalia</t>
  </si>
  <si>
    <t>03.2</t>
  </si>
  <si>
    <t>03.3</t>
  </si>
  <si>
    <t>Socialinių išmokų ir kompensacijų skaičiavimas ir mokėjimas</t>
  </si>
  <si>
    <t>03.4</t>
  </si>
  <si>
    <t>Išlaidoms už įsigytus produktus, mokinio reikmenis ir socialinei paramai mokiniams administruoti</t>
  </si>
  <si>
    <t>03.5</t>
  </si>
  <si>
    <t>Būsto nuomos ar išperkamosios būsto nuomos mokesčių dalies kompensacijoms</t>
  </si>
  <si>
    <t>09.1</t>
  </si>
  <si>
    <t>Žemės ūkio funkcijoms vykdyti</t>
  </si>
  <si>
    <t>09.2</t>
  </si>
  <si>
    <t>iš jų: polderiams eksploatuoti</t>
  </si>
  <si>
    <t>Priešgaisrinių tarnybų organizavimas</t>
  </si>
  <si>
    <t>Gyventojų registro tvarkymas ir duomenų valstybės registrui teikimas</t>
  </si>
  <si>
    <t>Archyvinių dokumentų tvarkymas</t>
  </si>
  <si>
    <t>Civilinės būklės aktų registravimas</t>
  </si>
  <si>
    <t>Civilinės saugos organizavimas</t>
  </si>
  <si>
    <t>11.6</t>
  </si>
  <si>
    <t>Valstybinės kalbos vartojimo ir taisyklingumo kontrolė</t>
  </si>
  <si>
    <t>11.7</t>
  </si>
  <si>
    <t>Mobilizacijos administravimas</t>
  </si>
  <si>
    <t>11.9</t>
  </si>
  <si>
    <t>11.10</t>
  </si>
  <si>
    <t>11.11</t>
  </si>
  <si>
    <t>11.12</t>
  </si>
  <si>
    <t>Gyvenamosios vietos deklaravimas</t>
  </si>
  <si>
    <t xml:space="preserve">                                                                                               ________________________________</t>
  </si>
  <si>
    <t>Vykdyti aplinkos apsaugos rėmimo specialiąją programą (pridedama 13 priedas)</t>
  </si>
  <si>
    <t>Šėtos socialinis ir ugdymo centras</t>
  </si>
  <si>
    <t xml:space="preserve">Finansuoti vaikų vasaros stovyklų ir kitų neformaliojo vaikų švietimo veiklų programas  </t>
  </si>
  <si>
    <t>Grąžinti valstybės biudžeto lėšas (dotaciją)</t>
  </si>
  <si>
    <t>iš jų: užimtumo didinimo programai įgyvendinti</t>
  </si>
  <si>
    <t>01.1</t>
  </si>
  <si>
    <t>01.2</t>
  </si>
  <si>
    <t>Koordinuotai teikiamų paslaugų vaikams nuo gimimo iki 18 metų (turintiems didelių ir labai didelių specialiųjų ugdymosi poreikių − iki 21 metų) ir vaiko atstovams koordinavimas</t>
  </si>
  <si>
    <t>04.1</t>
  </si>
  <si>
    <t xml:space="preserve">                                                                      Kėdainių rajono savivaldybės tarybos</t>
  </si>
  <si>
    <t xml:space="preserve">                                                 1 priedas</t>
  </si>
  <si>
    <t xml:space="preserve">             Pajamų pavadinimas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</si>
  <si>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</si>
  <si>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</si>
  <si>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</si>
  <si>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</si>
  <si>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</si>
  <si>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Kita tikslinė dotacija, iš jos:</t>
  </si>
  <si>
    <t>Dividendai</t>
  </si>
  <si>
    <t xml:space="preserve">Nuomos mokestis už valstybinę žemę ir valstybinio vidaus  vandenų fondo vandens telkinius  </t>
  </si>
  <si>
    <t>Mokesčiai už medžiojamųjų gyvūnų išteklius</t>
  </si>
  <si>
    <t>Pajamos už prekes ir paslaugas</t>
  </si>
  <si>
    <t>Pajamos už ilgalaikio ir trumpalaikio materialiojo turto nuomą</t>
  </si>
  <si>
    <t xml:space="preserve">Įmokos už išlaikymą švietimo, socialinės apsaugos ir kitose  įstaigose </t>
  </si>
  <si>
    <t>Valstybės rinkliava</t>
  </si>
  <si>
    <t>Vietinė rinkliava</t>
  </si>
  <si>
    <t>Pajamos iš baudų ir konfiskacijos</t>
  </si>
  <si>
    <t>________________________________________________</t>
  </si>
  <si>
    <t>Kėdainių „Spindulio“ mokykla</t>
  </si>
  <si>
    <t>Progra- mos kodas</t>
  </si>
  <si>
    <t>10 priedas</t>
  </si>
  <si>
    <t xml:space="preserve">                                                    Kėdainių rajono savivaldybės tarybos</t>
  </si>
  <si>
    <t>Gyventojų pajamų mokestis, mokamas už pajamas, gautas iš veiklos, kuria verčiamasi turint verslo liudijimą</t>
  </si>
  <si>
    <t>Ugdymo reikmėms finansuoti</t>
  </si>
  <si>
    <t>11.8</t>
  </si>
  <si>
    <t>03.6</t>
  </si>
  <si>
    <t xml:space="preserve">Socialinėms paslaugoms:
Teikti šeimoms individualios priežiūros darbuotojų paslaugas </t>
  </si>
  <si>
    <t>Įgyvendinti savarankiško gyvenimo namų paslaugų senyvo amžiaus asmenims teikimo programą</t>
  </si>
  <si>
    <t>iš jų: dalyvauti Žydų kultūros paveldo kelio asociacijos veikloje ir puoselėti žydų kultūros paveldo atminimą Kėdainiuose</t>
  </si>
  <si>
    <t>Finansuoti sporto šakų programas, iš jų:</t>
  </si>
  <si>
    <t>Duomenų teikimas suteiktos valstybės pagalbos registrui</t>
  </si>
  <si>
    <t>03.7</t>
  </si>
  <si>
    <t>05.1</t>
  </si>
  <si>
    <t>iš jų: vykdyti socialinio - emocinio ugdymo programas</t>
  </si>
  <si>
    <t>Kita dotacija neformaliajam vaikų švietimui</t>
  </si>
  <si>
    <t>11.13</t>
  </si>
  <si>
    <t>107.1</t>
  </si>
  <si>
    <t>107.2</t>
  </si>
  <si>
    <t xml:space="preserve">                                                                          Kėdainių rajono savivaldybės tarybos</t>
  </si>
  <si>
    <t>Kita dotacija išlaidoms, susijusioms su ugdymu, maitinimu ir pavėžėjimu socialinę riziką patiriantiems vaikams ikimokykliniame ugdyme</t>
  </si>
  <si>
    <t>Kita dotacija įgyvendinti valstybei nuosavybės teise priklausančių žemės savininkų ir kitų naudotojų žemėje esančių melioracijos statinių rekonstravimo ir remonto darbus</t>
  </si>
  <si>
    <t>2024 METŲ VALSTYBĖS BIUDŽETO SPECIALIOS TIKSLINĖS DOTACIJOS SAVIVALDYBĖS BIUDŽETUI VALSTYBINĖMS (VALSTYBĖS PERDUOTOMS SAVIVALDYBEI) FUNKCIJOMS ATLIKTI ASIGNAVIMAI</t>
  </si>
  <si>
    <t xml:space="preserve"> Sveikos gyvensenos plėtojimui bei sveikos gyvensebos įgūdžių ugdymui įstaigose ir bendruomenėse, visuomenės sveikatos stebėsenos vykdymui savivaldybėse</t>
  </si>
  <si>
    <t xml:space="preserve">Socialinėms paslaugoms:
 Teikti socialinę priežiūrą šeimoms </t>
  </si>
  <si>
    <t>Kompensacijų nepriklausomybės gynėjams mokėjimui</t>
  </si>
  <si>
    <t>Užimtumo didinimo programų įgyvendinimui</t>
  </si>
  <si>
    <t>Jaunimo politikos įgyvendinimas</t>
  </si>
  <si>
    <t>Pirminės valstybės garantuojamos teisinės pagalbos teikimas</t>
  </si>
  <si>
    <t>Erdvinių duomenų rinkinio tvarkymas</t>
  </si>
  <si>
    <t>11.14</t>
  </si>
  <si>
    <t>Savivaldybės teritorijoje esančių miestų ir miestelių teritorijų ribose valstybinės žemės patikėtinio funkcijos atlikimas</t>
  </si>
  <si>
    <t>Kėdainių rajono savivaldybės 2024 m. biudžeto asignavimai investicijų projektams ir remonto darbams finansuoti pagal objektus:</t>
  </si>
  <si>
    <t>iš jų: vykdyti socialinės paramos 2024 m. programą</t>
  </si>
  <si>
    <t>KĖDAINIŲ RAJONO SAVIVALDYBĖS 2024 METŲ BIUDŽETO ASIGNAVIMAI  SAVARANKIŠKOMS FUNKCIJOMS ATLIKTI</t>
  </si>
  <si>
    <t>Pėsčiųjų ir dviračių tako tarp J. Basanavičiaus g. ir Josvainių g. įrengimui</t>
  </si>
  <si>
    <t xml:space="preserve">E. sveikatos informacinės sistemos palaikymo ir tobulinimo VšĮ Kėdainių PSPC 2024–2026 m. programa </t>
  </si>
  <si>
    <t xml:space="preserve">E. sveikatos informacinės sistemos palaikymo ir tobulinimo VšĮ Kėdainių ligoninė 2024–2026 m. programa </t>
  </si>
  <si>
    <t>Mokytojų ir pagalbos mokiniui specialistų  motyvacijos programos įgyvendinimas</t>
  </si>
  <si>
    <t>Gabių mokinių skatinimas</t>
  </si>
  <si>
    <t>Priklausomybę sukeliančių medžiagų vartojimo mažinimo ir prevencijos programos priemonių įgyvendinimas</t>
  </si>
  <si>
    <t>Saugių ugdymo sąlygų įstaigose, vykdančiose ugdymo programas, užtikrinimas</t>
  </si>
  <si>
    <t xml:space="preserve">Vaikų maitinimo ekologiškais ir pagal nacionalinę maisto kokybės sistemą pagamintais produktais  Kėdainių lopšelyje-darželyje "Žilvitis" organizavimas (dalyvavimas projekte) </t>
  </si>
  <si>
    <t xml:space="preserve">Mokyklų, organizuojančių maitinimą savarankiškai, finansavimas </t>
  </si>
  <si>
    <t>Kėdainių šviesiosios gimnazijos pastato Kėdainiuose, Didžioji g. 60, įveiklinimas</t>
  </si>
  <si>
    <t>Kėdainių lopšelio-darželio „Varpelis“ (Pavasario g. 8, Kėdainiai) pastato energinio efektyvumo didinimas, vidaus erdvių modernizavimas</t>
  </si>
  <si>
    <t>Kėdainių lopšelio-darželio „Vyturėlis“ (Josvainių g. 53, Kėdainiai) pastato energinio efektyvumo didinimas, vidaus erdvių modernizavimas</t>
  </si>
  <si>
    <t>Kėdainių muzikos mokyklos pastato fasado, vidaus erdvių atnaujinimas</t>
  </si>
  <si>
    <t xml:space="preserve">Šėtos gimnazijos I aukšto patalpų  bei gimnazijos aplinkos pritaikymas ikimokyklinio / priešmokyklinio ugdymo organizavimui      </t>
  </si>
  <si>
    <t xml:space="preserve">Švietimo paslaugų kokybės gerinimas, aprūpinant efektyviai veikiančias bendrojo ugdymo mokyklas laboratorine įranga ir priemonėmis </t>
  </si>
  <si>
    <t>Skaitmeninio ugdymo plėtra</t>
  </si>
  <si>
    <t>Vėdinimo ir kondicionavimo sistemų įrengimas savivaldybės ugdymo įstaigose</t>
  </si>
  <si>
    <t xml:space="preserve">Bendrojo ir ikimokyklinio ugdymo įstaigų (skyrių) pastatų modernizavimo techninės dokumentacijos rengimas </t>
  </si>
  <si>
    <t>iš jų: Valstybinio visuomenės sveikatos stiprinimo fondo projektas „Gyventojų sveikatos stiprinimas Kėdainių rajone“</t>
  </si>
  <si>
    <t>VšĮ Kėdainių ligoninės sterilizacinės modernizavimo 2023-2028 m. programa</t>
  </si>
  <si>
    <t>Vaikų, turinčių  autizmo spektro ir kitų raidos sutrikimų, sveikatos stiprinimas, galimybių siekti asmeninės pažangos, pilnaverčio socialinio dalyvavimo prielaidų užtikrinimas</t>
  </si>
  <si>
    <t>Sveikatos priežiūros specialistų skatinimo dirbti VšĮ Kėdainių  PSPC 2023-2028 m. programa</t>
  </si>
  <si>
    <t>Trūkstamos sveikatos priežiūros specialistų skatinimo dirbti VšĮ Kėdainių  ligoninėje 2023-2026 m. programa</t>
  </si>
  <si>
    <t>VšĮ Kėdainių PSPC Psichiatrijos dienos stacionaro paslaugų plėtra ir infrastruktūros pritaikymas specialiesiems neįgaliųjų poreikiams</t>
  </si>
  <si>
    <t xml:space="preserve">Kėdainių rajono kaimo gyventojų sveikatos gerinimo poreikių užtikrinimas, modernizuojant ir (ar) atnaujinant ambulatorijų infrastruktūrą </t>
  </si>
  <si>
    <t>Tinkamų ir saugių darbo sąlygų užtikrinimo, įrengiant vėdinimo bei kondicionavimo sistemas VšĮ Kėdainių ligoninėje 2023-2028 m. programa</t>
  </si>
  <si>
    <t xml:space="preserve">Tinkamų ir saugių darbo sąlygų užtikrinimo, įrengiant vėdinimo bei kondicionavimo sistemas VšĮ Kėdainių PSPC 2022-2026 m. programa </t>
  </si>
  <si>
    <t xml:space="preserve">Kita dotacija kompleksinėms paslaugoms šeimai organizuoti </t>
  </si>
  <si>
    <t>Kita dotacija akredituotai vaikų dienos socialinei priežiūrai organizuoti, teikti ir administruoti</t>
  </si>
  <si>
    <t>Kita dotacija  akredituotai socialinei reabilitacijai neįgaliesiems bendruomenėje organizuoti, teikti ir administruoti</t>
  </si>
  <si>
    <t>Kita dotacija asmeninei pagalbai teikti ir administruoti</t>
  </si>
  <si>
    <t>Kita dotacija savivaldybės viešajai bibliotekai dokumentams įsigyti</t>
  </si>
  <si>
    <t>Nemokamo socialiai remtinų vaikų maitinimo ikimokyklinėse įstaigose organizavimas</t>
  </si>
  <si>
    <t>Kelionės išlaidų už lengvatinį keleivių vežimą kompensavimas</t>
  </si>
  <si>
    <t>Kainų skirtumo gyventojams už šildymą kompensavimas</t>
  </si>
  <si>
    <t>Karšto ir šalto vandens pardavimo kainos socialiai remtiniems asmenims kompensavimas</t>
  </si>
  <si>
    <t>Vienkartinė išmoka gimus vaikui Lietuvos Respublikos teritorijoje ir gyvenančiam Kėdainių rajono savivaldybėje</t>
  </si>
  <si>
    <t>Savarankiško gyvenimo namų paslaugų asmenims su sutrikusiu intelektu teikimo programa</t>
  </si>
  <si>
    <t>Socialinės reabilitacijos paslaugų neįgaliesiems bendruomenėje organizavimas</t>
  </si>
  <si>
    <t>Vaikų dienos centrų veiklos programų finansavimas</t>
  </si>
  <si>
    <t>Laisvės atėmimo bausmę atlikusių asmenų integracijos į visuomenę užtikrinimas</t>
  </si>
  <si>
    <t>Pagalbos į krizines situacijas patekusiems, smurtą artimoje aplinkoje patyrusiems asmenims ir jų šeimų nariams teikimas</t>
  </si>
  <si>
    <t xml:space="preserve">Pagalbos į krizines situacijas patekusiems, smurtą artimoje aplinkoje keliantiems asmenims ir jų šeimų nariams teikimas  </t>
  </si>
  <si>
    <t>Socialiai pažeidžiamų asmenų, neturinčių gyvenamosios vietos, gyvybiškai svarbiausių poreikių užtikrinimas</t>
  </si>
  <si>
    <t>Socialinių būstų įsigijimas</t>
  </si>
  <si>
    <t>Savivaldybės ir socialinio būsto remontas</t>
  </si>
  <si>
    <t>Prisidėjimas prie Savivaldybei priklausančio būsto renovacijos savivaldybės biudžeto lėšomis</t>
  </si>
  <si>
    <t>Viešosios aplinkos pritaikymas specialiųjų poreikių turintiems gyventojams</t>
  </si>
  <si>
    <t xml:space="preserve">Vaikų mokymo plaukti veiklos programa, dalyvaujant projekte „Mokėk plaukti ir saugiau elgtis vandenyje“ </t>
  </si>
  <si>
    <t>Gyventojų fizinio aktyvumo plėtros bei olimpinių ir neolimpinių sporto šakų plėtros projektų finansavimas</t>
  </si>
  <si>
    <t>Kėdainių krepšinio komandos „Nevėžis-Optibet“ klubinio krepšinio vystymo programa</t>
  </si>
  <si>
    <t>Futbolo komandos Kėdainių „Nevėžis“ klubinio futbolo vystymo programa</t>
  </si>
  <si>
    <t>Bokso sporto šakos vystymo programa</t>
  </si>
  <si>
    <t>Kėdainių rajono vaikų ir jaunimo futbolo plėtros programa</t>
  </si>
  <si>
    <t>Moterų futbolo komandos Kėdainių „Nevėžis“ programa</t>
  </si>
  <si>
    <t>Salės futbolo komandos „Kėdainiai United“ klubinio salės futbolo vystymo programa</t>
  </si>
  <si>
    <t>Dziudo sporto šakos vystymo programa</t>
  </si>
  <si>
    <t>Aukšto meistriškumo sportininkų ir jų trenerių paskatinimas  už sporto pasiekimus</t>
  </si>
  <si>
    <t xml:space="preserve">Kėdainių sporto centro bazių atnaujinimas </t>
  </si>
  <si>
    <t>Kėdainių sporto centro saulės fotovoltinė elektrinė iš saulės elektrinių parko  įsigijimas</t>
  </si>
  <si>
    <t>Bendruomeninės fizinio aktyvumo infrastruktūros mieste ir rajone atnaujinimas ir (arba) plėtra</t>
  </si>
  <si>
    <t>Techninės dokumentacijos rengimas sporto infrastruktūrai prie ugdymo įstaigų  atnaujininti</t>
  </si>
  <si>
    <t xml:space="preserve">LSU Kėdainių Aušros“ progimnazijos plaukimo ir Kėdainių sporto centro Vilainių rekreacijos ir sporto pramogų komplekso baseinų renovacijos/plėtros galimybių studijos parengimas </t>
  </si>
  <si>
    <t xml:space="preserve">Nevyriausybinių organizacijų institucinio stiprinimo ir veiklos plėtojimo projektų finansavimas </t>
  </si>
  <si>
    <t xml:space="preserve">Bendruomeninių organizacijų veiklos projektų finansavimas </t>
  </si>
  <si>
    <t>Kėdainių rajono vietos veiklos grupės teritorijos vietos plėtros 2015-2023 m. strategijos finansavimas</t>
  </si>
  <si>
    <t xml:space="preserve">Vietos plėtros strategijos rengimo ir įgyvendinimo programa ir Kėdainių miesto vietos veiklos grupės vietos plėtros 2023-2029 metų strategijos finansavimas </t>
  </si>
  <si>
    <t xml:space="preserve">Rajono nevyriausybinių organizacijų veiklos stiprinimas </t>
  </si>
  <si>
    <t>Kėdainių kultūros centro rekonstrukcija ir įrengimas</t>
  </si>
  <si>
    <t>Akademijos kultūros centro remontas</t>
  </si>
  <si>
    <t>Šėtos kultūros centro vidaus erdvių remontas (I a. 2 patalpos)</t>
  </si>
  <si>
    <t>Krakių kultūros centro patalpų dalies pritaikymas kultūros reikmėms</t>
  </si>
  <si>
    <t xml:space="preserve">Infrastruktūros Kėdainių miesto parke įrengimas </t>
  </si>
  <si>
    <t>VšĮ Kėdainių turizmo ir verslo informacijos centro turizmo veiklos programos finansavimas</t>
  </si>
  <si>
    <t>Kėdainių rajono savivaldybės bažnyčių rėmimo programos įgyvendinimas</t>
  </si>
  <si>
    <t>Lankytinų objektų,  kultūros paveldo objektų ar objektų, esančių kultūros paveldo teritorijų prieigose tvarkybos dokumentacijos rengimas, objeketų atnaujinimas, restauravimas mieste ir rajone</t>
  </si>
  <si>
    <t>Kėdainių dvaro sodybos Minareto ir jo prieigų tvarkyba</t>
  </si>
  <si>
    <t>Archeologiniai  ir kiti tyrinėjimai kultūros paveldo teritorijose, paveldo objektams parengtų tvarkybos projektų ekspertizės vykdymas, sąmatų rengimas</t>
  </si>
  <si>
    <t>Kultūros paveldo objektų, esančių Kėdainių rajono savivaldybės teritorijoje, ir kultūros paveldo statinių, esančių Kėdainių senamiesčio dalyje, išsaugojimo darbų finansavimo programa</t>
  </si>
  <si>
    <t>Nuorodų, kitų informacinių ženklų įrengimas į savivaldybės kultūros paveldo objektus</t>
  </si>
  <si>
    <t xml:space="preserve">Kėdainių evangelikų ir reformatų bažnyčios atnaujinimas  (Tvarių prielaidų ir paskatų aktualizuoti kultūros paveldo vertybes sukūrimas) </t>
  </si>
  <si>
    <t xml:space="preserve">Akademijos parko tvarkyba  </t>
  </si>
  <si>
    <t>Babėnų šilo miškotvarka ir pritaikymas patogiam poilsiui, laisvalaikiui</t>
  </si>
  <si>
    <t>Dokumentų, padedančių užtikrinti darnią rajono savivaldybės teritorijų plėtrą rengimas</t>
  </si>
  <si>
    <t xml:space="preserve">Senojo Upytės kelio specialiojo plano rengimas ("Isos slėnis") </t>
  </si>
  <si>
    <t>Turto inventorizavimas, teisinė registracija, dokumentų turto pardavimui rengimas</t>
  </si>
  <si>
    <t xml:space="preserve">Infrastruktūros objektų tvarkymo investicinių projektų,  planų, paraiškų, kitos techninės dokumentacijos rengimas  Europos Sąjungos ar kitų  fondų paramai gauti </t>
  </si>
  <si>
    <t>Vandentiekio,  nuotekų tinklų   įrengimas, rekonstrukcija, plėtra Kėdainių mieste</t>
  </si>
  <si>
    <t>Biologinių nuotekų valymo įrenginių įrengimas</t>
  </si>
  <si>
    <t xml:space="preserve">Vandentiekio ir nuotekų tinklų plėtra Angirių k. </t>
  </si>
  <si>
    <t xml:space="preserve">Nuotekų tinklų įrengimas Josvainių mstl. Šaltinio g. </t>
  </si>
  <si>
    <t>Kėdainių miesto bei rajono gatvių apšvietimo rekonstrukcija, įrengimas, modernizavimas</t>
  </si>
  <si>
    <t>Radvilų g. apšvietimo ir ESO tinklų iškėlimo techninio projekto parengimas</t>
  </si>
  <si>
    <t>Žvyro įsigijimo seniūnijų keliams prižiūrėti finansavimas</t>
  </si>
  <si>
    <t>Biudžetinių įstaigų kiemų dangos atnaujinimas</t>
  </si>
  <si>
    <t>Inžinerinių paslaugų, darbų ir įrenginių finansavimas</t>
  </si>
  <si>
    <t>Viešųjų ir biudžetinių įstaigų stogų remontas</t>
  </si>
  <si>
    <t>Europos Sąjungos projektų,  kuriems taikomas apmokėjimas kompensavimo būdu, išlaidų apmokėjimas</t>
  </si>
  <si>
    <t>Atliekų tvarkymo sistemos organizavimas</t>
  </si>
  <si>
    <t xml:space="preserve">Apleistų (bešeimininkių ar savivaldybei nuosavybės teise priklausančių) pastatų ar kitų aplinką žalojančių objektų likvidavimas </t>
  </si>
  <si>
    <t>Projektų rengimas ir  gyvenviečių lietaus nuotekų-drenažų sistemų remontas</t>
  </si>
  <si>
    <t>Hidrotechninių įrenginių atnaujinimui reikalingos techninės dokumentacijos rengimas</t>
  </si>
  <si>
    <t>Kėdainių rajono savivaldybės Krakių tvenkinių hidrotechnikos statinių remontas ir techninės priežiūros vykdymas</t>
  </si>
  <si>
    <t>Dalyvavimas projekto „Dalies MSNA „Nikys“ nariams priklausančių ir valstybinių melioracijos statinių rekonstravimas“ įgyvendinime</t>
  </si>
  <si>
    <t>Dalyvavimas projekto „MSNA „Mantvilonių melioracija“ nariams priklausančių ir valstybinių melioracijos statinių rekonstravimas“ įgyvendinime</t>
  </si>
  <si>
    <t>Dalyvavimas projekto „MSNA „Vilainių drenažas“ nariams priklausančių ir valstybinių melioracijos statinių rekonstravimas“ įgyvendinimui</t>
  </si>
  <si>
    <t>VšĮ Kėdainių turizmo ir verslo informacijos centro viešųjų paslaugų verslui  programos finansavimas</t>
  </si>
  <si>
    <t xml:space="preserve">Finansinės paramos teikimas verslą pradedantiems ar sunkumų patiriantiems SVV subjektams Kėdainių rajone per Savivaldybės smulkiojo verslo rėmimo fondą </t>
  </si>
  <si>
    <t>Dalyvavimas projekte "Inkubavimo, konsultavimo, mentorystės ir tinklaveikos programų vystymas, skatinant pradedančiųjų SVV subjektų kūrimąsi ir augimą regionuose" partnerio teisėmis</t>
  </si>
  <si>
    <t>Savivaldybės mero rezervas</t>
  </si>
  <si>
    <t>Savivaldybės mero fondas</t>
  </si>
  <si>
    <t>UAB "Kėdbusas" nuostolingų maršrutų kompensavimas</t>
  </si>
  <si>
    <t>Dalyvavimas VšĮ Kauno regiono plėtros agentūros veikloje</t>
  </si>
  <si>
    <t xml:space="preserve">Visuomenės įtraukimas į planavimo, biudžeto formavimo, konsultavimosi procesus, organizuojant dalyvaujamojo biudžeto iniciatyvų konkursą ir iniciatyvų įgyvendinimą </t>
  </si>
  <si>
    <t>Prevencinės programos „Saugios aplinkos kūrimas ir bendruomenės teisėtvarkos kūrimas" finansavimas</t>
  </si>
  <si>
    <t>Socialinių dirbtuvių paslaugos organizavimas</t>
  </si>
  <si>
    <t>"Pirmoko krepšelio" finansavimas</t>
  </si>
  <si>
    <t>Nemokamo mokinių maitinimo kainos bendrojo ugdymo mokyklose kompensaviams</t>
  </si>
  <si>
    <t xml:space="preserve"> Nevėžio upės vientisumo atkūrimas, nugriaunant neeksploatuojamus hidroelektrinės statinius ir techninės priežiūros vykdymas</t>
  </si>
  <si>
    <t xml:space="preserve">2024 METŲ VALSTYBĖS BIUDŽETO SPECIALIOS TIKSLINĖS DOTACIJOS SAVIVALDYBĖS BIUDŽETUI KITI ASIGNAVIMAI </t>
  </si>
  <si>
    <t>30.1</t>
  </si>
  <si>
    <t>30.2</t>
  </si>
  <si>
    <t>30.3</t>
  </si>
  <si>
    <t>30.4</t>
  </si>
  <si>
    <t>30.5</t>
  </si>
  <si>
    <t>30.6</t>
  </si>
  <si>
    <t>30.7</t>
  </si>
  <si>
    <t>30.8</t>
  </si>
  <si>
    <t>33.1</t>
  </si>
  <si>
    <t>33.2</t>
  </si>
  <si>
    <t>33.3</t>
  </si>
  <si>
    <t>33.4</t>
  </si>
  <si>
    <t>33.5</t>
  </si>
  <si>
    <t>33.6</t>
  </si>
  <si>
    <t>33.7</t>
  </si>
  <si>
    <t>33.8</t>
  </si>
  <si>
    <t>33.9</t>
  </si>
  <si>
    <t>33.10</t>
  </si>
  <si>
    <t>33.11</t>
  </si>
  <si>
    <t>33.12</t>
  </si>
  <si>
    <t>33.13</t>
  </si>
  <si>
    <t>33.14</t>
  </si>
  <si>
    <t>33.15</t>
  </si>
  <si>
    <t>33.16</t>
  </si>
  <si>
    <t>33.17</t>
  </si>
  <si>
    <t>33.18</t>
  </si>
  <si>
    <t>33.19</t>
  </si>
  <si>
    <t>33.20</t>
  </si>
  <si>
    <t>33.21</t>
  </si>
  <si>
    <t>33.22</t>
  </si>
  <si>
    <t>33.23</t>
  </si>
  <si>
    <t>40.1</t>
  </si>
  <si>
    <t>40.2</t>
  </si>
  <si>
    <t>40.3</t>
  </si>
  <si>
    <t>40.4</t>
  </si>
  <si>
    <t>40.5</t>
  </si>
  <si>
    <t>40.6</t>
  </si>
  <si>
    <t>40.7</t>
  </si>
  <si>
    <t>40.8</t>
  </si>
  <si>
    <t>40.9</t>
  </si>
  <si>
    <t>40.10</t>
  </si>
  <si>
    <t>40.11</t>
  </si>
  <si>
    <t>40.12</t>
  </si>
  <si>
    <t>40.13</t>
  </si>
  <si>
    <t>40.14</t>
  </si>
  <si>
    <t>40.15</t>
  </si>
  <si>
    <t>40.16</t>
  </si>
  <si>
    <t>40.17</t>
  </si>
  <si>
    <t>40.17.1</t>
  </si>
  <si>
    <t>40.17.2</t>
  </si>
  <si>
    <t>40.17.3</t>
  </si>
  <si>
    <t>40.17.4</t>
  </si>
  <si>
    <t>54.1</t>
  </si>
  <si>
    <t>54.2</t>
  </si>
  <si>
    <t>54.3</t>
  </si>
  <si>
    <t>54.4</t>
  </si>
  <si>
    <t>54.5</t>
  </si>
  <si>
    <t>54.6</t>
  </si>
  <si>
    <t>54.6.1</t>
  </si>
  <si>
    <t>54.6.2</t>
  </si>
  <si>
    <t>54.6.3</t>
  </si>
  <si>
    <t>54.6.4</t>
  </si>
  <si>
    <t>54.6.5</t>
  </si>
  <si>
    <t>54.6.6</t>
  </si>
  <si>
    <t>73.1</t>
  </si>
  <si>
    <t>73.2</t>
  </si>
  <si>
    <t>73.3</t>
  </si>
  <si>
    <t>73.4</t>
  </si>
  <si>
    <t>73.5</t>
  </si>
  <si>
    <t>73.6</t>
  </si>
  <si>
    <t>73.7</t>
  </si>
  <si>
    <t>73.7.1</t>
  </si>
  <si>
    <t>73.7.4</t>
  </si>
  <si>
    <t>73.7.2</t>
  </si>
  <si>
    <t>73.7.3</t>
  </si>
  <si>
    <t>73.7.5</t>
  </si>
  <si>
    <t>76.1</t>
  </si>
  <si>
    <t>76.2</t>
  </si>
  <si>
    <t>76.3</t>
  </si>
  <si>
    <t>76.3.1</t>
  </si>
  <si>
    <t>76.3.2</t>
  </si>
  <si>
    <t>76.3.3</t>
  </si>
  <si>
    <t>76.3.4</t>
  </si>
  <si>
    <t>76.3.5</t>
  </si>
  <si>
    <t>76.3.6</t>
  </si>
  <si>
    <t>76.3.7</t>
  </si>
  <si>
    <t>76.3.8</t>
  </si>
  <si>
    <t>76.3.9</t>
  </si>
  <si>
    <t>79.1</t>
  </si>
  <si>
    <t>79.1.1</t>
  </si>
  <si>
    <t>79.1.2</t>
  </si>
  <si>
    <t>79.1.3</t>
  </si>
  <si>
    <t>79.1.4</t>
  </si>
  <si>
    <t>79.1.5</t>
  </si>
  <si>
    <t>79.1.6</t>
  </si>
  <si>
    <t>79.1.7</t>
  </si>
  <si>
    <t>79.1.8</t>
  </si>
  <si>
    <t>79.1.9</t>
  </si>
  <si>
    <t>79.1.10</t>
  </si>
  <si>
    <t>79.1.11</t>
  </si>
  <si>
    <t>79.1.12</t>
  </si>
  <si>
    <t>79.1.13</t>
  </si>
  <si>
    <t>79.1.14</t>
  </si>
  <si>
    <t>79.1.15</t>
  </si>
  <si>
    <t>79.1.16</t>
  </si>
  <si>
    <t>79.1.17</t>
  </si>
  <si>
    <t>79.1.18</t>
  </si>
  <si>
    <t>79.1.19</t>
  </si>
  <si>
    <t>79.1.20</t>
  </si>
  <si>
    <t>92.1</t>
  </si>
  <si>
    <t>92.2</t>
  </si>
  <si>
    <t>92.3</t>
  </si>
  <si>
    <t>92.4</t>
  </si>
  <si>
    <t>92.5</t>
  </si>
  <si>
    <t>92.5.1</t>
  </si>
  <si>
    <t>105.1</t>
  </si>
  <si>
    <t>105.2</t>
  </si>
  <si>
    <t>105.2.1</t>
  </si>
  <si>
    <t>105.2.2</t>
  </si>
  <si>
    <t>105.2.3</t>
  </si>
  <si>
    <t>105.2.4</t>
  </si>
  <si>
    <t>105.2.5</t>
  </si>
  <si>
    <t>105.2.6</t>
  </si>
  <si>
    <t>107.3</t>
  </si>
  <si>
    <t>107.4</t>
  </si>
  <si>
    <t>111.1</t>
  </si>
  <si>
    <t>111.3</t>
  </si>
  <si>
    <t>111.2</t>
  </si>
  <si>
    <t>111.4</t>
  </si>
  <si>
    <t>111.5</t>
  </si>
  <si>
    <t>111.6</t>
  </si>
  <si>
    <t>111.7</t>
  </si>
  <si>
    <t>111.8</t>
  </si>
  <si>
    <t>111.9</t>
  </si>
  <si>
    <t>Infrastruktūros plėtros įmokos</t>
  </si>
  <si>
    <t xml:space="preserve"> Kita dotacija socialinių paslaugų įstaigose dirbančių  socialinių  paslaugų srities darbuotojų pareiginei algai padidinti</t>
  </si>
  <si>
    <t>01.3</t>
  </si>
  <si>
    <t>Kėdainių rajono savivaldybės administracija</t>
  </si>
  <si>
    <t>Kita dotacija būstams pritaikyti asmenims su negalia</t>
  </si>
  <si>
    <t>Kita dotacija asmenų  su negalia reikalų koordinavimui</t>
  </si>
  <si>
    <t>Kita dotacija stiprinti bendruomenines veiklas savivaldybėje</t>
  </si>
  <si>
    <t>05.2</t>
  </si>
  <si>
    <t>07.1</t>
  </si>
  <si>
    <t>Kita dotacija  savivaldybės institucijos valdomiems vietinės reikšmės keliams</t>
  </si>
  <si>
    <t xml:space="preserve">          KĖDAINIŲ RAJONO SAVIVALDYBĖS 2024 METŲ BIUDŽETO PAJAMOS</t>
  </si>
  <si>
    <t>Kita dotacija už būsto suteikimą užsieniečiams, pasitraukusiems iš Ukrainos dėl Rusijos federacijos karinės agresijos, finansuoti</t>
  </si>
  <si>
    <t>03.8</t>
  </si>
  <si>
    <t>03.9</t>
  </si>
  <si>
    <t>Kita dotacija  vienkartinėms išmokoms įsikurti gyvenamojoje vietoje savivaldybės teritorijoje ir (ar) mėnesinėms kompensacijoms atlyginimui švietimo teikėjui už vaiko, ugdomo pagal ikimokyklinio ir priešmokyklinio ugdymo programas išlaikymą apmokėti mokėti ir administruoti</t>
  </si>
  <si>
    <t>Kita dotacija socialinių paslaugų šakos kolektyvinėje sutartyje nustatytiems įsipareigojimams igyvendinti</t>
  </si>
  <si>
    <t>03.10</t>
  </si>
  <si>
    <t>01.4</t>
  </si>
  <si>
    <t xml:space="preserve">Kita dotacija saulės elektrinės pagamintos  energijos kaupimo įrenginiui įdiegti </t>
  </si>
  <si>
    <t>01.5</t>
  </si>
  <si>
    <t xml:space="preserve"> Kita dotacija kompensuoti savivaldybės patirtas išlaidas valdant nepaprastąją padėtį dėl užsieniečių, pasitraukusių iš Ukrainos dėl Rusijos federacijos karinių veiksmų Ukrainoje</t>
  </si>
  <si>
    <t>Kita dotacja profesiniam orientavimui</t>
  </si>
  <si>
    <t>Kita dotacija ugdyti ir pavėžėti į mokyklą ir atgal vaikus, atvykusius į Lietuvos Respubliką iš Ukrainos dėl Rusijos federacijos karinių veiksmų Ukrainoje</t>
  </si>
  <si>
    <t>03.11</t>
  </si>
  <si>
    <t>Kita dotacija  teikti piniginę socialinę paramą vadovaujantis Lietuvos Respublikos piniginės socialinės paramos nepasiturintiems gyventojams įstatymu, užsieniečiams, pasitraukusiems iš Ukrainos dėl Rusijos federacijos karinių veiksmų Ukrainoje</t>
  </si>
  <si>
    <t>03.12</t>
  </si>
  <si>
    <t>Kita dotacija padengti išlaidas patirtas teikiant specialiąsias socialines paslaugas užsieniečiams, pasitraukusiems iš Ukrainos dėl Rusijos federacijos karinių veiksmų Ukrainoje</t>
  </si>
  <si>
    <t>Kita dotacija sutvarkyti naudotas padangas, kurių turėtojų nustatyti neįmanoma arba kurie neegzistuoja</t>
  </si>
  <si>
    <t>08.2</t>
  </si>
  <si>
    <t>03.13</t>
  </si>
  <si>
    <t>03.14</t>
  </si>
  <si>
    <t>Kita dotacija savivaldybės administracijai  mokėti 20 proc. bazinės socialinės išmokos (BSĮ) neįgaliesiems</t>
  </si>
  <si>
    <t>Kita dotacija panaudoti atsinaujinančius energijos išteklius (saulės, vėjo) elektros energijos poreikiams</t>
  </si>
  <si>
    <t>01.6</t>
  </si>
  <si>
    <t>Kita dotacija  vertinti fotovoltinės saulės elektrinės ant pastato stogo ataskaitą</t>
  </si>
  <si>
    <t xml:space="preserve"> Kita dotacija teikti socialinę paramą mokiniams pagal Lietuvos Respublikos socialinės paramos mokiniams įstatymą užsieniečiams, pasitraukusiems iš Ukrainos dėl Rusijos federacijos karinių veiksmų Ukrainoje</t>
  </si>
  <si>
    <t>03.15</t>
  </si>
  <si>
    <t>79.1.21</t>
  </si>
  <si>
    <t>Kita dotacija teikti paramą būstui išsinuomoti pagal Lietuvos Respublikos paramos būstui įsigyti ar išsinuomoti įstatymą užsieniečiams, pasitraukusiems iš Ukrainos dėl Rusijos federacijos karinės agresijos</t>
  </si>
  <si>
    <t>Kita dotacija valstybinių ir savivaldybių mokyklų mokytojų, dirbančių pagal ikimokyklinio, priešmokyklinio, bendrojo ugdymo ir profesinio mokymo programas, personalo optimizavimui ir atnaujinimui</t>
  </si>
  <si>
    <t>Kita dotacija  mokyklų aprūpinimo geltonaisiais autobusais programai įgyvendinti</t>
  </si>
  <si>
    <t xml:space="preserve"> Kita dotacija laikino atokvėpio paslaugai teikti ir administruoti</t>
  </si>
  <si>
    <t>01.7</t>
  </si>
  <si>
    <t>01.8</t>
  </si>
  <si>
    <t>03.17</t>
  </si>
  <si>
    <t>Kita dotacija vykdyti miesto miškų žemės sklypų priežiūros, apsaugos, tvarkymo darbus ir parengti reikalingus planavimo dokumentus</t>
  </si>
  <si>
    <t>Kita dotacija infrastruktūros įrengimui ir (ar) sutvarkymui ir (ar) investicinio žemės sklypo vystymui</t>
  </si>
  <si>
    <t>Kėdainių Senamiesčio progimnazija</t>
  </si>
  <si>
    <t>40.17.5</t>
  </si>
  <si>
    <t>Būsto įsigijimas nakvynės namų poreikiams</t>
  </si>
  <si>
    <t>54.6.7</t>
  </si>
  <si>
    <t>Kėdainių r. Krakių Mikalojaus Katkaus gimnazijos sporto aikštyno atnaujinimas</t>
  </si>
  <si>
    <t>Kėdainių Senamiesčio progimnazijos  sporto aikštyno atnaijinimas</t>
  </si>
  <si>
    <t>Kita dotacija švietimo įstaigų sporto aikštynų atnaujinimo programos įgyvendinimui</t>
  </si>
  <si>
    <t xml:space="preserve"> (tūkst. Eur)</t>
  </si>
  <si>
    <t>Suma</t>
  </si>
  <si>
    <t xml:space="preserve"> MOKESČIAI (2+5+9)</t>
  </si>
  <si>
    <t>Pajamų ir pelno mokesčiai (3+4)</t>
  </si>
  <si>
    <t>Turto mokesčiai (6+7+8)</t>
  </si>
  <si>
    <t>Prekių ir paslaugų mokesčiai (10)</t>
  </si>
  <si>
    <t>KITOS PAJAMOS (12+17+22+25+26)</t>
  </si>
  <si>
    <t>Turto pajamos (13+14+15+16)</t>
  </si>
  <si>
    <t>Pajamos už prekes ir paslaugas (18+19+20+21)</t>
  </si>
  <si>
    <t>Rinkliavos (23+24 )</t>
  </si>
  <si>
    <t>Kitos neišvardytos pajamos</t>
  </si>
  <si>
    <t xml:space="preserve">MATERIALIOJO IR NEMATERIALIOJO TURTO REALIZAVIMO PAJAMOS </t>
  </si>
  <si>
    <t>Iš viso (1+11+27)</t>
  </si>
  <si>
    <t>DOTACIJOS IŠ KITŲ VALDŽIOS SEKTORIAUS  SUBJEKTŲ (30+34+35)</t>
  </si>
  <si>
    <t>Valstybės biudžeto specialioji tikslinė dotacija (31+32+33)</t>
  </si>
  <si>
    <t>Valstybinėms (perduotoms savivaldybėms) funkcijoms atlikti</t>
  </si>
  <si>
    <t>mokyklos specialiųjų ugdymosi poreikių turintiems mokiniams</t>
  </si>
  <si>
    <t>34</t>
  </si>
  <si>
    <t xml:space="preserve">Valstybės biudžeto kitos dotacijos </t>
  </si>
  <si>
    <t>35</t>
  </si>
  <si>
    <t>Europos Sąjungos ir kitos tarptautinės finansinės paramos lėšos</t>
  </si>
  <si>
    <t>36</t>
  </si>
  <si>
    <t xml:space="preserve">                                       IŠ VISO PAJAMŲ IR DOTACIJŲ (28+29)</t>
  </si>
  <si>
    <t>37</t>
  </si>
  <si>
    <t>Finansinių įsipareigojimų prisiėmimo (skolinimosi) pajamos</t>
  </si>
  <si>
    <t>38</t>
  </si>
  <si>
    <t>Metų pradžios lėšų likutis</t>
  </si>
  <si>
    <t xml:space="preserve">                                                                                Kėdainių rajono savivaldybės tarybos</t>
  </si>
  <si>
    <t xml:space="preserve">Kėdainių rajono tuberkuliozės prevencijos, ankstyvosios diagnostikos, gydymo ir kontrolės 2023–2027 m. programa </t>
  </si>
  <si>
    <t xml:space="preserve">Žemo slenksčio paslaugų kokybės  užtikrinimo Kėdainių rajone 2023-2027 m. programa </t>
  </si>
  <si>
    <t xml:space="preserve">Ambulatorinės akušerinės ir ginekologinės pagalbos kokybės gerinimo Kėdainių rajono savivaldybės moterims 2019-2024 m. programa  </t>
  </si>
  <si>
    <t xml:space="preserve">Endoskopinių paslaugų prieinamumo ir kokybės gerinimo Kėdainių rajono savivaldybėje 2020-2025 m. programa </t>
  </si>
  <si>
    <t xml:space="preserve">Mamografijos paslaugų tęstinumo, kokybės gerinimo Kėdainių rajono savivaldybėje 2020-2025 m. programa </t>
  </si>
  <si>
    <t xml:space="preserve">Anestezijos paslaugų vaikams ir suaugusiesiems kokybės gerinimo Kėdainių rajono savivaldybėje 2022-2027 m. programa </t>
  </si>
  <si>
    <t xml:space="preserve">Rentgeno paslaugų atnaujinimo, kokybės gerinimo Kėdainių rajono savivaldybėje 2022-2027 m. programa </t>
  </si>
  <si>
    <t>Kompiuterinės tomografijos paslaugų kokybės gerinimo Kėdainių rajono savivaldybėje 2023-2030 m. programa</t>
  </si>
  <si>
    <t>Odontologijos paslaugų plėtros Kėdainių rajono savivaldybėje 2024-2027 m. programa</t>
  </si>
  <si>
    <t xml:space="preserve">Reabilitacijos prieinamumo didinimo Kėdainių rajono savivaldybėje 2024 m. programa </t>
  </si>
  <si>
    <t xml:space="preserve">Išmokos pagal savivaldybės  infrastruktūros plėtros sutartis </t>
  </si>
  <si>
    <t xml:space="preserve">Daugiabučių namų kiemų dangų atnaujinimas </t>
  </si>
  <si>
    <t>Infrastruktūros plėtros techninės dokumentacijos rengimas ir infrastruktūros gerinimo darbai</t>
  </si>
  <si>
    <t>30.9</t>
  </si>
  <si>
    <t>30.9.1</t>
  </si>
  <si>
    <t>30.9.2</t>
  </si>
  <si>
    <t>30.9.3</t>
  </si>
  <si>
    <t>30.9.4</t>
  </si>
  <si>
    <t>30.9.5</t>
  </si>
  <si>
    <t>30.9.6</t>
  </si>
  <si>
    <t>30.9.7</t>
  </si>
  <si>
    <t>30.9.8</t>
  </si>
  <si>
    <t>30.9.9</t>
  </si>
  <si>
    <t>30.9.10</t>
  </si>
  <si>
    <t>30.9.11</t>
  </si>
  <si>
    <t>30.9.12</t>
  </si>
  <si>
    <t xml:space="preserve">Mokyklų aprūpinimo geltonaisiais autobusais programai įgyvendinti </t>
  </si>
  <si>
    <t>„Aušros“ progimnazijoje ir Vilainių mokykloje-darželyje „Obelėlė“, vykdant visos dienos mokyklos veiklą</t>
  </si>
  <si>
    <t>01.9</t>
  </si>
  <si>
    <t>Kita dotacija pedagoginių darbuotojų, dirbančių pagal ikimokyklinio, priešmokyklinio ir neformaliojo vaikų švietimo programas savivaldybės mokyklose, padidintam darbo užmokesčiui nuo 2024 m. rugsėjo 1 d. mokėti</t>
  </si>
  <si>
    <t>03.16</t>
  </si>
  <si>
    <t>04.2</t>
  </si>
  <si>
    <t>10.1</t>
  </si>
  <si>
    <t>30.9.13</t>
  </si>
  <si>
    <t>Pirminės asmens sveikatos priežiūros paslaugų prieinamumo ir kokybės užtikrinimo Kėdainių rajono kaimiškųjų vietovių gyventojams programa</t>
  </si>
  <si>
    <t xml:space="preserve">Nekilnojamųjų kultūros vertybių vertinimo medžiagos, nekilnojamųjų kultūros paveldo objektų, vietovių  individualius apsaugos reglamentų rengimas finansavimo programa </t>
  </si>
  <si>
    <t>Kėdainių rajono savivaldybės 2024 m. valstybei nuosavybės teise priklausančių melioracijos statinių priežiūrai ir remonto darbams įskaitant priešprojektinius tyrinėjimus, techninės sąmatinės dokumentacijos sudarymą, ekspertizę, darbų techninę priežiūrą bei kitus susijusius darbus</t>
  </si>
  <si>
    <t>111.10</t>
  </si>
  <si>
    <t xml:space="preserve">Skirti UAB „Kėdainių butai“ piniginį akcininko įnašą nuosavam kapitalui atkurti </t>
  </si>
  <si>
    <t>"Tūkstantmečio mokyklos I"  projekto įgyvendinimas</t>
  </si>
  <si>
    <t>03.18</t>
  </si>
  <si>
    <t>Kita dotacija skirta išlaidoms, patirtoms mokant laidojimo pašalpą Lietuvos Respublikos socialinės paramos mirties atveju įstatymą užsieniečiams, pasitraukusiems iš Ukrainos dėl Rusijos federacijos karinių veiksmų Ukrainoje</t>
  </si>
  <si>
    <t xml:space="preserve">                                                           2024 m. gruodžio 20 d. sprendimo Nr. TS-</t>
  </si>
  <si>
    <t xml:space="preserve">                                              2024 m. gruodžio 20 d. sprendimo Nr. TS-</t>
  </si>
  <si>
    <t>08.1</t>
  </si>
  <si>
    <t xml:space="preserve">Kita dotacija užtikrinti 2024 metais Lietuvos Respublikos piniginės socialinės paramos nepasiturintiems gyventojams įstatymo įgyvendinimą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</si>
</sst>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_-* #,##0.00\ _L_t_-;\-* #,##0.00\ _L_t_-;_-* &quot;-&quot;??\ _L_t_-;_-@_-"/>
    <numFmt numFmtId="167" formatCode="0.0"/>
    <numFmt numFmtId="168" formatCode="#,##0.0"/>
    <numFmt numFmtId="169" formatCode="0.0_ ;\-0.0\ "/>
    <numFmt numFmtId="170" formatCode="0.0;\-0.0;;"/>
  </numFmts>
  <fonts count="21" x14ac:knownFonts="1">
    <font>
      <sz val="10"/>
      <name val="Arial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9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color rgb="FFFF0000"/>
      <name val="Times New Roman"/>
      <family val="1"/>
      <charset val="186"/>
    </font>
    <font>
      <sz val="10"/>
      <color rgb="FF7030A0"/>
      <name val="Times New Roman"/>
      <family val="1"/>
      <charset val="186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1">
    <xf numFmtId="0" fontId="0" fillId="0" borderId="0"/>
    <xf numFmtId="0" fontId="6" fillId="0" borderId="0"/>
    <xf numFmtId="0" fontId="1" fillId="0" borderId="0"/>
    <xf numFmtId="0" fontId="6" fillId="0" borderId="0"/>
    <xf numFmtId="0" fontId="8" fillId="0" borderId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6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</cellStyleXfs>
  <cellXfs count="211">
    <xf numFmtId="0" fontId="0" fillId="0" borderId="0" xfId="0"/>
    <xf numFmtId="0" fontId="1" fillId="0" borderId="0" xfId="1" applyFont="1" applyAlignment="1">
      <alignment vertical="center"/>
    </xf>
    <xf numFmtId="0" fontId="1" fillId="0" borderId="0" xfId="0" applyFont="1"/>
    <xf numFmtId="0" fontId="3" fillId="0" borderId="0" xfId="0" applyFont="1" applyAlignment="1">
      <alignment horizontal="right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vertical="center"/>
    </xf>
    <xf numFmtId="0" fontId="1" fillId="0" borderId="0" xfId="1" applyFont="1"/>
    <xf numFmtId="0" fontId="1" fillId="0" borderId="0" xfId="1" applyFont="1" applyAlignment="1">
      <alignment horizontal="right"/>
    </xf>
    <xf numFmtId="0" fontId="1" fillId="0" borderId="0" xfId="0" applyFont="1" applyAlignment="1">
      <alignment vertical="center"/>
    </xf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167" fontId="1" fillId="0" borderId="0" xfId="0" applyNumberFormat="1" applyFont="1"/>
    <xf numFmtId="0" fontId="1" fillId="0" borderId="1" xfId="1" applyFont="1" applyBorder="1" applyAlignment="1">
      <alignment horizontal="right" vertical="center"/>
    </xf>
    <xf numFmtId="168" fontId="2" fillId="0" borderId="1" xfId="0" applyNumberFormat="1" applyFont="1" applyBorder="1"/>
    <xf numFmtId="168" fontId="1" fillId="0" borderId="0" xfId="0" applyNumberFormat="1" applyFont="1"/>
    <xf numFmtId="167" fontId="2" fillId="0" borderId="0" xfId="0" applyNumberFormat="1" applyFont="1"/>
    <xf numFmtId="0" fontId="1" fillId="0" borderId="1" xfId="1" applyFont="1" applyBorder="1" applyAlignment="1">
      <alignment vertical="center"/>
    </xf>
    <xf numFmtId="168" fontId="1" fillId="0" borderId="1" xfId="0" applyNumberFormat="1" applyFont="1" applyBorder="1" applyAlignment="1">
      <alignment vertical="center"/>
    </xf>
    <xf numFmtId="0" fontId="1" fillId="0" borderId="1" xfId="1" applyFont="1" applyBorder="1" applyAlignment="1">
      <alignment vertical="center" wrapText="1"/>
    </xf>
    <xf numFmtId="168" fontId="2" fillId="0" borderId="0" xfId="0" applyNumberFormat="1" applyFont="1"/>
    <xf numFmtId="168" fontId="2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right"/>
    </xf>
    <xf numFmtId="168" fontId="1" fillId="0" borderId="0" xfId="0" applyNumberFormat="1" applyFont="1" applyAlignment="1">
      <alignment vertical="center"/>
    </xf>
    <xf numFmtId="167" fontId="9" fillId="0" borderId="0" xfId="0" applyNumberFormat="1" applyFont="1"/>
    <xf numFmtId="18" fontId="1" fillId="0" borderId="0" xfId="0" applyNumberFormat="1" applyFont="1"/>
    <xf numFmtId="0" fontId="1" fillId="0" borderId="1" xfId="0" applyFont="1" applyBorder="1" applyAlignment="1">
      <alignment horizontal="justify" vertical="center" wrapText="1"/>
    </xf>
    <xf numFmtId="1" fontId="1" fillId="0" borderId="0" xfId="0" applyNumberFormat="1" applyFont="1"/>
    <xf numFmtId="0" fontId="1" fillId="0" borderId="1" xfId="1" applyFont="1" applyBorder="1" applyAlignment="1">
      <alignment horizontal="justify" vertical="center" wrapText="1"/>
    </xf>
    <xf numFmtId="168" fontId="9" fillId="0" borderId="0" xfId="0" applyNumberFormat="1" applyFont="1"/>
    <xf numFmtId="0" fontId="9" fillId="0" borderId="0" xfId="0" applyFont="1"/>
    <xf numFmtId="0" fontId="2" fillId="0" borderId="1" xfId="0" applyFont="1" applyBorder="1" applyAlignment="1">
      <alignment wrapText="1"/>
    </xf>
    <xf numFmtId="0" fontId="2" fillId="0" borderId="1" xfId="1" applyFont="1" applyBorder="1" applyAlignment="1">
      <alignment horizontal="right" vertical="center"/>
    </xf>
    <xf numFmtId="0" fontId="2" fillId="0" borderId="1" xfId="0" applyFont="1" applyBorder="1"/>
    <xf numFmtId="168" fontId="1" fillId="0" borderId="1" xfId="0" applyNumberFormat="1" applyFont="1" applyBorder="1"/>
    <xf numFmtId="49" fontId="1" fillId="0" borderId="1" xfId="1" applyNumberFormat="1" applyFont="1" applyBorder="1" applyAlignment="1">
      <alignment horizontal="right" vertical="center"/>
    </xf>
    <xf numFmtId="0" fontId="1" fillId="0" borderId="1" xfId="0" applyFont="1" applyBorder="1"/>
    <xf numFmtId="0" fontId="1" fillId="0" borderId="1" xfId="0" applyFont="1" applyBorder="1" applyAlignment="1">
      <alignment vertical="center"/>
    </xf>
    <xf numFmtId="2" fontId="1" fillId="0" borderId="0" xfId="0" applyNumberFormat="1" applyFont="1"/>
    <xf numFmtId="168" fontId="2" fillId="0" borderId="0" xfId="1" applyNumberFormat="1" applyFont="1"/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49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11" fillId="0" borderId="0" xfId="0" applyFont="1" applyAlignment="1">
      <alignment horizontal="left"/>
    </xf>
    <xf numFmtId="49" fontId="14" fillId="0" borderId="0" xfId="0" applyNumberFormat="1" applyFont="1" applyAlignment="1">
      <alignment horizontal="center" vertical="center" wrapText="1"/>
    </xf>
    <xf numFmtId="0" fontId="11" fillId="0" borderId="5" xfId="0" applyFont="1" applyBorder="1" applyAlignment="1">
      <alignment horizontal="right" vertical="center"/>
    </xf>
    <xf numFmtId="0" fontId="14" fillId="0" borderId="1" xfId="0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167" fontId="11" fillId="0" borderId="0" xfId="0" applyNumberFormat="1" applyFont="1"/>
    <xf numFmtId="0" fontId="14" fillId="0" borderId="1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right" vertical="center"/>
    </xf>
    <xf numFmtId="0" fontId="14" fillId="0" borderId="1" xfId="0" applyFont="1" applyBorder="1" applyAlignment="1">
      <alignment horizontal="left" vertical="center" wrapText="1"/>
    </xf>
    <xf numFmtId="168" fontId="14" fillId="0" borderId="1" xfId="0" applyNumberFormat="1" applyFont="1" applyBorder="1" applyAlignment="1">
      <alignment horizontal="center" vertical="center" wrapText="1"/>
    </xf>
    <xf numFmtId="168" fontId="14" fillId="0" borderId="0" xfId="0" applyNumberFormat="1" applyFont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167" fontId="11" fillId="0" borderId="1" xfId="0" applyNumberFormat="1" applyFont="1" applyBorder="1" applyAlignment="1">
      <alignment vertical="center"/>
    </xf>
    <xf numFmtId="168" fontId="11" fillId="0" borderId="1" xfId="0" applyNumberFormat="1" applyFont="1" applyBorder="1" applyAlignment="1">
      <alignment horizontal="right" vertical="center"/>
    </xf>
    <xf numFmtId="167" fontId="11" fillId="0" borderId="1" xfId="0" applyNumberFormat="1" applyFont="1" applyBorder="1" applyAlignment="1">
      <alignment vertical="center" wrapText="1"/>
    </xf>
    <xf numFmtId="167" fontId="11" fillId="0" borderId="2" xfId="0" applyNumberFormat="1" applyFont="1" applyBorder="1" applyAlignment="1">
      <alignment vertical="center" wrapText="1"/>
    </xf>
    <xf numFmtId="167" fontId="11" fillId="0" borderId="2" xfId="0" applyNumberFormat="1" applyFont="1" applyBorder="1" applyAlignment="1">
      <alignment vertical="center"/>
    </xf>
    <xf numFmtId="49" fontId="11" fillId="0" borderId="4" xfId="0" applyNumberFormat="1" applyFont="1" applyBorder="1" applyAlignment="1">
      <alignment horizontal="center" vertical="center"/>
    </xf>
    <xf numFmtId="167" fontId="11" fillId="0" borderId="1" xfId="19" applyNumberFormat="1" applyFont="1" applyBorder="1" applyAlignment="1">
      <alignment horizontal="left" vertical="center" wrapText="1"/>
    </xf>
    <xf numFmtId="167" fontId="11" fillId="0" borderId="1" xfId="19" applyNumberFormat="1" applyFont="1" applyBorder="1" applyAlignment="1">
      <alignment vertical="center" wrapText="1"/>
    </xf>
    <xf numFmtId="167" fontId="11" fillId="0" borderId="1" xfId="0" applyNumberFormat="1" applyFont="1" applyBorder="1" applyAlignment="1">
      <alignment horizontal="left" vertical="center" wrapText="1"/>
    </xf>
    <xf numFmtId="168" fontId="11" fillId="0" borderId="1" xfId="19" applyNumberFormat="1" applyFont="1" applyBorder="1" applyAlignment="1">
      <alignment horizontal="right" vertical="center"/>
    </xf>
    <xf numFmtId="49" fontId="15" fillId="0" borderId="1" xfId="0" applyNumberFormat="1" applyFont="1" applyBorder="1" applyAlignment="1">
      <alignment horizontal="right" vertical="center"/>
    </xf>
    <xf numFmtId="49" fontId="16" fillId="0" borderId="1" xfId="0" applyNumberFormat="1" applyFont="1" applyBorder="1" applyAlignment="1">
      <alignment vertical="center" wrapText="1"/>
    </xf>
    <xf numFmtId="168" fontId="14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top" wrapText="1"/>
    </xf>
    <xf numFmtId="168" fontId="11" fillId="0" borderId="1" xfId="19" applyNumberFormat="1" applyFont="1" applyBorder="1" applyAlignment="1">
      <alignment horizontal="right" vertical="top"/>
    </xf>
    <xf numFmtId="49" fontId="11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168" fontId="11" fillId="0" borderId="1" xfId="0" applyNumberFormat="1" applyFont="1" applyBorder="1" applyAlignment="1">
      <alignment vertical="center"/>
    </xf>
    <xf numFmtId="49" fontId="14" fillId="0" borderId="1" xfId="0" applyNumberFormat="1" applyFont="1" applyBorder="1" applyAlignment="1">
      <alignment horizontal="left" vertical="center" wrapText="1"/>
    </xf>
    <xf numFmtId="168" fontId="14" fillId="0" borderId="1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right" vertical="center"/>
    </xf>
    <xf numFmtId="167" fontId="17" fillId="0" borderId="1" xfId="0" applyNumberFormat="1" applyFont="1" applyBorder="1" applyAlignment="1">
      <alignment vertical="center" wrapText="1"/>
    </xf>
    <xf numFmtId="0" fontId="11" fillId="0" borderId="1" xfId="17" applyFont="1" applyBorder="1" applyAlignment="1">
      <alignment vertical="center" wrapText="1"/>
    </xf>
    <xf numFmtId="0" fontId="11" fillId="0" borderId="6" xfId="17" applyFont="1" applyBorder="1" applyAlignment="1">
      <alignment vertical="center" wrapText="1"/>
    </xf>
    <xf numFmtId="168" fontId="11" fillId="0" borderId="6" xfId="0" applyNumberFormat="1" applyFont="1" applyBorder="1" applyAlignment="1">
      <alignment horizontal="right" vertical="center"/>
    </xf>
    <xf numFmtId="0" fontId="17" fillId="0" borderId="1" xfId="0" applyFont="1" applyBorder="1" applyAlignment="1">
      <alignment horizontal="left" vertical="center" wrapText="1"/>
    </xf>
    <xf numFmtId="167" fontId="11" fillId="0" borderId="1" xfId="19" applyNumberFormat="1" applyFont="1" applyBorder="1" applyAlignment="1">
      <alignment vertical="center"/>
    </xf>
    <xf numFmtId="168" fontId="14" fillId="0" borderId="1" xfId="19" applyNumberFormat="1" applyFont="1" applyBorder="1" applyAlignment="1">
      <alignment horizontal="right" vertical="center"/>
    </xf>
    <xf numFmtId="168" fontId="11" fillId="0" borderId="0" xfId="0" applyNumberFormat="1" applyFont="1"/>
    <xf numFmtId="0" fontId="17" fillId="0" borderId="1" xfId="17" applyFont="1" applyBorder="1" applyAlignment="1">
      <alignment vertical="center" wrapText="1"/>
    </xf>
    <xf numFmtId="167" fontId="14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horizontal="right" vertical="center"/>
    </xf>
    <xf numFmtId="49" fontId="18" fillId="0" borderId="1" xfId="0" applyNumberFormat="1" applyFont="1" applyBorder="1" applyAlignment="1">
      <alignment horizontal="left" vertical="center" wrapText="1"/>
    </xf>
    <xf numFmtId="49" fontId="19" fillId="0" borderId="1" xfId="0" applyNumberFormat="1" applyFont="1" applyBorder="1" applyAlignment="1">
      <alignment horizontal="left" vertical="center" wrapText="1"/>
    </xf>
    <xf numFmtId="168" fontId="11" fillId="0" borderId="1" xfId="0" applyNumberFormat="1" applyFont="1" applyBorder="1" applyAlignment="1">
      <alignment horizontal="right" vertical="center" wrapText="1"/>
    </xf>
    <xf numFmtId="0" fontId="11" fillId="0" borderId="1" xfId="0" applyFont="1" applyBorder="1" applyAlignment="1">
      <alignment horizontal="left" vertical="center"/>
    </xf>
    <xf numFmtId="168" fontId="11" fillId="0" borderId="0" xfId="0" applyNumberFormat="1" applyFont="1" applyAlignment="1">
      <alignment horizontal="right" vertical="center"/>
    </xf>
    <xf numFmtId="49" fontId="20" fillId="0" borderId="1" xfId="0" applyNumberFormat="1" applyFont="1" applyBorder="1" applyAlignment="1">
      <alignment horizontal="right" vertical="center" wrapText="1"/>
    </xf>
    <xf numFmtId="167" fontId="14" fillId="0" borderId="0" xfId="0" applyNumberFormat="1" applyFont="1"/>
    <xf numFmtId="0" fontId="14" fillId="0" borderId="0" xfId="0" applyFont="1"/>
    <xf numFmtId="0" fontId="11" fillId="0" borderId="0" xfId="0" applyFont="1" applyAlignment="1">
      <alignment vertical="center" wrapText="1"/>
    </xf>
    <xf numFmtId="168" fontId="11" fillId="0" borderId="0" xfId="0" applyNumberFormat="1" applyFont="1" applyAlignment="1">
      <alignment vertical="center"/>
    </xf>
    <xf numFmtId="168" fontId="14" fillId="0" borderId="0" xfId="0" applyNumberFormat="1" applyFont="1" applyAlignment="1">
      <alignment vertical="center"/>
    </xf>
    <xf numFmtId="0" fontId="12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167" fontId="11" fillId="0" borderId="0" xfId="0" applyNumberFormat="1" applyFont="1" applyAlignment="1">
      <alignment vertical="center"/>
    </xf>
    <xf numFmtId="167" fontId="17" fillId="0" borderId="0" xfId="0" applyNumberFormat="1" applyFont="1" applyAlignment="1">
      <alignment vertical="center"/>
    </xf>
    <xf numFmtId="167" fontId="14" fillId="0" borderId="0" xfId="0" applyNumberFormat="1" applyFont="1" applyAlignment="1">
      <alignment vertical="center"/>
    </xf>
    <xf numFmtId="169" fontId="11" fillId="0" borderId="0" xfId="0" applyNumberFormat="1" applyFont="1" applyAlignment="1">
      <alignment vertical="center"/>
    </xf>
    <xf numFmtId="168" fontId="14" fillId="0" borderId="0" xfId="0" applyNumberFormat="1" applyFont="1" applyAlignment="1">
      <alignment horizontal="right" vertical="center"/>
    </xf>
    <xf numFmtId="49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168" fontId="2" fillId="0" borderId="1" xfId="0" applyNumberFormat="1" applyFont="1" applyBorder="1" applyAlignment="1">
      <alignment horizontal="center" vertical="center"/>
    </xf>
    <xf numFmtId="167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8" fontId="5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168" fontId="1" fillId="0" borderId="1" xfId="0" applyNumberFormat="1" applyFont="1" applyBorder="1" applyAlignment="1">
      <alignment horizontal="right" vertical="center" wrapText="1"/>
    </xf>
    <xf numFmtId="167" fontId="1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/>
    </xf>
    <xf numFmtId="168" fontId="5" fillId="0" borderId="1" xfId="0" applyNumberFormat="1" applyFont="1" applyBorder="1" applyAlignment="1">
      <alignment horizontal="right" vertical="center"/>
    </xf>
    <xf numFmtId="167" fontId="1" fillId="0" borderId="1" xfId="0" applyNumberFormat="1" applyFont="1" applyBorder="1" applyAlignment="1">
      <alignment horizontal="left" vertical="center" wrapText="1"/>
    </xf>
    <xf numFmtId="168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49" fontId="1" fillId="0" borderId="4" xfId="0" applyNumberFormat="1" applyFont="1" applyBorder="1" applyAlignment="1">
      <alignment horizontal="center" vertical="center"/>
    </xf>
    <xf numFmtId="167" fontId="1" fillId="0" borderId="1" xfId="0" applyNumberFormat="1" applyFont="1" applyBorder="1" applyAlignment="1">
      <alignment vertical="center" wrapText="1"/>
    </xf>
    <xf numFmtId="167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9" fontId="2" fillId="0" borderId="4" xfId="0" applyNumberFormat="1" applyFont="1" applyBorder="1" applyAlignment="1">
      <alignment horizontal="center" vertical="center"/>
    </xf>
    <xf numFmtId="167" fontId="10" fillId="0" borderId="0" xfId="0" applyNumberFormat="1" applyFont="1" applyAlignment="1">
      <alignment vertical="center"/>
    </xf>
    <xf numFmtId="49" fontId="1" fillId="0" borderId="1" xfId="0" applyNumberFormat="1" applyFont="1" applyBorder="1" applyAlignment="1">
      <alignment horizontal="left" vertical="center" wrapText="1"/>
    </xf>
    <xf numFmtId="167" fontId="10" fillId="0" borderId="0" xfId="0" applyNumberFormat="1" applyFont="1"/>
    <xf numFmtId="49" fontId="2" fillId="0" borderId="1" xfId="0" applyNumberFormat="1" applyFont="1" applyBorder="1" applyAlignment="1">
      <alignment horizontal="right" vertical="center" wrapText="1"/>
    </xf>
    <xf numFmtId="167" fontId="1" fillId="0" borderId="0" xfId="0" applyNumberFormat="1" applyFont="1" applyAlignment="1">
      <alignment horizontal="right" vertical="center"/>
    </xf>
    <xf numFmtId="167" fontId="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 wrapText="1"/>
    </xf>
    <xf numFmtId="168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49" fontId="1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vertical="center"/>
    </xf>
    <xf numFmtId="167" fontId="1" fillId="0" borderId="0" xfId="0" applyNumberFormat="1" applyFont="1" applyAlignment="1">
      <alignment horizontal="right"/>
    </xf>
    <xf numFmtId="168" fontId="2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167" fontId="5" fillId="0" borderId="1" xfId="0" applyNumberFormat="1" applyFont="1" applyBorder="1" applyAlignment="1">
      <alignment horizontal="right" vertical="center"/>
    </xf>
    <xf numFmtId="167" fontId="1" fillId="0" borderId="1" xfId="0" applyNumberFormat="1" applyFont="1" applyBorder="1" applyAlignment="1">
      <alignment horizontal="right" vertical="center"/>
    </xf>
    <xf numFmtId="167" fontId="1" fillId="0" borderId="1" xfId="0" applyNumberFormat="1" applyFont="1" applyBorder="1" applyAlignment="1">
      <alignment vertical="center"/>
    </xf>
    <xf numFmtId="167" fontId="1" fillId="0" borderId="1" xfId="0" applyNumberFormat="1" applyFont="1" applyBorder="1" applyAlignment="1">
      <alignment horizontal="right"/>
    </xf>
    <xf numFmtId="167" fontId="1" fillId="0" borderId="2" xfId="0" applyNumberFormat="1" applyFont="1" applyBorder="1" applyAlignment="1">
      <alignment vertical="center"/>
    </xf>
    <xf numFmtId="167" fontId="1" fillId="0" borderId="2" xfId="0" applyNumberFormat="1" applyFont="1" applyBorder="1" applyAlignment="1">
      <alignment vertical="center" wrapText="1"/>
    </xf>
    <xf numFmtId="167" fontId="1" fillId="0" borderId="3" xfId="0" applyNumberFormat="1" applyFont="1" applyBorder="1" applyAlignment="1">
      <alignment vertical="center"/>
    </xf>
    <xf numFmtId="167" fontId="5" fillId="0" borderId="3" xfId="0" applyNumberFormat="1" applyFont="1" applyBorder="1" applyAlignment="1">
      <alignment vertical="center" wrapText="1"/>
    </xf>
    <xf numFmtId="167" fontId="1" fillId="0" borderId="1" xfId="18" applyNumberFormat="1" applyBorder="1" applyAlignment="1">
      <alignment vertical="center" wrapText="1"/>
    </xf>
    <xf numFmtId="167" fontId="5" fillId="0" borderId="1" xfId="0" applyNumberFormat="1" applyFont="1" applyBorder="1" applyAlignment="1">
      <alignment horizontal="right"/>
    </xf>
    <xf numFmtId="167" fontId="1" fillId="0" borderId="1" xfId="19" applyNumberFormat="1" applyBorder="1" applyAlignment="1">
      <alignment vertical="center"/>
    </xf>
    <xf numFmtId="167" fontId="1" fillId="0" borderId="1" xfId="19" applyNumberFormat="1" applyBorder="1" applyAlignment="1">
      <alignment vertical="center" wrapText="1"/>
    </xf>
    <xf numFmtId="167" fontId="5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 wrapText="1"/>
    </xf>
    <xf numFmtId="170" fontId="2" fillId="0" borderId="1" xfId="0" applyNumberFormat="1" applyFont="1" applyBorder="1" applyAlignment="1">
      <alignment horizontal="center" vertical="center"/>
    </xf>
    <xf numFmtId="167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right" vertical="center"/>
    </xf>
    <xf numFmtId="0" fontId="1" fillId="0" borderId="0" xfId="1" applyFont="1" applyAlignment="1">
      <alignment vertical="center" wrapText="1"/>
    </xf>
    <xf numFmtId="49" fontId="5" fillId="0" borderId="0" xfId="0" applyNumberFormat="1" applyFont="1" applyAlignment="1">
      <alignment horizontal="left" vertical="center" wrapText="1"/>
    </xf>
    <xf numFmtId="167" fontId="5" fillId="0" borderId="0" xfId="0" applyNumberFormat="1" applyFont="1" applyAlignment="1">
      <alignment horizontal="left" vertical="center" wrapText="1"/>
    </xf>
    <xf numFmtId="167" fontId="5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0" fontId="3" fillId="0" borderId="0" xfId="1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1" applyFont="1" applyAlignment="1">
      <alignment horizontal="right"/>
    </xf>
    <xf numFmtId="0" fontId="11" fillId="0" borderId="4" xfId="0" applyFont="1" applyBorder="1" applyAlignment="1">
      <alignment horizontal="right" vertical="center"/>
    </xf>
    <xf numFmtId="0" fontId="11" fillId="0" borderId="6" xfId="0" applyFont="1" applyBorder="1" applyAlignment="1">
      <alignment horizontal="right" vertical="center"/>
    </xf>
    <xf numFmtId="49" fontId="11" fillId="0" borderId="4" xfId="0" applyNumberFormat="1" applyFont="1" applyBorder="1" applyAlignment="1">
      <alignment horizontal="center" vertical="center"/>
    </xf>
    <xf numFmtId="49" fontId="11" fillId="0" borderId="6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49" fontId="15" fillId="0" borderId="4" xfId="0" applyNumberFormat="1" applyFont="1" applyBorder="1" applyAlignment="1">
      <alignment horizontal="right" vertical="center"/>
    </xf>
    <xf numFmtId="49" fontId="15" fillId="0" borderId="7" xfId="0" applyNumberFormat="1" applyFont="1" applyBorder="1" applyAlignment="1">
      <alignment horizontal="right" vertical="center"/>
    </xf>
    <xf numFmtId="49" fontId="15" fillId="0" borderId="6" xfId="0" applyNumberFormat="1" applyFont="1" applyBorder="1" applyAlignment="1">
      <alignment horizontal="right" vertical="center"/>
    </xf>
    <xf numFmtId="49" fontId="11" fillId="0" borderId="7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7" xfId="0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49" fontId="11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49" fontId="1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49" fontId="2" fillId="0" borderId="0" xfId="0" applyNumberFormat="1" applyFont="1" applyAlignment="1">
      <alignment horizontal="center" vertical="center" wrapText="1"/>
    </xf>
    <xf numFmtId="0" fontId="1" fillId="0" borderId="4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1">
    <cellStyle name="Įprastas" xfId="0" builtinId="0"/>
    <cellStyle name="Įprastas 2" xfId="1" xr:uid="{00000000-0005-0000-0000-000001000000}"/>
    <cellStyle name="Įprastas 3" xfId="2" xr:uid="{00000000-0005-0000-0000-000002000000}"/>
    <cellStyle name="Įprastas 4" xfId="3" xr:uid="{00000000-0005-0000-0000-000003000000}"/>
    <cellStyle name="Įprastas 5" xfId="4" xr:uid="{00000000-0005-0000-0000-000004000000}"/>
    <cellStyle name="Kablelis 2" xfId="5" xr:uid="{00000000-0005-0000-0000-000005000000}"/>
    <cellStyle name="Kablelis 2 2" xfId="6" xr:uid="{00000000-0005-0000-0000-000006000000}"/>
    <cellStyle name="Kablelis 2 2 2" xfId="7" xr:uid="{00000000-0005-0000-0000-000007000000}"/>
    <cellStyle name="Kablelis 3" xfId="8" xr:uid="{00000000-0005-0000-0000-000008000000}"/>
    <cellStyle name="Kablelis 4" xfId="9" xr:uid="{00000000-0005-0000-0000-000009000000}"/>
    <cellStyle name="Kablelis 4 2" xfId="10" xr:uid="{00000000-0005-0000-0000-00000A000000}"/>
    <cellStyle name="Kablelis 4 3" xfId="11" xr:uid="{00000000-0005-0000-0000-00000B000000}"/>
    <cellStyle name="Kablelis 4 3 2" xfId="12" xr:uid="{00000000-0005-0000-0000-00000C000000}"/>
    <cellStyle name="Kablelis 5" xfId="13" xr:uid="{00000000-0005-0000-0000-00000D000000}"/>
    <cellStyle name="Kablelis 5 2" xfId="14" xr:uid="{00000000-0005-0000-0000-00000E000000}"/>
    <cellStyle name="Normal 2" xfId="15" xr:uid="{00000000-0005-0000-0000-00000F000000}"/>
    <cellStyle name="Normal 3" xfId="16" xr:uid="{00000000-0005-0000-0000-000010000000}"/>
    <cellStyle name="Normal_biudžetas 6_2009 m 02 men biudzetas." xfId="17" xr:uid="{00000000-0005-0000-0000-000012000000}"/>
    <cellStyle name="Normal_Sheet1" xfId="18" xr:uid="{00000000-0005-0000-0000-000013000000}"/>
    <cellStyle name="Normal_Sheet1_2009 m 02 men biudzetas." xfId="19" xr:uid="{00000000-0005-0000-0000-000014000000}"/>
    <cellStyle name="Paprastas 2" xfId="20" xr:uid="{00000000-0005-0000-0000-00001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9"/>
  <sheetViews>
    <sheetView zoomScaleNormal="100" workbookViewId="0">
      <selection activeCell="G19" sqref="G19"/>
    </sheetView>
  </sheetViews>
  <sheetFormatPr defaultColWidth="9.140625" defaultRowHeight="12.75" x14ac:dyDescent="0.2"/>
  <cols>
    <col min="1" max="1" width="7.85546875" style="9" customWidth="1"/>
    <col min="2" max="2" width="70.5703125" style="2" customWidth="1"/>
    <col min="3" max="3" width="14.5703125" style="2" bestFit="1" customWidth="1"/>
    <col min="4" max="4" width="11.7109375" style="2" bestFit="1" customWidth="1"/>
    <col min="5" max="5" width="15.140625" style="2" customWidth="1"/>
    <col min="6" max="16384" width="9.140625" style="2"/>
  </cols>
  <sheetData>
    <row r="1" spans="1:9" ht="15.75" x14ac:dyDescent="0.25">
      <c r="A1" s="1"/>
      <c r="B1" s="182" t="s">
        <v>532</v>
      </c>
      <c r="C1" s="182"/>
    </row>
    <row r="2" spans="1:9" ht="15.75" x14ac:dyDescent="0.25">
      <c r="A2" s="1"/>
      <c r="B2" s="183" t="s">
        <v>576</v>
      </c>
      <c r="C2" s="183"/>
    </row>
    <row r="3" spans="1:9" ht="15.75" x14ac:dyDescent="0.25">
      <c r="A3" s="184" t="s">
        <v>143</v>
      </c>
      <c r="B3" s="184"/>
      <c r="C3" s="184"/>
    </row>
    <row r="4" spans="1:9" ht="15.75" x14ac:dyDescent="0.25">
      <c r="A4" s="5"/>
      <c r="B4" s="4"/>
      <c r="C4" s="4"/>
    </row>
    <row r="5" spans="1:9" x14ac:dyDescent="0.2">
      <c r="A5" s="1"/>
      <c r="B5" s="6" t="s">
        <v>461</v>
      </c>
      <c r="C5" s="7"/>
    </row>
    <row r="6" spans="1:9" x14ac:dyDescent="0.2">
      <c r="A6" s="1"/>
      <c r="B6" s="7"/>
      <c r="C6" s="7"/>
    </row>
    <row r="7" spans="1:9" x14ac:dyDescent="0.2">
      <c r="A7" s="1"/>
      <c r="B7" s="7"/>
      <c r="C7" s="8" t="s">
        <v>505</v>
      </c>
      <c r="D7" s="9"/>
      <c r="E7" s="9"/>
    </row>
    <row r="8" spans="1:9" x14ac:dyDescent="0.2">
      <c r="A8" s="10" t="s">
        <v>0</v>
      </c>
      <c r="B8" s="11" t="s">
        <v>144</v>
      </c>
      <c r="C8" s="11" t="s">
        <v>506</v>
      </c>
      <c r="D8" s="12"/>
    </row>
    <row r="9" spans="1:9" x14ac:dyDescent="0.2">
      <c r="A9" s="13">
        <v>1</v>
      </c>
      <c r="B9" s="10" t="s">
        <v>507</v>
      </c>
      <c r="C9" s="14">
        <f>+C10+C13+C17</f>
        <v>49184</v>
      </c>
      <c r="D9" s="15"/>
      <c r="F9" s="15"/>
    </row>
    <row r="10" spans="1:9" x14ac:dyDescent="0.2">
      <c r="A10" s="13">
        <v>2</v>
      </c>
      <c r="B10" s="10" t="s">
        <v>508</v>
      </c>
      <c r="C10" s="14">
        <f>+C11+C12</f>
        <v>45796</v>
      </c>
      <c r="D10" s="15"/>
      <c r="E10" s="16"/>
      <c r="F10" s="15"/>
    </row>
    <row r="11" spans="1:9" x14ac:dyDescent="0.2">
      <c r="A11" s="13">
        <v>3</v>
      </c>
      <c r="B11" s="17" t="s">
        <v>145</v>
      </c>
      <c r="C11" s="18">
        <v>45746</v>
      </c>
      <c r="E11" s="16"/>
      <c r="F11" s="15"/>
    </row>
    <row r="12" spans="1:9" ht="25.5" x14ac:dyDescent="0.2">
      <c r="A12" s="13">
        <v>4</v>
      </c>
      <c r="B12" s="19" t="s">
        <v>165</v>
      </c>
      <c r="C12" s="18">
        <v>50</v>
      </c>
      <c r="E12" s="20"/>
    </row>
    <row r="13" spans="1:9" x14ac:dyDescent="0.2">
      <c r="A13" s="13">
        <v>5</v>
      </c>
      <c r="B13" s="10" t="s">
        <v>509</v>
      </c>
      <c r="C13" s="21">
        <f>+C14+C16+C15</f>
        <v>3038</v>
      </c>
      <c r="E13" s="20"/>
    </row>
    <row r="14" spans="1:9" x14ac:dyDescent="0.2">
      <c r="A14" s="13">
        <v>6</v>
      </c>
      <c r="B14" s="17" t="s">
        <v>146</v>
      </c>
      <c r="C14" s="18">
        <f>900+172.3</f>
        <v>1072.3</v>
      </c>
      <c r="E14" s="16"/>
    </row>
    <row r="15" spans="1:9" x14ac:dyDescent="0.2">
      <c r="A15" s="13">
        <v>7</v>
      </c>
      <c r="B15" s="17" t="s">
        <v>147</v>
      </c>
      <c r="C15" s="18">
        <v>20</v>
      </c>
    </row>
    <row r="16" spans="1:9" s="9" customFormat="1" x14ac:dyDescent="0.2">
      <c r="A16" s="13">
        <v>8</v>
      </c>
      <c r="B16" s="17" t="s">
        <v>148</v>
      </c>
      <c r="C16" s="18">
        <f>1600+331.7+14</f>
        <v>1945.7</v>
      </c>
      <c r="D16" s="2"/>
      <c r="E16" s="22"/>
      <c r="F16" s="23"/>
      <c r="I16" s="23"/>
    </row>
    <row r="17" spans="1:14" ht="12.6" customHeight="1" x14ac:dyDescent="0.2">
      <c r="A17" s="13">
        <v>9</v>
      </c>
      <c r="B17" s="10" t="s">
        <v>510</v>
      </c>
      <c r="C17" s="14">
        <f>+C18</f>
        <v>350</v>
      </c>
      <c r="F17" s="15"/>
    </row>
    <row r="18" spans="1:14" ht="12.6" customHeight="1" x14ac:dyDescent="0.2">
      <c r="A18" s="13">
        <v>10</v>
      </c>
      <c r="B18" s="17" t="s">
        <v>149</v>
      </c>
      <c r="C18" s="18">
        <v>350</v>
      </c>
      <c r="F18" s="15"/>
    </row>
    <row r="19" spans="1:14" x14ac:dyDescent="0.2">
      <c r="A19" s="13">
        <v>11</v>
      </c>
      <c r="B19" s="10" t="s">
        <v>511</v>
      </c>
      <c r="C19" s="21">
        <f>C20+C25+C30+C33+C34</f>
        <v>5493</v>
      </c>
      <c r="D19" s="24"/>
      <c r="E19" s="25"/>
      <c r="F19" s="15"/>
    </row>
    <row r="20" spans="1:14" x14ac:dyDescent="0.2">
      <c r="A20" s="13">
        <v>12</v>
      </c>
      <c r="B20" s="10" t="s">
        <v>512</v>
      </c>
      <c r="C20" s="21">
        <f>C22+C23+C24+C21</f>
        <v>790</v>
      </c>
      <c r="D20" s="25"/>
      <c r="E20" s="25"/>
      <c r="F20" s="15"/>
    </row>
    <row r="21" spans="1:14" ht="12.6" customHeight="1" x14ac:dyDescent="0.2">
      <c r="A21" s="13">
        <v>13</v>
      </c>
      <c r="B21" s="26" t="s">
        <v>151</v>
      </c>
      <c r="C21" s="18">
        <v>30</v>
      </c>
      <c r="F21" s="15"/>
    </row>
    <row r="22" spans="1:14" ht="12.6" customHeight="1" x14ac:dyDescent="0.2">
      <c r="A22" s="13">
        <v>14</v>
      </c>
      <c r="B22" s="19" t="s">
        <v>152</v>
      </c>
      <c r="C22" s="18">
        <v>650</v>
      </c>
      <c r="D22" s="25"/>
      <c r="E22" s="27"/>
      <c r="F22" s="15"/>
    </row>
    <row r="23" spans="1:14" ht="12.6" customHeight="1" x14ac:dyDescent="0.2">
      <c r="A23" s="13">
        <v>15</v>
      </c>
      <c r="B23" s="17" t="s">
        <v>153</v>
      </c>
      <c r="C23" s="18">
        <v>50</v>
      </c>
      <c r="D23" s="25"/>
      <c r="N23" s="12"/>
    </row>
    <row r="24" spans="1:14" ht="12.6" customHeight="1" x14ac:dyDescent="0.2">
      <c r="A24" s="13">
        <v>16</v>
      </c>
      <c r="B24" s="28" t="s">
        <v>94</v>
      </c>
      <c r="C24" s="18">
        <v>60</v>
      </c>
      <c r="D24" s="25"/>
    </row>
    <row r="25" spans="1:14" ht="12.6" customHeight="1" x14ac:dyDescent="0.2">
      <c r="A25" s="13">
        <v>17</v>
      </c>
      <c r="B25" s="10" t="s">
        <v>513</v>
      </c>
      <c r="C25" s="21">
        <f>+C27+C26+C28+C29</f>
        <v>2815.9999999999995</v>
      </c>
      <c r="D25" s="24"/>
      <c r="E25" s="29"/>
    </row>
    <row r="26" spans="1:14" x14ac:dyDescent="0.2">
      <c r="A26" s="13">
        <v>18</v>
      </c>
      <c r="B26" s="17" t="s">
        <v>154</v>
      </c>
      <c r="C26" s="18">
        <f>305.7+6+70.1</f>
        <v>381.79999999999995</v>
      </c>
      <c r="D26" s="24"/>
      <c r="E26" s="29"/>
    </row>
    <row r="27" spans="1:14" x14ac:dyDescent="0.2">
      <c r="A27" s="13">
        <v>19</v>
      </c>
      <c r="B27" s="17" t="s">
        <v>155</v>
      </c>
      <c r="C27" s="18">
        <f>151.6+35+15.8</f>
        <v>202.4</v>
      </c>
      <c r="D27" s="24"/>
      <c r="E27" s="12"/>
    </row>
    <row r="28" spans="1:14" x14ac:dyDescent="0.2">
      <c r="A28" s="13">
        <v>20</v>
      </c>
      <c r="B28" s="17" t="s">
        <v>156</v>
      </c>
      <c r="C28" s="18">
        <f>2063.2+35+3.5+30.1</f>
        <v>2131.7999999999997</v>
      </c>
      <c r="D28" s="12"/>
      <c r="E28" s="30"/>
      <c r="G28" s="15"/>
    </row>
    <row r="29" spans="1:14" x14ac:dyDescent="0.2">
      <c r="A29" s="13">
        <v>21</v>
      </c>
      <c r="B29" s="17" t="s">
        <v>451</v>
      </c>
      <c r="C29" s="18">
        <v>100</v>
      </c>
      <c r="E29" s="12"/>
      <c r="G29" s="15"/>
    </row>
    <row r="30" spans="1:14" ht="12.6" customHeight="1" x14ac:dyDescent="0.2">
      <c r="A30" s="13">
        <v>22</v>
      </c>
      <c r="B30" s="10" t="s">
        <v>514</v>
      </c>
      <c r="C30" s="14">
        <f>+C31+C32</f>
        <v>1829</v>
      </c>
      <c r="D30" s="27"/>
    </row>
    <row r="31" spans="1:14" ht="12.6" customHeight="1" x14ac:dyDescent="0.2">
      <c r="A31" s="13">
        <v>23</v>
      </c>
      <c r="B31" s="17" t="s">
        <v>157</v>
      </c>
      <c r="C31" s="18">
        <v>45</v>
      </c>
    </row>
    <row r="32" spans="1:14" ht="12.6" customHeight="1" x14ac:dyDescent="0.2">
      <c r="A32" s="13">
        <v>24</v>
      </c>
      <c r="B32" s="17" t="s">
        <v>158</v>
      </c>
      <c r="C32" s="18">
        <v>1784</v>
      </c>
      <c r="F32" s="12"/>
    </row>
    <row r="33" spans="1:6" ht="12.6" customHeight="1" x14ac:dyDescent="0.2">
      <c r="A33" s="13">
        <v>25</v>
      </c>
      <c r="B33" s="10" t="s">
        <v>159</v>
      </c>
      <c r="C33" s="21">
        <v>50</v>
      </c>
      <c r="F33" s="12"/>
    </row>
    <row r="34" spans="1:6" ht="12.6" customHeight="1" x14ac:dyDescent="0.2">
      <c r="A34" s="13">
        <v>26</v>
      </c>
      <c r="B34" s="10" t="s">
        <v>515</v>
      </c>
      <c r="C34" s="21">
        <f>8</f>
        <v>8</v>
      </c>
      <c r="F34" s="12"/>
    </row>
    <row r="35" spans="1:6" ht="12.6" customHeight="1" x14ac:dyDescent="0.2">
      <c r="A35" s="13">
        <v>27</v>
      </c>
      <c r="B35" s="31" t="s">
        <v>516</v>
      </c>
      <c r="C35" s="21">
        <v>121</v>
      </c>
    </row>
    <row r="36" spans="1:6" ht="12.6" customHeight="1" x14ac:dyDescent="0.2">
      <c r="A36" s="13">
        <v>28</v>
      </c>
      <c r="B36" s="32" t="s">
        <v>517</v>
      </c>
      <c r="C36" s="21">
        <f>+C9+C19+C35</f>
        <v>54798</v>
      </c>
      <c r="F36" s="12"/>
    </row>
    <row r="37" spans="1:6" x14ac:dyDescent="0.2">
      <c r="A37" s="13">
        <v>29</v>
      </c>
      <c r="B37" s="10" t="s">
        <v>518</v>
      </c>
      <c r="C37" s="21">
        <f>+C38+C43+C44</f>
        <v>40872.500000000007</v>
      </c>
    </row>
    <row r="38" spans="1:6" x14ac:dyDescent="0.2">
      <c r="A38" s="13">
        <v>30</v>
      </c>
      <c r="B38" s="33" t="s">
        <v>519</v>
      </c>
      <c r="C38" s="21">
        <f>+C39+C40+C41</f>
        <v>30288.300000000003</v>
      </c>
    </row>
    <row r="39" spans="1:6" ht="12.6" customHeight="1" x14ac:dyDescent="0.2">
      <c r="A39" s="13">
        <v>31</v>
      </c>
      <c r="B39" s="17" t="s">
        <v>520</v>
      </c>
      <c r="C39" s="18">
        <f>7006.6-35+0.9-9+25+3.7+130+6.1+45.9</f>
        <v>7174.2</v>
      </c>
    </row>
    <row r="40" spans="1:6" ht="12.6" customHeight="1" x14ac:dyDescent="0.2">
      <c r="A40" s="13">
        <v>32</v>
      </c>
      <c r="B40" s="17" t="s">
        <v>166</v>
      </c>
      <c r="C40" s="18">
        <f>21175.9+1256</f>
        <v>22431.9</v>
      </c>
    </row>
    <row r="41" spans="1:6" ht="12.6" customHeight="1" x14ac:dyDescent="0.2">
      <c r="A41" s="13">
        <v>33</v>
      </c>
      <c r="B41" s="17" t="s">
        <v>150</v>
      </c>
      <c r="C41" s="34">
        <f>+C42</f>
        <v>682.2</v>
      </c>
    </row>
    <row r="42" spans="1:6" ht="12.6" customHeight="1" x14ac:dyDescent="0.2">
      <c r="A42" s="35" t="s">
        <v>325</v>
      </c>
      <c r="B42" s="19" t="s">
        <v>521</v>
      </c>
      <c r="C42" s="18">
        <v>682.2</v>
      </c>
    </row>
    <row r="43" spans="1:6" ht="12.6" customHeight="1" x14ac:dyDescent="0.2">
      <c r="A43" s="35" t="s">
        <v>522</v>
      </c>
      <c r="B43" s="33" t="s">
        <v>523</v>
      </c>
      <c r="C43" s="21">
        <f>4518.7+32.5+86-50+1.8+0.6+49.5+0.4+2.1+0.2+237.4+0.5+7.8+461.3+26-5.7+1+42.1+8.8+45+600.3+0.1+1.1+621.4</f>
        <v>6688.9000000000015</v>
      </c>
    </row>
    <row r="44" spans="1:6" x14ac:dyDescent="0.2">
      <c r="A44" s="35" t="s">
        <v>524</v>
      </c>
      <c r="B44" s="31" t="s">
        <v>525</v>
      </c>
      <c r="C44" s="14">
        <f>2212.2+716.8+828.8+137.5</f>
        <v>3895.3</v>
      </c>
    </row>
    <row r="45" spans="1:6" x14ac:dyDescent="0.2">
      <c r="A45" s="35" t="s">
        <v>526</v>
      </c>
      <c r="B45" s="32" t="s">
        <v>527</v>
      </c>
      <c r="C45" s="21">
        <f>+C36+C37</f>
        <v>95670.5</v>
      </c>
    </row>
    <row r="46" spans="1:6" ht="12.6" customHeight="1" x14ac:dyDescent="0.2">
      <c r="A46" s="35" t="s">
        <v>528</v>
      </c>
      <c r="B46" s="36" t="s">
        <v>529</v>
      </c>
      <c r="C46" s="34">
        <f>1575+563.7</f>
        <v>2138.6999999999998</v>
      </c>
    </row>
    <row r="47" spans="1:6" ht="12.6" customHeight="1" x14ac:dyDescent="0.2">
      <c r="A47" s="35" t="s">
        <v>530</v>
      </c>
      <c r="B47" s="36" t="s">
        <v>531</v>
      </c>
      <c r="C47" s="37">
        <f>8822.8+8+8.6</f>
        <v>8839.4</v>
      </c>
      <c r="E47" s="27"/>
      <c r="F47" s="15"/>
    </row>
    <row r="48" spans="1:6" ht="12.6" customHeight="1" x14ac:dyDescent="0.2">
      <c r="D48" s="38"/>
      <c r="E48" s="27"/>
    </row>
    <row r="49" spans="1:6" ht="12.6" customHeight="1" x14ac:dyDescent="0.2">
      <c r="A49" s="1"/>
      <c r="B49" s="8" t="s">
        <v>160</v>
      </c>
      <c r="C49" s="39"/>
      <c r="E49" s="27"/>
      <c r="F49" s="15"/>
    </row>
    <row r="50" spans="1:6" x14ac:dyDescent="0.2">
      <c r="F50" s="15"/>
    </row>
    <row r="52" spans="1:6" ht="12" customHeight="1" x14ac:dyDescent="0.2"/>
    <row r="53" spans="1:6" ht="12" customHeight="1" x14ac:dyDescent="0.2">
      <c r="D53" s="29"/>
    </row>
    <row r="54" spans="1:6" ht="12" customHeight="1" x14ac:dyDescent="0.2"/>
    <row r="55" spans="1:6" ht="12" customHeight="1" x14ac:dyDescent="0.2"/>
    <row r="56" spans="1:6" ht="12" customHeight="1" x14ac:dyDescent="0.2"/>
    <row r="57" spans="1:6" ht="12" customHeight="1" x14ac:dyDescent="0.2"/>
    <row r="58" spans="1:6" ht="12" customHeight="1" x14ac:dyDescent="0.2"/>
    <row r="59" spans="1:6" ht="12" customHeight="1" x14ac:dyDescent="0.2"/>
  </sheetData>
  <mergeCells count="3">
    <mergeCell ref="B1:C1"/>
    <mergeCell ref="B2:C2"/>
    <mergeCell ref="A3:C3"/>
  </mergeCells>
  <phoneticPr fontId="7" type="noConversion"/>
  <pageMargins left="0.78740157480314965" right="0" top="0.78740157480314965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41"/>
  <sheetViews>
    <sheetView zoomScaleNormal="100" workbookViewId="0">
      <selection activeCell="K273" sqref="K273"/>
    </sheetView>
  </sheetViews>
  <sheetFormatPr defaultColWidth="9.140625" defaultRowHeight="12.75" x14ac:dyDescent="0.2"/>
  <cols>
    <col min="1" max="1" width="5.85546875" style="40" customWidth="1"/>
    <col min="2" max="2" width="7.42578125" style="41" customWidth="1"/>
    <col min="3" max="3" width="70" style="44" customWidth="1"/>
    <col min="4" max="4" width="9.7109375" style="44" customWidth="1"/>
    <col min="5" max="10" width="9.140625" style="42" customWidth="1"/>
    <col min="11" max="16384" width="9.140625" style="42"/>
  </cols>
  <sheetData>
    <row r="1" spans="1:9" ht="15.75" customHeight="1" x14ac:dyDescent="0.25">
      <c r="C1" s="200" t="s">
        <v>181</v>
      </c>
      <c r="D1" s="200"/>
    </row>
    <row r="2" spans="1:9" ht="15.75" x14ac:dyDescent="0.25">
      <c r="C2" s="201" t="s">
        <v>575</v>
      </c>
      <c r="D2" s="201"/>
    </row>
    <row r="3" spans="1:9" ht="14.25" customHeight="1" x14ac:dyDescent="0.2">
      <c r="B3" s="43"/>
      <c r="D3" s="45" t="s">
        <v>67</v>
      </c>
      <c r="I3" s="46"/>
    </row>
    <row r="4" spans="1:9" ht="15.75" x14ac:dyDescent="0.2">
      <c r="B4" s="43"/>
      <c r="D4" s="45"/>
    </row>
    <row r="5" spans="1:9" ht="25.5" customHeight="1" x14ac:dyDescent="0.2">
      <c r="A5" s="202" t="s">
        <v>196</v>
      </c>
      <c r="B5" s="202"/>
      <c r="C5" s="202"/>
      <c r="D5" s="202"/>
    </row>
    <row r="6" spans="1:9" x14ac:dyDescent="0.2">
      <c r="A6" s="47"/>
      <c r="B6" s="47"/>
      <c r="C6" s="47"/>
      <c r="D6" s="47"/>
    </row>
    <row r="7" spans="1:9" x14ac:dyDescent="0.2">
      <c r="B7" s="43"/>
      <c r="D7" s="48" t="s">
        <v>71</v>
      </c>
    </row>
    <row r="8" spans="1:9" ht="43.5" customHeight="1" x14ac:dyDescent="0.2">
      <c r="A8" s="49" t="s">
        <v>68</v>
      </c>
      <c r="B8" s="50" t="s">
        <v>162</v>
      </c>
      <c r="C8" s="49" t="s">
        <v>16</v>
      </c>
      <c r="D8" s="49" t="s">
        <v>17</v>
      </c>
      <c r="E8" s="51"/>
    </row>
    <row r="9" spans="1:9" x14ac:dyDescent="0.2">
      <c r="A9" s="52">
        <v>1</v>
      </c>
      <c r="B9" s="53" t="s">
        <v>18</v>
      </c>
      <c r="C9" s="49">
        <v>3</v>
      </c>
      <c r="D9" s="49">
        <v>4</v>
      </c>
      <c r="E9" s="51"/>
    </row>
    <row r="10" spans="1:9" x14ac:dyDescent="0.2">
      <c r="A10" s="54">
        <v>1</v>
      </c>
      <c r="B10" s="53" t="s">
        <v>47</v>
      </c>
      <c r="C10" s="55" t="s">
        <v>48</v>
      </c>
      <c r="D10" s="56">
        <f>+D11+D12+D13+D14+D15+D16+D17+D18+D19+D20+D21+D22+D23+D24+D25+D26+D27+D28+D29+D30+D31+D32+D33+D34+D35+D36+D38+D39+D40</f>
        <v>17247.500000000004</v>
      </c>
      <c r="E10" s="51"/>
      <c r="F10" s="57"/>
      <c r="G10" s="57"/>
      <c r="H10" s="57"/>
    </row>
    <row r="11" spans="1:9" ht="12.6" customHeight="1" x14ac:dyDescent="0.2">
      <c r="A11" s="54">
        <v>2</v>
      </c>
      <c r="B11" s="58"/>
      <c r="C11" s="59" t="s">
        <v>88</v>
      </c>
      <c r="D11" s="60">
        <f>499.7+7.3</f>
        <v>507</v>
      </c>
      <c r="E11" s="51"/>
    </row>
    <row r="12" spans="1:9" ht="12.6" customHeight="1" x14ac:dyDescent="0.2">
      <c r="A12" s="54">
        <v>3</v>
      </c>
      <c r="B12" s="58"/>
      <c r="C12" s="59" t="s">
        <v>79</v>
      </c>
      <c r="D12" s="60">
        <f>532.7+5+8.8</f>
        <v>546.5</v>
      </c>
      <c r="E12" s="51"/>
    </row>
    <row r="13" spans="1:9" ht="12.6" customHeight="1" x14ac:dyDescent="0.2">
      <c r="A13" s="54">
        <v>4</v>
      </c>
      <c r="B13" s="58"/>
      <c r="C13" s="59" t="s">
        <v>80</v>
      </c>
      <c r="D13" s="60">
        <f>530.6+3.5</f>
        <v>534.1</v>
      </c>
      <c r="E13" s="51"/>
    </row>
    <row r="14" spans="1:9" ht="12.6" customHeight="1" x14ac:dyDescent="0.2">
      <c r="A14" s="54">
        <v>5</v>
      </c>
      <c r="B14" s="58"/>
      <c r="C14" s="59" t="s">
        <v>84</v>
      </c>
      <c r="D14" s="60">
        <f>536.9+5.4+7</f>
        <v>549.29999999999995</v>
      </c>
      <c r="E14" s="51"/>
    </row>
    <row r="15" spans="1:9" ht="12.6" customHeight="1" x14ac:dyDescent="0.2">
      <c r="A15" s="54">
        <v>6</v>
      </c>
      <c r="B15" s="58"/>
      <c r="C15" s="59" t="s">
        <v>81</v>
      </c>
      <c r="D15" s="60">
        <f>492.5+1.9+8</f>
        <v>502.4</v>
      </c>
      <c r="E15" s="51"/>
    </row>
    <row r="16" spans="1:9" ht="12.6" customHeight="1" x14ac:dyDescent="0.2">
      <c r="A16" s="54">
        <v>7</v>
      </c>
      <c r="B16" s="58"/>
      <c r="C16" s="59" t="s">
        <v>82</v>
      </c>
      <c r="D16" s="60">
        <f>596.9+7.2</f>
        <v>604.1</v>
      </c>
      <c r="E16" s="51"/>
    </row>
    <row r="17" spans="1:5" ht="12.6" customHeight="1" x14ac:dyDescent="0.2">
      <c r="A17" s="54">
        <v>8</v>
      </c>
      <c r="B17" s="58"/>
      <c r="C17" s="59" t="s">
        <v>83</v>
      </c>
      <c r="D17" s="60">
        <f>563.6+5.5</f>
        <v>569.1</v>
      </c>
      <c r="E17" s="51"/>
    </row>
    <row r="18" spans="1:5" ht="12.6" customHeight="1" x14ac:dyDescent="0.2">
      <c r="A18" s="54">
        <v>9</v>
      </c>
      <c r="B18" s="58"/>
      <c r="C18" s="61" t="s">
        <v>95</v>
      </c>
      <c r="D18" s="60">
        <f>498.9+1.9</f>
        <v>500.79999999999995</v>
      </c>
      <c r="E18" s="51"/>
    </row>
    <row r="19" spans="1:5" ht="12.6" customHeight="1" x14ac:dyDescent="0.2">
      <c r="A19" s="54">
        <v>10</v>
      </c>
      <c r="B19" s="58"/>
      <c r="C19" s="59" t="s">
        <v>87</v>
      </c>
      <c r="D19" s="60">
        <v>509.1</v>
      </c>
      <c r="E19" s="51"/>
    </row>
    <row r="20" spans="1:5" x14ac:dyDescent="0.2">
      <c r="A20" s="54">
        <v>11</v>
      </c>
      <c r="B20" s="58"/>
      <c r="C20" s="59" t="s">
        <v>38</v>
      </c>
      <c r="D20" s="60">
        <f>502.8+5.9+5.4</f>
        <v>514.1</v>
      </c>
      <c r="E20" s="51"/>
    </row>
    <row r="21" spans="1:5" ht="12.6" customHeight="1" x14ac:dyDescent="0.2">
      <c r="A21" s="54">
        <v>12</v>
      </c>
      <c r="B21" s="58"/>
      <c r="C21" s="61" t="s">
        <v>73</v>
      </c>
      <c r="D21" s="60">
        <f>1240.9+5+23.1</f>
        <v>1269</v>
      </c>
      <c r="E21" s="51"/>
    </row>
    <row r="22" spans="1:5" ht="12.6" customHeight="1" x14ac:dyDescent="0.2">
      <c r="A22" s="54">
        <v>13</v>
      </c>
      <c r="B22" s="58"/>
      <c r="C22" s="61" t="s">
        <v>74</v>
      </c>
      <c r="D22" s="60">
        <f>452.4+7.7</f>
        <v>460.09999999999997</v>
      </c>
      <c r="E22" s="51"/>
    </row>
    <row r="23" spans="1:5" ht="12.6" customHeight="1" x14ac:dyDescent="0.2">
      <c r="A23" s="54">
        <v>14</v>
      </c>
      <c r="B23" s="58"/>
      <c r="C23" s="61" t="s">
        <v>32</v>
      </c>
      <c r="D23" s="60">
        <v>974.3</v>
      </c>
      <c r="E23" s="51"/>
    </row>
    <row r="24" spans="1:5" ht="12.6" customHeight="1" x14ac:dyDescent="0.2">
      <c r="A24" s="54">
        <v>15</v>
      </c>
      <c r="B24" s="58"/>
      <c r="C24" s="59" t="s">
        <v>76</v>
      </c>
      <c r="D24" s="60">
        <f>742.2+26.9+2.6+2.8+8</f>
        <v>782.5</v>
      </c>
      <c r="E24" s="51"/>
    </row>
    <row r="25" spans="1:5" ht="12.6" customHeight="1" x14ac:dyDescent="0.2">
      <c r="A25" s="54">
        <v>16</v>
      </c>
      <c r="B25" s="58"/>
      <c r="C25" s="61" t="s">
        <v>85</v>
      </c>
      <c r="D25" s="60">
        <f>658+13+4.4+1.8</f>
        <v>677.19999999999993</v>
      </c>
      <c r="E25" s="51"/>
    </row>
    <row r="26" spans="1:5" ht="12.6" customHeight="1" x14ac:dyDescent="0.2">
      <c r="A26" s="54">
        <v>17</v>
      </c>
      <c r="B26" s="58"/>
      <c r="C26" s="59" t="s">
        <v>86</v>
      </c>
      <c r="D26" s="60">
        <f>516.6+1.8</f>
        <v>518.4</v>
      </c>
      <c r="E26" s="51"/>
    </row>
    <row r="27" spans="1:5" ht="12.6" customHeight="1" x14ac:dyDescent="0.2">
      <c r="A27" s="54">
        <v>18</v>
      </c>
      <c r="B27" s="58"/>
      <c r="C27" s="62" t="s">
        <v>498</v>
      </c>
      <c r="D27" s="60">
        <f>526+3.8</f>
        <v>529.79999999999995</v>
      </c>
      <c r="E27" s="51"/>
    </row>
    <row r="28" spans="1:5" ht="12.6" customHeight="1" x14ac:dyDescent="0.2">
      <c r="A28" s="54">
        <v>19</v>
      </c>
      <c r="B28" s="58"/>
      <c r="C28" s="61" t="s">
        <v>33</v>
      </c>
      <c r="D28" s="60">
        <v>326.10000000000002</v>
      </c>
      <c r="E28" s="51"/>
    </row>
    <row r="29" spans="1:5" ht="12.6" customHeight="1" x14ac:dyDescent="0.2">
      <c r="A29" s="54">
        <v>20</v>
      </c>
      <c r="B29" s="58"/>
      <c r="C29" s="61" t="s">
        <v>75</v>
      </c>
      <c r="D29" s="60">
        <f>876.1+15</f>
        <v>891.1</v>
      </c>
      <c r="E29" s="51"/>
    </row>
    <row r="30" spans="1:5" ht="12.6" customHeight="1" x14ac:dyDescent="0.2">
      <c r="A30" s="54">
        <v>21</v>
      </c>
      <c r="B30" s="58"/>
      <c r="C30" s="61" t="s">
        <v>34</v>
      </c>
      <c r="D30" s="60">
        <v>319</v>
      </c>
      <c r="E30" s="51"/>
    </row>
    <row r="31" spans="1:5" x14ac:dyDescent="0.2">
      <c r="A31" s="54">
        <v>22</v>
      </c>
      <c r="B31" s="58"/>
      <c r="C31" s="61" t="s">
        <v>64</v>
      </c>
      <c r="D31" s="60">
        <f>559.7</f>
        <v>559.70000000000005</v>
      </c>
      <c r="E31" s="51"/>
    </row>
    <row r="32" spans="1:5" ht="12.6" customHeight="1" x14ac:dyDescent="0.2">
      <c r="A32" s="54">
        <v>23</v>
      </c>
      <c r="B32" s="58"/>
      <c r="C32" s="63" t="s">
        <v>161</v>
      </c>
      <c r="D32" s="60">
        <f>1.9+67</f>
        <v>68.900000000000006</v>
      </c>
      <c r="E32" s="51"/>
    </row>
    <row r="33" spans="1:5" ht="12.6" customHeight="1" x14ac:dyDescent="0.2">
      <c r="A33" s="54">
        <v>24</v>
      </c>
      <c r="B33" s="58"/>
      <c r="C33" s="59" t="s">
        <v>46</v>
      </c>
      <c r="D33" s="60">
        <f>447.2+2.6+0.8</f>
        <v>450.6</v>
      </c>
      <c r="E33" s="51"/>
    </row>
    <row r="34" spans="1:5" ht="12.6" customHeight="1" x14ac:dyDescent="0.2">
      <c r="A34" s="54">
        <v>25</v>
      </c>
      <c r="B34" s="58"/>
      <c r="C34" s="59" t="s">
        <v>39</v>
      </c>
      <c r="D34" s="60">
        <v>442.5</v>
      </c>
      <c r="E34" s="51"/>
    </row>
    <row r="35" spans="1:5" ht="12.6" customHeight="1" x14ac:dyDescent="0.2">
      <c r="A35" s="54">
        <v>26</v>
      </c>
      <c r="B35" s="58"/>
      <c r="C35" s="59" t="s">
        <v>40</v>
      </c>
      <c r="D35" s="60">
        <v>1171</v>
      </c>
      <c r="E35" s="51"/>
    </row>
    <row r="36" spans="1:5" ht="14.25" customHeight="1" x14ac:dyDescent="0.2">
      <c r="A36" s="189">
        <v>27</v>
      </c>
      <c r="B36" s="187"/>
      <c r="C36" s="59" t="s">
        <v>72</v>
      </c>
      <c r="D36" s="60">
        <f>158.2+30</f>
        <v>188.2</v>
      </c>
      <c r="E36" s="51"/>
    </row>
    <row r="37" spans="1:5" x14ac:dyDescent="0.2">
      <c r="A37" s="190"/>
      <c r="B37" s="188"/>
      <c r="C37" s="65" t="s">
        <v>176</v>
      </c>
      <c r="D37" s="60">
        <v>30</v>
      </c>
      <c r="E37" s="51"/>
    </row>
    <row r="38" spans="1:5" ht="12.6" customHeight="1" x14ac:dyDescent="0.2">
      <c r="A38" s="54">
        <v>28</v>
      </c>
      <c r="B38" s="58"/>
      <c r="C38" s="66" t="s">
        <v>15</v>
      </c>
      <c r="D38" s="60">
        <v>185.4</v>
      </c>
      <c r="E38" s="51"/>
    </row>
    <row r="39" spans="1:5" ht="12.6" customHeight="1" x14ac:dyDescent="0.2">
      <c r="A39" s="54">
        <v>29</v>
      </c>
      <c r="B39" s="58"/>
      <c r="C39" s="66" t="s">
        <v>19</v>
      </c>
      <c r="D39" s="60">
        <v>187.5</v>
      </c>
      <c r="E39" s="51"/>
    </row>
    <row r="40" spans="1:5" ht="12.6" customHeight="1" x14ac:dyDescent="0.2">
      <c r="A40" s="54">
        <v>30</v>
      </c>
      <c r="B40" s="58"/>
      <c r="C40" s="67" t="s">
        <v>89</v>
      </c>
      <c r="D40" s="68">
        <f>+D41+D49+D45+D44+D46+D42+D47+D43+D48</f>
        <v>1909.6999999999998</v>
      </c>
      <c r="E40" s="51"/>
    </row>
    <row r="41" spans="1:5" ht="15" customHeight="1" x14ac:dyDescent="0.2">
      <c r="A41" s="69" t="s">
        <v>317</v>
      </c>
      <c r="B41" s="58"/>
      <c r="C41" s="59" t="s">
        <v>3</v>
      </c>
      <c r="D41" s="68">
        <f>3+18.1</f>
        <v>21.1</v>
      </c>
      <c r="E41" s="51"/>
    </row>
    <row r="42" spans="1:5" ht="15" customHeight="1" x14ac:dyDescent="0.2">
      <c r="A42" s="69" t="s">
        <v>318</v>
      </c>
      <c r="B42" s="58"/>
      <c r="C42" s="59" t="s">
        <v>572</v>
      </c>
      <c r="D42" s="68">
        <v>50</v>
      </c>
      <c r="E42" s="51"/>
    </row>
    <row r="43" spans="1:5" ht="15" customHeight="1" x14ac:dyDescent="0.2">
      <c r="A43" s="69" t="s">
        <v>319</v>
      </c>
      <c r="B43" s="58"/>
      <c r="C43" s="59" t="s">
        <v>313</v>
      </c>
      <c r="D43" s="68">
        <f>22-13</f>
        <v>9</v>
      </c>
      <c r="E43" s="51"/>
    </row>
    <row r="44" spans="1:5" x14ac:dyDescent="0.2">
      <c r="A44" s="69" t="s">
        <v>320</v>
      </c>
      <c r="B44" s="58"/>
      <c r="C44" s="65" t="s">
        <v>135</v>
      </c>
      <c r="D44" s="68">
        <v>70</v>
      </c>
      <c r="E44" s="51"/>
    </row>
    <row r="45" spans="1:5" x14ac:dyDescent="0.2">
      <c r="A45" s="69" t="s">
        <v>321</v>
      </c>
      <c r="B45" s="58"/>
      <c r="C45" s="61" t="s">
        <v>200</v>
      </c>
      <c r="D45" s="68">
        <v>123</v>
      </c>
      <c r="E45" s="51"/>
    </row>
    <row r="46" spans="1:5" ht="12.6" customHeight="1" x14ac:dyDescent="0.2">
      <c r="A46" s="69" t="s">
        <v>322</v>
      </c>
      <c r="B46" s="58"/>
      <c r="C46" s="65" t="s">
        <v>201</v>
      </c>
      <c r="D46" s="68">
        <f>20+6.5</f>
        <v>26.5</v>
      </c>
      <c r="E46" s="51"/>
    </row>
    <row r="47" spans="1:5" ht="25.5" customHeight="1" x14ac:dyDescent="0.2">
      <c r="A47" s="69" t="s">
        <v>323</v>
      </c>
      <c r="B47" s="58"/>
      <c r="C47" s="67" t="s">
        <v>202</v>
      </c>
      <c r="D47" s="68">
        <v>57.7</v>
      </c>
      <c r="E47" s="51"/>
    </row>
    <row r="48" spans="1:5" x14ac:dyDescent="0.2">
      <c r="A48" s="69" t="s">
        <v>324</v>
      </c>
      <c r="B48" s="58"/>
      <c r="C48" s="67" t="s">
        <v>559</v>
      </c>
      <c r="D48" s="68">
        <v>37</v>
      </c>
      <c r="E48" s="51"/>
    </row>
    <row r="49" spans="1:8" ht="27" x14ac:dyDescent="0.2">
      <c r="A49" s="69" t="s">
        <v>546</v>
      </c>
      <c r="B49" s="58"/>
      <c r="C49" s="70" t="s">
        <v>194</v>
      </c>
      <c r="D49" s="71">
        <f>SUM(D50:D62)</f>
        <v>1515.3999999999999</v>
      </c>
      <c r="E49" s="51"/>
    </row>
    <row r="50" spans="1:8" x14ac:dyDescent="0.2">
      <c r="A50" s="69" t="s">
        <v>547</v>
      </c>
      <c r="B50" s="58"/>
      <c r="C50" s="72" t="s">
        <v>203</v>
      </c>
      <c r="D50" s="68">
        <v>150</v>
      </c>
      <c r="E50" s="51"/>
    </row>
    <row r="51" spans="1:8" ht="25.5" x14ac:dyDescent="0.2">
      <c r="A51" s="69" t="s">
        <v>548</v>
      </c>
      <c r="B51" s="58"/>
      <c r="C51" s="73" t="s">
        <v>204</v>
      </c>
      <c r="D51" s="68">
        <v>35</v>
      </c>
      <c r="E51" s="51"/>
    </row>
    <row r="52" spans="1:8" x14ac:dyDescent="0.2">
      <c r="A52" s="69" t="s">
        <v>549</v>
      </c>
      <c r="B52" s="58"/>
      <c r="C52" s="74" t="s">
        <v>205</v>
      </c>
      <c r="D52" s="75">
        <v>100</v>
      </c>
      <c r="E52" s="51"/>
    </row>
    <row r="53" spans="1:8" x14ac:dyDescent="0.2">
      <c r="A53" s="69" t="s">
        <v>550</v>
      </c>
      <c r="B53" s="58"/>
      <c r="C53" s="74" t="s">
        <v>206</v>
      </c>
      <c r="D53" s="68">
        <v>400</v>
      </c>
      <c r="E53" s="51"/>
    </row>
    <row r="54" spans="1:8" ht="25.5" x14ac:dyDescent="0.2">
      <c r="A54" s="69" t="s">
        <v>551</v>
      </c>
      <c r="B54" s="58"/>
      <c r="C54" s="76" t="s">
        <v>207</v>
      </c>
      <c r="D54" s="68">
        <f>150+30.6+0.6</f>
        <v>181.2</v>
      </c>
      <c r="E54" s="51"/>
      <c r="G54" s="196"/>
      <c r="H54" s="196"/>
    </row>
    <row r="55" spans="1:8" ht="25.5" x14ac:dyDescent="0.2">
      <c r="A55" s="69" t="s">
        <v>552</v>
      </c>
      <c r="B55" s="58"/>
      <c r="C55" s="76" t="s">
        <v>208</v>
      </c>
      <c r="D55" s="68">
        <f>300-30.6</f>
        <v>269.39999999999998</v>
      </c>
      <c r="E55" s="51"/>
    </row>
    <row r="56" spans="1:8" x14ac:dyDescent="0.2">
      <c r="A56" s="69" t="s">
        <v>553</v>
      </c>
      <c r="B56" s="58"/>
      <c r="C56" s="76" t="s">
        <v>209</v>
      </c>
      <c r="D56" s="68">
        <v>145</v>
      </c>
      <c r="E56" s="51"/>
    </row>
    <row r="57" spans="1:8" ht="25.5" x14ac:dyDescent="0.2">
      <c r="A57" s="69" t="s">
        <v>554</v>
      </c>
      <c r="B57" s="58"/>
      <c r="C57" s="76" t="s">
        <v>210</v>
      </c>
      <c r="D57" s="68">
        <v>30</v>
      </c>
      <c r="E57" s="51"/>
    </row>
    <row r="58" spans="1:8" x14ac:dyDescent="0.2">
      <c r="A58" s="69" t="s">
        <v>555</v>
      </c>
      <c r="B58" s="77"/>
      <c r="C58" s="73" t="s">
        <v>213</v>
      </c>
      <c r="D58" s="78">
        <v>30</v>
      </c>
      <c r="E58" s="51"/>
    </row>
    <row r="59" spans="1:8" ht="25.5" x14ac:dyDescent="0.2">
      <c r="A59" s="69" t="s">
        <v>556</v>
      </c>
      <c r="B59" s="58"/>
      <c r="C59" s="76" t="s">
        <v>211</v>
      </c>
      <c r="D59" s="68">
        <v>50</v>
      </c>
      <c r="E59" s="51"/>
    </row>
    <row r="60" spans="1:8" x14ac:dyDescent="0.2">
      <c r="A60" s="69" t="s">
        <v>557</v>
      </c>
      <c r="B60" s="58"/>
      <c r="C60" s="76" t="s">
        <v>212</v>
      </c>
      <c r="D60" s="68">
        <v>70</v>
      </c>
      <c r="E60" s="51"/>
    </row>
    <row r="61" spans="1:8" ht="25.5" x14ac:dyDescent="0.2">
      <c r="A61" s="69" t="s">
        <v>558</v>
      </c>
      <c r="B61" s="58"/>
      <c r="C61" s="65" t="s">
        <v>214</v>
      </c>
      <c r="D61" s="68">
        <v>40</v>
      </c>
      <c r="E61" s="51"/>
    </row>
    <row r="62" spans="1:8" ht="25.5" x14ac:dyDescent="0.2">
      <c r="A62" s="69" t="s">
        <v>566</v>
      </c>
      <c r="B62" s="58"/>
      <c r="C62" s="65" t="s">
        <v>560</v>
      </c>
      <c r="D62" s="68">
        <v>14.8</v>
      </c>
      <c r="E62" s="51"/>
    </row>
    <row r="63" spans="1:8" x14ac:dyDescent="0.2">
      <c r="A63" s="54">
        <v>31</v>
      </c>
      <c r="B63" s="53" t="s">
        <v>49</v>
      </c>
      <c r="C63" s="79" t="s">
        <v>50</v>
      </c>
      <c r="D63" s="80">
        <f>+D64+D66</f>
        <v>1020.9000000000001</v>
      </c>
      <c r="E63" s="51"/>
    </row>
    <row r="64" spans="1:8" x14ac:dyDescent="0.2">
      <c r="A64" s="185">
        <v>32</v>
      </c>
      <c r="B64" s="53"/>
      <c r="C64" s="61" t="s">
        <v>90</v>
      </c>
      <c r="D64" s="60">
        <f>112.5+62+D65</f>
        <v>175.3</v>
      </c>
      <c r="E64" s="51"/>
    </row>
    <row r="65" spans="1:5" ht="25.5" x14ac:dyDescent="0.2">
      <c r="A65" s="197"/>
      <c r="B65" s="53"/>
      <c r="C65" s="82" t="s">
        <v>215</v>
      </c>
      <c r="D65" s="60">
        <v>0.8</v>
      </c>
      <c r="E65" s="51"/>
    </row>
    <row r="66" spans="1:5" ht="12.6" customHeight="1" x14ac:dyDescent="0.2">
      <c r="A66" s="54">
        <v>33</v>
      </c>
      <c r="B66" s="58"/>
      <c r="C66" s="67" t="s">
        <v>89</v>
      </c>
      <c r="D66" s="60">
        <f>SUM(D67:D89)</f>
        <v>845.60000000000014</v>
      </c>
      <c r="E66" s="51"/>
    </row>
    <row r="67" spans="1:5" ht="12.6" customHeight="1" x14ac:dyDescent="0.2">
      <c r="A67" s="69" t="s">
        <v>325</v>
      </c>
      <c r="B67" s="58"/>
      <c r="C67" s="59" t="s">
        <v>3</v>
      </c>
      <c r="D67" s="60">
        <v>3</v>
      </c>
      <c r="E67" s="51"/>
    </row>
    <row r="68" spans="1:5" ht="25.5" x14ac:dyDescent="0.2">
      <c r="A68" s="69" t="s">
        <v>326</v>
      </c>
      <c r="B68" s="58"/>
      <c r="C68" s="74" t="s">
        <v>198</v>
      </c>
      <c r="D68" s="60">
        <v>10</v>
      </c>
      <c r="E68" s="51"/>
    </row>
    <row r="69" spans="1:5" ht="25.5" x14ac:dyDescent="0.2">
      <c r="A69" s="69" t="s">
        <v>327</v>
      </c>
      <c r="B69" s="58"/>
      <c r="C69" s="74" t="s">
        <v>199</v>
      </c>
      <c r="D69" s="60">
        <v>10</v>
      </c>
      <c r="E69" s="51"/>
    </row>
    <row r="70" spans="1:5" ht="25.5" x14ac:dyDescent="0.2">
      <c r="A70" s="69" t="s">
        <v>328</v>
      </c>
      <c r="B70" s="58"/>
      <c r="C70" s="74" t="s">
        <v>533</v>
      </c>
      <c r="D70" s="60">
        <v>3</v>
      </c>
      <c r="E70" s="51"/>
    </row>
    <row r="71" spans="1:5" x14ac:dyDescent="0.2">
      <c r="A71" s="69" t="s">
        <v>329</v>
      </c>
      <c r="B71" s="58"/>
      <c r="C71" s="74" t="s">
        <v>534</v>
      </c>
      <c r="D71" s="60">
        <v>7.8</v>
      </c>
      <c r="E71" s="51"/>
    </row>
    <row r="72" spans="1:5" ht="25.5" x14ac:dyDescent="0.2">
      <c r="A72" s="69" t="s">
        <v>330</v>
      </c>
      <c r="B72" s="58"/>
      <c r="C72" s="83" t="s">
        <v>567</v>
      </c>
      <c r="D72" s="60">
        <v>80.400000000000006</v>
      </c>
      <c r="E72" s="51"/>
    </row>
    <row r="73" spans="1:5" ht="25.5" x14ac:dyDescent="0.2">
      <c r="A73" s="69" t="s">
        <v>331</v>
      </c>
      <c r="B73" s="58"/>
      <c r="C73" s="83" t="s">
        <v>535</v>
      </c>
      <c r="D73" s="60">
        <v>3</v>
      </c>
      <c r="E73" s="51"/>
    </row>
    <row r="74" spans="1:5" ht="25.5" x14ac:dyDescent="0.2">
      <c r="A74" s="69" t="s">
        <v>332</v>
      </c>
      <c r="B74" s="58"/>
      <c r="C74" s="83" t="s">
        <v>536</v>
      </c>
      <c r="D74" s="60">
        <v>21</v>
      </c>
      <c r="E74" s="51"/>
    </row>
    <row r="75" spans="1:5" ht="25.5" x14ac:dyDescent="0.2">
      <c r="A75" s="69" t="s">
        <v>333</v>
      </c>
      <c r="B75" s="58"/>
      <c r="C75" s="83" t="s">
        <v>537</v>
      </c>
      <c r="D75" s="60">
        <v>19.100000000000001</v>
      </c>
      <c r="E75" s="51"/>
    </row>
    <row r="76" spans="1:5" ht="27.6" customHeight="1" x14ac:dyDescent="0.2">
      <c r="A76" s="69" t="s">
        <v>334</v>
      </c>
      <c r="B76" s="58"/>
      <c r="C76" s="74" t="s">
        <v>538</v>
      </c>
      <c r="D76" s="60">
        <v>25.3</v>
      </c>
      <c r="E76" s="51"/>
    </row>
    <row r="77" spans="1:5" ht="25.5" x14ac:dyDescent="0.2">
      <c r="A77" s="69" t="s">
        <v>335</v>
      </c>
      <c r="B77" s="58"/>
      <c r="C77" s="74" t="s">
        <v>539</v>
      </c>
      <c r="D77" s="60">
        <v>28.3</v>
      </c>
      <c r="E77" s="51"/>
    </row>
    <row r="78" spans="1:5" ht="25.5" x14ac:dyDescent="0.2">
      <c r="A78" s="69" t="s">
        <v>336</v>
      </c>
      <c r="B78" s="58"/>
      <c r="C78" s="74" t="s">
        <v>540</v>
      </c>
      <c r="D78" s="60">
        <v>52.1</v>
      </c>
      <c r="E78" s="51"/>
    </row>
    <row r="79" spans="1:5" x14ac:dyDescent="0.2">
      <c r="A79" s="69" t="s">
        <v>337</v>
      </c>
      <c r="B79" s="58"/>
      <c r="C79" s="83" t="s">
        <v>216</v>
      </c>
      <c r="D79" s="60">
        <v>31.4</v>
      </c>
      <c r="E79" s="51"/>
    </row>
    <row r="80" spans="1:5" x14ac:dyDescent="0.2">
      <c r="A80" s="69" t="s">
        <v>338</v>
      </c>
      <c r="B80" s="58"/>
      <c r="C80" s="83" t="s">
        <v>541</v>
      </c>
      <c r="D80" s="60">
        <v>23.6</v>
      </c>
      <c r="E80" s="51"/>
    </row>
    <row r="81" spans="1:5" x14ac:dyDescent="0.2">
      <c r="A81" s="69" t="s">
        <v>339</v>
      </c>
      <c r="B81" s="58"/>
      <c r="C81" s="83" t="s">
        <v>542</v>
      </c>
      <c r="D81" s="60">
        <v>57</v>
      </c>
      <c r="E81" s="51"/>
    </row>
    <row r="82" spans="1:5" ht="25.5" x14ac:dyDescent="0.2">
      <c r="A82" s="69" t="s">
        <v>340</v>
      </c>
      <c r="B82" s="58"/>
      <c r="C82" s="83" t="s">
        <v>217</v>
      </c>
      <c r="D82" s="60">
        <v>15.1</v>
      </c>
      <c r="E82" s="51"/>
    </row>
    <row r="83" spans="1:5" ht="13.5" customHeight="1" x14ac:dyDescent="0.2">
      <c r="A83" s="69" t="s">
        <v>341</v>
      </c>
      <c r="B83" s="58"/>
      <c r="C83" s="83" t="s">
        <v>218</v>
      </c>
      <c r="D83" s="60">
        <v>98</v>
      </c>
      <c r="E83" s="51"/>
    </row>
    <row r="84" spans="1:5" ht="25.5" x14ac:dyDescent="0.2">
      <c r="A84" s="69" t="s">
        <v>342</v>
      </c>
      <c r="B84" s="58"/>
      <c r="C84" s="83" t="s">
        <v>219</v>
      </c>
      <c r="D84" s="60">
        <v>85</v>
      </c>
      <c r="E84" s="51"/>
    </row>
    <row r="85" spans="1:5" ht="25.5" x14ac:dyDescent="0.2">
      <c r="A85" s="69" t="s">
        <v>343</v>
      </c>
      <c r="B85" s="58"/>
      <c r="C85" s="83" t="s">
        <v>220</v>
      </c>
      <c r="D85" s="60">
        <v>35</v>
      </c>
      <c r="E85" s="51"/>
    </row>
    <row r="86" spans="1:5" ht="25.5" x14ac:dyDescent="0.2">
      <c r="A86" s="69" t="s">
        <v>344</v>
      </c>
      <c r="B86" s="58"/>
      <c r="C86" s="83" t="s">
        <v>221</v>
      </c>
      <c r="D86" s="60">
        <v>23</v>
      </c>
      <c r="E86" s="51"/>
    </row>
    <row r="87" spans="1:5" ht="25.5" x14ac:dyDescent="0.2">
      <c r="A87" s="69" t="s">
        <v>345</v>
      </c>
      <c r="B87" s="58"/>
      <c r="C87" s="83" t="s">
        <v>222</v>
      </c>
      <c r="D87" s="60">
        <v>40</v>
      </c>
      <c r="E87" s="51"/>
    </row>
    <row r="88" spans="1:5" ht="25.5" x14ac:dyDescent="0.2">
      <c r="A88" s="69" t="s">
        <v>346</v>
      </c>
      <c r="B88" s="58"/>
      <c r="C88" s="83" t="s">
        <v>223</v>
      </c>
      <c r="D88" s="60">
        <v>37.700000000000003</v>
      </c>
      <c r="E88" s="51"/>
    </row>
    <row r="89" spans="1:5" x14ac:dyDescent="0.2">
      <c r="A89" s="69" t="s">
        <v>347</v>
      </c>
      <c r="B89" s="58"/>
      <c r="C89" s="84" t="s">
        <v>133</v>
      </c>
      <c r="D89" s="85">
        <v>136.80000000000001</v>
      </c>
      <c r="E89" s="51"/>
    </row>
    <row r="90" spans="1:5" x14ac:dyDescent="0.2">
      <c r="A90" s="54">
        <v>34</v>
      </c>
      <c r="B90" s="53" t="s">
        <v>21</v>
      </c>
      <c r="C90" s="79" t="s">
        <v>22</v>
      </c>
      <c r="D90" s="80">
        <f>+D91+D93+D94+D95+D96+D97+D120+D122+D124+D126+D127+D129+D130+D132+D134+D136+D138</f>
        <v>12161.4</v>
      </c>
      <c r="E90" s="51"/>
    </row>
    <row r="91" spans="1:5" ht="12.6" customHeight="1" x14ac:dyDescent="0.2">
      <c r="A91" s="198">
        <v>35</v>
      </c>
      <c r="B91" s="199"/>
      <c r="C91" s="59" t="s">
        <v>1</v>
      </c>
      <c r="D91" s="60">
        <f>1577.8-56.5</f>
        <v>1521.3</v>
      </c>
      <c r="E91" s="51"/>
    </row>
    <row r="92" spans="1:5" ht="12.6" customHeight="1" x14ac:dyDescent="0.2">
      <c r="A92" s="198"/>
      <c r="B92" s="199"/>
      <c r="C92" s="86" t="s">
        <v>195</v>
      </c>
      <c r="D92" s="60">
        <v>245.5</v>
      </c>
      <c r="E92" s="51"/>
    </row>
    <row r="93" spans="1:5" ht="12.6" customHeight="1" x14ac:dyDescent="0.2">
      <c r="A93" s="54">
        <v>36</v>
      </c>
      <c r="B93" s="58"/>
      <c r="C93" s="87" t="s">
        <v>2</v>
      </c>
      <c r="D93" s="60">
        <f>365.9-2.6</f>
        <v>363.29999999999995</v>
      </c>
      <c r="E93" s="51"/>
    </row>
    <row r="94" spans="1:5" ht="12.6" customHeight="1" x14ac:dyDescent="0.2">
      <c r="A94" s="54">
        <v>37</v>
      </c>
      <c r="B94" s="58"/>
      <c r="C94" s="66" t="s">
        <v>15</v>
      </c>
      <c r="D94" s="60">
        <f>455-11.6+2.5</f>
        <v>445.9</v>
      </c>
      <c r="E94" s="51"/>
    </row>
    <row r="95" spans="1:5" ht="12.6" customHeight="1" x14ac:dyDescent="0.2">
      <c r="A95" s="54">
        <v>38</v>
      </c>
      <c r="B95" s="58"/>
      <c r="C95" s="66" t="s">
        <v>19</v>
      </c>
      <c r="D95" s="60">
        <f>459.3-8.5</f>
        <v>450.8</v>
      </c>
      <c r="E95" s="51"/>
    </row>
    <row r="96" spans="1:5" ht="12.6" customHeight="1" x14ac:dyDescent="0.2">
      <c r="A96" s="54">
        <v>39</v>
      </c>
      <c r="B96" s="58"/>
      <c r="C96" s="59" t="s">
        <v>78</v>
      </c>
      <c r="D96" s="60">
        <f>1710.5-52.8</f>
        <v>1657.7</v>
      </c>
      <c r="E96" s="51"/>
    </row>
    <row r="97" spans="1:5" ht="12" customHeight="1" x14ac:dyDescent="0.2">
      <c r="A97" s="54">
        <v>40</v>
      </c>
      <c r="B97" s="58"/>
      <c r="C97" s="67" t="s">
        <v>89</v>
      </c>
      <c r="D97" s="68">
        <f>SUM(D98:D113)+D114</f>
        <v>4300.3</v>
      </c>
      <c r="E97" s="51"/>
    </row>
    <row r="98" spans="1:5" x14ac:dyDescent="0.2">
      <c r="A98" s="69" t="s">
        <v>348</v>
      </c>
      <c r="B98" s="58"/>
      <c r="C98" s="67" t="s">
        <v>3</v>
      </c>
      <c r="D98" s="60">
        <f>1865.5+35+67.7+27+5</f>
        <v>2000.2</v>
      </c>
      <c r="E98" s="51"/>
    </row>
    <row r="99" spans="1:5" x14ac:dyDescent="0.2">
      <c r="A99" s="69" t="s">
        <v>349</v>
      </c>
      <c r="B99" s="58"/>
      <c r="C99" s="83" t="s">
        <v>229</v>
      </c>
      <c r="D99" s="60">
        <v>100</v>
      </c>
      <c r="E99" s="51"/>
    </row>
    <row r="100" spans="1:5" x14ac:dyDescent="0.2">
      <c r="A100" s="69" t="s">
        <v>350</v>
      </c>
      <c r="B100" s="58"/>
      <c r="C100" s="72" t="s">
        <v>314</v>
      </c>
      <c r="D100" s="60">
        <f>250.3-43.7</f>
        <v>206.60000000000002</v>
      </c>
      <c r="E100" s="51"/>
    </row>
    <row r="101" spans="1:5" x14ac:dyDescent="0.2">
      <c r="A101" s="69" t="s">
        <v>351</v>
      </c>
      <c r="B101" s="58"/>
      <c r="C101" s="73" t="s">
        <v>230</v>
      </c>
      <c r="D101" s="78">
        <f>800-3.3</f>
        <v>796.7</v>
      </c>
      <c r="E101" s="51"/>
    </row>
    <row r="102" spans="1:5" ht="12.6" customHeight="1" x14ac:dyDescent="0.2">
      <c r="A102" s="69" t="s">
        <v>352</v>
      </c>
      <c r="B102" s="58"/>
      <c r="C102" s="73" t="s">
        <v>231</v>
      </c>
      <c r="D102" s="60">
        <f>100-15</f>
        <v>85</v>
      </c>
      <c r="E102" s="51"/>
    </row>
    <row r="103" spans="1:5" ht="14.25" customHeight="1" x14ac:dyDescent="0.2">
      <c r="A103" s="69" t="s">
        <v>353</v>
      </c>
      <c r="B103" s="58"/>
      <c r="C103" s="73" t="s">
        <v>232</v>
      </c>
      <c r="D103" s="60">
        <f>161-6</f>
        <v>155</v>
      </c>
      <c r="E103" s="51"/>
    </row>
    <row r="104" spans="1:5" ht="25.5" x14ac:dyDescent="0.2">
      <c r="A104" s="69" t="s">
        <v>354</v>
      </c>
      <c r="B104" s="58"/>
      <c r="C104" s="73" t="s">
        <v>233</v>
      </c>
      <c r="D104" s="78">
        <f>30-8.7</f>
        <v>21.3</v>
      </c>
      <c r="E104" s="51"/>
    </row>
    <row r="105" spans="1:5" ht="14.25" customHeight="1" x14ac:dyDescent="0.2">
      <c r="A105" s="69" t="s">
        <v>355</v>
      </c>
      <c r="B105" s="58"/>
      <c r="C105" s="73" t="s">
        <v>234</v>
      </c>
      <c r="D105" s="78">
        <v>105</v>
      </c>
      <c r="E105" s="51"/>
    </row>
    <row r="106" spans="1:5" ht="25.5" x14ac:dyDescent="0.2">
      <c r="A106" s="69" t="s">
        <v>356</v>
      </c>
      <c r="B106" s="58"/>
      <c r="C106" s="73" t="s">
        <v>170</v>
      </c>
      <c r="D106" s="78">
        <v>15</v>
      </c>
      <c r="E106" s="51"/>
    </row>
    <row r="107" spans="1:5" x14ac:dyDescent="0.2">
      <c r="A107" s="69" t="s">
        <v>357</v>
      </c>
      <c r="B107" s="58"/>
      <c r="C107" s="73" t="s">
        <v>235</v>
      </c>
      <c r="D107" s="78">
        <v>51.9</v>
      </c>
      <c r="E107" s="51"/>
    </row>
    <row r="108" spans="1:5" x14ac:dyDescent="0.2">
      <c r="A108" s="69" t="s">
        <v>358</v>
      </c>
      <c r="B108" s="58"/>
      <c r="C108" s="73" t="s">
        <v>312</v>
      </c>
      <c r="D108" s="78">
        <v>40.299999999999997</v>
      </c>
      <c r="E108" s="51"/>
    </row>
    <row r="109" spans="1:5" x14ac:dyDescent="0.2">
      <c r="A109" s="69" t="s">
        <v>359</v>
      </c>
      <c r="B109" s="58"/>
      <c r="C109" s="73" t="s">
        <v>236</v>
      </c>
      <c r="D109" s="78">
        <f>144.3-26.3</f>
        <v>118.00000000000001</v>
      </c>
      <c r="E109" s="51"/>
    </row>
    <row r="110" spans="1:5" ht="27" customHeight="1" x14ac:dyDescent="0.2">
      <c r="A110" s="69" t="s">
        <v>360</v>
      </c>
      <c r="B110" s="58"/>
      <c r="C110" s="73" t="s">
        <v>238</v>
      </c>
      <c r="D110" s="78">
        <v>19</v>
      </c>
      <c r="E110" s="51"/>
    </row>
    <row r="111" spans="1:5" ht="25.5" x14ac:dyDescent="0.2">
      <c r="A111" s="69" t="s">
        <v>361</v>
      </c>
      <c r="B111" s="58"/>
      <c r="C111" s="73" t="s">
        <v>239</v>
      </c>
      <c r="D111" s="78">
        <v>11</v>
      </c>
      <c r="E111" s="51"/>
    </row>
    <row r="112" spans="1:5" x14ac:dyDescent="0.2">
      <c r="A112" s="69" t="s">
        <v>362</v>
      </c>
      <c r="B112" s="58"/>
      <c r="C112" s="73" t="s">
        <v>237</v>
      </c>
      <c r="D112" s="78">
        <v>10</v>
      </c>
      <c r="E112" s="51"/>
    </row>
    <row r="113" spans="1:9" ht="25.5" x14ac:dyDescent="0.2">
      <c r="A113" s="69" t="s">
        <v>363</v>
      </c>
      <c r="B113" s="58"/>
      <c r="C113" s="73" t="s">
        <v>240</v>
      </c>
      <c r="D113" s="78">
        <v>12</v>
      </c>
      <c r="E113" s="51"/>
    </row>
    <row r="114" spans="1:9" ht="27" x14ac:dyDescent="0.2">
      <c r="A114" s="69" t="s">
        <v>364</v>
      </c>
      <c r="B114" s="58"/>
      <c r="C114" s="70" t="s">
        <v>194</v>
      </c>
      <c r="D114" s="88">
        <f>SUM(D115:D119)</f>
        <v>553.29999999999995</v>
      </c>
      <c r="E114" s="51"/>
    </row>
    <row r="115" spans="1:9" ht="12.6" customHeight="1" x14ac:dyDescent="0.2">
      <c r="A115" s="69" t="s">
        <v>365</v>
      </c>
      <c r="B115" s="58"/>
      <c r="C115" s="73" t="s">
        <v>241</v>
      </c>
      <c r="D115" s="78">
        <f>150+8.6</f>
        <v>158.6</v>
      </c>
      <c r="E115" s="51"/>
    </row>
    <row r="116" spans="1:9" x14ac:dyDescent="0.2">
      <c r="A116" s="69" t="s">
        <v>366</v>
      </c>
      <c r="B116" s="58"/>
      <c r="C116" s="73" t="s">
        <v>242</v>
      </c>
      <c r="D116" s="78">
        <v>200</v>
      </c>
      <c r="E116" s="51"/>
    </row>
    <row r="117" spans="1:9" ht="25.5" x14ac:dyDescent="0.2">
      <c r="A117" s="69" t="s">
        <v>367</v>
      </c>
      <c r="B117" s="64"/>
      <c r="C117" s="76" t="s">
        <v>243</v>
      </c>
      <c r="D117" s="78">
        <f>15+1.7</f>
        <v>16.7</v>
      </c>
      <c r="E117" s="51"/>
      <c r="I117" s="89"/>
    </row>
    <row r="118" spans="1:9" x14ac:dyDescent="0.2">
      <c r="A118" s="69" t="s">
        <v>368</v>
      </c>
      <c r="B118" s="58"/>
      <c r="C118" s="73" t="s">
        <v>244</v>
      </c>
      <c r="D118" s="78">
        <v>170</v>
      </c>
      <c r="E118" s="51"/>
    </row>
    <row r="119" spans="1:9" x14ac:dyDescent="0.2">
      <c r="A119" s="69" t="s">
        <v>499</v>
      </c>
      <c r="B119" s="64"/>
      <c r="C119" s="73" t="s">
        <v>500</v>
      </c>
      <c r="D119" s="78">
        <v>8</v>
      </c>
      <c r="E119" s="51"/>
      <c r="G119" s="196"/>
      <c r="H119" s="196"/>
    </row>
    <row r="120" spans="1:9" x14ac:dyDescent="0.2">
      <c r="A120" s="185">
        <v>41</v>
      </c>
      <c r="B120" s="187"/>
      <c r="C120" s="61" t="s">
        <v>8</v>
      </c>
      <c r="D120" s="60">
        <f>1187+380</f>
        <v>1567</v>
      </c>
      <c r="E120" s="51"/>
    </row>
    <row r="121" spans="1:9" x14ac:dyDescent="0.2">
      <c r="A121" s="186"/>
      <c r="B121" s="188"/>
      <c r="C121" s="61" t="s">
        <v>137</v>
      </c>
      <c r="D121" s="60">
        <v>12.3</v>
      </c>
      <c r="E121" s="51"/>
      <c r="H121" s="89"/>
    </row>
    <row r="122" spans="1:9" x14ac:dyDescent="0.2">
      <c r="A122" s="185">
        <v>42</v>
      </c>
      <c r="B122" s="187"/>
      <c r="C122" s="61" t="s">
        <v>4</v>
      </c>
      <c r="D122" s="60">
        <f>471.7-130+0.9</f>
        <v>342.59999999999997</v>
      </c>
      <c r="E122" s="51"/>
    </row>
    <row r="123" spans="1:9" x14ac:dyDescent="0.2">
      <c r="A123" s="186"/>
      <c r="B123" s="188"/>
      <c r="C123" s="61" t="s">
        <v>137</v>
      </c>
      <c r="D123" s="60">
        <v>8.1999999999999993</v>
      </c>
      <c r="E123" s="51"/>
    </row>
    <row r="124" spans="1:9" x14ac:dyDescent="0.2">
      <c r="A124" s="185">
        <v>43</v>
      </c>
      <c r="B124" s="187"/>
      <c r="C124" s="61" t="s">
        <v>5</v>
      </c>
      <c r="D124" s="60">
        <f>150.3+5-0.7</f>
        <v>154.60000000000002</v>
      </c>
      <c r="E124" s="51"/>
    </row>
    <row r="125" spans="1:9" x14ac:dyDescent="0.2">
      <c r="A125" s="186"/>
      <c r="B125" s="188"/>
      <c r="C125" s="61" t="s">
        <v>137</v>
      </c>
      <c r="D125" s="60">
        <v>4.0999999999999996</v>
      </c>
      <c r="E125" s="51"/>
    </row>
    <row r="126" spans="1:9" x14ac:dyDescent="0.2">
      <c r="A126" s="81">
        <v>44</v>
      </c>
      <c r="B126" s="64"/>
      <c r="C126" s="61" t="s">
        <v>7</v>
      </c>
      <c r="D126" s="60">
        <f>209.5-50-1.1</f>
        <v>158.4</v>
      </c>
      <c r="E126" s="51"/>
    </row>
    <row r="127" spans="1:9" x14ac:dyDescent="0.2">
      <c r="A127" s="185">
        <v>45</v>
      </c>
      <c r="B127" s="187"/>
      <c r="C127" s="61" t="s">
        <v>6</v>
      </c>
      <c r="D127" s="60">
        <f>282.7-7</f>
        <v>275.7</v>
      </c>
      <c r="E127" s="51"/>
    </row>
    <row r="128" spans="1:9" x14ac:dyDescent="0.2">
      <c r="A128" s="186"/>
      <c r="B128" s="188"/>
      <c r="C128" s="61" t="s">
        <v>137</v>
      </c>
      <c r="D128" s="60">
        <v>4.0999999999999996</v>
      </c>
      <c r="E128" s="51"/>
    </row>
    <row r="129" spans="1:8" x14ac:dyDescent="0.2">
      <c r="A129" s="81">
        <v>46</v>
      </c>
      <c r="B129" s="64"/>
      <c r="C129" s="61" t="s">
        <v>9</v>
      </c>
      <c r="D129" s="60">
        <f>224.8-35-0.6</f>
        <v>189.20000000000002</v>
      </c>
      <c r="E129" s="51"/>
    </row>
    <row r="130" spans="1:8" x14ac:dyDescent="0.2">
      <c r="A130" s="185">
        <v>47</v>
      </c>
      <c r="B130" s="187"/>
      <c r="C130" s="67" t="s">
        <v>10</v>
      </c>
      <c r="D130" s="60">
        <f>137.7-20+2.1</f>
        <v>119.79999999999998</v>
      </c>
      <c r="E130" s="51"/>
    </row>
    <row r="131" spans="1:8" x14ac:dyDescent="0.2">
      <c r="A131" s="186"/>
      <c r="B131" s="188"/>
      <c r="C131" s="61" t="s">
        <v>137</v>
      </c>
      <c r="D131" s="60">
        <v>8.1999999999999993</v>
      </c>
      <c r="E131" s="51"/>
    </row>
    <row r="132" spans="1:8" x14ac:dyDescent="0.2">
      <c r="A132" s="185">
        <v>48</v>
      </c>
      <c r="B132" s="187"/>
      <c r="C132" s="61" t="s">
        <v>12</v>
      </c>
      <c r="D132" s="60">
        <f>218.3-45</f>
        <v>173.3</v>
      </c>
      <c r="E132" s="51"/>
    </row>
    <row r="133" spans="1:8" x14ac:dyDescent="0.2">
      <c r="A133" s="186"/>
      <c r="B133" s="188"/>
      <c r="C133" s="61" t="s">
        <v>137</v>
      </c>
      <c r="D133" s="60">
        <v>8.1999999999999993</v>
      </c>
      <c r="E133" s="51"/>
    </row>
    <row r="134" spans="1:8" x14ac:dyDescent="0.2">
      <c r="A134" s="185">
        <v>49</v>
      </c>
      <c r="B134" s="187"/>
      <c r="C134" s="61" t="s">
        <v>11</v>
      </c>
      <c r="D134" s="60">
        <f>210.5-65-0.9</f>
        <v>144.6</v>
      </c>
      <c r="E134" s="51"/>
    </row>
    <row r="135" spans="1:8" x14ac:dyDescent="0.2">
      <c r="A135" s="186"/>
      <c r="B135" s="188"/>
      <c r="C135" s="61" t="s">
        <v>137</v>
      </c>
      <c r="D135" s="60">
        <v>4.0999999999999996</v>
      </c>
      <c r="E135" s="51"/>
    </row>
    <row r="136" spans="1:8" x14ac:dyDescent="0.2">
      <c r="A136" s="189">
        <v>50</v>
      </c>
      <c r="B136" s="187"/>
      <c r="C136" s="61" t="s">
        <v>13</v>
      </c>
      <c r="D136" s="60">
        <f>153.6-20+0.7</f>
        <v>134.29999999999998</v>
      </c>
      <c r="E136" s="51"/>
    </row>
    <row r="137" spans="1:8" x14ac:dyDescent="0.2">
      <c r="A137" s="190"/>
      <c r="B137" s="188"/>
      <c r="C137" s="61" t="s">
        <v>137</v>
      </c>
      <c r="D137" s="60">
        <v>4.0999999999999996</v>
      </c>
      <c r="E137" s="51"/>
    </row>
    <row r="138" spans="1:8" x14ac:dyDescent="0.2">
      <c r="A138" s="185">
        <v>51</v>
      </c>
      <c r="B138" s="187"/>
      <c r="C138" s="61" t="s">
        <v>14</v>
      </c>
      <c r="D138" s="60">
        <f>219.6-55-2</f>
        <v>162.6</v>
      </c>
      <c r="E138" s="51"/>
    </row>
    <row r="139" spans="1:8" x14ac:dyDescent="0.2">
      <c r="A139" s="186"/>
      <c r="B139" s="188"/>
      <c r="C139" s="61" t="s">
        <v>137</v>
      </c>
      <c r="D139" s="60">
        <v>8.1</v>
      </c>
      <c r="E139" s="51"/>
    </row>
    <row r="140" spans="1:8" x14ac:dyDescent="0.2">
      <c r="A140" s="54">
        <v>52</v>
      </c>
      <c r="B140" s="53" t="s">
        <v>51</v>
      </c>
      <c r="C140" s="79" t="s">
        <v>97</v>
      </c>
      <c r="D140" s="80">
        <f>+D142+D163+D164+D165+D166+D167+D168+D169+D170+D171+D141</f>
        <v>2653.5999999999995</v>
      </c>
      <c r="E140" s="51"/>
    </row>
    <row r="141" spans="1:8" ht="12.6" customHeight="1" x14ac:dyDescent="0.2">
      <c r="A141" s="54">
        <v>53</v>
      </c>
      <c r="B141" s="58"/>
      <c r="C141" s="59" t="s">
        <v>65</v>
      </c>
      <c r="D141" s="60">
        <f>1112.2+2.6+27.6+43.2</f>
        <v>1185.5999999999999</v>
      </c>
      <c r="E141" s="51"/>
    </row>
    <row r="142" spans="1:8" ht="12.6" customHeight="1" x14ac:dyDescent="0.2">
      <c r="A142" s="54">
        <v>54</v>
      </c>
      <c r="B142" s="53"/>
      <c r="C142" s="67" t="s">
        <v>89</v>
      </c>
      <c r="D142" s="60">
        <f>+D143+D144+D153+D155+D152+D154</f>
        <v>1436.3</v>
      </c>
      <c r="E142" s="51"/>
    </row>
    <row r="143" spans="1:8" ht="12.6" customHeight="1" x14ac:dyDescent="0.2">
      <c r="A143" s="69" t="s">
        <v>369</v>
      </c>
      <c r="B143" s="58"/>
      <c r="C143" s="67" t="s">
        <v>3</v>
      </c>
      <c r="D143" s="60">
        <f>68.5+5</f>
        <v>73.5</v>
      </c>
      <c r="E143" s="51"/>
    </row>
    <row r="144" spans="1:8" ht="12.6" customHeight="1" x14ac:dyDescent="0.2">
      <c r="A144" s="192" t="s">
        <v>370</v>
      </c>
      <c r="B144" s="187"/>
      <c r="C144" s="83" t="s">
        <v>172</v>
      </c>
      <c r="D144" s="60">
        <f>+D145+D146+D147+D148+D149+D150+D151</f>
        <v>689</v>
      </c>
      <c r="E144" s="51"/>
      <c r="H144" s="89"/>
    </row>
    <row r="145" spans="1:5" ht="13.5" customHeight="1" x14ac:dyDescent="0.2">
      <c r="A145" s="193"/>
      <c r="B145" s="195"/>
      <c r="C145" s="90" t="s">
        <v>247</v>
      </c>
      <c r="D145" s="60">
        <v>300</v>
      </c>
      <c r="E145" s="51"/>
    </row>
    <row r="146" spans="1:5" x14ac:dyDescent="0.2">
      <c r="A146" s="193"/>
      <c r="B146" s="195"/>
      <c r="C146" s="90" t="s">
        <v>248</v>
      </c>
      <c r="D146" s="60">
        <f>130+14</f>
        <v>144</v>
      </c>
      <c r="E146" s="51"/>
    </row>
    <row r="147" spans="1:5" ht="12.6" customHeight="1" x14ac:dyDescent="0.2">
      <c r="A147" s="193"/>
      <c r="B147" s="195"/>
      <c r="C147" s="90" t="s">
        <v>249</v>
      </c>
      <c r="D147" s="60">
        <v>25</v>
      </c>
      <c r="E147" s="51"/>
    </row>
    <row r="148" spans="1:5" x14ac:dyDescent="0.2">
      <c r="A148" s="193"/>
      <c r="B148" s="195"/>
      <c r="C148" s="90" t="s">
        <v>250</v>
      </c>
      <c r="D148" s="60">
        <v>170</v>
      </c>
      <c r="E148" s="51"/>
    </row>
    <row r="149" spans="1:5" x14ac:dyDescent="0.2">
      <c r="A149" s="193"/>
      <c r="B149" s="195"/>
      <c r="C149" s="90" t="s">
        <v>251</v>
      </c>
      <c r="D149" s="60">
        <v>20</v>
      </c>
      <c r="E149" s="51"/>
    </row>
    <row r="150" spans="1:5" ht="12.75" customHeight="1" x14ac:dyDescent="0.2">
      <c r="A150" s="193"/>
      <c r="B150" s="195"/>
      <c r="C150" s="90" t="s">
        <v>252</v>
      </c>
      <c r="D150" s="60">
        <v>20</v>
      </c>
      <c r="E150" s="51"/>
    </row>
    <row r="151" spans="1:5" x14ac:dyDescent="0.2">
      <c r="A151" s="194"/>
      <c r="B151" s="188"/>
      <c r="C151" s="90" t="s">
        <v>253</v>
      </c>
      <c r="D151" s="60">
        <v>10</v>
      </c>
      <c r="E151" s="51"/>
    </row>
    <row r="152" spans="1:5" ht="25.5" x14ac:dyDescent="0.2">
      <c r="A152" s="69" t="s">
        <v>371</v>
      </c>
      <c r="B152" s="58"/>
      <c r="C152" s="83" t="s">
        <v>245</v>
      </c>
      <c r="D152" s="60">
        <v>10.3</v>
      </c>
      <c r="E152" s="51"/>
    </row>
    <row r="153" spans="1:5" ht="25.5" x14ac:dyDescent="0.2">
      <c r="A153" s="69" t="s">
        <v>372</v>
      </c>
      <c r="B153" s="58"/>
      <c r="C153" s="83" t="s">
        <v>246</v>
      </c>
      <c r="D153" s="60">
        <v>60</v>
      </c>
      <c r="E153" s="51"/>
    </row>
    <row r="154" spans="1:5" x14ac:dyDescent="0.2">
      <c r="A154" s="69" t="s">
        <v>373</v>
      </c>
      <c r="B154" s="58"/>
      <c r="C154" s="83" t="s">
        <v>254</v>
      </c>
      <c r="D154" s="60">
        <v>15</v>
      </c>
      <c r="E154" s="51"/>
    </row>
    <row r="155" spans="1:5" ht="27" x14ac:dyDescent="0.2">
      <c r="A155" s="69" t="s">
        <v>374</v>
      </c>
      <c r="B155" s="58"/>
      <c r="C155" s="70" t="s">
        <v>194</v>
      </c>
      <c r="D155" s="71">
        <f>SUM(D156:D162)</f>
        <v>588.5</v>
      </c>
      <c r="E155" s="51"/>
    </row>
    <row r="156" spans="1:5" x14ac:dyDescent="0.2">
      <c r="A156" s="69" t="s">
        <v>375</v>
      </c>
      <c r="B156" s="58"/>
      <c r="C156" s="61" t="s">
        <v>255</v>
      </c>
      <c r="D156" s="60">
        <v>100</v>
      </c>
      <c r="E156" s="51"/>
    </row>
    <row r="157" spans="1:5" x14ac:dyDescent="0.2">
      <c r="A157" s="69" t="s">
        <v>376</v>
      </c>
      <c r="B157" s="58"/>
      <c r="C157" s="61" t="s">
        <v>256</v>
      </c>
      <c r="D157" s="60">
        <v>116.1</v>
      </c>
      <c r="E157" s="51"/>
    </row>
    <row r="158" spans="1:5" ht="25.5" x14ac:dyDescent="0.2">
      <c r="A158" s="69" t="s">
        <v>377</v>
      </c>
      <c r="B158" s="58"/>
      <c r="C158" s="61" t="s">
        <v>257</v>
      </c>
      <c r="D158" s="60">
        <v>50</v>
      </c>
      <c r="E158" s="51"/>
    </row>
    <row r="159" spans="1:5" ht="13.5" customHeight="1" x14ac:dyDescent="0.2">
      <c r="A159" s="69" t="s">
        <v>378</v>
      </c>
      <c r="B159" s="58"/>
      <c r="C159" s="61" t="s">
        <v>258</v>
      </c>
      <c r="D159" s="60">
        <v>20</v>
      </c>
      <c r="E159" s="51"/>
    </row>
    <row r="160" spans="1:5" x14ac:dyDescent="0.2">
      <c r="A160" s="69" t="s">
        <v>379</v>
      </c>
      <c r="B160" s="58"/>
      <c r="C160" s="61" t="s">
        <v>503</v>
      </c>
      <c r="D160" s="60">
        <v>235</v>
      </c>
      <c r="E160" s="51"/>
    </row>
    <row r="161" spans="1:5" ht="38.25" x14ac:dyDescent="0.2">
      <c r="A161" s="69" t="s">
        <v>380</v>
      </c>
      <c r="B161" s="58"/>
      <c r="C161" s="61" t="s">
        <v>259</v>
      </c>
      <c r="D161" s="60">
        <v>7.3</v>
      </c>
      <c r="E161" s="51"/>
    </row>
    <row r="162" spans="1:5" x14ac:dyDescent="0.2">
      <c r="A162" s="69" t="s">
        <v>501</v>
      </c>
      <c r="B162" s="58"/>
      <c r="C162" s="61" t="s">
        <v>502</v>
      </c>
      <c r="D162" s="60">
        <f>18+42.1</f>
        <v>60.1</v>
      </c>
      <c r="E162" s="51"/>
    </row>
    <row r="163" spans="1:5" ht="12" customHeight="1" x14ac:dyDescent="0.2">
      <c r="A163" s="54">
        <v>55</v>
      </c>
      <c r="B163" s="58"/>
      <c r="C163" s="61" t="s">
        <v>5</v>
      </c>
      <c r="D163" s="60">
        <f>3.4-0.6</f>
        <v>2.8</v>
      </c>
      <c r="E163" s="51"/>
    </row>
    <row r="164" spans="1:5" ht="12.6" customHeight="1" x14ac:dyDescent="0.2">
      <c r="A164" s="54">
        <v>56</v>
      </c>
      <c r="B164" s="58"/>
      <c r="C164" s="67" t="s">
        <v>7</v>
      </c>
      <c r="D164" s="60">
        <v>3.8</v>
      </c>
      <c r="E164" s="51"/>
    </row>
    <row r="165" spans="1:5" ht="12.6" customHeight="1" x14ac:dyDescent="0.2">
      <c r="A165" s="54">
        <v>57</v>
      </c>
      <c r="B165" s="58"/>
      <c r="C165" s="61" t="s">
        <v>6</v>
      </c>
      <c r="D165" s="60">
        <f>3.7-0.1</f>
        <v>3.6</v>
      </c>
      <c r="E165" s="51"/>
    </row>
    <row r="166" spans="1:5" ht="12.6" customHeight="1" x14ac:dyDescent="0.2">
      <c r="A166" s="54">
        <v>58</v>
      </c>
      <c r="B166" s="58"/>
      <c r="C166" s="61" t="s">
        <v>9</v>
      </c>
      <c r="D166" s="60">
        <f>3.6+0.3</f>
        <v>3.9</v>
      </c>
      <c r="E166" s="51"/>
    </row>
    <row r="167" spans="1:5" ht="12.6" customHeight="1" x14ac:dyDescent="0.2">
      <c r="A167" s="54">
        <v>59</v>
      </c>
      <c r="B167" s="58"/>
      <c r="C167" s="67" t="s">
        <v>10</v>
      </c>
      <c r="D167" s="60">
        <v>3.6</v>
      </c>
      <c r="E167" s="51"/>
    </row>
    <row r="168" spans="1:5" ht="12.6" customHeight="1" x14ac:dyDescent="0.2">
      <c r="A168" s="54">
        <v>60</v>
      </c>
      <c r="B168" s="58"/>
      <c r="C168" s="61" t="s">
        <v>12</v>
      </c>
      <c r="D168" s="60">
        <v>3.6</v>
      </c>
      <c r="E168" s="51"/>
    </row>
    <row r="169" spans="1:5" ht="12.6" customHeight="1" x14ac:dyDescent="0.2">
      <c r="A169" s="54">
        <v>61</v>
      </c>
      <c r="B169" s="58"/>
      <c r="C169" s="61" t="s">
        <v>11</v>
      </c>
      <c r="D169" s="60">
        <v>3.6</v>
      </c>
      <c r="E169" s="51"/>
    </row>
    <row r="170" spans="1:5" ht="12.6" customHeight="1" x14ac:dyDescent="0.2">
      <c r="A170" s="54">
        <v>62</v>
      </c>
      <c r="B170" s="58"/>
      <c r="C170" s="61" t="s">
        <v>13</v>
      </c>
      <c r="D170" s="60">
        <v>3.3</v>
      </c>
      <c r="E170" s="51"/>
    </row>
    <row r="171" spans="1:5" ht="12.6" customHeight="1" x14ac:dyDescent="0.2">
      <c r="A171" s="54">
        <v>63</v>
      </c>
      <c r="B171" s="58"/>
      <c r="C171" s="61" t="s">
        <v>14</v>
      </c>
      <c r="D171" s="60">
        <v>3.5</v>
      </c>
      <c r="E171" s="51"/>
    </row>
    <row r="172" spans="1:5" ht="12.6" customHeight="1" x14ac:dyDescent="0.2">
      <c r="A172" s="54">
        <v>64</v>
      </c>
      <c r="B172" s="53" t="s">
        <v>52</v>
      </c>
      <c r="C172" s="79" t="s">
        <v>53</v>
      </c>
      <c r="D172" s="80">
        <f>+D173+D174+D175+D176+D177+D178+D179+D180+D182+D195</f>
        <v>6425.5</v>
      </c>
      <c r="E172" s="51"/>
    </row>
    <row r="173" spans="1:5" ht="14.25" customHeight="1" x14ac:dyDescent="0.2">
      <c r="A173" s="54">
        <v>65</v>
      </c>
      <c r="B173" s="58"/>
      <c r="C173" s="59" t="s">
        <v>36</v>
      </c>
      <c r="D173" s="60">
        <f>1204.7+4.5</f>
        <v>1209.2</v>
      </c>
      <c r="E173" s="51"/>
    </row>
    <row r="174" spans="1:5" ht="12.6" customHeight="1" x14ac:dyDescent="0.2">
      <c r="A174" s="54">
        <v>66</v>
      </c>
      <c r="B174" s="58"/>
      <c r="C174" s="87" t="s">
        <v>41</v>
      </c>
      <c r="D174" s="60">
        <f>350.3+1.2</f>
        <v>351.5</v>
      </c>
      <c r="E174" s="51"/>
    </row>
    <row r="175" spans="1:5" ht="12.6" customHeight="1" x14ac:dyDescent="0.2">
      <c r="A175" s="54">
        <v>67</v>
      </c>
      <c r="B175" s="58"/>
      <c r="C175" s="87" t="s">
        <v>42</v>
      </c>
      <c r="D175" s="60">
        <f>265.3+7+2</f>
        <v>274.3</v>
      </c>
      <c r="E175" s="51"/>
    </row>
    <row r="176" spans="1:5" ht="12.6" customHeight="1" x14ac:dyDescent="0.2">
      <c r="A176" s="54">
        <v>68</v>
      </c>
      <c r="B176" s="58"/>
      <c r="C176" s="87" t="s">
        <v>37</v>
      </c>
      <c r="D176" s="60">
        <f>247.2+10</f>
        <v>257.2</v>
      </c>
      <c r="E176" s="51"/>
    </row>
    <row r="177" spans="1:8" ht="12.6" customHeight="1" x14ac:dyDescent="0.2">
      <c r="A177" s="54">
        <v>69</v>
      </c>
      <c r="B177" s="58"/>
      <c r="C177" s="87" t="s">
        <v>43</v>
      </c>
      <c r="D177" s="60">
        <v>181.5</v>
      </c>
      <c r="E177" s="51"/>
    </row>
    <row r="178" spans="1:8" ht="12.6" customHeight="1" x14ac:dyDescent="0.2">
      <c r="A178" s="54">
        <v>70</v>
      </c>
      <c r="B178" s="58"/>
      <c r="C178" s="87" t="s">
        <v>44</v>
      </c>
      <c r="D178" s="60">
        <v>147.30000000000001</v>
      </c>
      <c r="E178" s="51"/>
    </row>
    <row r="179" spans="1:8" ht="12.6" customHeight="1" x14ac:dyDescent="0.2">
      <c r="A179" s="54">
        <v>71</v>
      </c>
      <c r="B179" s="58"/>
      <c r="C179" s="61" t="s">
        <v>45</v>
      </c>
      <c r="D179" s="60">
        <f>1459.4+2.5</f>
        <v>1461.9</v>
      </c>
      <c r="E179" s="51"/>
    </row>
    <row r="180" spans="1:8" ht="12.6" customHeight="1" x14ac:dyDescent="0.2">
      <c r="A180" s="185">
        <v>72</v>
      </c>
      <c r="B180" s="187"/>
      <c r="C180" s="87" t="s">
        <v>35</v>
      </c>
      <c r="D180" s="60">
        <f>755.3+D181+2.4+14.6+1.2</f>
        <v>778.5</v>
      </c>
      <c r="E180" s="51"/>
    </row>
    <row r="181" spans="1:8" ht="25.5" x14ac:dyDescent="0.2">
      <c r="A181" s="186"/>
      <c r="B181" s="188"/>
      <c r="C181" s="66" t="s">
        <v>171</v>
      </c>
      <c r="D181" s="60">
        <v>5</v>
      </c>
      <c r="E181" s="51"/>
    </row>
    <row r="182" spans="1:8" x14ac:dyDescent="0.2">
      <c r="A182" s="54">
        <v>73</v>
      </c>
      <c r="B182" s="58"/>
      <c r="C182" s="67" t="s">
        <v>89</v>
      </c>
      <c r="D182" s="60">
        <f>+D183+D184+D185+D188+D189+D186+D187</f>
        <v>1763.1</v>
      </c>
      <c r="E182" s="51"/>
    </row>
    <row r="183" spans="1:8" ht="12.6" customHeight="1" x14ac:dyDescent="0.2">
      <c r="A183" s="69" t="s">
        <v>381</v>
      </c>
      <c r="B183" s="58"/>
      <c r="C183" s="67" t="s">
        <v>3</v>
      </c>
      <c r="D183" s="60">
        <v>319.60000000000002</v>
      </c>
      <c r="E183" s="51"/>
    </row>
    <row r="184" spans="1:8" ht="25.5" x14ac:dyDescent="0.2">
      <c r="A184" s="69" t="s">
        <v>382</v>
      </c>
      <c r="B184" s="58"/>
      <c r="C184" s="73" t="s">
        <v>260</v>
      </c>
      <c r="D184" s="60">
        <v>30</v>
      </c>
      <c r="E184" s="51"/>
    </row>
    <row r="185" spans="1:8" x14ac:dyDescent="0.2">
      <c r="A185" s="69" t="s">
        <v>383</v>
      </c>
      <c r="B185" s="58"/>
      <c r="C185" s="73" t="s">
        <v>261</v>
      </c>
      <c r="D185" s="60">
        <v>26</v>
      </c>
      <c r="E185" s="51"/>
    </row>
    <row r="186" spans="1:8" ht="25.5" x14ac:dyDescent="0.2">
      <c r="A186" s="69" t="s">
        <v>384</v>
      </c>
      <c r="B186" s="58"/>
      <c r="C186" s="76" t="s">
        <v>262</v>
      </c>
      <c r="D186" s="60">
        <f>59.5+11.6</f>
        <v>71.099999999999994</v>
      </c>
      <c r="E186" s="51"/>
      <c r="H186" s="51"/>
    </row>
    <row r="187" spans="1:8" ht="25.5" x14ac:dyDescent="0.2">
      <c r="A187" s="69" t="s">
        <v>385</v>
      </c>
      <c r="B187" s="58"/>
      <c r="C187" s="76" t="s">
        <v>263</v>
      </c>
      <c r="D187" s="60">
        <v>19</v>
      </c>
      <c r="E187" s="51"/>
    </row>
    <row r="188" spans="1:8" x14ac:dyDescent="0.2">
      <c r="A188" s="69" t="s">
        <v>386</v>
      </c>
      <c r="B188" s="58"/>
      <c r="C188" s="73" t="s">
        <v>264</v>
      </c>
      <c r="D188" s="60">
        <f>13-7.6</f>
        <v>5.4</v>
      </c>
      <c r="E188" s="51"/>
    </row>
    <row r="189" spans="1:8" ht="27" x14ac:dyDescent="0.2">
      <c r="A189" s="69" t="s">
        <v>387</v>
      </c>
      <c r="B189" s="58"/>
      <c r="C189" s="70" t="s">
        <v>194</v>
      </c>
      <c r="D189" s="71">
        <f>SUM(D190:D194)</f>
        <v>1292</v>
      </c>
      <c r="E189" s="51"/>
    </row>
    <row r="190" spans="1:8" x14ac:dyDescent="0.2">
      <c r="A190" s="69" t="s">
        <v>388</v>
      </c>
      <c r="B190" s="58"/>
      <c r="C190" s="76" t="s">
        <v>265</v>
      </c>
      <c r="D190" s="60">
        <f>1100+64</f>
        <v>1164</v>
      </c>
      <c r="E190" s="51"/>
    </row>
    <row r="191" spans="1:8" x14ac:dyDescent="0.2">
      <c r="A191" s="69" t="s">
        <v>390</v>
      </c>
      <c r="B191" s="58"/>
      <c r="C191" s="61" t="s">
        <v>266</v>
      </c>
      <c r="D191" s="60">
        <v>30</v>
      </c>
      <c r="E191" s="51"/>
    </row>
    <row r="192" spans="1:8" x14ac:dyDescent="0.2">
      <c r="A192" s="69" t="s">
        <v>391</v>
      </c>
      <c r="B192" s="58"/>
      <c r="C192" s="61" t="s">
        <v>267</v>
      </c>
      <c r="D192" s="60">
        <f>10+8</f>
        <v>18</v>
      </c>
      <c r="E192" s="51"/>
    </row>
    <row r="193" spans="1:7" x14ac:dyDescent="0.2">
      <c r="A193" s="69" t="s">
        <v>389</v>
      </c>
      <c r="B193" s="58"/>
      <c r="C193" s="61" t="s">
        <v>268</v>
      </c>
      <c r="D193" s="60">
        <v>40</v>
      </c>
      <c r="E193" s="51"/>
    </row>
    <row r="194" spans="1:7" x14ac:dyDescent="0.2">
      <c r="A194" s="69" t="s">
        <v>392</v>
      </c>
      <c r="B194" s="58"/>
      <c r="C194" s="61" t="s">
        <v>269</v>
      </c>
      <c r="D194" s="60">
        <v>40</v>
      </c>
      <c r="E194" s="51"/>
    </row>
    <row r="195" spans="1:7" ht="12.6" customHeight="1" x14ac:dyDescent="0.2">
      <c r="A195" s="54">
        <v>74</v>
      </c>
      <c r="B195" s="58"/>
      <c r="C195" s="61" t="s">
        <v>6</v>
      </c>
      <c r="D195" s="60">
        <f>8.6-7.6</f>
        <v>1</v>
      </c>
      <c r="E195" s="51"/>
    </row>
    <row r="196" spans="1:7" x14ac:dyDescent="0.2">
      <c r="A196" s="54">
        <v>75</v>
      </c>
      <c r="B196" s="53" t="s">
        <v>62</v>
      </c>
      <c r="C196" s="91" t="s">
        <v>63</v>
      </c>
      <c r="D196" s="80">
        <f>+D197</f>
        <v>805.9</v>
      </c>
      <c r="E196" s="51"/>
    </row>
    <row r="197" spans="1:7" x14ac:dyDescent="0.2">
      <c r="A197" s="54">
        <v>76</v>
      </c>
      <c r="B197" s="58"/>
      <c r="C197" s="67" t="s">
        <v>89</v>
      </c>
      <c r="D197" s="60">
        <f>+D198+D199+D200</f>
        <v>805.9</v>
      </c>
      <c r="E197" s="51"/>
    </row>
    <row r="198" spans="1:7" ht="13.5" customHeight="1" x14ac:dyDescent="0.2">
      <c r="A198" s="92" t="s">
        <v>393</v>
      </c>
      <c r="B198" s="58"/>
      <c r="C198" s="73" t="s">
        <v>270</v>
      </c>
      <c r="D198" s="60">
        <v>108</v>
      </c>
      <c r="E198" s="51"/>
    </row>
    <row r="199" spans="1:7" x14ac:dyDescent="0.2">
      <c r="A199" s="92" t="s">
        <v>394</v>
      </c>
      <c r="B199" s="58"/>
      <c r="C199" s="73" t="s">
        <v>271</v>
      </c>
      <c r="D199" s="60">
        <v>50</v>
      </c>
      <c r="E199" s="51"/>
    </row>
    <row r="200" spans="1:7" ht="27" x14ac:dyDescent="0.2">
      <c r="A200" s="92" t="s">
        <v>395</v>
      </c>
      <c r="B200" s="58"/>
      <c r="C200" s="70" t="s">
        <v>194</v>
      </c>
      <c r="D200" s="71">
        <f>SUM(D201:D209)</f>
        <v>647.9</v>
      </c>
      <c r="E200" s="51"/>
    </row>
    <row r="201" spans="1:7" ht="25.5" x14ac:dyDescent="0.2">
      <c r="A201" s="69" t="s">
        <v>396</v>
      </c>
      <c r="B201" s="58"/>
      <c r="C201" s="72" t="s">
        <v>568</v>
      </c>
      <c r="D201" s="60">
        <v>3</v>
      </c>
      <c r="E201" s="51"/>
    </row>
    <row r="202" spans="1:7" ht="38.25" x14ac:dyDescent="0.2">
      <c r="A202" s="69" t="s">
        <v>397</v>
      </c>
      <c r="B202" s="58"/>
      <c r="C202" s="72" t="s">
        <v>272</v>
      </c>
      <c r="D202" s="60">
        <f>100+123.9</f>
        <v>223.9</v>
      </c>
      <c r="E202" s="51"/>
    </row>
    <row r="203" spans="1:7" x14ac:dyDescent="0.2">
      <c r="A203" s="69" t="s">
        <v>398</v>
      </c>
      <c r="B203" s="58"/>
      <c r="C203" s="72" t="s">
        <v>273</v>
      </c>
      <c r="D203" s="60">
        <f>103-83</f>
        <v>20</v>
      </c>
      <c r="E203" s="51"/>
      <c r="F203" s="191"/>
      <c r="G203" s="191"/>
    </row>
    <row r="204" spans="1:7" ht="25.5" x14ac:dyDescent="0.2">
      <c r="A204" s="69" t="s">
        <v>399</v>
      </c>
      <c r="B204" s="58"/>
      <c r="C204" s="72" t="s">
        <v>274</v>
      </c>
      <c r="D204" s="60">
        <v>3</v>
      </c>
      <c r="E204" s="51"/>
    </row>
    <row r="205" spans="1:7" ht="39.75" customHeight="1" x14ac:dyDescent="0.2">
      <c r="A205" s="69" t="s">
        <v>400</v>
      </c>
      <c r="B205" s="58"/>
      <c r="C205" s="72" t="s">
        <v>275</v>
      </c>
      <c r="D205" s="60">
        <v>25</v>
      </c>
      <c r="E205" s="51"/>
    </row>
    <row r="206" spans="1:7" x14ac:dyDescent="0.2">
      <c r="A206" s="69" t="s">
        <v>401</v>
      </c>
      <c r="B206" s="58"/>
      <c r="C206" s="72" t="s">
        <v>276</v>
      </c>
      <c r="D206" s="60">
        <v>3</v>
      </c>
      <c r="E206" s="51"/>
    </row>
    <row r="207" spans="1:7" ht="25.5" x14ac:dyDescent="0.2">
      <c r="A207" s="69" t="s">
        <v>402</v>
      </c>
      <c r="B207" s="58"/>
      <c r="C207" s="72" t="s">
        <v>277</v>
      </c>
      <c r="D207" s="60">
        <v>20</v>
      </c>
      <c r="E207" s="51"/>
    </row>
    <row r="208" spans="1:7" x14ac:dyDescent="0.2">
      <c r="A208" s="69" t="s">
        <v>403</v>
      </c>
      <c r="B208" s="58"/>
      <c r="C208" s="72" t="s">
        <v>278</v>
      </c>
      <c r="D208" s="60">
        <v>300</v>
      </c>
      <c r="E208" s="51"/>
    </row>
    <row r="209" spans="1:10" x14ac:dyDescent="0.2">
      <c r="A209" s="69" t="s">
        <v>404</v>
      </c>
      <c r="B209" s="58"/>
      <c r="C209" s="72" t="s">
        <v>279</v>
      </c>
      <c r="D209" s="60">
        <v>50</v>
      </c>
      <c r="E209" s="51"/>
    </row>
    <row r="210" spans="1:10" x14ac:dyDescent="0.2">
      <c r="A210" s="54">
        <v>77</v>
      </c>
      <c r="B210" s="53" t="s">
        <v>54</v>
      </c>
      <c r="C210" s="93" t="s">
        <v>55</v>
      </c>
      <c r="D210" s="56">
        <f>+D211+D212+D235+D236+D237+D238+D239+D240+D241+D242+D243+D244+D245</f>
        <v>3450.1</v>
      </c>
      <c r="E210" s="51"/>
    </row>
    <row r="211" spans="1:10" x14ac:dyDescent="0.2">
      <c r="A211" s="54">
        <v>78</v>
      </c>
      <c r="B211" s="53"/>
      <c r="C211" s="94" t="s">
        <v>133</v>
      </c>
      <c r="D211" s="95">
        <v>150</v>
      </c>
      <c r="E211" s="51"/>
    </row>
    <row r="212" spans="1:10" x14ac:dyDescent="0.2">
      <c r="A212" s="54">
        <v>79</v>
      </c>
      <c r="B212" s="58"/>
      <c r="C212" s="67" t="s">
        <v>91</v>
      </c>
      <c r="D212" s="60">
        <f>D213</f>
        <v>2117.7000000000003</v>
      </c>
      <c r="E212" s="51"/>
    </row>
    <row r="213" spans="1:10" ht="27" x14ac:dyDescent="0.2">
      <c r="A213" s="69" t="s">
        <v>405</v>
      </c>
      <c r="B213" s="58"/>
      <c r="C213" s="70" t="s">
        <v>194</v>
      </c>
      <c r="D213" s="71">
        <f>SUM(D214:D234)</f>
        <v>2117.7000000000003</v>
      </c>
      <c r="E213" s="51"/>
    </row>
    <row r="214" spans="1:10" x14ac:dyDescent="0.2">
      <c r="A214" s="69" t="s">
        <v>406</v>
      </c>
      <c r="B214" s="58"/>
      <c r="C214" s="76" t="s">
        <v>280</v>
      </c>
      <c r="D214" s="60">
        <v>75</v>
      </c>
      <c r="E214" s="51"/>
    </row>
    <row r="215" spans="1:10" x14ac:dyDescent="0.2">
      <c r="A215" s="69" t="s">
        <v>407</v>
      </c>
      <c r="B215" s="58"/>
      <c r="C215" s="76" t="s">
        <v>281</v>
      </c>
      <c r="D215" s="60">
        <v>24</v>
      </c>
      <c r="E215" s="51"/>
      <c r="H215" s="44"/>
      <c r="I215" s="44"/>
      <c r="J215" s="44"/>
    </row>
    <row r="216" spans="1:10" x14ac:dyDescent="0.2">
      <c r="A216" s="69" t="s">
        <v>408</v>
      </c>
      <c r="B216" s="58"/>
      <c r="C216" s="72" t="s">
        <v>282</v>
      </c>
      <c r="D216" s="60">
        <v>50</v>
      </c>
      <c r="E216" s="51"/>
      <c r="H216" s="44"/>
      <c r="I216" s="44"/>
      <c r="J216" s="44"/>
    </row>
    <row r="217" spans="1:10" ht="25.5" x14ac:dyDescent="0.2">
      <c r="A217" s="69" t="s">
        <v>409</v>
      </c>
      <c r="B217" s="58"/>
      <c r="C217" s="67" t="s">
        <v>283</v>
      </c>
      <c r="D217" s="60">
        <v>60</v>
      </c>
      <c r="E217" s="51"/>
    </row>
    <row r="218" spans="1:10" x14ac:dyDescent="0.2">
      <c r="A218" s="69" t="s">
        <v>410</v>
      </c>
      <c r="B218" s="58"/>
      <c r="C218" s="61" t="s">
        <v>284</v>
      </c>
      <c r="D218" s="60">
        <v>30</v>
      </c>
      <c r="E218" s="51"/>
    </row>
    <row r="219" spans="1:10" x14ac:dyDescent="0.2">
      <c r="A219" s="69" t="s">
        <v>411</v>
      </c>
      <c r="B219" s="58"/>
      <c r="C219" s="72" t="s">
        <v>285</v>
      </c>
      <c r="D219" s="60">
        <v>15</v>
      </c>
      <c r="E219" s="51"/>
    </row>
    <row r="220" spans="1:10" x14ac:dyDescent="0.2">
      <c r="A220" s="69" t="s">
        <v>412</v>
      </c>
      <c r="B220" s="58"/>
      <c r="C220" s="72" t="s">
        <v>286</v>
      </c>
      <c r="D220" s="60">
        <v>360</v>
      </c>
      <c r="E220" s="51"/>
    </row>
    <row r="221" spans="1:10" x14ac:dyDescent="0.2">
      <c r="A221" s="69" t="s">
        <v>413</v>
      </c>
      <c r="B221" s="58"/>
      <c r="C221" s="72" t="s">
        <v>287</v>
      </c>
      <c r="D221" s="60">
        <f>91-20</f>
        <v>71</v>
      </c>
      <c r="E221" s="51"/>
    </row>
    <row r="222" spans="1:10" x14ac:dyDescent="0.2">
      <c r="A222" s="69" t="s">
        <v>414</v>
      </c>
      <c r="B222" s="58"/>
      <c r="C222" s="72" t="s">
        <v>69</v>
      </c>
      <c r="D222" s="60">
        <f>50+33</f>
        <v>83</v>
      </c>
      <c r="E222" s="51"/>
    </row>
    <row r="223" spans="1:10" ht="12.75" customHeight="1" x14ac:dyDescent="0.2">
      <c r="A223" s="69" t="s">
        <v>415</v>
      </c>
      <c r="B223" s="58"/>
      <c r="C223" s="72" t="s">
        <v>70</v>
      </c>
      <c r="D223" s="60">
        <v>30</v>
      </c>
      <c r="E223" s="51"/>
    </row>
    <row r="224" spans="1:10" x14ac:dyDescent="0.2">
      <c r="A224" s="69" t="s">
        <v>416</v>
      </c>
      <c r="B224" s="58"/>
      <c r="C224" s="61" t="s">
        <v>288</v>
      </c>
      <c r="D224" s="60">
        <v>105</v>
      </c>
      <c r="E224" s="51"/>
    </row>
    <row r="225" spans="1:5" x14ac:dyDescent="0.2">
      <c r="A225" s="69" t="s">
        <v>417</v>
      </c>
      <c r="B225" s="58"/>
      <c r="C225" s="72" t="s">
        <v>289</v>
      </c>
      <c r="D225" s="60">
        <f>25+26.2</f>
        <v>51.2</v>
      </c>
      <c r="E225" s="51"/>
    </row>
    <row r="226" spans="1:5" x14ac:dyDescent="0.2">
      <c r="A226" s="69" t="s">
        <v>418</v>
      </c>
      <c r="B226" s="58"/>
      <c r="C226" s="72" t="s">
        <v>290</v>
      </c>
      <c r="D226" s="60">
        <v>230</v>
      </c>
      <c r="E226" s="51"/>
    </row>
    <row r="227" spans="1:5" x14ac:dyDescent="0.2">
      <c r="A227" s="69" t="s">
        <v>419</v>
      </c>
      <c r="B227" s="58"/>
      <c r="C227" s="72" t="s">
        <v>291</v>
      </c>
      <c r="D227" s="60">
        <f>70+15</f>
        <v>85</v>
      </c>
      <c r="E227" s="51"/>
    </row>
    <row r="228" spans="1:5" ht="12.6" customHeight="1" x14ac:dyDescent="0.2">
      <c r="A228" s="69" t="s">
        <v>420</v>
      </c>
      <c r="B228" s="58"/>
      <c r="C228" s="72" t="s">
        <v>292</v>
      </c>
      <c r="D228" s="60">
        <f>(150-12.3)+(100-30)</f>
        <v>207.7</v>
      </c>
      <c r="E228" s="51"/>
    </row>
    <row r="229" spans="1:5" x14ac:dyDescent="0.2">
      <c r="A229" s="69" t="s">
        <v>421</v>
      </c>
      <c r="B229" s="58"/>
      <c r="C229" s="61" t="s">
        <v>543</v>
      </c>
      <c r="D229" s="60">
        <v>110</v>
      </c>
      <c r="E229" s="51"/>
    </row>
    <row r="230" spans="1:5" ht="12.6" customHeight="1" x14ac:dyDescent="0.2">
      <c r="A230" s="69" t="s">
        <v>422</v>
      </c>
      <c r="B230" s="58"/>
      <c r="C230" s="72" t="s">
        <v>293</v>
      </c>
      <c r="D230" s="60">
        <f>50+35</f>
        <v>85</v>
      </c>
      <c r="E230" s="51"/>
    </row>
    <row r="231" spans="1:5" x14ac:dyDescent="0.2">
      <c r="A231" s="69" t="s">
        <v>423</v>
      </c>
      <c r="B231" s="58"/>
      <c r="C231" s="61" t="s">
        <v>544</v>
      </c>
      <c r="D231" s="60">
        <v>50</v>
      </c>
      <c r="E231" s="51"/>
    </row>
    <row r="232" spans="1:5" ht="25.5" x14ac:dyDescent="0.2">
      <c r="A232" s="69" t="s">
        <v>424</v>
      </c>
      <c r="B232" s="58"/>
      <c r="C232" s="61" t="s">
        <v>545</v>
      </c>
      <c r="D232" s="60">
        <v>124</v>
      </c>
      <c r="E232" s="51"/>
    </row>
    <row r="233" spans="1:5" ht="25.5" x14ac:dyDescent="0.2">
      <c r="A233" s="69" t="s">
        <v>425</v>
      </c>
      <c r="B233" s="58"/>
      <c r="C233" s="61" t="s">
        <v>294</v>
      </c>
      <c r="D233" s="60">
        <f>200+302.2-235.7-37</f>
        <v>229.5</v>
      </c>
      <c r="E233" s="51"/>
    </row>
    <row r="234" spans="1:5" x14ac:dyDescent="0.2">
      <c r="A234" s="69" t="s">
        <v>488</v>
      </c>
      <c r="B234" s="58"/>
      <c r="C234" s="61" t="s">
        <v>197</v>
      </c>
      <c r="D234" s="60">
        <f>30+12.3</f>
        <v>42.3</v>
      </c>
      <c r="E234" s="51"/>
    </row>
    <row r="235" spans="1:5" x14ac:dyDescent="0.2">
      <c r="A235" s="54">
        <v>80</v>
      </c>
      <c r="B235" s="53"/>
      <c r="C235" s="61" t="s">
        <v>8</v>
      </c>
      <c r="D235" s="60">
        <f>624+7.4</f>
        <v>631.4</v>
      </c>
      <c r="E235" s="51"/>
    </row>
    <row r="236" spans="1:5" x14ac:dyDescent="0.2">
      <c r="A236" s="54">
        <v>81</v>
      </c>
      <c r="B236" s="53"/>
      <c r="C236" s="61" t="s">
        <v>4</v>
      </c>
      <c r="D236" s="60">
        <f>42.5+48.1+12.1</f>
        <v>102.69999999999999</v>
      </c>
      <c r="E236" s="51"/>
    </row>
    <row r="237" spans="1:5" ht="12.6" customHeight="1" x14ac:dyDescent="0.2">
      <c r="A237" s="54">
        <v>82</v>
      </c>
      <c r="B237" s="53"/>
      <c r="C237" s="61" t="s">
        <v>5</v>
      </c>
      <c r="D237" s="60">
        <f>12.5+2.7</f>
        <v>15.2</v>
      </c>
      <c r="E237" s="51"/>
    </row>
    <row r="238" spans="1:5" ht="12.6" customHeight="1" x14ac:dyDescent="0.2">
      <c r="A238" s="54">
        <v>83</v>
      </c>
      <c r="B238" s="53"/>
      <c r="C238" s="67" t="s">
        <v>7</v>
      </c>
      <c r="D238" s="60">
        <f>34+34.8+1+6.3</f>
        <v>76.099999999999994</v>
      </c>
      <c r="E238" s="51"/>
    </row>
    <row r="239" spans="1:5" ht="12.6" customHeight="1" x14ac:dyDescent="0.2">
      <c r="A239" s="54">
        <v>84</v>
      </c>
      <c r="B239" s="53"/>
      <c r="C239" s="61" t="s">
        <v>6</v>
      </c>
      <c r="D239" s="60">
        <f>25.3+24.7+3.5</f>
        <v>53.5</v>
      </c>
      <c r="E239" s="51"/>
    </row>
    <row r="240" spans="1:5" ht="12.6" customHeight="1" x14ac:dyDescent="0.2">
      <c r="A240" s="54">
        <v>85</v>
      </c>
      <c r="B240" s="53"/>
      <c r="C240" s="61" t="s">
        <v>9</v>
      </c>
      <c r="D240" s="60">
        <f>22.7+39.9+22+2</f>
        <v>86.6</v>
      </c>
      <c r="E240" s="51"/>
    </row>
    <row r="241" spans="1:10" ht="12.6" customHeight="1" x14ac:dyDescent="0.2">
      <c r="A241" s="54">
        <v>86</v>
      </c>
      <c r="B241" s="53"/>
      <c r="C241" s="67" t="s">
        <v>10</v>
      </c>
      <c r="D241" s="60">
        <f>19.9+14.9</f>
        <v>34.799999999999997</v>
      </c>
      <c r="E241" s="51"/>
    </row>
    <row r="242" spans="1:10" ht="12.6" customHeight="1" x14ac:dyDescent="0.2">
      <c r="A242" s="54">
        <v>87</v>
      </c>
      <c r="B242" s="53"/>
      <c r="C242" s="61" t="s">
        <v>12</v>
      </c>
      <c r="D242" s="60">
        <f>12.6+15.3</f>
        <v>27.9</v>
      </c>
      <c r="E242" s="51"/>
    </row>
    <row r="243" spans="1:10" ht="12.6" customHeight="1" x14ac:dyDescent="0.2">
      <c r="A243" s="54">
        <v>88</v>
      </c>
      <c r="B243" s="53"/>
      <c r="C243" s="61" t="s">
        <v>11</v>
      </c>
      <c r="D243" s="60">
        <f>20.5+17.2</f>
        <v>37.700000000000003</v>
      </c>
      <c r="E243" s="51"/>
    </row>
    <row r="244" spans="1:10" ht="12.6" customHeight="1" x14ac:dyDescent="0.2">
      <c r="A244" s="54">
        <v>89</v>
      </c>
      <c r="B244" s="53"/>
      <c r="C244" s="61" t="s">
        <v>13</v>
      </c>
      <c r="D244" s="60">
        <f>30.5+12.1</f>
        <v>42.6</v>
      </c>
      <c r="E244" s="51"/>
    </row>
    <row r="245" spans="1:10" ht="12.6" customHeight="1" x14ac:dyDescent="0.2">
      <c r="A245" s="54">
        <v>90</v>
      </c>
      <c r="B245" s="58"/>
      <c r="C245" s="61" t="s">
        <v>14</v>
      </c>
      <c r="D245" s="60">
        <f>39+32.9+2</f>
        <v>73.900000000000006</v>
      </c>
      <c r="E245" s="51"/>
    </row>
    <row r="246" spans="1:10" ht="12.6" customHeight="1" x14ac:dyDescent="0.2">
      <c r="A246" s="54">
        <v>91</v>
      </c>
      <c r="B246" s="53" t="s">
        <v>56</v>
      </c>
      <c r="C246" s="79" t="s">
        <v>57</v>
      </c>
      <c r="D246" s="80">
        <f>+D255+D256+D258+D257+D254+D259+D260+D262+D261+D263+D264+D247</f>
        <v>6574.9</v>
      </c>
      <c r="E246" s="51"/>
    </row>
    <row r="247" spans="1:10" x14ac:dyDescent="0.2">
      <c r="A247" s="54">
        <v>92</v>
      </c>
      <c r="B247" s="58"/>
      <c r="C247" s="67" t="s">
        <v>89</v>
      </c>
      <c r="D247" s="60">
        <f>+D248+D249+D250+D251+D252</f>
        <v>3346.5</v>
      </c>
      <c r="E247" s="51"/>
      <c r="H247" s="89"/>
    </row>
    <row r="248" spans="1:10" ht="12.6" customHeight="1" x14ac:dyDescent="0.2">
      <c r="A248" s="69" t="s">
        <v>426</v>
      </c>
      <c r="B248" s="58"/>
      <c r="C248" s="96" t="s">
        <v>3</v>
      </c>
      <c r="D248" s="60">
        <f>677.6-2.5</f>
        <v>675.1</v>
      </c>
      <c r="E248" s="51"/>
    </row>
    <row r="249" spans="1:10" x14ac:dyDescent="0.2">
      <c r="A249" s="69" t="s">
        <v>427</v>
      </c>
      <c r="B249" s="58"/>
      <c r="C249" s="83" t="s">
        <v>133</v>
      </c>
      <c r="D249" s="60">
        <v>494.4</v>
      </c>
      <c r="E249" s="51"/>
    </row>
    <row r="250" spans="1:10" x14ac:dyDescent="0.2">
      <c r="A250" s="69" t="s">
        <v>428</v>
      </c>
      <c r="B250" s="58"/>
      <c r="C250" s="83" t="s">
        <v>295</v>
      </c>
      <c r="D250" s="60">
        <f>1700+94</f>
        <v>1794</v>
      </c>
      <c r="E250" s="51"/>
      <c r="J250" s="89"/>
    </row>
    <row r="251" spans="1:10" ht="12.6" customHeight="1" x14ac:dyDescent="0.2">
      <c r="A251" s="69" t="s">
        <v>429</v>
      </c>
      <c r="B251" s="58"/>
      <c r="C251" s="83" t="s">
        <v>77</v>
      </c>
      <c r="D251" s="60">
        <v>333</v>
      </c>
      <c r="E251" s="51"/>
    </row>
    <row r="252" spans="1:10" ht="27" x14ac:dyDescent="0.2">
      <c r="A252" s="69" t="s">
        <v>430</v>
      </c>
      <c r="B252" s="58"/>
      <c r="C252" s="70" t="s">
        <v>194</v>
      </c>
      <c r="D252" s="71">
        <f>+D253</f>
        <v>50</v>
      </c>
      <c r="E252" s="51"/>
    </row>
    <row r="253" spans="1:10" ht="25.5" x14ac:dyDescent="0.2">
      <c r="A253" s="69" t="s">
        <v>431</v>
      </c>
      <c r="B253" s="58"/>
      <c r="C253" s="72" t="s">
        <v>296</v>
      </c>
      <c r="D253" s="78">
        <v>50</v>
      </c>
      <c r="E253" s="51"/>
    </row>
    <row r="254" spans="1:10" x14ac:dyDescent="0.2">
      <c r="A254" s="54">
        <v>93</v>
      </c>
      <c r="B254" s="58"/>
      <c r="C254" s="73" t="s">
        <v>8</v>
      </c>
      <c r="D254" s="60">
        <f>1732.5-38+171</f>
        <v>1865.5</v>
      </c>
      <c r="E254" s="51"/>
    </row>
    <row r="255" spans="1:10" x14ac:dyDescent="0.2">
      <c r="A255" s="54">
        <v>94</v>
      </c>
      <c r="B255" s="58"/>
      <c r="C255" s="61" t="s">
        <v>4</v>
      </c>
      <c r="D255" s="60">
        <f>156.7+4-3.3+2.8</f>
        <v>160.19999999999999</v>
      </c>
      <c r="E255" s="51"/>
    </row>
    <row r="256" spans="1:10" x14ac:dyDescent="0.2">
      <c r="A256" s="54">
        <v>95</v>
      </c>
      <c r="B256" s="58"/>
      <c r="C256" s="61" t="s">
        <v>5</v>
      </c>
      <c r="D256" s="60">
        <f>141.8+4.5</f>
        <v>146.30000000000001</v>
      </c>
      <c r="E256" s="51"/>
    </row>
    <row r="257" spans="1:5" x14ac:dyDescent="0.2">
      <c r="A257" s="54">
        <v>96</v>
      </c>
      <c r="B257" s="58"/>
      <c r="C257" s="61" t="s">
        <v>7</v>
      </c>
      <c r="D257" s="60">
        <f>124+15-6.2</f>
        <v>132.80000000000001</v>
      </c>
      <c r="E257" s="51"/>
    </row>
    <row r="258" spans="1:5" x14ac:dyDescent="0.2">
      <c r="A258" s="54">
        <v>97</v>
      </c>
      <c r="B258" s="58"/>
      <c r="C258" s="73" t="s">
        <v>6</v>
      </c>
      <c r="D258" s="60">
        <f>127.5+6+8.5+5.6+2.5</f>
        <v>150.1</v>
      </c>
      <c r="E258" s="51"/>
    </row>
    <row r="259" spans="1:5" x14ac:dyDescent="0.2">
      <c r="A259" s="54">
        <v>98</v>
      </c>
      <c r="B259" s="58"/>
      <c r="C259" s="61" t="s">
        <v>9</v>
      </c>
      <c r="D259" s="60">
        <f>104.5+5-3.6</f>
        <v>105.9</v>
      </c>
      <c r="E259" s="51"/>
    </row>
    <row r="260" spans="1:5" x14ac:dyDescent="0.2">
      <c r="A260" s="54">
        <v>99</v>
      </c>
      <c r="B260" s="58"/>
      <c r="C260" s="67" t="s">
        <v>10</v>
      </c>
      <c r="D260" s="60">
        <f>133.6-22.6</f>
        <v>111</v>
      </c>
      <c r="E260" s="51"/>
    </row>
    <row r="261" spans="1:5" x14ac:dyDescent="0.2">
      <c r="A261" s="54">
        <v>100</v>
      </c>
      <c r="B261" s="58"/>
      <c r="C261" s="61" t="s">
        <v>12</v>
      </c>
      <c r="D261" s="60">
        <f>81.7+6+30-13</f>
        <v>104.7</v>
      </c>
      <c r="E261" s="51"/>
    </row>
    <row r="262" spans="1:5" x14ac:dyDescent="0.2">
      <c r="A262" s="54">
        <v>101</v>
      </c>
      <c r="B262" s="58"/>
      <c r="C262" s="73" t="s">
        <v>11</v>
      </c>
      <c r="D262" s="60">
        <f>88.5+6.4</f>
        <v>94.9</v>
      </c>
      <c r="E262" s="51"/>
    </row>
    <row r="263" spans="1:5" x14ac:dyDescent="0.2">
      <c r="A263" s="54">
        <v>102</v>
      </c>
      <c r="B263" s="58"/>
      <c r="C263" s="61" t="s">
        <v>13</v>
      </c>
      <c r="D263" s="60">
        <f>94.4+4</f>
        <v>98.4</v>
      </c>
      <c r="E263" s="51"/>
    </row>
    <row r="264" spans="1:5" x14ac:dyDescent="0.2">
      <c r="A264" s="54">
        <v>103</v>
      </c>
      <c r="B264" s="58"/>
      <c r="C264" s="61" t="s">
        <v>14</v>
      </c>
      <c r="D264" s="60">
        <f>253.7+4.9</f>
        <v>258.59999999999997</v>
      </c>
      <c r="E264" s="51"/>
    </row>
    <row r="265" spans="1:5" x14ac:dyDescent="0.2">
      <c r="A265" s="54">
        <v>104</v>
      </c>
      <c r="B265" s="53" t="s">
        <v>26</v>
      </c>
      <c r="C265" s="79" t="s">
        <v>27</v>
      </c>
      <c r="D265" s="80">
        <f>+D266</f>
        <v>268.20000000000005</v>
      </c>
      <c r="E265" s="51"/>
    </row>
    <row r="266" spans="1:5" x14ac:dyDescent="0.2">
      <c r="A266" s="54">
        <v>105</v>
      </c>
      <c r="B266" s="53"/>
      <c r="C266" s="67" t="s">
        <v>92</v>
      </c>
      <c r="D266" s="60">
        <f>+D268+D267</f>
        <v>268.20000000000005</v>
      </c>
      <c r="E266" s="51"/>
    </row>
    <row r="267" spans="1:5" ht="12.6" customHeight="1" x14ac:dyDescent="0.2">
      <c r="A267" s="92" t="s">
        <v>432</v>
      </c>
      <c r="B267" s="53"/>
      <c r="C267" s="67" t="s">
        <v>61</v>
      </c>
      <c r="D267" s="60">
        <v>3</v>
      </c>
      <c r="E267" s="51"/>
    </row>
    <row r="268" spans="1:5" ht="27" x14ac:dyDescent="0.2">
      <c r="A268" s="92" t="s">
        <v>433</v>
      </c>
      <c r="B268" s="58"/>
      <c r="C268" s="70" t="s">
        <v>194</v>
      </c>
      <c r="D268" s="71">
        <f>SUM(D269:D274)</f>
        <v>265.20000000000005</v>
      </c>
      <c r="E268" s="51"/>
    </row>
    <row r="269" spans="1:5" x14ac:dyDescent="0.2">
      <c r="A269" s="92" t="s">
        <v>434</v>
      </c>
      <c r="B269" s="58"/>
      <c r="C269" s="61" t="s">
        <v>297</v>
      </c>
      <c r="D269" s="60">
        <v>40</v>
      </c>
      <c r="E269" s="51"/>
    </row>
    <row r="270" spans="1:5" x14ac:dyDescent="0.2">
      <c r="A270" s="92" t="s">
        <v>435</v>
      </c>
      <c r="B270" s="58"/>
      <c r="C270" s="61" t="s">
        <v>298</v>
      </c>
      <c r="D270" s="60">
        <f>35+9</f>
        <v>44</v>
      </c>
      <c r="E270" s="51"/>
    </row>
    <row r="271" spans="1:5" ht="25.5" x14ac:dyDescent="0.2">
      <c r="A271" s="92" t="s">
        <v>436</v>
      </c>
      <c r="B271" s="58"/>
      <c r="C271" s="61" t="s">
        <v>299</v>
      </c>
      <c r="D271" s="60">
        <f>206-71+34.8</f>
        <v>169.8</v>
      </c>
      <c r="E271" s="51"/>
    </row>
    <row r="272" spans="1:5" ht="25.5" x14ac:dyDescent="0.2">
      <c r="A272" s="92" t="s">
        <v>437</v>
      </c>
      <c r="B272" s="58"/>
      <c r="C272" s="61" t="s">
        <v>300</v>
      </c>
      <c r="D272" s="60">
        <v>3.8</v>
      </c>
      <c r="E272" s="51"/>
    </row>
    <row r="273" spans="1:8" ht="25.5" x14ac:dyDescent="0.2">
      <c r="A273" s="92" t="s">
        <v>438</v>
      </c>
      <c r="B273" s="58"/>
      <c r="C273" s="61" t="s">
        <v>301</v>
      </c>
      <c r="D273" s="60">
        <v>3.8</v>
      </c>
      <c r="E273" s="51"/>
    </row>
    <row r="274" spans="1:8" ht="25.5" x14ac:dyDescent="0.2">
      <c r="A274" s="92" t="s">
        <v>439</v>
      </c>
      <c r="B274" s="58"/>
      <c r="C274" s="61" t="s">
        <v>302</v>
      </c>
      <c r="D274" s="60">
        <v>3.8</v>
      </c>
      <c r="E274" s="51"/>
    </row>
    <row r="275" spans="1:8" x14ac:dyDescent="0.2">
      <c r="A275" s="54">
        <v>106</v>
      </c>
      <c r="B275" s="53" t="s">
        <v>58</v>
      </c>
      <c r="C275" s="79" t="s">
        <v>59</v>
      </c>
      <c r="D275" s="80">
        <f>+D276</f>
        <v>87</v>
      </c>
      <c r="E275" s="51"/>
    </row>
    <row r="276" spans="1:8" x14ac:dyDescent="0.2">
      <c r="A276" s="54">
        <v>107</v>
      </c>
      <c r="B276" s="53"/>
      <c r="C276" s="67" t="s">
        <v>89</v>
      </c>
      <c r="D276" s="60">
        <f>+D278+D279+D277+D280</f>
        <v>87</v>
      </c>
      <c r="E276" s="51"/>
    </row>
    <row r="277" spans="1:8" ht="12.6" customHeight="1" x14ac:dyDescent="0.2">
      <c r="A277" s="92" t="s">
        <v>179</v>
      </c>
      <c r="B277" s="53"/>
      <c r="C277" s="73" t="s">
        <v>61</v>
      </c>
      <c r="D277" s="60">
        <v>3</v>
      </c>
      <c r="E277" s="51"/>
    </row>
    <row r="278" spans="1:8" ht="25.5" x14ac:dyDescent="0.2">
      <c r="A278" s="92" t="s">
        <v>180</v>
      </c>
      <c r="B278" s="58"/>
      <c r="C278" s="73" t="s">
        <v>303</v>
      </c>
      <c r="D278" s="60">
        <v>44</v>
      </c>
      <c r="E278" s="51"/>
    </row>
    <row r="279" spans="1:8" ht="25.5" x14ac:dyDescent="0.2">
      <c r="A279" s="92" t="s">
        <v>440</v>
      </c>
      <c r="B279" s="58"/>
      <c r="C279" s="73" t="s">
        <v>304</v>
      </c>
      <c r="D279" s="60">
        <v>36</v>
      </c>
      <c r="E279" s="51"/>
    </row>
    <row r="280" spans="1:8" ht="38.25" x14ac:dyDescent="0.2">
      <c r="A280" s="92" t="s">
        <v>441</v>
      </c>
      <c r="B280" s="58"/>
      <c r="C280" s="73" t="s">
        <v>305</v>
      </c>
      <c r="D280" s="60">
        <v>4</v>
      </c>
      <c r="E280" s="51"/>
    </row>
    <row r="281" spans="1:8" x14ac:dyDescent="0.2">
      <c r="A281" s="54">
        <v>108</v>
      </c>
      <c r="B281" s="53" t="s">
        <v>23</v>
      </c>
      <c r="C281" s="79" t="s">
        <v>24</v>
      </c>
      <c r="D281" s="80">
        <f>+D282+D283+D284+D295+D296+D297+D298+D299+D300+D301+D302+D303+D304+D305</f>
        <v>9679.0999999999985</v>
      </c>
      <c r="E281" s="51"/>
    </row>
    <row r="282" spans="1:8" x14ac:dyDescent="0.2">
      <c r="A282" s="54">
        <v>109</v>
      </c>
      <c r="B282" s="53"/>
      <c r="C282" s="61" t="s">
        <v>25</v>
      </c>
      <c r="D282" s="60">
        <v>26.7</v>
      </c>
      <c r="E282" s="51"/>
    </row>
    <row r="283" spans="1:8" x14ac:dyDescent="0.2">
      <c r="A283" s="54">
        <v>110</v>
      </c>
      <c r="B283" s="53"/>
      <c r="C283" s="67" t="s">
        <v>60</v>
      </c>
      <c r="D283" s="60">
        <f>211.2+1+1</f>
        <v>213.2</v>
      </c>
      <c r="E283" s="51"/>
    </row>
    <row r="284" spans="1:8" x14ac:dyDescent="0.2">
      <c r="A284" s="54">
        <v>111</v>
      </c>
      <c r="B284" s="53"/>
      <c r="C284" s="67" t="s">
        <v>89</v>
      </c>
      <c r="D284" s="60">
        <f>+D285+D286+D287+D290+D291+D293+D288+D289+D292+D294</f>
        <v>8073</v>
      </c>
      <c r="E284" s="51"/>
    </row>
    <row r="285" spans="1:8" x14ac:dyDescent="0.2">
      <c r="A285" s="92" t="s">
        <v>442</v>
      </c>
      <c r="B285" s="53"/>
      <c r="C285" s="67" t="s">
        <v>61</v>
      </c>
      <c r="D285" s="60">
        <f>6431.8+20+29</f>
        <v>6480.8</v>
      </c>
      <c r="E285" s="51"/>
      <c r="F285" s="89"/>
      <c r="H285" s="51"/>
    </row>
    <row r="286" spans="1:8" x14ac:dyDescent="0.2">
      <c r="A286" s="92" t="s">
        <v>444</v>
      </c>
      <c r="B286" s="58"/>
      <c r="C286" s="73" t="s">
        <v>306</v>
      </c>
      <c r="D286" s="60">
        <v>123</v>
      </c>
      <c r="E286" s="51"/>
      <c r="H286" s="97"/>
    </row>
    <row r="287" spans="1:8" x14ac:dyDescent="0.2">
      <c r="A287" s="92" t="s">
        <v>443</v>
      </c>
      <c r="B287" s="58"/>
      <c r="C287" s="73" t="s">
        <v>307</v>
      </c>
      <c r="D287" s="60">
        <v>23.9</v>
      </c>
      <c r="E287" s="51"/>
      <c r="H287" s="97"/>
    </row>
    <row r="288" spans="1:8" x14ac:dyDescent="0.2">
      <c r="A288" s="92" t="s">
        <v>445</v>
      </c>
      <c r="B288" s="58"/>
      <c r="C288" s="73" t="s">
        <v>96</v>
      </c>
      <c r="D288" s="60">
        <v>400</v>
      </c>
      <c r="E288" s="51"/>
      <c r="H288" s="97"/>
    </row>
    <row r="289" spans="1:8" ht="12.6" customHeight="1" x14ac:dyDescent="0.2">
      <c r="A289" s="92" t="s">
        <v>446</v>
      </c>
      <c r="B289" s="58"/>
      <c r="C289" s="73" t="s">
        <v>136</v>
      </c>
      <c r="D289" s="60">
        <v>84.8</v>
      </c>
      <c r="E289" s="51"/>
      <c r="H289" s="97"/>
    </row>
    <row r="290" spans="1:8" ht="12.6" customHeight="1" x14ac:dyDescent="0.2">
      <c r="A290" s="92" t="s">
        <v>447</v>
      </c>
      <c r="B290" s="58"/>
      <c r="C290" s="73" t="s">
        <v>308</v>
      </c>
      <c r="D290" s="60">
        <f>790+3.3</f>
        <v>793.3</v>
      </c>
      <c r="E290" s="51"/>
      <c r="H290" s="97"/>
    </row>
    <row r="291" spans="1:8" x14ac:dyDescent="0.2">
      <c r="A291" s="92" t="s">
        <v>448</v>
      </c>
      <c r="B291" s="58"/>
      <c r="C291" s="73" t="s">
        <v>309</v>
      </c>
      <c r="D291" s="60">
        <f>17.5-2.5</f>
        <v>15</v>
      </c>
      <c r="E291" s="51"/>
      <c r="H291" s="97"/>
    </row>
    <row r="292" spans="1:8" ht="25.5" x14ac:dyDescent="0.2">
      <c r="A292" s="92" t="s">
        <v>449</v>
      </c>
      <c r="B292" s="53"/>
      <c r="C292" s="67" t="s">
        <v>310</v>
      </c>
      <c r="D292" s="60">
        <v>40</v>
      </c>
      <c r="E292" s="51"/>
      <c r="H292" s="97"/>
    </row>
    <row r="293" spans="1:8" ht="25.5" x14ac:dyDescent="0.2">
      <c r="A293" s="92" t="s">
        <v>450</v>
      </c>
      <c r="B293" s="58"/>
      <c r="C293" s="73" t="s">
        <v>311</v>
      </c>
      <c r="D293" s="60">
        <v>19.2</v>
      </c>
      <c r="E293" s="51"/>
      <c r="H293" s="97"/>
    </row>
    <row r="294" spans="1:8" x14ac:dyDescent="0.2">
      <c r="A294" s="92" t="s">
        <v>570</v>
      </c>
      <c r="B294" s="64"/>
      <c r="C294" s="73" t="s">
        <v>571</v>
      </c>
      <c r="D294" s="60">
        <v>93</v>
      </c>
      <c r="E294" s="51"/>
      <c r="H294" s="97"/>
    </row>
    <row r="295" spans="1:8" ht="12.6" customHeight="1" x14ac:dyDescent="0.2">
      <c r="A295" s="81">
        <v>112</v>
      </c>
      <c r="B295" s="64"/>
      <c r="C295" s="61" t="s">
        <v>8</v>
      </c>
      <c r="D295" s="60">
        <f>429.7-171</f>
        <v>258.7</v>
      </c>
      <c r="E295" s="51"/>
      <c r="F295" s="89"/>
      <c r="G295" s="89"/>
    </row>
    <row r="296" spans="1:8" x14ac:dyDescent="0.2">
      <c r="A296" s="81">
        <v>113</v>
      </c>
      <c r="B296" s="64"/>
      <c r="C296" s="61" t="s">
        <v>4</v>
      </c>
      <c r="D296" s="60">
        <f>87.4+12+2.4+3.7</f>
        <v>105.50000000000001</v>
      </c>
      <c r="E296" s="51"/>
      <c r="F296" s="89"/>
      <c r="G296" s="89"/>
    </row>
    <row r="297" spans="1:8" x14ac:dyDescent="0.2">
      <c r="A297" s="81">
        <v>114</v>
      </c>
      <c r="B297" s="64"/>
      <c r="C297" s="61" t="s">
        <v>5</v>
      </c>
      <c r="D297" s="60">
        <f>120.6-3.2</f>
        <v>117.39999999999999</v>
      </c>
      <c r="E297" s="51"/>
      <c r="F297" s="89"/>
      <c r="G297" s="89"/>
    </row>
    <row r="298" spans="1:8" ht="15" customHeight="1" x14ac:dyDescent="0.2">
      <c r="A298" s="81">
        <v>115</v>
      </c>
      <c r="B298" s="64"/>
      <c r="C298" s="61" t="s">
        <v>7</v>
      </c>
      <c r="D298" s="60">
        <f>88.1+6.3</f>
        <v>94.399999999999991</v>
      </c>
      <c r="E298" s="51"/>
      <c r="F298" s="89"/>
      <c r="G298" s="89"/>
    </row>
    <row r="299" spans="1:8" x14ac:dyDescent="0.2">
      <c r="A299" s="81">
        <v>116</v>
      </c>
      <c r="B299" s="64"/>
      <c r="C299" s="61" t="s">
        <v>6</v>
      </c>
      <c r="D299" s="60">
        <f>83.3+6.2</f>
        <v>89.5</v>
      </c>
      <c r="E299" s="51"/>
      <c r="F299" s="89"/>
      <c r="G299" s="89"/>
    </row>
    <row r="300" spans="1:8" x14ac:dyDescent="0.2">
      <c r="A300" s="81">
        <v>117</v>
      </c>
      <c r="B300" s="64"/>
      <c r="C300" s="61" t="s">
        <v>9</v>
      </c>
      <c r="D300" s="60">
        <f>95.7+1.9</f>
        <v>97.600000000000009</v>
      </c>
      <c r="E300" s="51"/>
      <c r="F300" s="89"/>
      <c r="G300" s="89"/>
    </row>
    <row r="301" spans="1:8" x14ac:dyDescent="0.2">
      <c r="A301" s="81">
        <v>118</v>
      </c>
      <c r="B301" s="64"/>
      <c r="C301" s="67" t="s">
        <v>10</v>
      </c>
      <c r="D301" s="60">
        <f>135.8+20.5</f>
        <v>156.30000000000001</v>
      </c>
      <c r="E301" s="51"/>
      <c r="F301" s="89"/>
      <c r="G301" s="89"/>
    </row>
    <row r="302" spans="1:8" x14ac:dyDescent="0.2">
      <c r="A302" s="81">
        <v>119</v>
      </c>
      <c r="B302" s="64"/>
      <c r="C302" s="61" t="s">
        <v>12</v>
      </c>
      <c r="D302" s="60">
        <f>83.1+13+2</f>
        <v>98.1</v>
      </c>
      <c r="E302" s="51"/>
      <c r="F302" s="89"/>
      <c r="G302" s="89"/>
    </row>
    <row r="303" spans="1:8" x14ac:dyDescent="0.2">
      <c r="A303" s="81">
        <v>120</v>
      </c>
      <c r="B303" s="64"/>
      <c r="C303" s="61" t="s">
        <v>11</v>
      </c>
      <c r="D303" s="60">
        <f>120.3-5.5</f>
        <v>114.8</v>
      </c>
      <c r="E303" s="51"/>
      <c r="F303" s="89"/>
      <c r="G303" s="89"/>
    </row>
    <row r="304" spans="1:8" ht="15.75" customHeight="1" x14ac:dyDescent="0.2">
      <c r="A304" s="81">
        <v>121</v>
      </c>
      <c r="B304" s="64"/>
      <c r="C304" s="61" t="s">
        <v>13</v>
      </c>
      <c r="D304" s="60">
        <f>111.1-4.7</f>
        <v>106.39999999999999</v>
      </c>
      <c r="E304" s="51"/>
      <c r="F304" s="89"/>
      <c r="G304" s="89"/>
    </row>
    <row r="305" spans="1:11" x14ac:dyDescent="0.2">
      <c r="A305" s="81">
        <v>122</v>
      </c>
      <c r="B305" s="64"/>
      <c r="C305" s="61" t="s">
        <v>14</v>
      </c>
      <c r="D305" s="60">
        <f>130.4-2.9</f>
        <v>127.5</v>
      </c>
      <c r="E305" s="51"/>
      <c r="F305" s="89"/>
      <c r="G305" s="89"/>
    </row>
    <row r="306" spans="1:11" ht="14.25" x14ac:dyDescent="0.2">
      <c r="A306" s="54">
        <v>123</v>
      </c>
      <c r="B306" s="58"/>
      <c r="C306" s="98" t="s">
        <v>20</v>
      </c>
      <c r="D306" s="71">
        <f>+D10+D63+D90+D140+D172+D196+D210+D246+D265+D275+D281</f>
        <v>60374.1</v>
      </c>
      <c r="E306" s="99"/>
      <c r="F306" s="99"/>
      <c r="G306" s="99"/>
      <c r="H306" s="99"/>
      <c r="I306" s="99"/>
      <c r="J306" s="99"/>
    </row>
    <row r="307" spans="1:11" x14ac:dyDescent="0.2">
      <c r="C307" s="40"/>
      <c r="E307" s="100"/>
    </row>
    <row r="308" spans="1:11" x14ac:dyDescent="0.2">
      <c r="A308" s="42" t="s">
        <v>100</v>
      </c>
      <c r="B308" s="42"/>
      <c r="C308" s="42"/>
      <c r="D308" s="42"/>
      <c r="E308" s="89"/>
      <c r="H308" s="51"/>
      <c r="I308" s="51"/>
      <c r="J308" s="51"/>
    </row>
    <row r="309" spans="1:11" x14ac:dyDescent="0.2">
      <c r="C309" s="101"/>
      <c r="D309" s="102"/>
      <c r="E309" s="51"/>
      <c r="H309" s="51"/>
      <c r="K309" s="51"/>
    </row>
    <row r="310" spans="1:11" x14ac:dyDescent="0.2">
      <c r="C310" s="40"/>
      <c r="D310" s="103"/>
      <c r="G310" s="51"/>
    </row>
    <row r="311" spans="1:11" ht="15.75" x14ac:dyDescent="0.2">
      <c r="C311" s="104"/>
      <c r="D311" s="103"/>
    </row>
    <row r="312" spans="1:11" x14ac:dyDescent="0.2">
      <c r="C312" s="40"/>
      <c r="D312" s="89"/>
    </row>
    <row r="313" spans="1:11" x14ac:dyDescent="0.2">
      <c r="C313" s="40"/>
      <c r="D313" s="42"/>
    </row>
    <row r="314" spans="1:11" x14ac:dyDescent="0.2">
      <c r="C314" s="105"/>
      <c r="D314" s="89"/>
      <c r="E314" s="106"/>
    </row>
    <row r="315" spans="1:11" x14ac:dyDescent="0.2">
      <c r="C315" s="105"/>
      <c r="D315" s="106"/>
      <c r="E315" s="107"/>
    </row>
    <row r="316" spans="1:11" x14ac:dyDescent="0.2">
      <c r="C316" s="105"/>
      <c r="D316" s="106"/>
    </row>
    <row r="317" spans="1:11" ht="15.75" x14ac:dyDescent="0.2">
      <c r="C317" s="104"/>
      <c r="D317" s="108"/>
    </row>
    <row r="318" spans="1:11" x14ac:dyDescent="0.2">
      <c r="C318" s="40"/>
    </row>
    <row r="319" spans="1:11" x14ac:dyDescent="0.2">
      <c r="C319" s="40"/>
      <c r="D319" s="109"/>
    </row>
    <row r="320" spans="1:11" x14ac:dyDescent="0.2">
      <c r="C320" s="40"/>
    </row>
    <row r="321" spans="3:5" x14ac:dyDescent="0.2">
      <c r="E321" s="51"/>
    </row>
    <row r="322" spans="3:5" x14ac:dyDescent="0.2">
      <c r="C322" s="40"/>
      <c r="D322" s="106"/>
    </row>
    <row r="323" spans="3:5" x14ac:dyDescent="0.2">
      <c r="C323" s="40"/>
      <c r="D323" s="109"/>
    </row>
    <row r="324" spans="3:5" x14ac:dyDescent="0.2">
      <c r="C324" s="101"/>
      <c r="D324" s="102"/>
    </row>
    <row r="325" spans="3:5" x14ac:dyDescent="0.2">
      <c r="C325" s="40"/>
      <c r="D325" s="110"/>
    </row>
    <row r="326" spans="3:5" x14ac:dyDescent="0.2">
      <c r="D326" s="102"/>
    </row>
    <row r="327" spans="3:5" x14ac:dyDescent="0.2">
      <c r="D327" s="102"/>
    </row>
    <row r="328" spans="3:5" x14ac:dyDescent="0.2">
      <c r="D328" s="102"/>
    </row>
    <row r="330" spans="3:5" x14ac:dyDescent="0.2">
      <c r="D330" s="102"/>
    </row>
    <row r="332" spans="3:5" x14ac:dyDescent="0.2">
      <c r="D332" s="102"/>
    </row>
    <row r="341" spans="4:4" x14ac:dyDescent="0.2">
      <c r="D341" s="102"/>
    </row>
  </sheetData>
  <mergeCells count="33">
    <mergeCell ref="C1:D1"/>
    <mergeCell ref="C2:D2"/>
    <mergeCell ref="A5:D5"/>
    <mergeCell ref="A36:A37"/>
    <mergeCell ref="B36:B37"/>
    <mergeCell ref="A124:A125"/>
    <mergeCell ref="B124:B125"/>
    <mergeCell ref="A127:A128"/>
    <mergeCell ref="A91:A92"/>
    <mergeCell ref="B91:B92"/>
    <mergeCell ref="B127:B128"/>
    <mergeCell ref="G54:H54"/>
    <mergeCell ref="G119:H119"/>
    <mergeCell ref="A120:A121"/>
    <mergeCell ref="B120:B121"/>
    <mergeCell ref="A122:A123"/>
    <mergeCell ref="B122:B123"/>
    <mergeCell ref="A64:A65"/>
    <mergeCell ref="A138:A139"/>
    <mergeCell ref="B138:B139"/>
    <mergeCell ref="F203:G203"/>
    <mergeCell ref="A144:A151"/>
    <mergeCell ref="B144:B151"/>
    <mergeCell ref="A180:A181"/>
    <mergeCell ref="B180:B181"/>
    <mergeCell ref="A130:A131"/>
    <mergeCell ref="A134:A135"/>
    <mergeCell ref="B134:B135"/>
    <mergeCell ref="A136:A137"/>
    <mergeCell ref="B136:B137"/>
    <mergeCell ref="B130:B131"/>
    <mergeCell ref="A132:A133"/>
    <mergeCell ref="B132:B133"/>
  </mergeCells>
  <phoneticPr fontId="7" type="noConversion"/>
  <pageMargins left="0.70866141732283472" right="0" top="0.74803149606299213" bottom="0.39370078740157483" header="0.31496062992125984" footer="0.31496062992125984"/>
  <pageSetup paperSize="9" fitToHeight="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10"/>
  <sheetViews>
    <sheetView zoomScaleNormal="100" workbookViewId="0">
      <selection activeCell="K29" sqref="K29"/>
    </sheetView>
  </sheetViews>
  <sheetFormatPr defaultColWidth="9.140625" defaultRowHeight="12.75" x14ac:dyDescent="0.2"/>
  <cols>
    <col min="1" max="1" width="5.85546875" style="9" customWidth="1"/>
    <col min="2" max="2" width="7.42578125" style="111" customWidth="1"/>
    <col min="3" max="3" width="70" style="115" customWidth="1"/>
    <col min="4" max="4" width="9.7109375" style="151" customWidth="1"/>
    <col min="5" max="6" width="9.140625" style="2" customWidth="1"/>
    <col min="7" max="16384" width="9.140625" style="2"/>
  </cols>
  <sheetData>
    <row r="1" spans="1:8" ht="15.75" x14ac:dyDescent="0.25">
      <c r="C1" s="203" t="s">
        <v>142</v>
      </c>
      <c r="D1" s="203"/>
    </row>
    <row r="2" spans="1:8" ht="15.75" x14ac:dyDescent="0.25">
      <c r="C2" s="204" t="s">
        <v>575</v>
      </c>
      <c r="D2" s="204"/>
    </row>
    <row r="3" spans="1:8" ht="15.75" x14ac:dyDescent="0.25">
      <c r="C3" s="3"/>
      <c r="D3" s="112" t="s">
        <v>101</v>
      </c>
    </row>
    <row r="4" spans="1:8" ht="12" customHeight="1" x14ac:dyDescent="0.2">
      <c r="C4" s="113"/>
      <c r="D4" s="113"/>
    </row>
    <row r="5" spans="1:8" ht="25.5" customHeight="1" x14ac:dyDescent="0.2">
      <c r="A5" s="205" t="s">
        <v>184</v>
      </c>
      <c r="B5" s="205"/>
      <c r="C5" s="205"/>
      <c r="D5" s="205"/>
    </row>
    <row r="6" spans="1:8" x14ac:dyDescent="0.2">
      <c r="A6" s="114"/>
      <c r="B6" s="114"/>
      <c r="C6" s="114"/>
      <c r="D6" s="114"/>
    </row>
    <row r="7" spans="1:8" x14ac:dyDescent="0.2">
      <c r="D7" s="116" t="s">
        <v>71</v>
      </c>
    </row>
    <row r="8" spans="1:8" ht="43.5" customHeight="1" x14ac:dyDescent="0.2">
      <c r="A8" s="117" t="s">
        <v>68</v>
      </c>
      <c r="B8" s="118" t="s">
        <v>162</v>
      </c>
      <c r="C8" s="117" t="s">
        <v>16</v>
      </c>
      <c r="D8" s="117" t="s">
        <v>17</v>
      </c>
    </row>
    <row r="9" spans="1:8" s="121" customFormat="1" ht="12" customHeight="1" x14ac:dyDescent="0.2">
      <c r="A9" s="119">
        <v>1</v>
      </c>
      <c r="B9" s="120" t="s">
        <v>18</v>
      </c>
      <c r="C9" s="117">
        <v>3</v>
      </c>
      <c r="D9" s="117">
        <v>4</v>
      </c>
    </row>
    <row r="10" spans="1:8" s="121" customFormat="1" x14ac:dyDescent="0.2">
      <c r="A10" s="122">
        <v>1</v>
      </c>
      <c r="B10" s="118" t="s">
        <v>49</v>
      </c>
      <c r="C10" s="123" t="s">
        <v>50</v>
      </c>
      <c r="D10" s="124">
        <f>SUM(+D11+D13)</f>
        <v>537</v>
      </c>
      <c r="E10" s="125"/>
    </row>
    <row r="11" spans="1:8" s="121" customFormat="1" ht="25.5" x14ac:dyDescent="0.2">
      <c r="A11" s="122">
        <v>2</v>
      </c>
      <c r="B11" s="126" t="s">
        <v>102</v>
      </c>
      <c r="C11" s="127" t="s">
        <v>185</v>
      </c>
      <c r="D11" s="128">
        <f>+D12</f>
        <v>534.70000000000005</v>
      </c>
      <c r="E11" s="125"/>
    </row>
    <row r="12" spans="1:8" s="121" customFormat="1" ht="12.6" customHeight="1" x14ac:dyDescent="0.2">
      <c r="A12" s="122">
        <v>3</v>
      </c>
      <c r="B12" s="126"/>
      <c r="C12" s="129" t="s">
        <v>99</v>
      </c>
      <c r="D12" s="130">
        <v>534.70000000000005</v>
      </c>
      <c r="E12" s="125"/>
    </row>
    <row r="13" spans="1:8" s="121" customFormat="1" ht="12.6" customHeight="1" x14ac:dyDescent="0.2">
      <c r="A13" s="122">
        <v>4</v>
      </c>
      <c r="B13" s="126" t="s">
        <v>103</v>
      </c>
      <c r="C13" s="127" t="s">
        <v>104</v>
      </c>
      <c r="D13" s="128">
        <f>+D14</f>
        <v>2.2999999999999998</v>
      </c>
      <c r="E13" s="125"/>
    </row>
    <row r="14" spans="1:8" s="121" customFormat="1" ht="12.6" customHeight="1" x14ac:dyDescent="0.2">
      <c r="A14" s="122">
        <v>5</v>
      </c>
      <c r="B14" s="118"/>
      <c r="C14" s="131" t="s">
        <v>3</v>
      </c>
      <c r="D14" s="130">
        <v>2.2999999999999998</v>
      </c>
      <c r="E14" s="125"/>
    </row>
    <row r="15" spans="1:8" x14ac:dyDescent="0.2">
      <c r="A15" s="122">
        <v>6</v>
      </c>
      <c r="B15" s="120" t="s">
        <v>21</v>
      </c>
      <c r="C15" s="132" t="s">
        <v>22</v>
      </c>
      <c r="D15" s="124">
        <f>SUM(D16+D22+D24+D26+D38+D41+D43+D45)</f>
        <v>4206.8999999999996</v>
      </c>
      <c r="E15" s="12"/>
    </row>
    <row r="16" spans="1:8" ht="24.95" customHeight="1" x14ac:dyDescent="0.2">
      <c r="A16" s="122">
        <v>7</v>
      </c>
      <c r="B16" s="133" t="s">
        <v>105</v>
      </c>
      <c r="C16" s="127" t="s">
        <v>106</v>
      </c>
      <c r="D16" s="134">
        <f>SUM(D17:D21)</f>
        <v>1595</v>
      </c>
      <c r="E16" s="12"/>
      <c r="H16" s="15"/>
    </row>
    <row r="17" spans="1:8" ht="12.6" customHeight="1" x14ac:dyDescent="0.2">
      <c r="A17" s="122">
        <v>8</v>
      </c>
      <c r="B17" s="133"/>
      <c r="C17" s="135" t="s">
        <v>1</v>
      </c>
      <c r="D17" s="136">
        <f>430+55+15</f>
        <v>500</v>
      </c>
      <c r="E17" s="12"/>
    </row>
    <row r="18" spans="1:8" ht="12.6" customHeight="1" x14ac:dyDescent="0.2">
      <c r="A18" s="122">
        <v>9</v>
      </c>
      <c r="B18" s="133"/>
      <c r="C18" s="137" t="s">
        <v>2</v>
      </c>
      <c r="D18" s="136">
        <f>178+23.3</f>
        <v>201.3</v>
      </c>
      <c r="E18" s="12"/>
    </row>
    <row r="19" spans="1:8" ht="12.6" customHeight="1" x14ac:dyDescent="0.2">
      <c r="A19" s="122">
        <v>10</v>
      </c>
      <c r="B19" s="133"/>
      <c r="C19" s="137" t="s">
        <v>15</v>
      </c>
      <c r="D19" s="136">
        <f>120+18.6</f>
        <v>138.6</v>
      </c>
      <c r="E19" s="12"/>
    </row>
    <row r="20" spans="1:8" ht="12.6" customHeight="1" x14ac:dyDescent="0.2">
      <c r="A20" s="122">
        <v>11</v>
      </c>
      <c r="B20" s="133"/>
      <c r="C20" s="137" t="s">
        <v>19</v>
      </c>
      <c r="D20" s="136">
        <f>142+40</f>
        <v>182</v>
      </c>
      <c r="E20" s="12"/>
    </row>
    <row r="21" spans="1:8" ht="12.6" customHeight="1" x14ac:dyDescent="0.2">
      <c r="A21" s="122">
        <v>12</v>
      </c>
      <c r="B21" s="138"/>
      <c r="C21" s="131" t="s">
        <v>3</v>
      </c>
      <c r="D21" s="136">
        <f>540+33.1</f>
        <v>573.1</v>
      </c>
      <c r="E21" s="12"/>
      <c r="H21" s="15"/>
    </row>
    <row r="22" spans="1:8" ht="24.95" customHeight="1" x14ac:dyDescent="0.2">
      <c r="A22" s="122">
        <v>13</v>
      </c>
      <c r="B22" s="133" t="s">
        <v>107</v>
      </c>
      <c r="C22" s="127" t="s">
        <v>186</v>
      </c>
      <c r="D22" s="134">
        <f>SUM(D23:D23)</f>
        <v>912</v>
      </c>
      <c r="E22" s="12"/>
    </row>
    <row r="23" spans="1:8" ht="12.6" customHeight="1" x14ac:dyDescent="0.2">
      <c r="A23" s="122">
        <v>14</v>
      </c>
      <c r="B23" s="133"/>
      <c r="C23" s="135" t="s">
        <v>78</v>
      </c>
      <c r="D23" s="136">
        <v>912</v>
      </c>
      <c r="E23" s="12"/>
    </row>
    <row r="24" spans="1:8" ht="25.5" x14ac:dyDescent="0.2">
      <c r="A24" s="122">
        <v>15</v>
      </c>
      <c r="B24" s="133" t="s">
        <v>108</v>
      </c>
      <c r="C24" s="127" t="s">
        <v>169</v>
      </c>
      <c r="D24" s="134">
        <f>SUM(D25:D25)</f>
        <v>114.9</v>
      </c>
      <c r="E24" s="12"/>
    </row>
    <row r="25" spans="1:8" x14ac:dyDescent="0.2">
      <c r="A25" s="122">
        <v>16</v>
      </c>
      <c r="B25" s="133"/>
      <c r="C25" s="135" t="s">
        <v>78</v>
      </c>
      <c r="D25" s="136">
        <f>144.9-30</f>
        <v>114.9</v>
      </c>
      <c r="E25" s="12"/>
    </row>
    <row r="26" spans="1:8" x14ac:dyDescent="0.2">
      <c r="A26" s="122">
        <v>17</v>
      </c>
      <c r="B26" s="133" t="s">
        <v>110</v>
      </c>
      <c r="C26" s="127" t="s">
        <v>109</v>
      </c>
      <c r="D26" s="134">
        <f>SUM(D27:D37)</f>
        <v>376.2</v>
      </c>
      <c r="E26" s="12"/>
      <c r="G26" s="15"/>
    </row>
    <row r="27" spans="1:8" ht="12.6" customHeight="1" x14ac:dyDescent="0.2">
      <c r="A27" s="122">
        <v>18</v>
      </c>
      <c r="B27" s="133"/>
      <c r="C27" s="139" t="s">
        <v>8</v>
      </c>
      <c r="D27" s="136">
        <f>232.9-26.9-24+7.8</f>
        <v>189.8</v>
      </c>
      <c r="E27" s="12"/>
    </row>
    <row r="28" spans="1:8" ht="12.6" customHeight="1" x14ac:dyDescent="0.2">
      <c r="A28" s="122">
        <v>19</v>
      </c>
      <c r="B28" s="133"/>
      <c r="C28" s="139" t="s">
        <v>4</v>
      </c>
      <c r="D28" s="136">
        <f>38.5-3.7+2-0.9</f>
        <v>35.9</v>
      </c>
      <c r="E28" s="12"/>
    </row>
    <row r="29" spans="1:8" ht="12.6" customHeight="1" x14ac:dyDescent="0.2">
      <c r="A29" s="122">
        <v>20</v>
      </c>
      <c r="B29" s="133"/>
      <c r="C29" s="139" t="s">
        <v>5</v>
      </c>
      <c r="D29" s="136">
        <f>11.5-1.8</f>
        <v>9.6999999999999993</v>
      </c>
      <c r="E29" s="12"/>
    </row>
    <row r="30" spans="1:8" ht="12.6" customHeight="1" x14ac:dyDescent="0.2">
      <c r="A30" s="122">
        <v>21</v>
      </c>
      <c r="B30" s="133"/>
      <c r="C30" s="139" t="s">
        <v>7</v>
      </c>
      <c r="D30" s="136">
        <f>21.3-3+3</f>
        <v>21.3</v>
      </c>
      <c r="E30" s="12"/>
    </row>
    <row r="31" spans="1:8" ht="12.6" customHeight="1" x14ac:dyDescent="0.2">
      <c r="A31" s="122">
        <v>22</v>
      </c>
      <c r="B31" s="133"/>
      <c r="C31" s="139" t="s">
        <v>6</v>
      </c>
      <c r="D31" s="136">
        <v>18.5</v>
      </c>
      <c r="E31" s="12"/>
    </row>
    <row r="32" spans="1:8" ht="12.6" customHeight="1" x14ac:dyDescent="0.2">
      <c r="A32" s="122">
        <v>23</v>
      </c>
      <c r="B32" s="133"/>
      <c r="C32" s="139" t="s">
        <v>9</v>
      </c>
      <c r="D32" s="136">
        <f>28.2+0.5</f>
        <v>28.7</v>
      </c>
      <c r="E32" s="12"/>
    </row>
    <row r="33" spans="1:5" ht="12.6" customHeight="1" x14ac:dyDescent="0.2">
      <c r="A33" s="122">
        <v>24</v>
      </c>
      <c r="B33" s="133"/>
      <c r="C33" s="135" t="s">
        <v>10</v>
      </c>
      <c r="D33" s="136">
        <f>10.3-3+1-1</f>
        <v>7.3000000000000007</v>
      </c>
      <c r="E33" s="12"/>
    </row>
    <row r="34" spans="1:5" ht="12.6" customHeight="1" x14ac:dyDescent="0.2">
      <c r="A34" s="122">
        <v>25</v>
      </c>
      <c r="B34" s="133"/>
      <c r="C34" s="139" t="s">
        <v>12</v>
      </c>
      <c r="D34" s="136">
        <f>10.3+3.8+1-2</f>
        <v>13.100000000000001</v>
      </c>
      <c r="E34" s="12"/>
    </row>
    <row r="35" spans="1:5" ht="12.6" customHeight="1" x14ac:dyDescent="0.2">
      <c r="A35" s="122">
        <v>26</v>
      </c>
      <c r="B35" s="133"/>
      <c r="C35" s="139" t="s">
        <v>11</v>
      </c>
      <c r="D35" s="136">
        <f>13.1+2.1+1</f>
        <v>16.2</v>
      </c>
      <c r="E35" s="12"/>
    </row>
    <row r="36" spans="1:5" ht="12.6" customHeight="1" x14ac:dyDescent="0.2">
      <c r="A36" s="122">
        <v>27</v>
      </c>
      <c r="B36" s="133"/>
      <c r="C36" s="139" t="s">
        <v>13</v>
      </c>
      <c r="D36" s="136">
        <f>8.5+0.2</f>
        <v>8.6999999999999993</v>
      </c>
      <c r="E36" s="12"/>
    </row>
    <row r="37" spans="1:5" ht="12.6" customHeight="1" x14ac:dyDescent="0.2">
      <c r="A37" s="122">
        <v>28</v>
      </c>
      <c r="B37" s="133"/>
      <c r="C37" s="139" t="s">
        <v>14</v>
      </c>
      <c r="D37" s="136">
        <f>21-3+8+1</f>
        <v>27</v>
      </c>
      <c r="E37" s="12"/>
    </row>
    <row r="38" spans="1:5" x14ac:dyDescent="0.2">
      <c r="A38" s="122">
        <v>29</v>
      </c>
      <c r="B38" s="133"/>
      <c r="C38" s="140" t="s">
        <v>187</v>
      </c>
      <c r="D38" s="134">
        <f>+D39+D40</f>
        <v>9.8000000000000007</v>
      </c>
      <c r="E38" s="12"/>
    </row>
    <row r="39" spans="1:5" ht="12.6" customHeight="1" x14ac:dyDescent="0.2">
      <c r="A39" s="122">
        <v>30</v>
      </c>
      <c r="B39" s="133"/>
      <c r="C39" s="139" t="s">
        <v>3</v>
      </c>
      <c r="D39" s="136">
        <f>8.3-1</f>
        <v>7.3000000000000007</v>
      </c>
      <c r="E39" s="12"/>
    </row>
    <row r="40" spans="1:5" ht="12.6" customHeight="1" x14ac:dyDescent="0.2">
      <c r="A40" s="122">
        <v>31</v>
      </c>
      <c r="B40" s="133"/>
      <c r="C40" s="139" t="s">
        <v>8</v>
      </c>
      <c r="D40" s="136">
        <f>1.5+1</f>
        <v>2.5</v>
      </c>
      <c r="E40" s="12"/>
    </row>
    <row r="41" spans="1:5" ht="29.25" customHeight="1" x14ac:dyDescent="0.2">
      <c r="A41" s="122">
        <v>32</v>
      </c>
      <c r="B41" s="133" t="s">
        <v>112</v>
      </c>
      <c r="C41" s="141" t="s">
        <v>111</v>
      </c>
      <c r="D41" s="134">
        <f>+D42</f>
        <v>996.3</v>
      </c>
      <c r="E41" s="12"/>
    </row>
    <row r="42" spans="1:5" ht="12.6" customHeight="1" x14ac:dyDescent="0.2">
      <c r="A42" s="122">
        <v>33</v>
      </c>
      <c r="B42" s="133"/>
      <c r="C42" s="131" t="s">
        <v>3</v>
      </c>
      <c r="D42" s="136">
        <v>996.3</v>
      </c>
      <c r="E42" s="12"/>
    </row>
    <row r="43" spans="1:5" x14ac:dyDescent="0.2">
      <c r="A43" s="122">
        <v>34</v>
      </c>
      <c r="B43" s="133" t="s">
        <v>168</v>
      </c>
      <c r="C43" s="141" t="s">
        <v>113</v>
      </c>
      <c r="D43" s="134">
        <f>+D44</f>
        <v>7.7</v>
      </c>
      <c r="E43" s="12"/>
    </row>
    <row r="44" spans="1:5" ht="12.6" customHeight="1" x14ac:dyDescent="0.2">
      <c r="A44" s="122">
        <v>35</v>
      </c>
      <c r="B44" s="133"/>
      <c r="C44" s="131" t="s">
        <v>3</v>
      </c>
      <c r="D44" s="136">
        <v>7.7</v>
      </c>
      <c r="E44" s="12"/>
    </row>
    <row r="45" spans="1:5" ht="12.6" customHeight="1" x14ac:dyDescent="0.2">
      <c r="A45" s="122">
        <v>36</v>
      </c>
      <c r="B45" s="133" t="s">
        <v>174</v>
      </c>
      <c r="C45" s="141" t="s">
        <v>188</v>
      </c>
      <c r="D45" s="134">
        <f>SUM(D46:D57)</f>
        <v>195.00000000000003</v>
      </c>
      <c r="E45" s="12"/>
    </row>
    <row r="46" spans="1:5" ht="12.6" customHeight="1" x14ac:dyDescent="0.2">
      <c r="A46" s="122">
        <v>37</v>
      </c>
      <c r="B46" s="133"/>
      <c r="C46" s="131" t="s">
        <v>3</v>
      </c>
      <c r="D46" s="134">
        <f>56.5-3</f>
        <v>53.5</v>
      </c>
      <c r="E46" s="12"/>
    </row>
    <row r="47" spans="1:5" ht="12.6" customHeight="1" x14ac:dyDescent="0.2">
      <c r="A47" s="122">
        <v>38</v>
      </c>
      <c r="B47" s="133"/>
      <c r="C47" s="139" t="s">
        <v>8</v>
      </c>
      <c r="D47" s="136">
        <v>50.1</v>
      </c>
      <c r="E47" s="12"/>
    </row>
    <row r="48" spans="1:5" ht="12.6" customHeight="1" x14ac:dyDescent="0.2">
      <c r="A48" s="122">
        <v>39</v>
      </c>
      <c r="B48" s="133"/>
      <c r="C48" s="139" t="s">
        <v>4</v>
      </c>
      <c r="D48" s="136">
        <v>12.6</v>
      </c>
      <c r="E48" s="12"/>
    </row>
    <row r="49" spans="1:5" ht="12.6" customHeight="1" x14ac:dyDescent="0.2">
      <c r="A49" s="122">
        <v>40</v>
      </c>
      <c r="B49" s="133"/>
      <c r="C49" s="139" t="s">
        <v>5</v>
      </c>
      <c r="D49" s="136">
        <f>8.4+1</f>
        <v>9.4</v>
      </c>
      <c r="E49" s="12"/>
    </row>
    <row r="50" spans="1:5" ht="12.6" customHeight="1" x14ac:dyDescent="0.2">
      <c r="A50" s="122">
        <v>41</v>
      </c>
      <c r="B50" s="133"/>
      <c r="C50" s="139" t="s">
        <v>7</v>
      </c>
      <c r="D50" s="136">
        <v>12.6</v>
      </c>
      <c r="E50" s="12"/>
    </row>
    <row r="51" spans="1:5" ht="12.6" customHeight="1" x14ac:dyDescent="0.2">
      <c r="A51" s="122">
        <v>42</v>
      </c>
      <c r="B51" s="133"/>
      <c r="C51" s="139" t="s">
        <v>6</v>
      </c>
      <c r="D51" s="136">
        <f>8.4+1</f>
        <v>9.4</v>
      </c>
      <c r="E51" s="12"/>
    </row>
    <row r="52" spans="1:5" ht="12.6" customHeight="1" x14ac:dyDescent="0.2">
      <c r="A52" s="122">
        <v>43</v>
      </c>
      <c r="B52" s="133"/>
      <c r="C52" s="139" t="s">
        <v>9</v>
      </c>
      <c r="D52" s="136">
        <f>12.6+1</f>
        <v>13.6</v>
      </c>
      <c r="E52" s="12"/>
    </row>
    <row r="53" spans="1:5" ht="12.6" customHeight="1" x14ac:dyDescent="0.2">
      <c r="A53" s="122">
        <v>44</v>
      </c>
      <c r="B53" s="133"/>
      <c r="C53" s="135" t="s">
        <v>10</v>
      </c>
      <c r="D53" s="136">
        <v>4.3</v>
      </c>
      <c r="E53" s="12"/>
    </row>
    <row r="54" spans="1:5" ht="12.6" customHeight="1" x14ac:dyDescent="0.2">
      <c r="A54" s="122">
        <v>45</v>
      </c>
      <c r="B54" s="133"/>
      <c r="C54" s="139" t="s">
        <v>12</v>
      </c>
      <c r="D54" s="136">
        <v>4.3</v>
      </c>
      <c r="E54" s="12"/>
    </row>
    <row r="55" spans="1:5" ht="12.6" customHeight="1" x14ac:dyDescent="0.2">
      <c r="A55" s="122">
        <v>46</v>
      </c>
      <c r="B55" s="133"/>
      <c r="C55" s="139" t="s">
        <v>11</v>
      </c>
      <c r="D55" s="136">
        <v>8.4</v>
      </c>
      <c r="E55" s="12"/>
    </row>
    <row r="56" spans="1:5" ht="12.6" customHeight="1" x14ac:dyDescent="0.2">
      <c r="A56" s="122">
        <v>47</v>
      </c>
      <c r="B56" s="133"/>
      <c r="C56" s="139" t="s">
        <v>13</v>
      </c>
      <c r="D56" s="136">
        <v>8.4</v>
      </c>
      <c r="E56" s="12"/>
    </row>
    <row r="57" spans="1:5" ht="12.6" customHeight="1" x14ac:dyDescent="0.2">
      <c r="A57" s="122">
        <v>48</v>
      </c>
      <c r="B57" s="133"/>
      <c r="C57" s="139" t="s">
        <v>14</v>
      </c>
      <c r="D57" s="136">
        <v>8.4</v>
      </c>
      <c r="E57" s="12"/>
    </row>
    <row r="58" spans="1:5" x14ac:dyDescent="0.2">
      <c r="A58" s="122">
        <v>49</v>
      </c>
      <c r="B58" s="120" t="s">
        <v>26</v>
      </c>
      <c r="C58" s="132" t="s">
        <v>27</v>
      </c>
      <c r="D58" s="124">
        <f>+D59+D71</f>
        <v>615.9</v>
      </c>
      <c r="E58" s="12"/>
    </row>
    <row r="59" spans="1:5" ht="12.6" customHeight="1" x14ac:dyDescent="0.2">
      <c r="A59" s="122">
        <v>50</v>
      </c>
      <c r="B59" s="133" t="s">
        <v>114</v>
      </c>
      <c r="C59" s="141" t="s">
        <v>115</v>
      </c>
      <c r="D59" s="134">
        <f>SUM(D60:D70)</f>
        <v>255.89999999999998</v>
      </c>
      <c r="E59" s="12"/>
    </row>
    <row r="60" spans="1:5" ht="12.6" customHeight="1" x14ac:dyDescent="0.2">
      <c r="A60" s="122">
        <v>51</v>
      </c>
      <c r="B60" s="133"/>
      <c r="C60" s="131" t="s">
        <v>3</v>
      </c>
      <c r="D60" s="136">
        <f>145.1+4.8</f>
        <v>149.9</v>
      </c>
      <c r="E60" s="12"/>
    </row>
    <row r="61" spans="1:5" ht="12.6" customHeight="1" x14ac:dyDescent="0.2">
      <c r="A61" s="122">
        <v>52</v>
      </c>
      <c r="B61" s="133"/>
      <c r="C61" s="139" t="s">
        <v>4</v>
      </c>
      <c r="D61" s="136">
        <f>13.5+1.2</f>
        <v>14.7</v>
      </c>
      <c r="E61" s="12"/>
    </row>
    <row r="62" spans="1:5" ht="12.6" customHeight="1" x14ac:dyDescent="0.2">
      <c r="A62" s="122">
        <v>53</v>
      </c>
      <c r="B62" s="133"/>
      <c r="C62" s="139" t="s">
        <v>5</v>
      </c>
      <c r="D62" s="136">
        <v>10.199999999999999</v>
      </c>
      <c r="E62" s="12"/>
    </row>
    <row r="63" spans="1:5" ht="12.6" customHeight="1" x14ac:dyDescent="0.2">
      <c r="A63" s="122">
        <v>54</v>
      </c>
      <c r="B63" s="133"/>
      <c r="C63" s="139" t="s">
        <v>7</v>
      </c>
      <c r="D63" s="136">
        <v>5.9</v>
      </c>
      <c r="E63" s="12"/>
    </row>
    <row r="64" spans="1:5" ht="12.6" customHeight="1" x14ac:dyDescent="0.2">
      <c r="A64" s="122">
        <v>55</v>
      </c>
      <c r="B64" s="133"/>
      <c r="C64" s="139" t="s">
        <v>6</v>
      </c>
      <c r="D64" s="136">
        <f>15.4-6.4</f>
        <v>9</v>
      </c>
      <c r="E64" s="12"/>
    </row>
    <row r="65" spans="1:5" ht="12.6" customHeight="1" x14ac:dyDescent="0.2">
      <c r="A65" s="122">
        <v>56</v>
      </c>
      <c r="B65" s="133"/>
      <c r="C65" s="139" t="s">
        <v>9</v>
      </c>
      <c r="D65" s="136">
        <v>14.6</v>
      </c>
      <c r="E65" s="12"/>
    </row>
    <row r="66" spans="1:5" ht="12.6" customHeight="1" x14ac:dyDescent="0.2">
      <c r="A66" s="122">
        <v>57</v>
      </c>
      <c r="B66" s="133"/>
      <c r="C66" s="135" t="s">
        <v>10</v>
      </c>
      <c r="D66" s="136">
        <f>10.8+0.2</f>
        <v>11</v>
      </c>
      <c r="E66" s="12"/>
    </row>
    <row r="67" spans="1:5" ht="12.6" customHeight="1" x14ac:dyDescent="0.2">
      <c r="A67" s="122">
        <v>58</v>
      </c>
      <c r="B67" s="133"/>
      <c r="C67" s="139" t="s">
        <v>12</v>
      </c>
      <c r="D67" s="136">
        <f>9.4+0.2</f>
        <v>9.6</v>
      </c>
      <c r="E67" s="12"/>
    </row>
    <row r="68" spans="1:5" ht="12.6" customHeight="1" x14ac:dyDescent="0.2">
      <c r="A68" s="122">
        <v>59</v>
      </c>
      <c r="B68" s="133"/>
      <c r="C68" s="139" t="s">
        <v>11</v>
      </c>
      <c r="D68" s="136">
        <v>13.5</v>
      </c>
      <c r="E68" s="12"/>
    </row>
    <row r="69" spans="1:5" ht="12.6" customHeight="1" x14ac:dyDescent="0.2">
      <c r="A69" s="122">
        <v>60</v>
      </c>
      <c r="B69" s="133"/>
      <c r="C69" s="139" t="s">
        <v>13</v>
      </c>
      <c r="D69" s="136">
        <v>10.8</v>
      </c>
      <c r="E69" s="12"/>
    </row>
    <row r="70" spans="1:5" ht="12.6" customHeight="1" x14ac:dyDescent="0.2">
      <c r="A70" s="122">
        <v>61</v>
      </c>
      <c r="B70" s="133"/>
      <c r="C70" s="139" t="s">
        <v>14</v>
      </c>
      <c r="D70" s="136">
        <v>6.7</v>
      </c>
      <c r="E70" s="12"/>
    </row>
    <row r="71" spans="1:5" ht="51" x14ac:dyDescent="0.2">
      <c r="A71" s="206">
        <v>62</v>
      </c>
      <c r="B71" s="208" t="s">
        <v>116</v>
      </c>
      <c r="C71" s="127" t="s">
        <v>569</v>
      </c>
      <c r="D71" s="134">
        <f>+D73</f>
        <v>360</v>
      </c>
      <c r="E71" s="12"/>
    </row>
    <row r="72" spans="1:5" ht="12.6" customHeight="1" x14ac:dyDescent="0.2">
      <c r="A72" s="207"/>
      <c r="B72" s="209"/>
      <c r="C72" s="127" t="s">
        <v>117</v>
      </c>
      <c r="D72" s="134">
        <v>9</v>
      </c>
      <c r="E72" s="12"/>
    </row>
    <row r="73" spans="1:5" ht="12.6" customHeight="1" x14ac:dyDescent="0.2">
      <c r="A73" s="122">
        <v>63</v>
      </c>
      <c r="B73" s="133"/>
      <c r="C73" s="131" t="s">
        <v>3</v>
      </c>
      <c r="D73" s="136">
        <v>360</v>
      </c>
      <c r="E73" s="12"/>
    </row>
    <row r="74" spans="1:5" x14ac:dyDescent="0.2">
      <c r="A74" s="122">
        <v>64</v>
      </c>
      <c r="B74" s="120" t="s">
        <v>23</v>
      </c>
      <c r="C74" s="132" t="s">
        <v>24</v>
      </c>
      <c r="D74" s="124">
        <f>SUM(D75+D77+D79+D81+D83+D85+D87+D89+D91+D93+D95+D97+D99+D101)</f>
        <v>1814.3999999999999</v>
      </c>
      <c r="E74" s="12"/>
    </row>
    <row r="75" spans="1:5" ht="12.6" customHeight="1" x14ac:dyDescent="0.2">
      <c r="A75" s="122">
        <v>65</v>
      </c>
      <c r="B75" s="133" t="s">
        <v>28</v>
      </c>
      <c r="C75" s="141" t="s">
        <v>118</v>
      </c>
      <c r="D75" s="134">
        <f>+D76</f>
        <v>1490.9</v>
      </c>
      <c r="E75" s="12"/>
    </row>
    <row r="76" spans="1:5" ht="12.6" customHeight="1" x14ac:dyDescent="0.2">
      <c r="A76" s="122">
        <v>66</v>
      </c>
      <c r="B76" s="142"/>
      <c r="C76" s="139" t="s">
        <v>25</v>
      </c>
      <c r="D76" s="136">
        <f>1445+45.9</f>
        <v>1490.9</v>
      </c>
      <c r="E76" s="12"/>
    </row>
    <row r="77" spans="1:5" ht="12.6" customHeight="1" x14ac:dyDescent="0.2">
      <c r="A77" s="122">
        <v>67</v>
      </c>
      <c r="B77" s="133" t="s">
        <v>29</v>
      </c>
      <c r="C77" s="127" t="s">
        <v>119</v>
      </c>
      <c r="D77" s="134">
        <f>SUM(D78:D78)</f>
        <v>0.8</v>
      </c>
      <c r="E77" s="12"/>
    </row>
    <row r="78" spans="1:5" ht="12.6" customHeight="1" x14ac:dyDescent="0.2">
      <c r="A78" s="122">
        <v>68</v>
      </c>
      <c r="B78" s="133"/>
      <c r="C78" s="131" t="s">
        <v>3</v>
      </c>
      <c r="D78" s="136">
        <v>0.8</v>
      </c>
      <c r="E78" s="12"/>
    </row>
    <row r="79" spans="1:5" ht="12.6" customHeight="1" x14ac:dyDescent="0.2">
      <c r="A79" s="122">
        <v>69</v>
      </c>
      <c r="B79" s="126" t="s">
        <v>30</v>
      </c>
      <c r="C79" s="127" t="s">
        <v>120</v>
      </c>
      <c r="D79" s="128">
        <f>+D80</f>
        <v>47.9</v>
      </c>
      <c r="E79" s="12"/>
    </row>
    <row r="80" spans="1:5" ht="12.6" customHeight="1" x14ac:dyDescent="0.2">
      <c r="A80" s="122">
        <v>70</v>
      </c>
      <c r="B80" s="133"/>
      <c r="C80" s="131" t="s">
        <v>3</v>
      </c>
      <c r="D80" s="136">
        <v>47.9</v>
      </c>
      <c r="E80" s="12"/>
    </row>
    <row r="81" spans="1:5" ht="12.6" customHeight="1" x14ac:dyDescent="0.2">
      <c r="A81" s="122">
        <v>71</v>
      </c>
      <c r="B81" s="133" t="s">
        <v>31</v>
      </c>
      <c r="C81" s="127" t="s">
        <v>121</v>
      </c>
      <c r="D81" s="128">
        <f>+D82</f>
        <v>35.299999999999997</v>
      </c>
      <c r="E81" s="12"/>
    </row>
    <row r="82" spans="1:5" ht="12.6" customHeight="1" x14ac:dyDescent="0.2">
      <c r="A82" s="122">
        <v>72</v>
      </c>
      <c r="B82" s="133"/>
      <c r="C82" s="131" t="s">
        <v>3</v>
      </c>
      <c r="D82" s="136">
        <v>35.299999999999997</v>
      </c>
      <c r="E82" s="12"/>
    </row>
    <row r="83" spans="1:5" ht="12.6" customHeight="1" x14ac:dyDescent="0.2">
      <c r="A83" s="122">
        <v>73</v>
      </c>
      <c r="B83" s="133" t="s">
        <v>93</v>
      </c>
      <c r="C83" s="127" t="s">
        <v>122</v>
      </c>
      <c r="D83" s="128">
        <f>+D84</f>
        <v>46.8</v>
      </c>
      <c r="E83" s="12"/>
    </row>
    <row r="84" spans="1:5" ht="12.6" customHeight="1" x14ac:dyDescent="0.2">
      <c r="A84" s="122">
        <v>74</v>
      </c>
      <c r="B84" s="133"/>
      <c r="C84" s="131" t="s">
        <v>3</v>
      </c>
      <c r="D84" s="130">
        <f>45.9+0.9</f>
        <v>46.8</v>
      </c>
      <c r="E84" s="12"/>
    </row>
    <row r="85" spans="1:5" ht="12.6" customHeight="1" x14ac:dyDescent="0.2">
      <c r="A85" s="122">
        <v>75</v>
      </c>
      <c r="B85" s="133" t="s">
        <v>123</v>
      </c>
      <c r="C85" s="141" t="s">
        <v>124</v>
      </c>
      <c r="D85" s="128">
        <f>+D86</f>
        <v>9</v>
      </c>
      <c r="E85" s="12"/>
    </row>
    <row r="86" spans="1:5" ht="12.6" customHeight="1" x14ac:dyDescent="0.2">
      <c r="A86" s="122">
        <v>76</v>
      </c>
      <c r="B86" s="133"/>
      <c r="C86" s="131" t="s">
        <v>3</v>
      </c>
      <c r="D86" s="136">
        <v>9</v>
      </c>
      <c r="E86" s="12"/>
    </row>
    <row r="87" spans="1:5" ht="12.6" customHeight="1" x14ac:dyDescent="0.2">
      <c r="A87" s="122">
        <v>77</v>
      </c>
      <c r="B87" s="133" t="s">
        <v>125</v>
      </c>
      <c r="C87" s="127" t="s">
        <v>126</v>
      </c>
      <c r="D87" s="134">
        <f>+D88</f>
        <v>34.299999999999997</v>
      </c>
      <c r="E87" s="12"/>
    </row>
    <row r="88" spans="1:5" ht="12.6" customHeight="1" x14ac:dyDescent="0.2">
      <c r="A88" s="122">
        <v>78</v>
      </c>
      <c r="B88" s="133"/>
      <c r="C88" s="131" t="s">
        <v>3</v>
      </c>
      <c r="D88" s="136">
        <v>34.299999999999997</v>
      </c>
      <c r="E88" s="12"/>
    </row>
    <row r="89" spans="1:5" ht="12.6" customHeight="1" x14ac:dyDescent="0.2">
      <c r="A89" s="122">
        <v>79</v>
      </c>
      <c r="B89" s="133" t="s">
        <v>167</v>
      </c>
      <c r="C89" s="141" t="s">
        <v>189</v>
      </c>
      <c r="D89" s="134">
        <f>+D90</f>
        <v>23.2</v>
      </c>
      <c r="E89" s="12"/>
    </row>
    <row r="90" spans="1:5" ht="12.6" customHeight="1" x14ac:dyDescent="0.2">
      <c r="A90" s="122">
        <v>80</v>
      </c>
      <c r="B90" s="133"/>
      <c r="C90" s="131" t="s">
        <v>3</v>
      </c>
      <c r="D90" s="136">
        <f>19.5+3.7</f>
        <v>23.2</v>
      </c>
      <c r="E90" s="12"/>
    </row>
    <row r="91" spans="1:5" ht="12.6" customHeight="1" x14ac:dyDescent="0.2">
      <c r="A91" s="122">
        <v>81</v>
      </c>
      <c r="B91" s="133" t="s">
        <v>127</v>
      </c>
      <c r="C91" s="127" t="s">
        <v>190</v>
      </c>
      <c r="D91" s="134">
        <f>+D92</f>
        <v>12.7</v>
      </c>
      <c r="E91" s="12"/>
    </row>
    <row r="92" spans="1:5" ht="12.6" customHeight="1" x14ac:dyDescent="0.2">
      <c r="A92" s="122">
        <v>82</v>
      </c>
      <c r="B92" s="133"/>
      <c r="C92" s="131" t="s">
        <v>3</v>
      </c>
      <c r="D92" s="136">
        <v>12.7</v>
      </c>
      <c r="E92" s="12"/>
    </row>
    <row r="93" spans="1:5" ht="12.6" customHeight="1" x14ac:dyDescent="0.2">
      <c r="A93" s="122">
        <v>83</v>
      </c>
      <c r="B93" s="133" t="s">
        <v>128</v>
      </c>
      <c r="C93" s="141" t="s">
        <v>173</v>
      </c>
      <c r="D93" s="134">
        <f>+D94</f>
        <v>1.3</v>
      </c>
      <c r="E93" s="12"/>
    </row>
    <row r="94" spans="1:5" ht="12.6" customHeight="1" x14ac:dyDescent="0.2">
      <c r="A94" s="122">
        <v>84</v>
      </c>
      <c r="B94" s="133"/>
      <c r="C94" s="131" t="s">
        <v>3</v>
      </c>
      <c r="D94" s="136">
        <v>1.3</v>
      </c>
      <c r="E94" s="12"/>
    </row>
    <row r="95" spans="1:5" ht="12.6" customHeight="1" x14ac:dyDescent="0.2">
      <c r="A95" s="122">
        <v>85</v>
      </c>
      <c r="B95" s="133" t="s">
        <v>129</v>
      </c>
      <c r="C95" s="141" t="s">
        <v>131</v>
      </c>
      <c r="D95" s="134">
        <f>SUM(D96:D96)</f>
        <v>5</v>
      </c>
      <c r="E95" s="12"/>
    </row>
    <row r="96" spans="1:5" ht="12.6" customHeight="1" x14ac:dyDescent="0.2">
      <c r="A96" s="122">
        <v>86</v>
      </c>
      <c r="B96" s="138"/>
      <c r="C96" s="139" t="s">
        <v>8</v>
      </c>
      <c r="D96" s="136">
        <v>5</v>
      </c>
      <c r="E96" s="12"/>
    </row>
    <row r="97" spans="1:5" ht="38.25" x14ac:dyDescent="0.2">
      <c r="A97" s="122">
        <v>87</v>
      </c>
      <c r="B97" s="133" t="s">
        <v>130</v>
      </c>
      <c r="C97" s="140" t="s">
        <v>140</v>
      </c>
      <c r="D97" s="136">
        <f>+D98</f>
        <v>22.8</v>
      </c>
      <c r="E97" s="143"/>
    </row>
    <row r="98" spans="1:5" ht="12.6" customHeight="1" x14ac:dyDescent="0.2">
      <c r="A98" s="122">
        <v>88</v>
      </c>
      <c r="B98" s="133"/>
      <c r="C98" s="144" t="s">
        <v>3</v>
      </c>
      <c r="D98" s="136">
        <v>22.8</v>
      </c>
      <c r="E98" s="12"/>
    </row>
    <row r="99" spans="1:5" ht="12.6" customHeight="1" x14ac:dyDescent="0.2">
      <c r="A99" s="122">
        <v>89</v>
      </c>
      <c r="B99" s="133" t="s">
        <v>178</v>
      </c>
      <c r="C99" s="140" t="s">
        <v>191</v>
      </c>
      <c r="D99" s="136">
        <f>+D100</f>
        <v>18.600000000000001</v>
      </c>
      <c r="E99" s="145"/>
    </row>
    <row r="100" spans="1:5" ht="12.6" customHeight="1" x14ac:dyDescent="0.2">
      <c r="A100" s="122">
        <v>90</v>
      </c>
      <c r="B100" s="133"/>
      <c r="C100" s="139" t="s">
        <v>3</v>
      </c>
      <c r="D100" s="136">
        <v>18.600000000000001</v>
      </c>
      <c r="E100" s="145"/>
    </row>
    <row r="101" spans="1:5" ht="26.25" customHeight="1" x14ac:dyDescent="0.2">
      <c r="A101" s="122">
        <v>91</v>
      </c>
      <c r="B101" s="133" t="s">
        <v>192</v>
      </c>
      <c r="C101" s="140" t="s">
        <v>193</v>
      </c>
      <c r="D101" s="136">
        <f>+D102</f>
        <v>65.8</v>
      </c>
      <c r="E101" s="145"/>
    </row>
    <row r="102" spans="1:5" ht="12.6" customHeight="1" x14ac:dyDescent="0.2">
      <c r="A102" s="122">
        <v>92</v>
      </c>
      <c r="B102" s="133"/>
      <c r="C102" s="139" t="s">
        <v>3</v>
      </c>
      <c r="D102" s="136">
        <v>65.8</v>
      </c>
      <c r="E102" s="145"/>
    </row>
    <row r="103" spans="1:5" ht="12.6" customHeight="1" x14ac:dyDescent="0.2">
      <c r="A103" s="122">
        <v>93</v>
      </c>
      <c r="B103" s="133"/>
      <c r="C103" s="146" t="s">
        <v>20</v>
      </c>
      <c r="D103" s="124">
        <f>+D10+D15+D58+D74</f>
        <v>7174.1999999999989</v>
      </c>
      <c r="E103" s="16"/>
    </row>
    <row r="104" spans="1:5" x14ac:dyDescent="0.2">
      <c r="C104" s="9" t="s">
        <v>132</v>
      </c>
      <c r="D104" s="147"/>
    </row>
    <row r="105" spans="1:5" x14ac:dyDescent="0.2">
      <c r="D105" s="148"/>
    </row>
    <row r="106" spans="1:5" x14ac:dyDescent="0.2">
      <c r="D106" s="147"/>
    </row>
    <row r="107" spans="1:5" x14ac:dyDescent="0.2">
      <c r="D107" s="147"/>
    </row>
    <row r="108" spans="1:5" x14ac:dyDescent="0.2">
      <c r="C108" s="149"/>
      <c r="D108" s="150"/>
    </row>
    <row r="109" spans="1:5" x14ac:dyDescent="0.2">
      <c r="C109" s="149"/>
    </row>
    <row r="110" spans="1:5" x14ac:dyDescent="0.2">
      <c r="C110" s="151"/>
    </row>
  </sheetData>
  <mergeCells count="5">
    <mergeCell ref="C1:D1"/>
    <mergeCell ref="C2:D2"/>
    <mergeCell ref="A5:D5"/>
    <mergeCell ref="A71:A72"/>
    <mergeCell ref="B71:B72"/>
  </mergeCells>
  <pageMargins left="0.70866141732283472" right="0" top="0.78740157480314965" bottom="0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87"/>
  <sheetViews>
    <sheetView tabSelected="1" topLeftCell="A136" zoomScaleNormal="100" workbookViewId="0">
      <selection activeCell="L108" sqref="L108"/>
    </sheetView>
  </sheetViews>
  <sheetFormatPr defaultColWidth="9.140625" defaultRowHeight="12.75" x14ac:dyDescent="0.2"/>
  <cols>
    <col min="1" max="1" width="5.85546875" style="9" customWidth="1"/>
    <col min="2" max="2" width="7.42578125" style="111" customWidth="1"/>
    <col min="3" max="3" width="70" style="152" customWidth="1"/>
    <col min="4" max="4" width="9.7109375" style="151" customWidth="1"/>
    <col min="5" max="5" width="9.140625" style="12" customWidth="1"/>
    <col min="6" max="16384" width="9.140625" style="2"/>
  </cols>
  <sheetData>
    <row r="1" spans="1:9" ht="15.75" x14ac:dyDescent="0.25">
      <c r="C1" s="204" t="s">
        <v>164</v>
      </c>
      <c r="D1" s="204"/>
    </row>
    <row r="2" spans="1:9" ht="15" customHeight="1" x14ac:dyDescent="0.25">
      <c r="C2" s="204" t="s">
        <v>575</v>
      </c>
      <c r="D2" s="204"/>
    </row>
    <row r="3" spans="1:9" ht="15.75" x14ac:dyDescent="0.25">
      <c r="C3" s="3"/>
      <c r="D3" s="112" t="s">
        <v>163</v>
      </c>
    </row>
    <row r="4" spans="1:9" ht="15.75" x14ac:dyDescent="0.2">
      <c r="D4" s="112"/>
    </row>
    <row r="5" spans="1:9" ht="35.25" customHeight="1" x14ac:dyDescent="0.2">
      <c r="A5" s="210" t="s">
        <v>316</v>
      </c>
      <c r="B5" s="210"/>
      <c r="C5" s="210"/>
      <c r="D5" s="210"/>
      <c r="I5" s="121"/>
    </row>
    <row r="6" spans="1:9" x14ac:dyDescent="0.2">
      <c r="A6" s="153"/>
      <c r="B6" s="153"/>
      <c r="C6" s="153"/>
      <c r="D6" s="153"/>
    </row>
    <row r="7" spans="1:9" x14ac:dyDescent="0.2">
      <c r="A7" s="154"/>
      <c r="B7" s="155"/>
      <c r="C7" s="156"/>
      <c r="D7" s="116" t="s">
        <v>71</v>
      </c>
    </row>
    <row r="8" spans="1:9" ht="43.5" customHeight="1" x14ac:dyDescent="0.2">
      <c r="A8" s="117" t="s">
        <v>68</v>
      </c>
      <c r="B8" s="118" t="s">
        <v>162</v>
      </c>
      <c r="C8" s="117" t="s">
        <v>16</v>
      </c>
      <c r="D8" s="117" t="s">
        <v>17</v>
      </c>
      <c r="E8" s="157"/>
    </row>
    <row r="9" spans="1:9" s="121" customFormat="1" ht="12.75" customHeight="1" x14ac:dyDescent="0.2">
      <c r="A9" s="119">
        <v>1</v>
      </c>
      <c r="B9" s="120" t="s">
        <v>18</v>
      </c>
      <c r="C9" s="117">
        <v>3</v>
      </c>
      <c r="D9" s="117">
        <v>4</v>
      </c>
      <c r="E9" s="157"/>
    </row>
    <row r="10" spans="1:9" s="121" customFormat="1" x14ac:dyDescent="0.2">
      <c r="A10" s="122">
        <v>1</v>
      </c>
      <c r="B10" s="120" t="s">
        <v>47</v>
      </c>
      <c r="C10" s="123" t="s">
        <v>48</v>
      </c>
      <c r="D10" s="158">
        <f>+D11+D14+D20+D27+D29+D41+D43+D50+D52</f>
        <v>683.59999999999991</v>
      </c>
      <c r="E10" s="157"/>
    </row>
    <row r="11" spans="1:9" s="121" customFormat="1" x14ac:dyDescent="0.2">
      <c r="A11" s="122">
        <v>2</v>
      </c>
      <c r="B11" s="126" t="s">
        <v>138</v>
      </c>
      <c r="C11" s="159" t="s">
        <v>177</v>
      </c>
      <c r="D11" s="134">
        <f>+D12+D13</f>
        <v>296.3</v>
      </c>
      <c r="E11" s="157"/>
    </row>
    <row r="12" spans="1:9" s="121" customFormat="1" ht="12.95" customHeight="1" x14ac:dyDescent="0.2">
      <c r="A12" s="122">
        <v>3</v>
      </c>
      <c r="B12" s="133"/>
      <c r="C12" s="144" t="s">
        <v>98</v>
      </c>
      <c r="D12" s="136">
        <v>287.5</v>
      </c>
      <c r="E12" s="157"/>
    </row>
    <row r="13" spans="1:9" s="121" customFormat="1" ht="12.95" customHeight="1" x14ac:dyDescent="0.2">
      <c r="A13" s="122">
        <v>4</v>
      </c>
      <c r="B13" s="133"/>
      <c r="C13" s="131" t="s">
        <v>3</v>
      </c>
      <c r="D13" s="136">
        <v>8.8000000000000007</v>
      </c>
      <c r="E13" s="157"/>
    </row>
    <row r="14" spans="1:9" s="121" customFormat="1" ht="25.5" x14ac:dyDescent="0.2">
      <c r="A14" s="122">
        <v>5</v>
      </c>
      <c r="B14" s="133" t="s">
        <v>139</v>
      </c>
      <c r="C14" s="140" t="s">
        <v>182</v>
      </c>
      <c r="D14" s="160">
        <f>SUM(D15:D19)</f>
        <v>52.599999999999994</v>
      </c>
      <c r="E14" s="157"/>
    </row>
    <row r="15" spans="1:9" s="121" customFormat="1" ht="12.95" customHeight="1" x14ac:dyDescent="0.2">
      <c r="A15" s="122">
        <v>6</v>
      </c>
      <c r="B15" s="133"/>
      <c r="C15" s="139" t="s">
        <v>88</v>
      </c>
      <c r="D15" s="161">
        <v>2.1</v>
      </c>
      <c r="E15" s="157"/>
    </row>
    <row r="16" spans="1:9" s="121" customFormat="1" ht="12.95" customHeight="1" x14ac:dyDescent="0.2">
      <c r="A16" s="122">
        <v>7</v>
      </c>
      <c r="B16" s="133"/>
      <c r="C16" s="162" t="s">
        <v>79</v>
      </c>
      <c r="D16" s="163">
        <f>3.8+4.2</f>
        <v>8</v>
      </c>
      <c r="E16" s="157"/>
    </row>
    <row r="17" spans="1:5" s="121" customFormat="1" ht="12.95" customHeight="1" x14ac:dyDescent="0.2">
      <c r="A17" s="122">
        <v>8</v>
      </c>
      <c r="B17" s="133"/>
      <c r="C17" s="162" t="s">
        <v>82</v>
      </c>
      <c r="D17" s="163">
        <f>7.6+8.6</f>
        <v>16.2</v>
      </c>
      <c r="E17" s="157"/>
    </row>
    <row r="18" spans="1:5" ht="12.95" customHeight="1" x14ac:dyDescent="0.2">
      <c r="A18" s="122">
        <v>9</v>
      </c>
      <c r="B18" s="133"/>
      <c r="C18" s="162" t="s">
        <v>83</v>
      </c>
      <c r="D18" s="163">
        <f>11.4+6.2</f>
        <v>17.600000000000001</v>
      </c>
      <c r="E18" s="157"/>
    </row>
    <row r="19" spans="1:5" x14ac:dyDescent="0.2">
      <c r="A19" s="122">
        <v>10</v>
      </c>
      <c r="B19" s="133"/>
      <c r="C19" s="139" t="s">
        <v>95</v>
      </c>
      <c r="D19" s="163">
        <f>3.8+4.9</f>
        <v>8.6999999999999993</v>
      </c>
      <c r="E19" s="157"/>
    </row>
    <row r="20" spans="1:5" ht="12.95" customHeight="1" x14ac:dyDescent="0.2">
      <c r="A20" s="122">
        <v>11</v>
      </c>
      <c r="B20" s="133" t="s">
        <v>453</v>
      </c>
      <c r="C20" s="140" t="s">
        <v>472</v>
      </c>
      <c r="D20" s="160">
        <f>SUM(D21:D26)</f>
        <v>133.4</v>
      </c>
      <c r="E20" s="157"/>
    </row>
    <row r="21" spans="1:5" ht="12.95" customHeight="1" x14ac:dyDescent="0.2">
      <c r="A21" s="122">
        <v>12</v>
      </c>
      <c r="B21" s="133"/>
      <c r="C21" s="164" t="s">
        <v>87</v>
      </c>
      <c r="D21" s="163">
        <v>16.7</v>
      </c>
      <c r="E21" s="157"/>
    </row>
    <row r="22" spans="1:5" ht="12.95" customHeight="1" x14ac:dyDescent="0.2">
      <c r="A22" s="122">
        <v>13</v>
      </c>
      <c r="B22" s="133"/>
      <c r="C22" s="164" t="s">
        <v>38</v>
      </c>
      <c r="D22" s="163">
        <v>18.7</v>
      </c>
      <c r="E22" s="157"/>
    </row>
    <row r="23" spans="1:5" ht="12.95" customHeight="1" x14ac:dyDescent="0.2">
      <c r="A23" s="122">
        <v>14</v>
      </c>
      <c r="B23" s="133"/>
      <c r="C23" s="165" t="s">
        <v>85</v>
      </c>
      <c r="D23" s="163">
        <v>18.100000000000001</v>
      </c>
      <c r="E23" s="157"/>
    </row>
    <row r="24" spans="1:5" ht="12.95" customHeight="1" x14ac:dyDescent="0.2">
      <c r="A24" s="122">
        <v>15</v>
      </c>
      <c r="B24" s="133"/>
      <c r="C24" s="164" t="s">
        <v>86</v>
      </c>
      <c r="D24" s="163">
        <v>19.100000000000001</v>
      </c>
      <c r="E24" s="157"/>
    </row>
    <row r="25" spans="1:5" ht="12.95" customHeight="1" x14ac:dyDescent="0.2">
      <c r="A25" s="122">
        <v>16</v>
      </c>
      <c r="B25" s="133"/>
      <c r="C25" s="165" t="s">
        <v>498</v>
      </c>
      <c r="D25" s="163">
        <v>13.2</v>
      </c>
      <c r="E25" s="157"/>
    </row>
    <row r="26" spans="1:5" x14ac:dyDescent="0.2">
      <c r="A26" s="122">
        <v>17</v>
      </c>
      <c r="B26" s="133"/>
      <c r="C26" s="166" t="s">
        <v>98</v>
      </c>
      <c r="D26" s="163">
        <v>47.6</v>
      </c>
      <c r="E26" s="157"/>
    </row>
    <row r="27" spans="1:5" ht="12.95" customHeight="1" x14ac:dyDescent="0.2">
      <c r="A27" s="122">
        <v>18</v>
      </c>
      <c r="B27" s="133" t="s">
        <v>468</v>
      </c>
      <c r="C27" s="167" t="s">
        <v>469</v>
      </c>
      <c r="D27" s="160">
        <f>+D28</f>
        <v>48.4</v>
      </c>
      <c r="E27" s="157"/>
    </row>
    <row r="28" spans="1:5" x14ac:dyDescent="0.2">
      <c r="A28" s="122">
        <v>19</v>
      </c>
      <c r="B28" s="133"/>
      <c r="C28" s="166" t="s">
        <v>76</v>
      </c>
      <c r="D28" s="163">
        <v>48.4</v>
      </c>
      <c r="E28" s="157"/>
    </row>
    <row r="29" spans="1:5" ht="25.5" x14ac:dyDescent="0.2">
      <c r="A29" s="122">
        <v>20</v>
      </c>
      <c r="B29" s="133" t="s">
        <v>470</v>
      </c>
      <c r="C29" s="140" t="s">
        <v>473</v>
      </c>
      <c r="D29" s="160">
        <f>SUM(D30:D40)</f>
        <v>26.599999999999998</v>
      </c>
      <c r="E29" s="157"/>
    </row>
    <row r="30" spans="1:5" ht="12.95" customHeight="1" x14ac:dyDescent="0.2">
      <c r="A30" s="122">
        <v>21</v>
      </c>
      <c r="B30" s="133"/>
      <c r="C30" s="164" t="s">
        <v>88</v>
      </c>
      <c r="D30" s="163">
        <f>4.3</f>
        <v>4.3</v>
      </c>
      <c r="E30" s="157"/>
    </row>
    <row r="31" spans="1:5" ht="12.95" customHeight="1" x14ac:dyDescent="0.2">
      <c r="A31" s="122">
        <v>22</v>
      </c>
      <c r="B31" s="133"/>
      <c r="C31" s="164" t="s">
        <v>79</v>
      </c>
      <c r="D31" s="163">
        <f>2.2</f>
        <v>2.2000000000000002</v>
      </c>
      <c r="E31" s="157"/>
    </row>
    <row r="32" spans="1:5" ht="12.95" customHeight="1" x14ac:dyDescent="0.2">
      <c r="A32" s="122">
        <v>23</v>
      </c>
      <c r="B32" s="133"/>
      <c r="C32" s="164" t="s">
        <v>80</v>
      </c>
      <c r="D32" s="163">
        <v>3.6</v>
      </c>
      <c r="E32" s="157"/>
    </row>
    <row r="33" spans="1:5" ht="12.95" customHeight="1" x14ac:dyDescent="0.2">
      <c r="A33" s="122">
        <v>24</v>
      </c>
      <c r="B33" s="133"/>
      <c r="C33" s="164" t="s">
        <v>81</v>
      </c>
      <c r="D33" s="163">
        <v>1.4</v>
      </c>
      <c r="E33" s="157"/>
    </row>
    <row r="34" spans="1:5" ht="12.95" customHeight="1" x14ac:dyDescent="0.2">
      <c r="A34" s="122">
        <v>25</v>
      </c>
      <c r="B34" s="133"/>
      <c r="C34" s="164" t="s">
        <v>82</v>
      </c>
      <c r="D34" s="163">
        <f>5.8</f>
        <v>5.8</v>
      </c>
      <c r="E34" s="157"/>
    </row>
    <row r="35" spans="1:5" ht="12.95" customHeight="1" x14ac:dyDescent="0.2">
      <c r="A35" s="122">
        <v>26</v>
      </c>
      <c r="B35" s="133"/>
      <c r="C35" s="164" t="s">
        <v>83</v>
      </c>
      <c r="D35" s="163">
        <f>3.6</f>
        <v>3.6</v>
      </c>
      <c r="E35" s="157"/>
    </row>
    <row r="36" spans="1:5" ht="12.95" customHeight="1" x14ac:dyDescent="0.2">
      <c r="A36" s="122">
        <v>27</v>
      </c>
      <c r="B36" s="133"/>
      <c r="C36" s="165" t="s">
        <v>73</v>
      </c>
      <c r="D36" s="163">
        <v>0.7</v>
      </c>
      <c r="E36" s="157"/>
    </row>
    <row r="37" spans="1:5" ht="12.95" customHeight="1" x14ac:dyDescent="0.2">
      <c r="A37" s="122">
        <v>28</v>
      </c>
      <c r="B37" s="133"/>
      <c r="C37" s="165" t="s">
        <v>32</v>
      </c>
      <c r="D37" s="163">
        <v>1.5</v>
      </c>
      <c r="E37" s="157"/>
    </row>
    <row r="38" spans="1:5" ht="12.95" customHeight="1" x14ac:dyDescent="0.2">
      <c r="A38" s="122">
        <v>29</v>
      </c>
      <c r="B38" s="133"/>
      <c r="C38" s="165" t="s">
        <v>498</v>
      </c>
      <c r="D38" s="163">
        <v>0.7</v>
      </c>
      <c r="E38" s="157"/>
    </row>
    <row r="39" spans="1:5" ht="12.95" customHeight="1" x14ac:dyDescent="0.2">
      <c r="A39" s="122">
        <v>30</v>
      </c>
      <c r="B39" s="133"/>
      <c r="C39" s="165" t="s">
        <v>75</v>
      </c>
      <c r="D39" s="163">
        <v>1.4</v>
      </c>
      <c r="E39" s="157"/>
    </row>
    <row r="40" spans="1:5" ht="15" customHeight="1" x14ac:dyDescent="0.2">
      <c r="A40" s="122">
        <v>31</v>
      </c>
      <c r="B40" s="133"/>
      <c r="C40" s="168" t="s">
        <v>15</v>
      </c>
      <c r="D40" s="163">
        <v>1.4</v>
      </c>
      <c r="E40" s="157"/>
    </row>
    <row r="41" spans="1:5" ht="12.95" customHeight="1" x14ac:dyDescent="0.2">
      <c r="A41" s="122">
        <v>32</v>
      </c>
      <c r="B41" s="133" t="s">
        <v>484</v>
      </c>
      <c r="C41" s="167" t="s">
        <v>485</v>
      </c>
      <c r="D41" s="169">
        <f>+D42</f>
        <v>0.5</v>
      </c>
      <c r="E41" s="157"/>
    </row>
    <row r="42" spans="1:5" x14ac:dyDescent="0.2">
      <c r="A42" s="122">
        <v>33</v>
      </c>
      <c r="B42" s="133"/>
      <c r="C42" s="166" t="s">
        <v>76</v>
      </c>
      <c r="D42" s="163">
        <v>0.5</v>
      </c>
      <c r="E42" s="157"/>
    </row>
    <row r="43" spans="1:5" ht="38.25" x14ac:dyDescent="0.2">
      <c r="A43" s="122">
        <v>34</v>
      </c>
      <c r="B43" s="133" t="s">
        <v>493</v>
      </c>
      <c r="C43" s="167" t="s">
        <v>490</v>
      </c>
      <c r="D43" s="134">
        <f>SUM(D44:D49)</f>
        <v>12.8</v>
      </c>
      <c r="E43" s="157"/>
    </row>
    <row r="44" spans="1:5" ht="12.95" customHeight="1" x14ac:dyDescent="0.2">
      <c r="A44" s="122">
        <v>35</v>
      </c>
      <c r="B44" s="133"/>
      <c r="C44" s="164" t="s">
        <v>80</v>
      </c>
      <c r="D44" s="163">
        <v>1</v>
      </c>
      <c r="E44" s="157"/>
    </row>
    <row r="45" spans="1:5" ht="12.95" customHeight="1" x14ac:dyDescent="0.2">
      <c r="A45" s="122">
        <v>36</v>
      </c>
      <c r="B45" s="133"/>
      <c r="C45" s="164" t="s">
        <v>83</v>
      </c>
      <c r="D45" s="163">
        <v>1.6</v>
      </c>
      <c r="E45" s="157"/>
    </row>
    <row r="46" spans="1:5" ht="12.95" customHeight="1" x14ac:dyDescent="0.2">
      <c r="A46" s="122">
        <v>37</v>
      </c>
      <c r="B46" s="133"/>
      <c r="C46" s="164" t="s">
        <v>87</v>
      </c>
      <c r="D46" s="163">
        <v>5.2</v>
      </c>
      <c r="E46" s="157"/>
    </row>
    <row r="47" spans="1:5" ht="12.95" customHeight="1" x14ac:dyDescent="0.2">
      <c r="A47" s="122">
        <v>38</v>
      </c>
      <c r="B47" s="133"/>
      <c r="C47" s="165" t="s">
        <v>85</v>
      </c>
      <c r="D47" s="163">
        <v>3.3</v>
      </c>
      <c r="E47" s="157"/>
    </row>
    <row r="48" spans="1:5" ht="12.95" customHeight="1" x14ac:dyDescent="0.2">
      <c r="A48" s="122">
        <v>39</v>
      </c>
      <c r="B48" s="133"/>
      <c r="C48" s="165" t="s">
        <v>75</v>
      </c>
      <c r="D48" s="163">
        <v>1.1000000000000001</v>
      </c>
      <c r="E48" s="157"/>
    </row>
    <row r="49" spans="1:5" ht="15" customHeight="1" x14ac:dyDescent="0.2">
      <c r="A49" s="122">
        <v>40</v>
      </c>
      <c r="B49" s="133"/>
      <c r="C49" s="165" t="s">
        <v>64</v>
      </c>
      <c r="D49" s="163">
        <v>0.6</v>
      </c>
      <c r="E49" s="157"/>
    </row>
    <row r="50" spans="1:5" ht="12.95" customHeight="1" x14ac:dyDescent="0.2">
      <c r="A50" s="122">
        <v>41</v>
      </c>
      <c r="B50" s="133" t="s">
        <v>494</v>
      </c>
      <c r="C50" s="167" t="s">
        <v>491</v>
      </c>
      <c r="D50" s="169">
        <f>+D51</f>
        <v>68</v>
      </c>
      <c r="E50" s="157"/>
    </row>
    <row r="51" spans="1:5" x14ac:dyDescent="0.2">
      <c r="A51" s="122">
        <v>42</v>
      </c>
      <c r="B51" s="133"/>
      <c r="C51" s="139" t="s">
        <v>3</v>
      </c>
      <c r="D51" s="163">
        <v>68</v>
      </c>
      <c r="E51" s="157"/>
    </row>
    <row r="52" spans="1:5" ht="38.25" x14ac:dyDescent="0.2">
      <c r="A52" s="122">
        <v>43</v>
      </c>
      <c r="B52" s="133" t="s">
        <v>561</v>
      </c>
      <c r="C52" s="140" t="s">
        <v>562</v>
      </c>
      <c r="D52" s="160">
        <f>SUM(D53:D75)</f>
        <v>45.000000000000007</v>
      </c>
      <c r="E52" s="157"/>
    </row>
    <row r="53" spans="1:5" x14ac:dyDescent="0.2">
      <c r="A53" s="122">
        <v>44</v>
      </c>
      <c r="B53" s="133"/>
      <c r="C53" s="164" t="s">
        <v>88</v>
      </c>
      <c r="D53" s="163">
        <v>1.7</v>
      </c>
      <c r="E53" s="157"/>
    </row>
    <row r="54" spans="1:5" x14ac:dyDescent="0.2">
      <c r="A54" s="122">
        <v>45</v>
      </c>
      <c r="B54" s="133"/>
      <c r="C54" s="164" t="s">
        <v>79</v>
      </c>
      <c r="D54" s="163">
        <v>1.7</v>
      </c>
      <c r="E54" s="157"/>
    </row>
    <row r="55" spans="1:5" x14ac:dyDescent="0.2">
      <c r="A55" s="122">
        <v>46</v>
      </c>
      <c r="B55" s="133"/>
      <c r="C55" s="164" t="s">
        <v>80</v>
      </c>
      <c r="D55" s="163">
        <v>1.8</v>
      </c>
      <c r="E55" s="157"/>
    </row>
    <row r="56" spans="1:5" x14ac:dyDescent="0.2">
      <c r="A56" s="122">
        <v>47</v>
      </c>
      <c r="B56" s="133"/>
      <c r="C56" s="164" t="s">
        <v>84</v>
      </c>
      <c r="D56" s="163">
        <v>1.8</v>
      </c>
      <c r="E56" s="157"/>
    </row>
    <row r="57" spans="1:5" x14ac:dyDescent="0.2">
      <c r="A57" s="122">
        <v>48</v>
      </c>
      <c r="B57" s="133"/>
      <c r="C57" s="164" t="s">
        <v>81</v>
      </c>
      <c r="D57" s="163">
        <v>1.8</v>
      </c>
      <c r="E57" s="157"/>
    </row>
    <row r="58" spans="1:5" x14ac:dyDescent="0.2">
      <c r="A58" s="122">
        <v>49</v>
      </c>
      <c r="B58" s="133"/>
      <c r="C58" s="164" t="s">
        <v>82</v>
      </c>
      <c r="D58" s="163">
        <v>2.1</v>
      </c>
      <c r="E58" s="157"/>
    </row>
    <row r="59" spans="1:5" x14ac:dyDescent="0.2">
      <c r="A59" s="122">
        <v>50</v>
      </c>
      <c r="B59" s="133"/>
      <c r="C59" s="164" t="s">
        <v>83</v>
      </c>
      <c r="D59" s="163">
        <v>1.9</v>
      </c>
      <c r="E59" s="157"/>
    </row>
    <row r="60" spans="1:5" x14ac:dyDescent="0.2">
      <c r="A60" s="122">
        <v>51</v>
      </c>
      <c r="B60" s="133"/>
      <c r="C60" s="139" t="s">
        <v>95</v>
      </c>
      <c r="D60" s="163">
        <v>1.8</v>
      </c>
      <c r="E60" s="157"/>
    </row>
    <row r="61" spans="1:5" x14ac:dyDescent="0.2">
      <c r="A61" s="122">
        <v>52</v>
      </c>
      <c r="B61" s="133"/>
      <c r="C61" s="164" t="s">
        <v>38</v>
      </c>
      <c r="D61" s="163">
        <v>1.3</v>
      </c>
      <c r="E61" s="157"/>
    </row>
    <row r="62" spans="1:5" x14ac:dyDescent="0.2">
      <c r="A62" s="122">
        <v>53</v>
      </c>
      <c r="B62" s="133"/>
      <c r="C62" s="165" t="s">
        <v>73</v>
      </c>
      <c r="D62" s="163">
        <v>1.2</v>
      </c>
      <c r="E62" s="157"/>
    </row>
    <row r="63" spans="1:5" x14ac:dyDescent="0.2">
      <c r="A63" s="122">
        <v>54</v>
      </c>
      <c r="B63" s="133"/>
      <c r="C63" s="165" t="s">
        <v>74</v>
      </c>
      <c r="D63" s="163">
        <v>0.2</v>
      </c>
      <c r="E63" s="157"/>
    </row>
    <row r="64" spans="1:5" x14ac:dyDescent="0.2">
      <c r="A64" s="122">
        <v>55</v>
      </c>
      <c r="B64" s="133"/>
      <c r="C64" s="165" t="s">
        <v>32</v>
      </c>
      <c r="D64" s="163">
        <v>0.8</v>
      </c>
      <c r="E64" s="157"/>
    </row>
    <row r="65" spans="1:5" x14ac:dyDescent="0.2">
      <c r="A65" s="122">
        <v>56</v>
      </c>
      <c r="B65" s="133"/>
      <c r="C65" s="164" t="s">
        <v>76</v>
      </c>
      <c r="D65" s="163">
        <v>1.1000000000000001</v>
      </c>
      <c r="E65" s="157"/>
    </row>
    <row r="66" spans="1:5" x14ac:dyDescent="0.2">
      <c r="A66" s="122">
        <v>59</v>
      </c>
      <c r="B66" s="133"/>
      <c r="C66" s="165" t="s">
        <v>498</v>
      </c>
      <c r="D66" s="163">
        <v>0.5</v>
      </c>
      <c r="E66" s="157"/>
    </row>
    <row r="67" spans="1:5" x14ac:dyDescent="0.2">
      <c r="A67" s="122">
        <v>60</v>
      </c>
      <c r="B67" s="133"/>
      <c r="C67" s="165" t="s">
        <v>33</v>
      </c>
      <c r="D67" s="163">
        <v>0.1</v>
      </c>
      <c r="E67" s="157"/>
    </row>
    <row r="68" spans="1:5" x14ac:dyDescent="0.2">
      <c r="A68" s="122">
        <v>61</v>
      </c>
      <c r="B68" s="133"/>
      <c r="C68" s="165" t="s">
        <v>75</v>
      </c>
      <c r="D68" s="163">
        <v>1.5</v>
      </c>
      <c r="E68" s="157"/>
    </row>
    <row r="69" spans="1:5" x14ac:dyDescent="0.2">
      <c r="A69" s="122">
        <v>62</v>
      </c>
      <c r="B69" s="133"/>
      <c r="C69" s="165" t="s">
        <v>34</v>
      </c>
      <c r="D69" s="163">
        <v>0.2</v>
      </c>
      <c r="E69" s="157"/>
    </row>
    <row r="70" spans="1:5" x14ac:dyDescent="0.2">
      <c r="A70" s="122">
        <v>63</v>
      </c>
      <c r="B70" s="133"/>
      <c r="C70" s="165" t="s">
        <v>64</v>
      </c>
      <c r="D70" s="163">
        <v>1.6</v>
      </c>
      <c r="E70" s="157"/>
    </row>
    <row r="71" spans="1:5" x14ac:dyDescent="0.2">
      <c r="A71" s="122">
        <v>64</v>
      </c>
      <c r="B71" s="133"/>
      <c r="C71" s="164" t="s">
        <v>46</v>
      </c>
      <c r="D71" s="163">
        <v>4.4000000000000004</v>
      </c>
      <c r="E71" s="157"/>
    </row>
    <row r="72" spans="1:5" x14ac:dyDescent="0.2">
      <c r="A72" s="122">
        <v>65</v>
      </c>
      <c r="B72" s="133"/>
      <c r="C72" s="162" t="s">
        <v>39</v>
      </c>
      <c r="D72" s="163">
        <v>3.7</v>
      </c>
      <c r="E72" s="157"/>
    </row>
    <row r="73" spans="1:5" x14ac:dyDescent="0.2">
      <c r="A73" s="122">
        <v>66</v>
      </c>
      <c r="B73" s="133"/>
      <c r="C73" s="164" t="s">
        <v>40</v>
      </c>
      <c r="D73" s="163">
        <v>13.3</v>
      </c>
      <c r="E73" s="157"/>
    </row>
    <row r="74" spans="1:5" x14ac:dyDescent="0.2">
      <c r="A74" s="122">
        <v>67</v>
      </c>
      <c r="B74" s="133"/>
      <c r="C74" s="168" t="s">
        <v>15</v>
      </c>
      <c r="D74" s="163">
        <v>0.3</v>
      </c>
      <c r="E74" s="157"/>
    </row>
    <row r="75" spans="1:5" x14ac:dyDescent="0.2">
      <c r="A75" s="122">
        <v>68</v>
      </c>
      <c r="B75" s="133"/>
      <c r="C75" s="168" t="s">
        <v>134</v>
      </c>
      <c r="D75" s="163">
        <v>0.2</v>
      </c>
      <c r="E75" s="157"/>
    </row>
    <row r="76" spans="1:5" ht="12.95" customHeight="1" x14ac:dyDescent="0.2">
      <c r="A76" s="122">
        <v>69</v>
      </c>
      <c r="B76" s="120" t="s">
        <v>21</v>
      </c>
      <c r="C76" s="132" t="s">
        <v>22</v>
      </c>
      <c r="D76" s="124">
        <f>+D77+D79+D81+D83+D85+D91+D93+D95+D97+D99+D104+D106+D108+D110+D112+D114+D116+D129</f>
        <v>2076</v>
      </c>
      <c r="E76" s="157"/>
    </row>
    <row r="77" spans="1:5" ht="12.95" customHeight="1" x14ac:dyDescent="0.2">
      <c r="A77" s="122">
        <v>70</v>
      </c>
      <c r="B77" s="133" t="s">
        <v>105</v>
      </c>
      <c r="C77" s="159" t="s">
        <v>224</v>
      </c>
      <c r="D77" s="134">
        <f>+D78</f>
        <v>25</v>
      </c>
      <c r="E77" s="157"/>
    </row>
    <row r="78" spans="1:5" ht="12.95" customHeight="1" x14ac:dyDescent="0.2">
      <c r="A78" s="122">
        <v>71</v>
      </c>
      <c r="B78" s="133"/>
      <c r="C78" s="131" t="s">
        <v>78</v>
      </c>
      <c r="D78" s="136">
        <v>25</v>
      </c>
      <c r="E78" s="157"/>
    </row>
    <row r="79" spans="1:5" ht="25.5" x14ac:dyDescent="0.2">
      <c r="A79" s="122">
        <v>72</v>
      </c>
      <c r="B79" s="133" t="s">
        <v>107</v>
      </c>
      <c r="C79" s="159" t="s">
        <v>225</v>
      </c>
      <c r="D79" s="134">
        <f>+D80</f>
        <v>161.5</v>
      </c>
      <c r="E79" s="157"/>
    </row>
    <row r="80" spans="1:5" ht="12.95" customHeight="1" x14ac:dyDescent="0.2">
      <c r="A80" s="122">
        <v>73</v>
      </c>
      <c r="B80" s="133"/>
      <c r="C80" s="131" t="s">
        <v>3</v>
      </c>
      <c r="D80" s="136">
        <f>151.8+9.7</f>
        <v>161.5</v>
      </c>
      <c r="E80" s="157"/>
    </row>
    <row r="81" spans="1:5" ht="25.5" x14ac:dyDescent="0.2">
      <c r="A81" s="122">
        <v>74</v>
      </c>
      <c r="B81" s="133" t="s">
        <v>108</v>
      </c>
      <c r="C81" s="140" t="s">
        <v>226</v>
      </c>
      <c r="D81" s="134">
        <f>+D82</f>
        <v>80.7</v>
      </c>
      <c r="E81" s="157"/>
    </row>
    <row r="82" spans="1:5" ht="12.95" customHeight="1" x14ac:dyDescent="0.2">
      <c r="A82" s="122">
        <v>75</v>
      </c>
      <c r="B82" s="133"/>
      <c r="C82" s="131" t="s">
        <v>3</v>
      </c>
      <c r="D82" s="136">
        <f>85.1-3.1-1.3</f>
        <v>80.7</v>
      </c>
      <c r="E82" s="157"/>
    </row>
    <row r="83" spans="1:5" ht="12.95" customHeight="1" x14ac:dyDescent="0.2">
      <c r="A83" s="122">
        <v>76</v>
      </c>
      <c r="B83" s="133" t="s">
        <v>110</v>
      </c>
      <c r="C83" s="140" t="s">
        <v>227</v>
      </c>
      <c r="D83" s="134">
        <f>+D84</f>
        <v>44.900000000000006</v>
      </c>
      <c r="E83" s="157"/>
    </row>
    <row r="84" spans="1:5" ht="12.95" customHeight="1" x14ac:dyDescent="0.2">
      <c r="A84" s="122">
        <v>77</v>
      </c>
      <c r="B84" s="133"/>
      <c r="C84" s="139" t="s">
        <v>3</v>
      </c>
      <c r="D84" s="136">
        <f>152.8-50-41.6-16.3</f>
        <v>44.900000000000006</v>
      </c>
      <c r="E84" s="157"/>
    </row>
    <row r="85" spans="1:5" ht="25.5" x14ac:dyDescent="0.2">
      <c r="A85" s="122">
        <v>78</v>
      </c>
      <c r="B85" s="133" t="s">
        <v>112</v>
      </c>
      <c r="C85" s="140" t="s">
        <v>452</v>
      </c>
      <c r="D85" s="134">
        <f>SUM(D86:D90)</f>
        <v>132.4</v>
      </c>
      <c r="E85" s="157"/>
    </row>
    <row r="86" spans="1:5" ht="12.95" customHeight="1" x14ac:dyDescent="0.2">
      <c r="A86" s="122">
        <v>79</v>
      </c>
      <c r="B86" s="133"/>
      <c r="C86" s="162" t="s">
        <v>1</v>
      </c>
      <c r="D86" s="136">
        <v>56.5</v>
      </c>
      <c r="E86" s="157"/>
    </row>
    <row r="87" spans="1:5" ht="12.95" customHeight="1" x14ac:dyDescent="0.2">
      <c r="A87" s="122">
        <v>80</v>
      </c>
      <c r="B87" s="133"/>
      <c r="C87" s="170" t="s">
        <v>2</v>
      </c>
      <c r="D87" s="136">
        <v>2.6</v>
      </c>
      <c r="E87" s="157"/>
    </row>
    <row r="88" spans="1:5" ht="12.95" customHeight="1" x14ac:dyDescent="0.2">
      <c r="A88" s="122">
        <v>81</v>
      </c>
      <c r="B88" s="133"/>
      <c r="C88" s="171" t="s">
        <v>15</v>
      </c>
      <c r="D88" s="136">
        <v>11.6</v>
      </c>
      <c r="E88" s="157"/>
    </row>
    <row r="89" spans="1:5" ht="12.95" customHeight="1" x14ac:dyDescent="0.2">
      <c r="A89" s="122">
        <v>82</v>
      </c>
      <c r="B89" s="133"/>
      <c r="C89" s="171" t="s">
        <v>19</v>
      </c>
      <c r="D89" s="136">
        <v>8.5</v>
      </c>
      <c r="E89" s="157"/>
    </row>
    <row r="90" spans="1:5" ht="12.95" customHeight="1" x14ac:dyDescent="0.2">
      <c r="A90" s="122">
        <v>83</v>
      </c>
      <c r="B90" s="133"/>
      <c r="C90" s="162" t="s">
        <v>78</v>
      </c>
      <c r="D90" s="136">
        <f>52.8+0.4</f>
        <v>53.199999999999996</v>
      </c>
      <c r="E90" s="157"/>
    </row>
    <row r="91" spans="1:5" ht="12.95" customHeight="1" x14ac:dyDescent="0.2">
      <c r="A91" s="122">
        <v>84</v>
      </c>
      <c r="B91" s="133" t="s">
        <v>168</v>
      </c>
      <c r="C91" s="140" t="s">
        <v>455</v>
      </c>
      <c r="D91" s="134">
        <f>+D92</f>
        <v>44.9</v>
      </c>
      <c r="E91" s="157"/>
    </row>
    <row r="92" spans="1:5" ht="12.95" customHeight="1" x14ac:dyDescent="0.2">
      <c r="A92" s="122">
        <v>85</v>
      </c>
      <c r="B92" s="133"/>
      <c r="C92" s="139" t="s">
        <v>454</v>
      </c>
      <c r="D92" s="136">
        <f>53.2-5.7-2.6</f>
        <v>44.9</v>
      </c>
      <c r="E92" s="157"/>
    </row>
    <row r="93" spans="1:5" ht="12.95" customHeight="1" x14ac:dyDescent="0.2">
      <c r="A93" s="122">
        <v>86</v>
      </c>
      <c r="B93" s="133" t="s">
        <v>174</v>
      </c>
      <c r="C93" s="140" t="s">
        <v>456</v>
      </c>
      <c r="D93" s="134">
        <f>+D94</f>
        <v>20.7</v>
      </c>
      <c r="E93" s="157"/>
    </row>
    <row r="94" spans="1:5" ht="12.95" customHeight="1" x14ac:dyDescent="0.2">
      <c r="A94" s="122">
        <v>87</v>
      </c>
      <c r="B94" s="133"/>
      <c r="C94" s="139" t="s">
        <v>454</v>
      </c>
      <c r="D94" s="136">
        <f>24.4-3.7</f>
        <v>20.7</v>
      </c>
      <c r="E94" s="157"/>
    </row>
    <row r="95" spans="1:5" ht="25.5" x14ac:dyDescent="0.2">
      <c r="A95" s="122">
        <v>88</v>
      </c>
      <c r="B95" s="133" t="s">
        <v>463</v>
      </c>
      <c r="C95" s="140" t="s">
        <v>462</v>
      </c>
      <c r="D95" s="134">
        <f>+D96</f>
        <v>31.3</v>
      </c>
      <c r="E95" s="157"/>
    </row>
    <row r="96" spans="1:5" ht="12.95" customHeight="1" x14ac:dyDescent="0.2">
      <c r="A96" s="122">
        <v>89</v>
      </c>
      <c r="B96" s="133"/>
      <c r="C96" s="139" t="s">
        <v>3</v>
      </c>
      <c r="D96" s="136">
        <f>28.5+2.8</f>
        <v>31.3</v>
      </c>
      <c r="E96" s="157"/>
    </row>
    <row r="97" spans="1:7" ht="51" x14ac:dyDescent="0.2">
      <c r="A97" s="122">
        <v>90</v>
      </c>
      <c r="B97" s="133" t="s">
        <v>464</v>
      </c>
      <c r="C97" s="140" t="s">
        <v>465</v>
      </c>
      <c r="D97" s="134">
        <f>+D98</f>
        <v>8.5000000000000018</v>
      </c>
      <c r="E97" s="157"/>
    </row>
    <row r="98" spans="1:7" ht="12.95" customHeight="1" x14ac:dyDescent="0.2">
      <c r="A98" s="122">
        <v>91</v>
      </c>
      <c r="B98" s="133"/>
      <c r="C98" s="139" t="s">
        <v>3</v>
      </c>
      <c r="D98" s="136">
        <f>2.2+3.1+1.4+1.8</f>
        <v>8.5000000000000018</v>
      </c>
      <c r="E98" s="157"/>
    </row>
    <row r="99" spans="1:7" ht="25.5" x14ac:dyDescent="0.2">
      <c r="A99" s="122">
        <v>92</v>
      </c>
      <c r="B99" s="133" t="s">
        <v>467</v>
      </c>
      <c r="C99" s="159" t="s">
        <v>466</v>
      </c>
      <c r="D99" s="134">
        <f>SUM(D100:D103)</f>
        <v>29.9</v>
      </c>
      <c r="E99" s="157"/>
    </row>
    <row r="100" spans="1:7" ht="12.95" customHeight="1" x14ac:dyDescent="0.2">
      <c r="A100" s="122">
        <v>93</v>
      </c>
      <c r="B100" s="133"/>
      <c r="C100" s="135" t="s">
        <v>1</v>
      </c>
      <c r="D100" s="136">
        <v>9.6999999999999993</v>
      </c>
      <c r="E100" s="157"/>
    </row>
    <row r="101" spans="1:7" x14ac:dyDescent="0.2">
      <c r="A101" s="122">
        <v>94</v>
      </c>
      <c r="B101" s="133"/>
      <c r="C101" s="137" t="s">
        <v>2</v>
      </c>
      <c r="D101" s="136">
        <v>6.5</v>
      </c>
      <c r="E101" s="157"/>
    </row>
    <row r="102" spans="1:7" ht="15" customHeight="1" x14ac:dyDescent="0.2">
      <c r="A102" s="122">
        <v>95</v>
      </c>
      <c r="B102" s="133"/>
      <c r="C102" s="171" t="s">
        <v>15</v>
      </c>
      <c r="D102" s="136">
        <v>4.8</v>
      </c>
      <c r="E102" s="157"/>
    </row>
    <row r="103" spans="1:7" ht="12.95" customHeight="1" x14ac:dyDescent="0.2">
      <c r="A103" s="122">
        <v>96</v>
      </c>
      <c r="B103" s="133"/>
      <c r="C103" s="137" t="s">
        <v>78</v>
      </c>
      <c r="D103" s="136">
        <v>8.9</v>
      </c>
      <c r="E103" s="157"/>
    </row>
    <row r="104" spans="1:7" ht="38.25" x14ac:dyDescent="0.2">
      <c r="A104" s="122">
        <v>97</v>
      </c>
      <c r="B104" s="133" t="s">
        <v>474</v>
      </c>
      <c r="C104" s="141" t="s">
        <v>489</v>
      </c>
      <c r="D104" s="134">
        <f>+D105</f>
        <v>4.0999999999999996</v>
      </c>
      <c r="E104" s="157"/>
    </row>
    <row r="105" spans="1:7" ht="12.95" customHeight="1" x14ac:dyDescent="0.2">
      <c r="A105" s="122">
        <v>98</v>
      </c>
      <c r="B105" s="133"/>
      <c r="C105" s="139" t="s">
        <v>3</v>
      </c>
      <c r="D105" s="136">
        <f>0.6+0.6+1.1+1.8</f>
        <v>4.0999999999999996</v>
      </c>
      <c r="E105" s="157"/>
    </row>
    <row r="106" spans="1:7" ht="38.25" x14ac:dyDescent="0.2">
      <c r="A106" s="122">
        <v>99</v>
      </c>
      <c r="B106" s="133" t="s">
        <v>476</v>
      </c>
      <c r="C106" s="141" t="s">
        <v>475</v>
      </c>
      <c r="D106" s="134">
        <f>+D107</f>
        <v>171</v>
      </c>
      <c r="E106" s="157"/>
    </row>
    <row r="107" spans="1:7" ht="12.95" customHeight="1" x14ac:dyDescent="0.2">
      <c r="A107" s="122">
        <v>100</v>
      </c>
      <c r="B107" s="133"/>
      <c r="C107" s="139" t="s">
        <v>3</v>
      </c>
      <c r="D107" s="136">
        <f>49.5+44.5+42.1+34.9</f>
        <v>171</v>
      </c>
      <c r="E107" s="157"/>
    </row>
    <row r="108" spans="1:7" ht="38.25" x14ac:dyDescent="0.2">
      <c r="A108" s="122">
        <v>101</v>
      </c>
      <c r="B108" s="133" t="s">
        <v>480</v>
      </c>
      <c r="C108" s="141" t="s">
        <v>477</v>
      </c>
      <c r="D108" s="134">
        <f>+D109</f>
        <v>0.79999999999999993</v>
      </c>
      <c r="E108" s="157"/>
    </row>
    <row r="109" spans="1:7" ht="12.95" customHeight="1" x14ac:dyDescent="0.2">
      <c r="A109" s="122">
        <v>102</v>
      </c>
      <c r="B109" s="133"/>
      <c r="C109" s="139" t="s">
        <v>3</v>
      </c>
      <c r="D109" s="136">
        <f>0.4+0.3+0.1</f>
        <v>0.79999999999999993</v>
      </c>
      <c r="E109" s="157"/>
    </row>
    <row r="110" spans="1:7" ht="25.5" customHeight="1" x14ac:dyDescent="0.2">
      <c r="A110" s="122">
        <v>103</v>
      </c>
      <c r="B110" s="133" t="s">
        <v>481</v>
      </c>
      <c r="C110" s="140" t="s">
        <v>482</v>
      </c>
      <c r="D110" s="134">
        <f>+D111</f>
        <v>0.2</v>
      </c>
      <c r="E110" s="157"/>
      <c r="G110" s="30"/>
    </row>
    <row r="111" spans="1:7" ht="12.95" customHeight="1" x14ac:dyDescent="0.2">
      <c r="A111" s="122">
        <v>104</v>
      </c>
      <c r="B111" s="133"/>
      <c r="C111" s="139" t="s">
        <v>3</v>
      </c>
      <c r="D111" s="136">
        <v>0.2</v>
      </c>
      <c r="E111" s="150"/>
    </row>
    <row r="112" spans="1:7" ht="38.25" x14ac:dyDescent="0.2">
      <c r="A112" s="122">
        <v>105</v>
      </c>
      <c r="B112" s="133" t="s">
        <v>487</v>
      </c>
      <c r="C112" s="140" t="s">
        <v>486</v>
      </c>
      <c r="D112" s="134">
        <f>+D113</f>
        <v>34.5</v>
      </c>
      <c r="E112" s="150"/>
    </row>
    <row r="113" spans="1:5" ht="12.95" customHeight="1" x14ac:dyDescent="0.2">
      <c r="A113" s="122">
        <v>106</v>
      </c>
      <c r="B113" s="133"/>
      <c r="C113" s="131" t="s">
        <v>3</v>
      </c>
      <c r="D113" s="136">
        <f>7.8+7.8+8.8+10.1</f>
        <v>34.5</v>
      </c>
      <c r="E113" s="150"/>
    </row>
    <row r="114" spans="1:5" ht="12.95" customHeight="1" x14ac:dyDescent="0.2">
      <c r="A114" s="122">
        <v>107</v>
      </c>
      <c r="B114" s="133" t="s">
        <v>563</v>
      </c>
      <c r="C114" s="172" t="s">
        <v>492</v>
      </c>
      <c r="D114" s="134">
        <f>+D115</f>
        <v>157.30000000000001</v>
      </c>
      <c r="E114" s="150"/>
    </row>
    <row r="115" spans="1:5" ht="12.95" customHeight="1" x14ac:dyDescent="0.2">
      <c r="A115" s="122">
        <v>108</v>
      </c>
      <c r="B115" s="133"/>
      <c r="C115" s="131" t="s">
        <v>3</v>
      </c>
      <c r="D115" s="136">
        <v>157.30000000000001</v>
      </c>
      <c r="E115" s="150"/>
    </row>
    <row r="116" spans="1:5" ht="25.5" x14ac:dyDescent="0.2">
      <c r="A116" s="122">
        <v>109</v>
      </c>
      <c r="B116" s="133" t="s">
        <v>495</v>
      </c>
      <c r="C116" s="140" t="s">
        <v>578</v>
      </c>
      <c r="D116" s="134">
        <f>SUM(D117:D128)</f>
        <v>1127.8</v>
      </c>
      <c r="E116" s="150"/>
    </row>
    <row r="117" spans="1:5" ht="12.95" customHeight="1" x14ac:dyDescent="0.2">
      <c r="A117" s="122">
        <v>110</v>
      </c>
      <c r="B117" s="133"/>
      <c r="C117" s="139" t="s">
        <v>3</v>
      </c>
      <c r="D117" s="136">
        <f>122+226.9</f>
        <v>348.9</v>
      </c>
      <c r="E117" s="150"/>
    </row>
    <row r="118" spans="1:5" ht="12.95" customHeight="1" x14ac:dyDescent="0.2">
      <c r="A118" s="122">
        <v>111</v>
      </c>
      <c r="B118" s="133"/>
      <c r="C118" s="139" t="s">
        <v>8</v>
      </c>
      <c r="D118" s="136">
        <v>189.3</v>
      </c>
      <c r="E118" s="150"/>
    </row>
    <row r="119" spans="1:5" ht="12.95" customHeight="1" x14ac:dyDescent="0.2">
      <c r="A119" s="122">
        <v>112</v>
      </c>
      <c r="B119" s="133"/>
      <c r="C119" s="139" t="s">
        <v>4</v>
      </c>
      <c r="D119" s="136">
        <f>64+64</f>
        <v>128</v>
      </c>
      <c r="E119" s="150"/>
    </row>
    <row r="120" spans="1:5" ht="12.95" customHeight="1" x14ac:dyDescent="0.2">
      <c r="A120" s="122">
        <v>113</v>
      </c>
      <c r="B120" s="133"/>
      <c r="C120" s="139" t="s">
        <v>5</v>
      </c>
      <c r="D120" s="136">
        <f>36+14</f>
        <v>50</v>
      </c>
      <c r="E120" s="150"/>
    </row>
    <row r="121" spans="1:5" ht="12.95" customHeight="1" x14ac:dyDescent="0.2">
      <c r="A121" s="122">
        <v>114</v>
      </c>
      <c r="B121" s="133"/>
      <c r="C121" s="139" t="s">
        <v>7</v>
      </c>
      <c r="D121" s="136">
        <f>20+33.6</f>
        <v>53.6</v>
      </c>
      <c r="E121" s="150"/>
    </row>
    <row r="122" spans="1:5" ht="12.95" customHeight="1" x14ac:dyDescent="0.2">
      <c r="A122" s="122">
        <v>115</v>
      </c>
      <c r="B122" s="133"/>
      <c r="C122" s="139" t="s">
        <v>6</v>
      </c>
      <c r="D122" s="136">
        <f>36+62.4</f>
        <v>98.4</v>
      </c>
      <c r="E122" s="150"/>
    </row>
    <row r="123" spans="1:5" ht="12.95" customHeight="1" x14ac:dyDescent="0.2">
      <c r="A123" s="122">
        <v>116</v>
      </c>
      <c r="B123" s="133"/>
      <c r="C123" s="139" t="s">
        <v>9</v>
      </c>
      <c r="D123" s="136">
        <f>20+42.3</f>
        <v>62.3</v>
      </c>
      <c r="E123" s="150"/>
    </row>
    <row r="124" spans="1:5" ht="12.95" customHeight="1" x14ac:dyDescent="0.2">
      <c r="A124" s="122">
        <v>117</v>
      </c>
      <c r="B124" s="133"/>
      <c r="C124" s="135" t="s">
        <v>10</v>
      </c>
      <c r="D124" s="136">
        <f>20+12.6</f>
        <v>32.6</v>
      </c>
      <c r="E124" s="150"/>
    </row>
    <row r="125" spans="1:5" ht="12.95" customHeight="1" x14ac:dyDescent="0.2">
      <c r="A125" s="122">
        <v>118</v>
      </c>
      <c r="B125" s="133"/>
      <c r="C125" s="139" t="s">
        <v>12</v>
      </c>
      <c r="D125" s="136">
        <f>22+19.7</f>
        <v>41.7</v>
      </c>
      <c r="E125" s="150"/>
    </row>
    <row r="126" spans="1:5" ht="12.95" customHeight="1" x14ac:dyDescent="0.2">
      <c r="A126" s="122">
        <v>119</v>
      </c>
      <c r="B126" s="133"/>
      <c r="C126" s="139" t="s">
        <v>11</v>
      </c>
      <c r="D126" s="136">
        <f>37+18.9</f>
        <v>55.9</v>
      </c>
      <c r="E126" s="150"/>
    </row>
    <row r="127" spans="1:5" ht="12.95" customHeight="1" x14ac:dyDescent="0.2">
      <c r="A127" s="122">
        <v>120</v>
      </c>
      <c r="B127" s="133"/>
      <c r="C127" s="139" t="s">
        <v>13</v>
      </c>
      <c r="D127" s="136">
        <f>16+15.6</f>
        <v>31.6</v>
      </c>
      <c r="E127" s="150"/>
    </row>
    <row r="128" spans="1:5" ht="12.95" customHeight="1" x14ac:dyDescent="0.2">
      <c r="A128" s="122">
        <v>121</v>
      </c>
      <c r="B128" s="133"/>
      <c r="C128" s="139" t="s">
        <v>14</v>
      </c>
      <c r="D128" s="136">
        <f>18+17.5</f>
        <v>35.5</v>
      </c>
      <c r="E128" s="150"/>
    </row>
    <row r="129" spans="1:5" ht="38.25" x14ac:dyDescent="0.2">
      <c r="A129" s="122">
        <v>122</v>
      </c>
      <c r="B129" s="133" t="s">
        <v>573</v>
      </c>
      <c r="C129" s="140" t="s">
        <v>574</v>
      </c>
      <c r="D129" s="134">
        <f>+D130</f>
        <v>0.5</v>
      </c>
      <c r="E129" s="150"/>
    </row>
    <row r="130" spans="1:5" ht="12.95" customHeight="1" x14ac:dyDescent="0.2">
      <c r="A130" s="122">
        <v>123</v>
      </c>
      <c r="B130" s="133"/>
      <c r="C130" s="139" t="s">
        <v>3</v>
      </c>
      <c r="D130" s="136">
        <v>0.5</v>
      </c>
      <c r="E130" s="150"/>
    </row>
    <row r="131" spans="1:5" ht="15" customHeight="1" x14ac:dyDescent="0.2">
      <c r="A131" s="122">
        <v>124</v>
      </c>
      <c r="B131" s="120" t="s">
        <v>51</v>
      </c>
      <c r="C131" s="132" t="s">
        <v>97</v>
      </c>
      <c r="D131" s="124">
        <f>+D132+D134</f>
        <v>344.2</v>
      </c>
      <c r="E131" s="150"/>
    </row>
    <row r="132" spans="1:5" ht="25.5" x14ac:dyDescent="0.2">
      <c r="A132" s="122">
        <v>125</v>
      </c>
      <c r="B132" s="133" t="s">
        <v>141</v>
      </c>
      <c r="C132" s="159" t="s">
        <v>483</v>
      </c>
      <c r="D132" s="134">
        <f>+D133</f>
        <v>237.4</v>
      </c>
      <c r="E132" s="150"/>
    </row>
    <row r="133" spans="1:5" x14ac:dyDescent="0.2">
      <c r="A133" s="122">
        <v>126</v>
      </c>
      <c r="B133" s="133"/>
      <c r="C133" s="162" t="s">
        <v>65</v>
      </c>
      <c r="D133" s="136">
        <v>237.4</v>
      </c>
      <c r="E133" s="150"/>
    </row>
    <row r="134" spans="1:5" x14ac:dyDescent="0.2">
      <c r="A134" s="122">
        <v>127</v>
      </c>
      <c r="B134" s="133" t="s">
        <v>564</v>
      </c>
      <c r="C134" s="159" t="s">
        <v>504</v>
      </c>
      <c r="D134" s="134">
        <f>+D135</f>
        <v>106.8</v>
      </c>
      <c r="E134" s="150"/>
    </row>
    <row r="135" spans="1:5" x14ac:dyDescent="0.2">
      <c r="A135" s="122">
        <v>128</v>
      </c>
      <c r="B135" s="133"/>
      <c r="C135" s="139" t="s">
        <v>3</v>
      </c>
      <c r="D135" s="136">
        <f>+D136</f>
        <v>106.8</v>
      </c>
      <c r="E135" s="150"/>
    </row>
    <row r="136" spans="1:5" x14ac:dyDescent="0.2">
      <c r="A136" s="122">
        <v>129</v>
      </c>
      <c r="B136" s="133"/>
      <c r="C136" s="173" t="s">
        <v>502</v>
      </c>
      <c r="D136" s="136">
        <f>32+74.8</f>
        <v>106.8</v>
      </c>
      <c r="E136" s="150"/>
    </row>
    <row r="137" spans="1:5" x14ac:dyDescent="0.2">
      <c r="A137" s="122">
        <v>130</v>
      </c>
      <c r="B137" s="120" t="s">
        <v>52</v>
      </c>
      <c r="C137" s="132" t="s">
        <v>53</v>
      </c>
      <c r="D137" s="174">
        <f>+D138+D140</f>
        <v>91.300000000000011</v>
      </c>
      <c r="E137" s="150"/>
    </row>
    <row r="138" spans="1:5" x14ac:dyDescent="0.2">
      <c r="A138" s="122">
        <v>131</v>
      </c>
      <c r="B138" s="133" t="s">
        <v>175</v>
      </c>
      <c r="C138" s="159" t="s">
        <v>228</v>
      </c>
      <c r="D138" s="134">
        <f>+D139</f>
        <v>59.7</v>
      </c>
      <c r="E138" s="150"/>
    </row>
    <row r="139" spans="1:5" x14ac:dyDescent="0.2">
      <c r="A139" s="122">
        <v>132</v>
      </c>
      <c r="B139" s="133"/>
      <c r="C139" s="139" t="s">
        <v>45</v>
      </c>
      <c r="D139" s="136">
        <v>59.7</v>
      </c>
      <c r="E139" s="150"/>
    </row>
    <row r="140" spans="1:5" x14ac:dyDescent="0.2">
      <c r="A140" s="122">
        <v>133</v>
      </c>
      <c r="B140" s="133" t="s">
        <v>458</v>
      </c>
      <c r="C140" s="159" t="s">
        <v>457</v>
      </c>
      <c r="D140" s="134">
        <f>+D141</f>
        <v>31.6</v>
      </c>
      <c r="E140" s="150"/>
    </row>
    <row r="141" spans="1:5" x14ac:dyDescent="0.2">
      <c r="A141" s="122">
        <v>134</v>
      </c>
      <c r="B141" s="133"/>
      <c r="C141" s="144" t="s">
        <v>3</v>
      </c>
      <c r="D141" s="136">
        <v>31.6</v>
      </c>
      <c r="E141" s="150"/>
    </row>
    <row r="142" spans="1:5" x14ac:dyDescent="0.2">
      <c r="A142" s="122">
        <v>135</v>
      </c>
      <c r="B142" s="120" t="s">
        <v>54</v>
      </c>
      <c r="C142" s="175" t="s">
        <v>55</v>
      </c>
      <c r="D142" s="124">
        <f>+D143</f>
        <v>2845.7</v>
      </c>
      <c r="E142" s="150"/>
    </row>
    <row r="143" spans="1:5" x14ac:dyDescent="0.2">
      <c r="A143" s="122">
        <v>136</v>
      </c>
      <c r="B143" s="133" t="s">
        <v>459</v>
      </c>
      <c r="C143" s="140" t="s">
        <v>460</v>
      </c>
      <c r="D143" s="134">
        <f>+D144</f>
        <v>2845.7</v>
      </c>
      <c r="E143" s="150"/>
    </row>
    <row r="144" spans="1:5" x14ac:dyDescent="0.2">
      <c r="A144" s="122">
        <v>137</v>
      </c>
      <c r="B144" s="120"/>
      <c r="C144" s="139" t="s">
        <v>3</v>
      </c>
      <c r="D144" s="136">
        <v>2845.7</v>
      </c>
      <c r="E144" s="150"/>
    </row>
    <row r="145" spans="1:5" x14ac:dyDescent="0.2">
      <c r="A145" s="122">
        <v>138</v>
      </c>
      <c r="B145" s="120" t="s">
        <v>56</v>
      </c>
      <c r="C145" s="132" t="s">
        <v>57</v>
      </c>
      <c r="D145" s="124">
        <f>D146+D148</f>
        <v>16.100000000000001</v>
      </c>
      <c r="E145" s="150"/>
    </row>
    <row r="146" spans="1:5" ht="25.5" x14ac:dyDescent="0.2">
      <c r="A146" s="122">
        <v>139</v>
      </c>
      <c r="B146" s="133" t="s">
        <v>577</v>
      </c>
      <c r="C146" s="172" t="s">
        <v>478</v>
      </c>
      <c r="D146" s="134">
        <f>+D147</f>
        <v>2.1</v>
      </c>
      <c r="E146" s="150"/>
    </row>
    <row r="147" spans="1:5" x14ac:dyDescent="0.2">
      <c r="A147" s="122">
        <v>140</v>
      </c>
      <c r="B147" s="120"/>
      <c r="C147" s="131" t="s">
        <v>3</v>
      </c>
      <c r="D147" s="136">
        <v>2.1</v>
      </c>
      <c r="E147" s="150"/>
    </row>
    <row r="148" spans="1:5" ht="25.5" x14ac:dyDescent="0.2">
      <c r="A148" s="122">
        <v>141</v>
      </c>
      <c r="B148" s="133" t="s">
        <v>479</v>
      </c>
      <c r="C148" s="172" t="s">
        <v>496</v>
      </c>
      <c r="D148" s="134">
        <f>+D149</f>
        <v>14</v>
      </c>
      <c r="E148" s="150"/>
    </row>
    <row r="149" spans="1:5" x14ac:dyDescent="0.2">
      <c r="A149" s="122">
        <v>142</v>
      </c>
      <c r="B149" s="120"/>
      <c r="C149" s="131" t="s">
        <v>3</v>
      </c>
      <c r="D149" s="136">
        <v>14</v>
      </c>
      <c r="E149" s="150"/>
    </row>
    <row r="150" spans="1:5" x14ac:dyDescent="0.2">
      <c r="A150" s="122">
        <v>143</v>
      </c>
      <c r="B150" s="120" t="s">
        <v>26</v>
      </c>
      <c r="C150" s="132" t="s">
        <v>27</v>
      </c>
      <c r="D150" s="124">
        <f>+D151+D153</f>
        <v>464.6</v>
      </c>
      <c r="E150" s="150"/>
    </row>
    <row r="151" spans="1:5" ht="25.5" x14ac:dyDescent="0.2">
      <c r="A151" s="122">
        <v>144</v>
      </c>
      <c r="B151" s="133" t="s">
        <v>114</v>
      </c>
      <c r="C151" s="172" t="s">
        <v>315</v>
      </c>
      <c r="D151" s="134">
        <f>+D152</f>
        <v>164.6</v>
      </c>
      <c r="E151" s="150"/>
    </row>
    <row r="152" spans="1:5" x14ac:dyDescent="0.2">
      <c r="A152" s="122">
        <v>145</v>
      </c>
      <c r="B152" s="133"/>
      <c r="C152" s="131" t="s">
        <v>3</v>
      </c>
      <c r="D152" s="136">
        <f>158.5+6.1</f>
        <v>164.6</v>
      </c>
      <c r="E152" s="150"/>
    </row>
    <row r="153" spans="1:5" ht="25.5" x14ac:dyDescent="0.2">
      <c r="A153" s="122">
        <v>146</v>
      </c>
      <c r="B153" s="133" t="s">
        <v>116</v>
      </c>
      <c r="C153" s="172" t="s">
        <v>183</v>
      </c>
      <c r="D153" s="134">
        <f>+D154</f>
        <v>300</v>
      </c>
      <c r="E153" s="150"/>
    </row>
    <row r="154" spans="1:5" x14ac:dyDescent="0.2">
      <c r="A154" s="122">
        <v>147</v>
      </c>
      <c r="B154" s="133"/>
      <c r="C154" s="131" t="s">
        <v>3</v>
      </c>
      <c r="D154" s="136">
        <v>300</v>
      </c>
      <c r="E154" s="150"/>
    </row>
    <row r="155" spans="1:5" x14ac:dyDescent="0.2">
      <c r="A155" s="122">
        <v>148</v>
      </c>
      <c r="B155" s="120" t="s">
        <v>58</v>
      </c>
      <c r="C155" s="132" t="s">
        <v>59</v>
      </c>
      <c r="D155" s="124">
        <f>+D156</f>
        <v>150</v>
      </c>
      <c r="E155" s="150"/>
    </row>
    <row r="156" spans="1:5" ht="25.5" x14ac:dyDescent="0.2">
      <c r="A156" s="122">
        <v>149</v>
      </c>
      <c r="B156" s="133" t="s">
        <v>565</v>
      </c>
      <c r="C156" s="172" t="s">
        <v>497</v>
      </c>
      <c r="D156" s="134">
        <f>+D157</f>
        <v>150</v>
      </c>
      <c r="E156" s="150"/>
    </row>
    <row r="157" spans="1:5" x14ac:dyDescent="0.2">
      <c r="A157" s="122">
        <v>150</v>
      </c>
      <c r="B157" s="133"/>
      <c r="C157" s="131" t="s">
        <v>3</v>
      </c>
      <c r="D157" s="136">
        <v>150</v>
      </c>
      <c r="E157" s="150"/>
    </row>
    <row r="158" spans="1:5" x14ac:dyDescent="0.2">
      <c r="A158" s="122">
        <v>151</v>
      </c>
      <c r="B158" s="120" t="s">
        <v>23</v>
      </c>
      <c r="C158" s="132" t="s">
        <v>24</v>
      </c>
      <c r="D158" s="124">
        <f>+D159</f>
        <v>17.399999999999999</v>
      </c>
      <c r="E158" s="150"/>
    </row>
    <row r="159" spans="1:5" ht="38.25" x14ac:dyDescent="0.2">
      <c r="A159" s="122">
        <v>152</v>
      </c>
      <c r="B159" s="133" t="s">
        <v>28</v>
      </c>
      <c r="C159" s="159" t="s">
        <v>471</v>
      </c>
      <c r="D159" s="134">
        <f>+D160</f>
        <v>17.399999999999999</v>
      </c>
      <c r="E159" s="150"/>
    </row>
    <row r="160" spans="1:5" x14ac:dyDescent="0.2">
      <c r="A160" s="122">
        <v>153</v>
      </c>
      <c r="B160" s="133"/>
      <c r="C160" s="144" t="s">
        <v>3</v>
      </c>
      <c r="D160" s="136">
        <f>3.7+12.7+1</f>
        <v>17.399999999999999</v>
      </c>
      <c r="E160" s="157"/>
    </row>
    <row r="161" spans="1:7" x14ac:dyDescent="0.2">
      <c r="A161" s="122">
        <v>154</v>
      </c>
      <c r="B161" s="120"/>
      <c r="C161" s="176" t="s">
        <v>20</v>
      </c>
      <c r="D161" s="124">
        <f>+D10+D76+D137+D145+D150+D142+D158+D131+D155</f>
        <v>6688.8999999999987</v>
      </c>
      <c r="E161" s="157"/>
    </row>
    <row r="162" spans="1:7" x14ac:dyDescent="0.2">
      <c r="C162" s="152" t="s">
        <v>66</v>
      </c>
      <c r="D162" s="147"/>
      <c r="E162" s="157"/>
    </row>
    <row r="163" spans="1:7" x14ac:dyDescent="0.2">
      <c r="C163" s="177"/>
      <c r="D163" s="147"/>
      <c r="E163" s="157"/>
    </row>
    <row r="164" spans="1:7" x14ac:dyDescent="0.2">
      <c r="C164" s="177"/>
      <c r="D164" s="150"/>
      <c r="E164" s="157"/>
    </row>
    <row r="165" spans="1:7" x14ac:dyDescent="0.2">
      <c r="D165" s="150"/>
      <c r="E165" s="157"/>
    </row>
    <row r="166" spans="1:7" x14ac:dyDescent="0.2">
      <c r="C166" s="178"/>
      <c r="D166" s="150"/>
      <c r="E166" s="157"/>
    </row>
    <row r="167" spans="1:7" x14ac:dyDescent="0.2">
      <c r="C167" s="179"/>
      <c r="D167" s="150"/>
      <c r="E167" s="157"/>
    </row>
    <row r="168" spans="1:7" x14ac:dyDescent="0.2">
      <c r="C168" s="180"/>
      <c r="D168" s="147"/>
      <c r="E168" s="157"/>
      <c r="G168" s="15"/>
    </row>
    <row r="169" spans="1:7" x14ac:dyDescent="0.2">
      <c r="C169" s="178"/>
      <c r="E169" s="157"/>
    </row>
    <row r="170" spans="1:7" x14ac:dyDescent="0.2">
      <c r="C170" s="181"/>
      <c r="D170" s="150"/>
      <c r="E170" s="157"/>
    </row>
    <row r="171" spans="1:7" x14ac:dyDescent="0.2">
      <c r="E171" s="157"/>
    </row>
    <row r="172" spans="1:7" x14ac:dyDescent="0.2">
      <c r="E172" s="157"/>
    </row>
    <row r="173" spans="1:7" x14ac:dyDescent="0.2">
      <c r="E173" s="157"/>
    </row>
    <row r="174" spans="1:7" x14ac:dyDescent="0.2">
      <c r="D174" s="150"/>
      <c r="E174" s="157"/>
    </row>
    <row r="175" spans="1:7" x14ac:dyDescent="0.2">
      <c r="D175" s="150"/>
      <c r="E175" s="157"/>
    </row>
    <row r="176" spans="1:7" x14ac:dyDescent="0.2">
      <c r="E176" s="157"/>
    </row>
    <row r="177" spans="4:5" x14ac:dyDescent="0.2">
      <c r="D177" s="150"/>
      <c r="E177" s="157"/>
    </row>
    <row r="178" spans="4:5" x14ac:dyDescent="0.2">
      <c r="E178" s="157"/>
    </row>
    <row r="179" spans="4:5" x14ac:dyDescent="0.2">
      <c r="E179" s="157"/>
    </row>
    <row r="180" spans="4:5" x14ac:dyDescent="0.2">
      <c r="E180" s="157"/>
    </row>
    <row r="181" spans="4:5" x14ac:dyDescent="0.2">
      <c r="E181" s="157"/>
    </row>
    <row r="182" spans="4:5" x14ac:dyDescent="0.2">
      <c r="E182" s="157"/>
    </row>
    <row r="183" spans="4:5" x14ac:dyDescent="0.2">
      <c r="E183" s="157"/>
    </row>
    <row r="184" spans="4:5" x14ac:dyDescent="0.2">
      <c r="E184" s="157"/>
    </row>
    <row r="185" spans="4:5" x14ac:dyDescent="0.2">
      <c r="E185" s="157"/>
    </row>
    <row r="186" spans="4:5" x14ac:dyDescent="0.2">
      <c r="E186" s="16"/>
    </row>
    <row r="187" spans="4:5" ht="13.5" customHeight="1" x14ac:dyDescent="0.2"/>
  </sheetData>
  <mergeCells count="3">
    <mergeCell ref="A5:D5"/>
    <mergeCell ref="C1:D1"/>
    <mergeCell ref="C2:D2"/>
  </mergeCells>
  <pageMargins left="0.70866141732283472" right="0" top="0.74803149606299213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Įvardytieji diapazonai</vt:lpstr>
      </vt:variant>
      <vt:variant>
        <vt:i4>8</vt:i4>
      </vt:variant>
    </vt:vector>
  </HeadingPairs>
  <TitlesOfParts>
    <vt:vector size="12" baseType="lpstr">
      <vt:lpstr>1 pr</vt:lpstr>
      <vt:lpstr>3 pr</vt:lpstr>
      <vt:lpstr>8 pr</vt:lpstr>
      <vt:lpstr>10 pr</vt:lpstr>
      <vt:lpstr>'1 pr'!Print_Area</vt:lpstr>
      <vt:lpstr>'10 pr'!Print_Area</vt:lpstr>
      <vt:lpstr>'3 pr'!Print_Area</vt:lpstr>
      <vt:lpstr>'8 pr'!Print_Area</vt:lpstr>
      <vt:lpstr>'1 pr'!Print_Titles</vt:lpstr>
      <vt:lpstr>'10 pr'!Print_Titles</vt:lpstr>
      <vt:lpstr>'3 pr'!Print_Titles</vt:lpstr>
      <vt:lpstr>'8 pr'!Print_Titles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V.Sirvaitiene</dc:creator>
  <cp:lastModifiedBy>Jolanta Sakavičienė</cp:lastModifiedBy>
  <cp:lastPrinted>2024-12-09T13:56:53Z</cp:lastPrinted>
  <dcterms:created xsi:type="dcterms:W3CDTF">1996-10-14T23:33:28Z</dcterms:created>
  <dcterms:modified xsi:type="dcterms:W3CDTF">2024-12-09T14:09:09Z</dcterms:modified>
</cp:coreProperties>
</file>